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6C08D4DE-C4D4-43BB-9585-DA185AD10B6B}" xr6:coauthVersionLast="47" xr6:coauthVersionMax="47" xr10:uidLastSave="{00000000-0000-0000-0000-000000000000}"/>
  <bookViews>
    <workbookView xWindow="-120" yWindow="-120" windowWidth="29040" windowHeight="15720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costs" sheetId="87" r:id="rId11"/>
    <sheet name="Workings_risks" sheetId="88" r:id="rId12"/>
    <sheet name="SWBD risks" sheetId="89" r:id="rId13"/>
    <sheet name="Misc_calcs" sheetId="62" r:id="rId14"/>
    <sheet name="Data" sheetId="47" r:id="rId15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87" l="1"/>
  <c r="G47" i="87"/>
  <c r="H47" i="87"/>
  <c r="I47" i="87"/>
  <c r="J47" i="87"/>
  <c r="K47" i="87"/>
  <c r="L47" i="87"/>
  <c r="M47" i="87"/>
  <c r="N47" i="87"/>
  <c r="O47" i="87"/>
  <c r="P47" i="87"/>
  <c r="Q47" i="87"/>
  <c r="R47" i="87"/>
  <c r="S47" i="87"/>
  <c r="T47" i="87"/>
  <c r="U47" i="87"/>
  <c r="V47" i="87"/>
  <c r="W47" i="87"/>
  <c r="X47" i="87"/>
  <c r="Y47" i="87"/>
  <c r="Z47" i="87"/>
  <c r="AA47" i="87"/>
  <c r="AB47" i="87"/>
  <c r="AC47" i="87"/>
  <c r="E47" i="87"/>
  <c r="F31" i="87"/>
  <c r="G31" i="87"/>
  <c r="H31" i="87"/>
  <c r="I31" i="87"/>
  <c r="J31" i="87"/>
  <c r="K31" i="87"/>
  <c r="L31" i="87"/>
  <c r="M31" i="87"/>
  <c r="N31" i="87"/>
  <c r="O31" i="87"/>
  <c r="P31" i="87"/>
  <c r="Q31" i="87"/>
  <c r="R31" i="87"/>
  <c r="S31" i="87"/>
  <c r="T31" i="87"/>
  <c r="U31" i="87"/>
  <c r="V31" i="87"/>
  <c r="W31" i="87"/>
  <c r="X31" i="87"/>
  <c r="Y31" i="87"/>
  <c r="Z31" i="87"/>
  <c r="AA31" i="87"/>
  <c r="AB31" i="87"/>
  <c r="AC31" i="87"/>
  <c r="E31" i="87"/>
  <c r="AC70" i="88"/>
  <c r="AB70" i="88"/>
  <c r="AA70" i="88"/>
  <c r="Z70" i="88"/>
  <c r="Y70" i="88"/>
  <c r="X70" i="88"/>
  <c r="W70" i="88"/>
  <c r="V70" i="88"/>
  <c r="U70" i="88"/>
  <c r="T70" i="88"/>
  <c r="S70" i="88"/>
  <c r="R70" i="88"/>
  <c r="Q70" i="88"/>
  <c r="P70" i="88"/>
  <c r="O70" i="88"/>
  <c r="N70" i="88"/>
  <c r="M70" i="88"/>
  <c r="L70" i="88"/>
  <c r="K70" i="88"/>
  <c r="J70" i="88"/>
  <c r="I70" i="88"/>
  <c r="H70" i="88"/>
  <c r="G70" i="88"/>
  <c r="G45" i="88"/>
  <c r="H45" i="88"/>
  <c r="I45" i="88"/>
  <c r="J45" i="88"/>
  <c r="K45" i="88"/>
  <c r="L45" i="88"/>
  <c r="M45" i="88"/>
  <c r="N45" i="88"/>
  <c r="O45" i="88"/>
  <c r="P45" i="88"/>
  <c r="Q45" i="88"/>
  <c r="R45" i="88"/>
  <c r="S45" i="88"/>
  <c r="T45" i="88"/>
  <c r="U45" i="88"/>
  <c r="V45" i="88"/>
  <c r="W45" i="88"/>
  <c r="X45" i="88"/>
  <c r="Y45" i="88"/>
  <c r="Z45" i="88"/>
  <c r="AA45" i="88"/>
  <c r="AB45" i="88"/>
  <c r="AC45" i="88"/>
  <c r="F20" i="88"/>
  <c r="G20" i="88"/>
  <c r="H20" i="88"/>
  <c r="I20" i="88"/>
  <c r="J20" i="88"/>
  <c r="K20" i="88"/>
  <c r="L20" i="88"/>
  <c r="M20" i="88"/>
  <c r="N20" i="88"/>
  <c r="O20" i="88"/>
  <c r="P20" i="88"/>
  <c r="Q20" i="88"/>
  <c r="R20" i="88"/>
  <c r="S20" i="88"/>
  <c r="T20" i="88"/>
  <c r="U20" i="88"/>
  <c r="V20" i="88"/>
  <c r="W20" i="88"/>
  <c r="X20" i="88"/>
  <c r="Y20" i="88"/>
  <c r="Z20" i="88"/>
  <c r="AA20" i="88"/>
  <c r="AB20" i="88"/>
  <c r="AC20" i="88"/>
  <c r="E20" i="88"/>
  <c r="F69" i="88"/>
  <c r="F70" i="88" s="1"/>
  <c r="E69" i="88"/>
  <c r="E70" i="88" s="1"/>
  <c r="F44" i="88"/>
  <c r="F45" i="88" s="1"/>
  <c r="E44" i="88"/>
  <c r="E45" i="88" s="1"/>
  <c r="C32" i="72" l="1"/>
  <c r="C31" i="72"/>
  <c r="C30" i="72"/>
  <c r="B8" i="88"/>
  <c r="B34" i="87"/>
  <c r="B58" i="88" s="1"/>
  <c r="B18" i="87"/>
  <c r="B33" i="88" s="1"/>
  <c r="C31" i="81" l="1"/>
  <c r="C32" i="81"/>
  <c r="C30" i="81"/>
  <c r="C31" i="68"/>
  <c r="C32" i="68"/>
  <c r="C30" i="68"/>
  <c r="D79" i="88"/>
  <c r="D78" i="88"/>
  <c r="D77" i="88"/>
  <c r="J14" i="72"/>
  <c r="K14" i="72"/>
  <c r="L14" i="72"/>
  <c r="M14" i="72"/>
  <c r="N14" i="72"/>
  <c r="O14" i="72"/>
  <c r="S14" i="72"/>
  <c r="T14" i="72"/>
  <c r="U14" i="72"/>
  <c r="V14" i="72"/>
  <c r="W14" i="72"/>
  <c r="X14" i="72"/>
  <c r="Y14" i="72"/>
  <c r="Z14" i="72"/>
  <c r="AA14" i="72"/>
  <c r="AB14" i="72"/>
  <c r="AC14" i="72"/>
  <c r="AD14" i="72"/>
  <c r="AE14" i="72"/>
  <c r="AF14" i="72"/>
  <c r="AG14" i="72"/>
  <c r="J15" i="72"/>
  <c r="N15" i="72"/>
  <c r="O15" i="72"/>
  <c r="P15" i="72"/>
  <c r="Q15" i="72"/>
  <c r="R15" i="72"/>
  <c r="S15" i="72"/>
  <c r="T15" i="72"/>
  <c r="U15" i="72"/>
  <c r="V15" i="72"/>
  <c r="W15" i="72"/>
  <c r="X15" i="72"/>
  <c r="Y15" i="72"/>
  <c r="Z15" i="72"/>
  <c r="AA15" i="72"/>
  <c r="AB15" i="72"/>
  <c r="AC15" i="72"/>
  <c r="AD15" i="72"/>
  <c r="AE15" i="72"/>
  <c r="AF15" i="72"/>
  <c r="AG15" i="72"/>
  <c r="I15" i="72"/>
  <c r="I14" i="72"/>
  <c r="J14" i="81"/>
  <c r="N14" i="81"/>
  <c r="O14" i="81"/>
  <c r="P14" i="81"/>
  <c r="Q14" i="81"/>
  <c r="R14" i="81"/>
  <c r="S14" i="81"/>
  <c r="T14" i="81"/>
  <c r="U14" i="81"/>
  <c r="V14" i="81"/>
  <c r="W14" i="81"/>
  <c r="X14" i="81"/>
  <c r="Y14" i="81"/>
  <c r="Z14" i="81"/>
  <c r="AA14" i="81"/>
  <c r="AB14" i="81"/>
  <c r="AC14" i="81"/>
  <c r="AD14" i="81"/>
  <c r="AE14" i="81"/>
  <c r="AF14" i="81"/>
  <c r="AG14" i="81"/>
  <c r="J15" i="81"/>
  <c r="N15" i="81"/>
  <c r="O15" i="81"/>
  <c r="P15" i="81"/>
  <c r="Q15" i="81"/>
  <c r="R15" i="81"/>
  <c r="S15" i="81"/>
  <c r="T15" i="81"/>
  <c r="U15" i="81"/>
  <c r="V15" i="81"/>
  <c r="W15" i="81"/>
  <c r="X15" i="81"/>
  <c r="Y15" i="81"/>
  <c r="Z15" i="81"/>
  <c r="AA15" i="81"/>
  <c r="AB15" i="81"/>
  <c r="AC15" i="81"/>
  <c r="AD15" i="81"/>
  <c r="AE15" i="81"/>
  <c r="AF15" i="81"/>
  <c r="AG15" i="81"/>
  <c r="I15" i="81"/>
  <c r="I14" i="81"/>
  <c r="A2" i="89" l="1"/>
  <c r="A1" i="89"/>
  <c r="AC73" i="88" l="1"/>
  <c r="AB73" i="88"/>
  <c r="AA73" i="88"/>
  <c r="Z73" i="88"/>
  <c r="Y73" i="88"/>
  <c r="X73" i="88"/>
  <c r="W73" i="88"/>
  <c r="V73" i="88"/>
  <c r="U73" i="88"/>
  <c r="T73" i="88"/>
  <c r="S73" i="88"/>
  <c r="R73" i="88"/>
  <c r="Q73" i="88"/>
  <c r="P73" i="88"/>
  <c r="O73" i="88"/>
  <c r="N73" i="88"/>
  <c r="M73" i="88"/>
  <c r="L73" i="88"/>
  <c r="K73" i="88"/>
  <c r="J73" i="88"/>
  <c r="I73" i="88"/>
  <c r="H73" i="88"/>
  <c r="G73" i="88"/>
  <c r="F73" i="88"/>
  <c r="E73" i="88"/>
  <c r="AC79" i="88"/>
  <c r="AG32" i="72" s="1"/>
  <c r="AB79" i="88"/>
  <c r="AF32" i="72" s="1"/>
  <c r="AA79" i="88"/>
  <c r="AE32" i="72" s="1"/>
  <c r="Z79" i="88"/>
  <c r="AD32" i="72" s="1"/>
  <c r="Y79" i="88"/>
  <c r="AC32" i="72" s="1"/>
  <c r="X79" i="88"/>
  <c r="AB32" i="72" s="1"/>
  <c r="W79" i="88"/>
  <c r="AA32" i="72" s="1"/>
  <c r="V79" i="88"/>
  <c r="Z32" i="72" s="1"/>
  <c r="U79" i="88"/>
  <c r="Y32" i="72" s="1"/>
  <c r="T79" i="88"/>
  <c r="X32" i="72" s="1"/>
  <c r="S79" i="88"/>
  <c r="W32" i="72" s="1"/>
  <c r="R79" i="88"/>
  <c r="V32" i="72" s="1"/>
  <c r="Q79" i="88"/>
  <c r="U32" i="72" s="1"/>
  <c r="P79" i="88"/>
  <c r="T32" i="72" s="1"/>
  <c r="O79" i="88"/>
  <c r="S32" i="72" s="1"/>
  <c r="F79" i="88"/>
  <c r="J32" i="72" s="1"/>
  <c r="AC78" i="88"/>
  <c r="AG31" i="72" s="1"/>
  <c r="AB78" i="88"/>
  <c r="AF31" i="72" s="1"/>
  <c r="AA78" i="88"/>
  <c r="AE31" i="72" s="1"/>
  <c r="Z78" i="88"/>
  <c r="AD31" i="72" s="1"/>
  <c r="Y78" i="88"/>
  <c r="AC31" i="72" s="1"/>
  <c r="X78" i="88"/>
  <c r="AB31" i="72" s="1"/>
  <c r="W78" i="88"/>
  <c r="AA31" i="72" s="1"/>
  <c r="V78" i="88"/>
  <c r="Z31" i="72" s="1"/>
  <c r="U78" i="88"/>
  <c r="Y31" i="72" s="1"/>
  <c r="T78" i="88"/>
  <c r="X31" i="72" s="1"/>
  <c r="S78" i="88"/>
  <c r="W31" i="72" s="1"/>
  <c r="R78" i="88"/>
  <c r="V31" i="72" s="1"/>
  <c r="Q78" i="88"/>
  <c r="U31" i="72" s="1"/>
  <c r="P78" i="88"/>
  <c r="T31" i="72" s="1"/>
  <c r="O78" i="88"/>
  <c r="S31" i="72" s="1"/>
  <c r="K78" i="88"/>
  <c r="O31" i="72" s="1"/>
  <c r="AC77" i="88"/>
  <c r="AG30" i="72" s="1"/>
  <c r="Y77" i="88"/>
  <c r="AC30" i="72" s="1"/>
  <c r="X77" i="88"/>
  <c r="AB30" i="72" s="1"/>
  <c r="W77" i="88"/>
  <c r="AA30" i="72" s="1"/>
  <c r="V77" i="88"/>
  <c r="Z30" i="72" s="1"/>
  <c r="U77" i="88"/>
  <c r="Y30" i="72" s="1"/>
  <c r="T77" i="88"/>
  <c r="X30" i="72" s="1"/>
  <c r="S77" i="88"/>
  <c r="W30" i="72" s="1"/>
  <c r="R77" i="88"/>
  <c r="V30" i="72" s="1"/>
  <c r="AB76" i="88"/>
  <c r="AF28" i="72" s="1"/>
  <c r="AA76" i="88"/>
  <c r="AE28" i="72" s="1"/>
  <c r="Z76" i="88"/>
  <c r="AD28" i="72" s="1"/>
  <c r="Y76" i="88"/>
  <c r="X76" i="88"/>
  <c r="AB28" i="72" s="1"/>
  <c r="U76" i="88"/>
  <c r="Y28" i="72" s="1"/>
  <c r="Q76" i="88"/>
  <c r="U28" i="72" s="1"/>
  <c r="P76" i="88"/>
  <c r="T28" i="72" s="1"/>
  <c r="O76" i="88"/>
  <c r="S28" i="72" s="1"/>
  <c r="F60" i="88"/>
  <c r="G60" i="88" s="1"/>
  <c r="H60" i="88" s="1"/>
  <c r="I60" i="88" s="1"/>
  <c r="J60" i="88" s="1"/>
  <c r="K60" i="88" s="1"/>
  <c r="L60" i="88" s="1"/>
  <c r="M60" i="88" s="1"/>
  <c r="N60" i="88" s="1"/>
  <c r="O60" i="88" s="1"/>
  <c r="P60" i="88" s="1"/>
  <c r="Q60" i="88" s="1"/>
  <c r="R60" i="88" s="1"/>
  <c r="S60" i="88" s="1"/>
  <c r="T60" i="88" s="1"/>
  <c r="U60" i="88" s="1"/>
  <c r="V60" i="88" s="1"/>
  <c r="W60" i="88" s="1"/>
  <c r="X60" i="88" s="1"/>
  <c r="Y60" i="88" s="1"/>
  <c r="Z60" i="88" s="1"/>
  <c r="AA60" i="88" s="1"/>
  <c r="AB60" i="88" s="1"/>
  <c r="AC60" i="88" s="1"/>
  <c r="AC48" i="88"/>
  <c r="AB48" i="88"/>
  <c r="AA48" i="88"/>
  <c r="Z48" i="88"/>
  <c r="Y48" i="88"/>
  <c r="X48" i="88"/>
  <c r="W48" i="88"/>
  <c r="V48" i="88"/>
  <c r="U48" i="88"/>
  <c r="T48" i="88"/>
  <c r="S48" i="88"/>
  <c r="R48" i="88"/>
  <c r="Q48" i="88"/>
  <c r="P48" i="88"/>
  <c r="O48" i="88"/>
  <c r="N48" i="88"/>
  <c r="M48" i="88"/>
  <c r="L48" i="88"/>
  <c r="K48" i="88"/>
  <c r="J48" i="88"/>
  <c r="I48" i="88"/>
  <c r="H48" i="88"/>
  <c r="G48" i="88"/>
  <c r="F48" i="88"/>
  <c r="E48" i="88"/>
  <c r="AC54" i="88"/>
  <c r="AG32" i="81" s="1"/>
  <c r="AB54" i="88"/>
  <c r="AF32" i="81" s="1"/>
  <c r="AA54" i="88"/>
  <c r="AE32" i="81" s="1"/>
  <c r="Z54" i="88"/>
  <c r="AD32" i="81" s="1"/>
  <c r="Y54" i="88"/>
  <c r="AC32" i="81" s="1"/>
  <c r="X54" i="88"/>
  <c r="AB32" i="81" s="1"/>
  <c r="W54" i="88"/>
  <c r="AA32" i="81" s="1"/>
  <c r="V54" i="88"/>
  <c r="Z32" i="81" s="1"/>
  <c r="U54" i="88"/>
  <c r="Y32" i="81" s="1"/>
  <c r="R54" i="88"/>
  <c r="V32" i="81" s="1"/>
  <c r="Q54" i="88"/>
  <c r="U32" i="81" s="1"/>
  <c r="P54" i="88"/>
  <c r="T32" i="81" s="1"/>
  <c r="O54" i="88"/>
  <c r="S32" i="81" s="1"/>
  <c r="N54" i="88"/>
  <c r="R32" i="81" s="1"/>
  <c r="M54" i="88"/>
  <c r="Q32" i="81" s="1"/>
  <c r="L54" i="88"/>
  <c r="P32" i="81" s="1"/>
  <c r="K54" i="88"/>
  <c r="O32" i="81" s="1"/>
  <c r="J54" i="88"/>
  <c r="N32" i="81" s="1"/>
  <c r="I54" i="88"/>
  <c r="M32" i="81" s="1"/>
  <c r="G54" i="88"/>
  <c r="K32" i="81" s="1"/>
  <c r="F54" i="88"/>
  <c r="J32" i="81" s="1"/>
  <c r="AC53" i="88"/>
  <c r="AG31" i="81" s="1"/>
  <c r="AB53" i="88"/>
  <c r="AF31" i="81" s="1"/>
  <c r="AA53" i="88"/>
  <c r="AE31" i="81" s="1"/>
  <c r="Z53" i="88"/>
  <c r="AD31" i="81" s="1"/>
  <c r="Y53" i="88"/>
  <c r="AC31" i="81" s="1"/>
  <c r="X53" i="88"/>
  <c r="AB31" i="81" s="1"/>
  <c r="W53" i="88"/>
  <c r="AA31" i="81" s="1"/>
  <c r="V53" i="88"/>
  <c r="Z31" i="81" s="1"/>
  <c r="T53" i="88"/>
  <c r="X31" i="81" s="1"/>
  <c r="S53" i="88"/>
  <c r="W31" i="81" s="1"/>
  <c r="R53" i="88"/>
  <c r="V31" i="81" s="1"/>
  <c r="Q53" i="88"/>
  <c r="U31" i="81" s="1"/>
  <c r="P53" i="88"/>
  <c r="T31" i="81" s="1"/>
  <c r="O53" i="88"/>
  <c r="S31" i="81" s="1"/>
  <c r="N53" i="88"/>
  <c r="R31" i="81" s="1"/>
  <c r="M53" i="88"/>
  <c r="Q31" i="81" s="1"/>
  <c r="L53" i="88"/>
  <c r="P31" i="81" s="1"/>
  <c r="K53" i="88"/>
  <c r="O31" i="81" s="1"/>
  <c r="J53" i="88"/>
  <c r="N31" i="81" s="1"/>
  <c r="G53" i="88"/>
  <c r="K31" i="81" s="1"/>
  <c r="F53" i="88"/>
  <c r="J31" i="81" s="1"/>
  <c r="E53" i="88"/>
  <c r="I31" i="81" s="1"/>
  <c r="AA52" i="88"/>
  <c r="AE30" i="81" s="1"/>
  <c r="Z52" i="88"/>
  <c r="AD30" i="81" s="1"/>
  <c r="Y52" i="88"/>
  <c r="AC30" i="81" s="1"/>
  <c r="X52" i="88"/>
  <c r="AB30" i="81" s="1"/>
  <c r="W52" i="88"/>
  <c r="AA30" i="81" s="1"/>
  <c r="U52" i="88"/>
  <c r="Y30" i="81" s="1"/>
  <c r="T52" i="88"/>
  <c r="X30" i="81" s="1"/>
  <c r="S52" i="88"/>
  <c r="W30" i="81" s="1"/>
  <c r="R52" i="88"/>
  <c r="V30" i="81" s="1"/>
  <c r="Q52" i="88"/>
  <c r="U30" i="81" s="1"/>
  <c r="P52" i="88"/>
  <c r="T30" i="81" s="1"/>
  <c r="O52" i="88"/>
  <c r="S30" i="81" s="1"/>
  <c r="N52" i="88"/>
  <c r="R30" i="81" s="1"/>
  <c r="M52" i="88"/>
  <c r="Q30" i="81" s="1"/>
  <c r="L52" i="88"/>
  <c r="P30" i="81" s="1"/>
  <c r="K52" i="88"/>
  <c r="O30" i="81" s="1"/>
  <c r="J52" i="88"/>
  <c r="N30" i="81" s="1"/>
  <c r="I52" i="88"/>
  <c r="M30" i="81" s="1"/>
  <c r="H52" i="88"/>
  <c r="L30" i="81" s="1"/>
  <c r="G52" i="88"/>
  <c r="K30" i="81" s="1"/>
  <c r="F52" i="88"/>
  <c r="J30" i="81" s="1"/>
  <c r="AC51" i="88"/>
  <c r="AG28" i="81" s="1"/>
  <c r="AB51" i="88"/>
  <c r="AF28" i="81" s="1"/>
  <c r="AA51" i="88"/>
  <c r="AE28" i="81" s="1"/>
  <c r="Z51" i="88"/>
  <c r="AD28" i="81" s="1"/>
  <c r="Y51" i="88"/>
  <c r="AC28" i="81" s="1"/>
  <c r="X51" i="88"/>
  <c r="AB28" i="81" s="1"/>
  <c r="W51" i="88"/>
  <c r="AA28" i="81" s="1"/>
  <c r="V51" i="88"/>
  <c r="Z28" i="81" s="1"/>
  <c r="U51" i="88"/>
  <c r="Y28" i="81" s="1"/>
  <c r="T51" i="88"/>
  <c r="X28" i="81" s="1"/>
  <c r="S51" i="88"/>
  <c r="W28" i="81" s="1"/>
  <c r="J51" i="88"/>
  <c r="N28" i="81" s="1"/>
  <c r="F35" i="88"/>
  <c r="G35" i="88" s="1"/>
  <c r="H35" i="88" s="1"/>
  <c r="I35" i="88" s="1"/>
  <c r="J35" i="88" s="1"/>
  <c r="K35" i="88" s="1"/>
  <c r="L35" i="88" s="1"/>
  <c r="M35" i="88" s="1"/>
  <c r="N35" i="88" s="1"/>
  <c r="O35" i="88" s="1"/>
  <c r="P35" i="88" s="1"/>
  <c r="Q35" i="88" s="1"/>
  <c r="R35" i="88" s="1"/>
  <c r="S35" i="88" s="1"/>
  <c r="T35" i="88" s="1"/>
  <c r="U35" i="88" s="1"/>
  <c r="V35" i="88" s="1"/>
  <c r="W35" i="88" s="1"/>
  <c r="X35" i="88" s="1"/>
  <c r="Y35" i="88" s="1"/>
  <c r="Z35" i="88" s="1"/>
  <c r="AA35" i="88" s="1"/>
  <c r="AB35" i="88" s="1"/>
  <c r="AC35" i="88" s="1"/>
  <c r="AA29" i="88"/>
  <c r="AE32" i="68" s="1"/>
  <c r="I29" i="88"/>
  <c r="M32" i="68" s="1"/>
  <c r="G29" i="88"/>
  <c r="K32" i="68" s="1"/>
  <c r="AA28" i="88"/>
  <c r="AE31" i="68" s="1"/>
  <c r="Z28" i="88"/>
  <c r="AD31" i="68" s="1"/>
  <c r="Y28" i="88"/>
  <c r="AC31" i="68" s="1"/>
  <c r="X28" i="88"/>
  <c r="AB31" i="68" s="1"/>
  <c r="W28" i="88"/>
  <c r="AA31" i="68" s="1"/>
  <c r="I28" i="88"/>
  <c r="M31" i="68" s="1"/>
  <c r="G28" i="88"/>
  <c r="K31" i="68" s="1"/>
  <c r="Q27" i="88"/>
  <c r="U30" i="68" s="1"/>
  <c r="AC23" i="88"/>
  <c r="AB23" i="88"/>
  <c r="AA23" i="88"/>
  <c r="Z23" i="88"/>
  <c r="Y23" i="88"/>
  <c r="X23" i="88"/>
  <c r="W23" i="88"/>
  <c r="V23" i="88"/>
  <c r="U23" i="88"/>
  <c r="T23" i="88"/>
  <c r="S23" i="88"/>
  <c r="R23" i="88"/>
  <c r="Q23" i="88"/>
  <c r="P23" i="88"/>
  <c r="O23" i="88"/>
  <c r="N23" i="88"/>
  <c r="M23" i="88"/>
  <c r="L23" i="88"/>
  <c r="K23" i="88"/>
  <c r="J23" i="88"/>
  <c r="I23" i="88"/>
  <c r="H23" i="88"/>
  <c r="G23" i="88"/>
  <c r="F23" i="88"/>
  <c r="E23" i="88"/>
  <c r="AC29" i="88"/>
  <c r="AG32" i="68" s="1"/>
  <c r="AB29" i="88"/>
  <c r="AF32" i="68" s="1"/>
  <c r="Z29" i="88"/>
  <c r="AD32" i="68" s="1"/>
  <c r="Y29" i="88"/>
  <c r="AC32" i="68" s="1"/>
  <c r="X29" i="88"/>
  <c r="AB32" i="68" s="1"/>
  <c r="W29" i="88"/>
  <c r="AA32" i="68" s="1"/>
  <c r="V29" i="88"/>
  <c r="Z32" i="68" s="1"/>
  <c r="U29" i="88"/>
  <c r="Y32" i="68" s="1"/>
  <c r="T29" i="88"/>
  <c r="X32" i="68" s="1"/>
  <c r="S29" i="88"/>
  <c r="W32" i="68" s="1"/>
  <c r="R29" i="88"/>
  <c r="V32" i="68" s="1"/>
  <c r="Q29" i="88"/>
  <c r="U32" i="68" s="1"/>
  <c r="P29" i="88"/>
  <c r="T32" i="68" s="1"/>
  <c r="O29" i="88"/>
  <c r="S32" i="68" s="1"/>
  <c r="J79" i="88"/>
  <c r="N32" i="72" s="1"/>
  <c r="I79" i="88"/>
  <c r="M32" i="72" s="1"/>
  <c r="H79" i="88"/>
  <c r="L32" i="72" s="1"/>
  <c r="G79" i="88"/>
  <c r="K32" i="72" s="1"/>
  <c r="F29" i="88"/>
  <c r="J32" i="68" s="1"/>
  <c r="E79" i="88"/>
  <c r="I32" i="72" s="1"/>
  <c r="AC28" i="88"/>
  <c r="AG31" i="68" s="1"/>
  <c r="AB28" i="88"/>
  <c r="AF31" i="68" s="1"/>
  <c r="V28" i="88"/>
  <c r="Z31" i="68" s="1"/>
  <c r="U28" i="88"/>
  <c r="Y31" i="68" s="1"/>
  <c r="T28" i="88"/>
  <c r="X31" i="68" s="1"/>
  <c r="S28" i="88"/>
  <c r="W31" i="68" s="1"/>
  <c r="R28" i="88"/>
  <c r="V31" i="68" s="1"/>
  <c r="Q28" i="88"/>
  <c r="U31" i="68" s="1"/>
  <c r="P28" i="88"/>
  <c r="T31" i="68" s="1"/>
  <c r="O28" i="88"/>
  <c r="S31" i="68" s="1"/>
  <c r="N78" i="88"/>
  <c r="R31" i="72" s="1"/>
  <c r="M28" i="88"/>
  <c r="Q31" i="68" s="1"/>
  <c r="L78" i="88"/>
  <c r="P31" i="72" s="1"/>
  <c r="K28" i="88"/>
  <c r="O31" i="68" s="1"/>
  <c r="J28" i="88"/>
  <c r="N31" i="68" s="1"/>
  <c r="G78" i="88"/>
  <c r="K31" i="72" s="1"/>
  <c r="F28" i="88"/>
  <c r="J31" i="68" s="1"/>
  <c r="AC27" i="88"/>
  <c r="AG30" i="68" s="1"/>
  <c r="AB27" i="88"/>
  <c r="AF30" i="68" s="1"/>
  <c r="AA27" i="88"/>
  <c r="AE30" i="68" s="1"/>
  <c r="Z27" i="88"/>
  <c r="AD30" i="68" s="1"/>
  <c r="Y27" i="88"/>
  <c r="AC30" i="68" s="1"/>
  <c r="X27" i="88"/>
  <c r="AB30" i="68" s="1"/>
  <c r="W27" i="88"/>
  <c r="AA30" i="68" s="1"/>
  <c r="V27" i="88"/>
  <c r="Z30" i="68" s="1"/>
  <c r="U27" i="88"/>
  <c r="Y30" i="68" s="1"/>
  <c r="T27" i="88"/>
  <c r="X30" i="68" s="1"/>
  <c r="S27" i="88"/>
  <c r="W30" i="68" s="1"/>
  <c r="R27" i="88"/>
  <c r="V30" i="68" s="1"/>
  <c r="O27" i="88"/>
  <c r="S30" i="68" s="1"/>
  <c r="N77" i="88"/>
  <c r="R30" i="72" s="1"/>
  <c r="L77" i="88"/>
  <c r="P30" i="72" s="1"/>
  <c r="K77" i="88"/>
  <c r="O30" i="72" s="1"/>
  <c r="J77" i="88"/>
  <c r="N30" i="72" s="1"/>
  <c r="I77" i="88"/>
  <c r="M30" i="72" s="1"/>
  <c r="H77" i="88"/>
  <c r="L30" i="72" s="1"/>
  <c r="AC26" i="88"/>
  <c r="AA26" i="88"/>
  <c r="AE28" i="68" s="1"/>
  <c r="Z26" i="88"/>
  <c r="AD28" i="68" s="1"/>
  <c r="Y26" i="88"/>
  <c r="AC28" i="68" s="1"/>
  <c r="X26" i="88"/>
  <c r="AB28" i="68" s="1"/>
  <c r="V26" i="88"/>
  <c r="Z28" i="68" s="1"/>
  <c r="U26" i="88"/>
  <c r="Y28" i="68" s="1"/>
  <c r="T26" i="88"/>
  <c r="X28" i="68" s="1"/>
  <c r="S26" i="88"/>
  <c r="W28" i="68" s="1"/>
  <c r="R26" i="88"/>
  <c r="V28" i="68" s="1"/>
  <c r="Q26" i="88"/>
  <c r="U28" i="68" s="1"/>
  <c r="P26" i="88"/>
  <c r="T28" i="68" s="1"/>
  <c r="O26" i="88"/>
  <c r="S28" i="68" s="1"/>
  <c r="J26" i="88"/>
  <c r="N28" i="68" s="1"/>
  <c r="E76" i="88"/>
  <c r="I28" i="72" s="1"/>
  <c r="F10" i="88"/>
  <c r="G10" i="88" s="1"/>
  <c r="H10" i="88" s="1"/>
  <c r="I10" i="88" s="1"/>
  <c r="J10" i="88" s="1"/>
  <c r="K10" i="88" s="1"/>
  <c r="L10" i="88" s="1"/>
  <c r="M10" i="88" s="1"/>
  <c r="N10" i="88" s="1"/>
  <c r="O10" i="88" s="1"/>
  <c r="P10" i="88" s="1"/>
  <c r="Q10" i="88" s="1"/>
  <c r="R10" i="88" s="1"/>
  <c r="S10" i="88" s="1"/>
  <c r="T10" i="88" s="1"/>
  <c r="U10" i="88" s="1"/>
  <c r="V10" i="88" s="1"/>
  <c r="W10" i="88" s="1"/>
  <c r="X10" i="88" s="1"/>
  <c r="Y10" i="88" s="1"/>
  <c r="Z10" i="88" s="1"/>
  <c r="AA10" i="88" s="1"/>
  <c r="AB10" i="88" s="1"/>
  <c r="AC10" i="88" s="1"/>
  <c r="A2" i="88"/>
  <c r="A1" i="88"/>
  <c r="T46" i="87"/>
  <c r="X54" i="72" s="1"/>
  <c r="S46" i="87"/>
  <c r="W54" i="72" s="1"/>
  <c r="AA46" i="87"/>
  <c r="AE54" i="72" s="1"/>
  <c r="Z46" i="87"/>
  <c r="AD54" i="72" s="1"/>
  <c r="Y46" i="87"/>
  <c r="AC54" i="72" s="1"/>
  <c r="X46" i="87"/>
  <c r="AB54" i="72" s="1"/>
  <c r="W46" i="87"/>
  <c r="AA54" i="72" s="1"/>
  <c r="V46" i="87"/>
  <c r="Z54" i="72" s="1"/>
  <c r="N46" i="87"/>
  <c r="R54" i="72" s="1"/>
  <c r="J46" i="87"/>
  <c r="N54" i="72" s="1"/>
  <c r="F46" i="87"/>
  <c r="J54" i="72" s="1"/>
  <c r="E46" i="87"/>
  <c r="I54" i="72" s="1"/>
  <c r="F42" i="87"/>
  <c r="G42" i="87" s="1"/>
  <c r="H42" i="87" s="1"/>
  <c r="I42" i="87" s="1"/>
  <c r="J42" i="87" s="1"/>
  <c r="K42" i="87" s="1"/>
  <c r="L42" i="87" s="1"/>
  <c r="M42" i="87" s="1"/>
  <c r="N42" i="87" s="1"/>
  <c r="O42" i="87" s="1"/>
  <c r="P42" i="87" s="1"/>
  <c r="Q42" i="87" s="1"/>
  <c r="R42" i="87" s="1"/>
  <c r="S42" i="87" s="1"/>
  <c r="T42" i="87" s="1"/>
  <c r="U42" i="87" s="1"/>
  <c r="V42" i="87" s="1"/>
  <c r="W42" i="87" s="1"/>
  <c r="X42" i="87" s="1"/>
  <c r="Y42" i="87" s="1"/>
  <c r="Z42" i="87" s="1"/>
  <c r="AA42" i="87" s="1"/>
  <c r="AB42" i="87" s="1"/>
  <c r="AC42" i="87" s="1"/>
  <c r="AC40" i="87"/>
  <c r="AB40" i="87"/>
  <c r="AA40" i="87"/>
  <c r="Z40" i="87"/>
  <c r="Y40" i="87"/>
  <c r="X40" i="87"/>
  <c r="W40" i="87"/>
  <c r="V40" i="87"/>
  <c r="U40" i="87"/>
  <c r="T40" i="87"/>
  <c r="S40" i="87"/>
  <c r="R40" i="87"/>
  <c r="Q40" i="87"/>
  <c r="P40" i="87"/>
  <c r="O40" i="87"/>
  <c r="K40" i="87"/>
  <c r="J40" i="87"/>
  <c r="F40" i="87"/>
  <c r="E40" i="87"/>
  <c r="F37" i="87"/>
  <c r="G37" i="87" s="1"/>
  <c r="H37" i="87" s="1"/>
  <c r="I37" i="87" s="1"/>
  <c r="J37" i="87" s="1"/>
  <c r="K37" i="87" s="1"/>
  <c r="L37" i="87" s="1"/>
  <c r="M37" i="87" s="1"/>
  <c r="N37" i="87" s="1"/>
  <c r="O37" i="87" s="1"/>
  <c r="P37" i="87" s="1"/>
  <c r="Q37" i="87" s="1"/>
  <c r="R37" i="87" s="1"/>
  <c r="S37" i="87" s="1"/>
  <c r="T37" i="87" s="1"/>
  <c r="U37" i="87" s="1"/>
  <c r="V37" i="87" s="1"/>
  <c r="W37" i="87" s="1"/>
  <c r="X37" i="87" s="1"/>
  <c r="Y37" i="87" s="1"/>
  <c r="Z37" i="87" s="1"/>
  <c r="AA37" i="87" s="1"/>
  <c r="AB37" i="87" s="1"/>
  <c r="AC37" i="87" s="1"/>
  <c r="AA30" i="87"/>
  <c r="AE54" i="81" s="1"/>
  <c r="Z30" i="87"/>
  <c r="AD54" i="81" s="1"/>
  <c r="Y30" i="87"/>
  <c r="AC54" i="81" s="1"/>
  <c r="X30" i="87"/>
  <c r="AB54" i="81" s="1"/>
  <c r="T30" i="87"/>
  <c r="X54" i="81" s="1"/>
  <c r="S30" i="87"/>
  <c r="W54" i="81" s="1"/>
  <c r="R30" i="87"/>
  <c r="V54" i="81" s="1"/>
  <c r="Q30" i="87"/>
  <c r="U54" i="81" s="1"/>
  <c r="P30" i="87"/>
  <c r="T54" i="81" s="1"/>
  <c r="N30" i="87"/>
  <c r="R54" i="81" s="1"/>
  <c r="J30" i="87"/>
  <c r="N54" i="81" s="1"/>
  <c r="H30" i="87"/>
  <c r="L54" i="81" s="1"/>
  <c r="G30" i="87"/>
  <c r="K54" i="81" s="1"/>
  <c r="E30" i="87"/>
  <c r="I54" i="81" s="1"/>
  <c r="AB46" i="87"/>
  <c r="AF54" i="72" s="1"/>
  <c r="W30" i="87"/>
  <c r="AA54" i="81" s="1"/>
  <c r="V30" i="87"/>
  <c r="Z54" i="81" s="1"/>
  <c r="U30" i="87"/>
  <c r="Y54" i="81" s="1"/>
  <c r="R46" i="87"/>
  <c r="V54" i="72" s="1"/>
  <c r="Q46" i="87"/>
  <c r="U54" i="72" s="1"/>
  <c r="P46" i="87"/>
  <c r="T54" i="72" s="1"/>
  <c r="O30" i="87"/>
  <c r="S54" i="81" s="1"/>
  <c r="I46" i="87"/>
  <c r="M54" i="72" s="1"/>
  <c r="H46" i="87"/>
  <c r="L54" i="72" s="1"/>
  <c r="F30" i="87"/>
  <c r="J54" i="81" s="1"/>
  <c r="F26" i="87"/>
  <c r="G26" i="87" s="1"/>
  <c r="H26" i="87" s="1"/>
  <c r="I26" i="87" s="1"/>
  <c r="J26" i="87" s="1"/>
  <c r="K26" i="87" s="1"/>
  <c r="L26" i="87" s="1"/>
  <c r="M26" i="87" s="1"/>
  <c r="N26" i="87" s="1"/>
  <c r="O26" i="87" s="1"/>
  <c r="P26" i="87" s="1"/>
  <c r="Q26" i="87" s="1"/>
  <c r="R26" i="87" s="1"/>
  <c r="S26" i="87" s="1"/>
  <c r="T26" i="87" s="1"/>
  <c r="U26" i="87" s="1"/>
  <c r="V26" i="87" s="1"/>
  <c r="W26" i="87" s="1"/>
  <c r="X26" i="87" s="1"/>
  <c r="Y26" i="87" s="1"/>
  <c r="Z26" i="87" s="1"/>
  <c r="AA26" i="87" s="1"/>
  <c r="AB26" i="87" s="1"/>
  <c r="AC26" i="87" s="1"/>
  <c r="AC24" i="87"/>
  <c r="AB24" i="87"/>
  <c r="AA24" i="87"/>
  <c r="Z24" i="87"/>
  <c r="Y24" i="87"/>
  <c r="X24" i="87"/>
  <c r="W24" i="87"/>
  <c r="V24" i="87"/>
  <c r="U24" i="87"/>
  <c r="T24" i="87"/>
  <c r="S24" i="87"/>
  <c r="R24" i="87"/>
  <c r="Q24" i="87"/>
  <c r="P24" i="87"/>
  <c r="O24" i="87"/>
  <c r="N24" i="87"/>
  <c r="M24" i="87"/>
  <c r="L24" i="87"/>
  <c r="K24" i="87"/>
  <c r="J24" i="87"/>
  <c r="F24" i="87"/>
  <c r="E24" i="87"/>
  <c r="F21" i="87"/>
  <c r="G21" i="87" s="1"/>
  <c r="H21" i="87" s="1"/>
  <c r="I21" i="87" s="1"/>
  <c r="J21" i="87" s="1"/>
  <c r="K21" i="87" s="1"/>
  <c r="L21" i="87" s="1"/>
  <c r="M21" i="87" s="1"/>
  <c r="N21" i="87" s="1"/>
  <c r="O21" i="87" s="1"/>
  <c r="P21" i="87" s="1"/>
  <c r="Q21" i="87" s="1"/>
  <c r="R21" i="87" s="1"/>
  <c r="S21" i="87" s="1"/>
  <c r="T21" i="87" s="1"/>
  <c r="U21" i="87" s="1"/>
  <c r="V21" i="87" s="1"/>
  <c r="W21" i="87" s="1"/>
  <c r="X21" i="87" s="1"/>
  <c r="Y21" i="87" s="1"/>
  <c r="Z21" i="87" s="1"/>
  <c r="AA21" i="87" s="1"/>
  <c r="AB21" i="87" s="1"/>
  <c r="AC21" i="87" s="1"/>
  <c r="M15" i="81"/>
  <c r="AC15" i="87"/>
  <c r="AB15" i="87"/>
  <c r="AA15" i="87"/>
  <c r="Z15" i="87"/>
  <c r="Y15" i="87"/>
  <c r="X15" i="87"/>
  <c r="W15" i="87"/>
  <c r="V15" i="87"/>
  <c r="U15" i="87"/>
  <c r="T15" i="87"/>
  <c r="S15" i="87"/>
  <c r="R15" i="87"/>
  <c r="Q15" i="87"/>
  <c r="P15" i="87"/>
  <c r="O15" i="87"/>
  <c r="N15" i="87"/>
  <c r="M15" i="87"/>
  <c r="L15" i="87"/>
  <c r="K15" i="87"/>
  <c r="J15" i="87"/>
  <c r="I15" i="87"/>
  <c r="H15" i="87"/>
  <c r="G15" i="87"/>
  <c r="F15" i="87"/>
  <c r="E15" i="87"/>
  <c r="F11" i="87"/>
  <c r="G11" i="87" s="1"/>
  <c r="H11" i="87" s="1"/>
  <c r="I11" i="87" s="1"/>
  <c r="J11" i="87" s="1"/>
  <c r="K11" i="87" s="1"/>
  <c r="L11" i="87" s="1"/>
  <c r="M11" i="87" s="1"/>
  <c r="N11" i="87" s="1"/>
  <c r="O11" i="87" s="1"/>
  <c r="P11" i="87" s="1"/>
  <c r="Q11" i="87" s="1"/>
  <c r="R11" i="87" s="1"/>
  <c r="S11" i="87" s="1"/>
  <c r="T11" i="87" s="1"/>
  <c r="U11" i="87" s="1"/>
  <c r="V11" i="87" s="1"/>
  <c r="W11" i="87" s="1"/>
  <c r="X11" i="87" s="1"/>
  <c r="Y11" i="87" s="1"/>
  <c r="Z11" i="87" s="1"/>
  <c r="AA11" i="87" s="1"/>
  <c r="AB11" i="87" s="1"/>
  <c r="AC11" i="87" s="1"/>
  <c r="A2" i="87"/>
  <c r="A1" i="87"/>
  <c r="AC28" i="72" l="1"/>
  <c r="Y80" i="88"/>
  <c r="L40" i="87"/>
  <c r="P14" i="72"/>
  <c r="I24" i="87"/>
  <c r="M14" i="81"/>
  <c r="I40" i="87"/>
  <c r="M15" i="72"/>
  <c r="K15" i="81"/>
  <c r="L15" i="81"/>
  <c r="AC30" i="88"/>
  <c r="AG28" i="68"/>
  <c r="AC66" i="88"/>
  <c r="L27" i="88"/>
  <c r="P30" i="68" s="1"/>
  <c r="H27" i="88"/>
  <c r="L30" i="68" s="1"/>
  <c r="I27" i="88"/>
  <c r="M30" i="68" s="1"/>
  <c r="V16" i="88"/>
  <c r="J27" i="88"/>
  <c r="N30" i="68" s="1"/>
  <c r="K27" i="88"/>
  <c r="O30" i="68" s="1"/>
  <c r="N27" i="88"/>
  <c r="R30" i="68" s="1"/>
  <c r="K16" i="88"/>
  <c r="K26" i="88"/>
  <c r="O28" i="68" s="1"/>
  <c r="F27" i="88"/>
  <c r="F77" i="88"/>
  <c r="J30" i="72" s="1"/>
  <c r="Q66" i="88"/>
  <c r="L16" i="88"/>
  <c r="L26" i="88"/>
  <c r="P28" i="68" s="1"/>
  <c r="G16" i="88"/>
  <c r="G77" i="88"/>
  <c r="K30" i="72" s="1"/>
  <c r="AA30" i="88"/>
  <c r="J41" i="88"/>
  <c r="M76" i="88"/>
  <c r="Q28" i="72" s="1"/>
  <c r="M26" i="88"/>
  <c r="Q28" i="68" s="1"/>
  <c r="L28" i="88"/>
  <c r="P31" i="68" s="1"/>
  <c r="N76" i="88"/>
  <c r="N26" i="88"/>
  <c r="N28" i="88"/>
  <c r="R31" i="68" s="1"/>
  <c r="E28" i="88"/>
  <c r="I31" i="68" s="1"/>
  <c r="E78" i="88"/>
  <c r="I31" i="72" s="1"/>
  <c r="O51" i="88"/>
  <c r="O41" i="88"/>
  <c r="F26" i="88"/>
  <c r="J28" i="68" s="1"/>
  <c r="K29" i="88"/>
  <c r="O32" i="68" s="1"/>
  <c r="K79" i="88"/>
  <c r="O32" i="72" s="1"/>
  <c r="M79" i="88"/>
  <c r="Q32" i="72" s="1"/>
  <c r="M29" i="88"/>
  <c r="Q32" i="68" s="1"/>
  <c r="N79" i="88"/>
  <c r="R32" i="72" s="1"/>
  <c r="N29" i="88"/>
  <c r="R32" i="68" s="1"/>
  <c r="E27" i="88"/>
  <c r="I30" i="68" s="1"/>
  <c r="E52" i="88"/>
  <c r="I30" i="81" s="1"/>
  <c r="E77" i="88"/>
  <c r="I30" i="72" s="1"/>
  <c r="U16" i="88"/>
  <c r="X80" i="88"/>
  <c r="Z55" i="88"/>
  <c r="T41" i="88"/>
  <c r="K51" i="88"/>
  <c r="K41" i="88"/>
  <c r="AA55" i="88"/>
  <c r="L51" i="88"/>
  <c r="L41" i="88"/>
  <c r="AB66" i="88"/>
  <c r="W16" i="88"/>
  <c r="J29" i="88"/>
  <c r="N32" i="68" s="1"/>
  <c r="M51" i="88"/>
  <c r="M41" i="88"/>
  <c r="X66" i="88"/>
  <c r="X16" i="88"/>
  <c r="S30" i="88"/>
  <c r="Y66" i="88"/>
  <c r="AC76" i="88"/>
  <c r="X55" i="88"/>
  <c r="Y41" i="88"/>
  <c r="Q16" i="88"/>
  <c r="F78" i="88"/>
  <c r="J31" i="72" s="1"/>
  <c r="Z41" i="88"/>
  <c r="T30" i="88"/>
  <c r="AA41" i="88"/>
  <c r="U30" i="88"/>
  <c r="P16" i="88"/>
  <c r="J55" i="88"/>
  <c r="S41" i="88"/>
  <c r="J16" i="88"/>
  <c r="O16" i="88"/>
  <c r="N41" i="88"/>
  <c r="AC52" i="88"/>
  <c r="AG30" i="81" s="1"/>
  <c r="AC41" i="88"/>
  <c r="J78" i="88"/>
  <c r="N31" i="72" s="1"/>
  <c r="Y55" i="88"/>
  <c r="Y16" i="88"/>
  <c r="H16" i="88"/>
  <c r="H26" i="88"/>
  <c r="L28" i="68" s="1"/>
  <c r="AB16" i="88"/>
  <c r="AB26" i="88"/>
  <c r="V30" i="88"/>
  <c r="S16" i="88"/>
  <c r="W26" i="88"/>
  <c r="O66" i="88"/>
  <c r="AB30" i="87"/>
  <c r="AF54" i="81" s="1"/>
  <c r="T16" i="88"/>
  <c r="X30" i="88"/>
  <c r="P66" i="88"/>
  <c r="M78" i="88"/>
  <c r="Q31" i="72" s="1"/>
  <c r="E29" i="88"/>
  <c r="I32" i="68" s="1"/>
  <c r="E54" i="88"/>
  <c r="I32" i="81" s="1"/>
  <c r="M46" i="87"/>
  <c r="Q54" i="72" s="1"/>
  <c r="M30" i="87"/>
  <c r="Q54" i="81" s="1"/>
  <c r="AA66" i="88"/>
  <c r="AA77" i="88"/>
  <c r="O30" i="88"/>
  <c r="R16" i="88"/>
  <c r="Y30" i="88"/>
  <c r="T54" i="88"/>
  <c r="S76" i="88"/>
  <c r="S66" i="88"/>
  <c r="U66" i="88"/>
  <c r="O77" i="88"/>
  <c r="S30" i="72" s="1"/>
  <c r="Z66" i="88"/>
  <c r="Z77" i="88"/>
  <c r="S54" i="88"/>
  <c r="R76" i="88"/>
  <c r="R66" i="88"/>
  <c r="N51" i="88"/>
  <c r="T66" i="88"/>
  <c r="T76" i="88"/>
  <c r="P77" i="88"/>
  <c r="T30" i="72" s="1"/>
  <c r="U46" i="87"/>
  <c r="Y54" i="72" s="1"/>
  <c r="V66" i="88"/>
  <c r="V76" i="88"/>
  <c r="L46" i="87"/>
  <c r="P54" i="72" s="1"/>
  <c r="L30" i="87"/>
  <c r="P54" i="81" s="1"/>
  <c r="H54" i="88"/>
  <c r="L32" i="81" s="1"/>
  <c r="H29" i="88"/>
  <c r="L32" i="68" s="1"/>
  <c r="U53" i="88"/>
  <c r="U41" i="88"/>
  <c r="Z30" i="88"/>
  <c r="I26" i="88"/>
  <c r="I16" i="88"/>
  <c r="AB52" i="88"/>
  <c r="AB41" i="88"/>
  <c r="AC30" i="87"/>
  <c r="AG54" i="81" s="1"/>
  <c r="AC46" i="87"/>
  <c r="AG54" i="72" s="1"/>
  <c r="AC16" i="88"/>
  <c r="U80" i="88"/>
  <c r="Q77" i="88"/>
  <c r="R30" i="88"/>
  <c r="M27" i="88"/>
  <c r="Q30" i="68" s="1"/>
  <c r="M16" i="88"/>
  <c r="H28" i="88"/>
  <c r="L31" i="68" s="1"/>
  <c r="H78" i="88"/>
  <c r="L31" i="72" s="1"/>
  <c r="H53" i="88"/>
  <c r="L31" i="81" s="1"/>
  <c r="K46" i="87"/>
  <c r="O54" i="72" s="1"/>
  <c r="K30" i="87"/>
  <c r="O54" i="81" s="1"/>
  <c r="I53" i="88"/>
  <c r="M31" i="81" s="1"/>
  <c r="I78" i="88"/>
  <c r="M31" i="72" s="1"/>
  <c r="W66" i="88"/>
  <c r="W76" i="88"/>
  <c r="P41" i="88"/>
  <c r="P51" i="88"/>
  <c r="Q30" i="88"/>
  <c r="Q41" i="88"/>
  <c r="Q51" i="88"/>
  <c r="R41" i="88"/>
  <c r="R51" i="88"/>
  <c r="Z16" i="88"/>
  <c r="X41" i="88"/>
  <c r="G26" i="88"/>
  <c r="K28" i="68" s="1"/>
  <c r="L29" i="88"/>
  <c r="L79" i="88"/>
  <c r="P32" i="72" s="1"/>
  <c r="AA16" i="88"/>
  <c r="E16" i="88"/>
  <c r="W41" i="88"/>
  <c r="F16" i="88"/>
  <c r="I30" i="87"/>
  <c r="M54" i="81" s="1"/>
  <c r="O46" i="87"/>
  <c r="S54" i="72" s="1"/>
  <c r="E26" i="88"/>
  <c r="V41" i="88"/>
  <c r="G27" i="88"/>
  <c r="K30" i="68" s="1"/>
  <c r="W55" i="88"/>
  <c r="G46" i="87"/>
  <c r="K54" i="72" s="1"/>
  <c r="N16" i="88"/>
  <c r="P27" i="88"/>
  <c r="T30" i="68" s="1"/>
  <c r="V52" i="88"/>
  <c r="Z30" i="81" s="1"/>
  <c r="AB77" i="88"/>
  <c r="AF30" i="72" s="1"/>
  <c r="P80" i="88" l="1"/>
  <c r="O80" i="88"/>
  <c r="AC55" i="88"/>
  <c r="H24" i="87"/>
  <c r="L14" i="81"/>
  <c r="G40" i="87"/>
  <c r="K15" i="72"/>
  <c r="H40" i="87"/>
  <c r="L15" i="72"/>
  <c r="G24" i="87"/>
  <c r="K14" i="81"/>
  <c r="M40" i="87"/>
  <c r="Q14" i="72"/>
  <c r="N40" i="87"/>
  <c r="R14" i="72"/>
  <c r="AB55" i="88"/>
  <c r="AF30" i="81"/>
  <c r="S55" i="88"/>
  <c r="W32" i="81"/>
  <c r="AB30" i="88"/>
  <c r="AF28" i="68"/>
  <c r="K55" i="88"/>
  <c r="O28" i="81"/>
  <c r="K30" i="88"/>
  <c r="E80" i="88"/>
  <c r="Z80" i="88"/>
  <c r="AD30" i="72"/>
  <c r="N30" i="88"/>
  <c r="R28" i="68"/>
  <c r="E30" i="88"/>
  <c r="I28" i="68"/>
  <c r="V80" i="88"/>
  <c r="Z28" i="72"/>
  <c r="R55" i="88"/>
  <c r="V28" i="81"/>
  <c r="Q80" i="88"/>
  <c r="U30" i="72"/>
  <c r="T55" i="88"/>
  <c r="X32" i="81"/>
  <c r="AB80" i="88"/>
  <c r="M55" i="88"/>
  <c r="Q28" i="81"/>
  <c r="W80" i="88"/>
  <c r="AA28" i="72"/>
  <c r="W30" i="88"/>
  <c r="AA28" i="68"/>
  <c r="I30" i="88"/>
  <c r="M28" i="68"/>
  <c r="R80" i="88"/>
  <c r="V28" i="72"/>
  <c r="L55" i="88"/>
  <c r="P28" i="81"/>
  <c r="O55" i="88"/>
  <c r="S28" i="81"/>
  <c r="P30" i="88"/>
  <c r="F30" i="88"/>
  <c r="J30" i="68"/>
  <c r="L30" i="88"/>
  <c r="P32" i="68"/>
  <c r="U55" i="88"/>
  <c r="Y31" i="81"/>
  <c r="AA80" i="88"/>
  <c r="AE30" i="72"/>
  <c r="V55" i="88"/>
  <c r="AC80" i="88"/>
  <c r="AG28" i="72"/>
  <c r="J30" i="88"/>
  <c r="N80" i="88"/>
  <c r="R28" i="72"/>
  <c r="S80" i="88"/>
  <c r="W28" i="72"/>
  <c r="Q55" i="88"/>
  <c r="U28" i="81"/>
  <c r="T80" i="88"/>
  <c r="X28" i="72"/>
  <c r="P55" i="88"/>
  <c r="T28" i="81"/>
  <c r="N55" i="88"/>
  <c r="R28" i="81"/>
  <c r="N66" i="88"/>
  <c r="E66" i="88"/>
  <c r="F76" i="88"/>
  <c r="F66" i="88"/>
  <c r="G30" i="88"/>
  <c r="M30" i="88"/>
  <c r="K66" i="88"/>
  <c r="K76" i="88"/>
  <c r="L76" i="88"/>
  <c r="L66" i="88"/>
  <c r="M77" i="88"/>
  <c r="M66" i="88"/>
  <c r="H30" i="88"/>
  <c r="H66" i="88"/>
  <c r="H76" i="88"/>
  <c r="H51" i="88"/>
  <c r="H41" i="88"/>
  <c r="I41" i="88"/>
  <c r="I51" i="88"/>
  <c r="F51" i="88"/>
  <c r="F41" i="88"/>
  <c r="J76" i="88"/>
  <c r="J66" i="88"/>
  <c r="I66" i="88"/>
  <c r="I76" i="88"/>
  <c r="G66" i="88"/>
  <c r="G76" i="88"/>
  <c r="E41" i="88"/>
  <c r="E51" i="88"/>
  <c r="G51" i="88"/>
  <c r="G41" i="88"/>
  <c r="H80" i="88" l="1"/>
  <c r="L28" i="72"/>
  <c r="M80" i="88"/>
  <c r="Q30" i="72"/>
  <c r="I80" i="88"/>
  <c r="M28" i="72"/>
  <c r="J80" i="88"/>
  <c r="N28" i="72"/>
  <c r="F55" i="88"/>
  <c r="J28" i="81"/>
  <c r="G55" i="88"/>
  <c r="K28" i="81"/>
  <c r="L80" i="88"/>
  <c r="P28" i="72"/>
  <c r="K80" i="88"/>
  <c r="O28" i="72"/>
  <c r="E55" i="88"/>
  <c r="I28" i="81"/>
  <c r="G80" i="88"/>
  <c r="K28" i="72"/>
  <c r="F80" i="88"/>
  <c r="J28" i="72"/>
  <c r="I55" i="88"/>
  <c r="M28" i="81"/>
  <c r="H55" i="88"/>
  <c r="L28" i="81"/>
  <c r="A40" i="86" l="1"/>
  <c r="I9" i="68" l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F93" i="85"/>
  <c r="F91" i="85"/>
  <c r="F90" i="85"/>
  <c r="G93" i="85"/>
  <c r="G94" i="85"/>
  <c r="G92" i="85"/>
  <c r="D98" i="85"/>
  <c r="G90" i="85"/>
  <c r="F98" i="85"/>
  <c r="I75" i="33" s="1"/>
  <c r="F95" i="85"/>
  <c r="F92" i="85"/>
  <c r="E98" i="85"/>
  <c r="D96" i="85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E80" i="68" l="1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K22" i="75" s="1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99" i="75"/>
  <c r="J99" i="75"/>
  <c r="AD99" i="75"/>
  <c r="K99" i="75"/>
  <c r="L99" i="75"/>
  <c r="I99" i="75"/>
  <c r="N99" i="75"/>
  <c r="M99" i="75"/>
  <c r="P99" i="75"/>
  <c r="Q99" i="75"/>
  <c r="R99" i="75"/>
  <c r="V99" i="75"/>
  <c r="S99" i="75"/>
  <c r="X99" i="75"/>
  <c r="AB99" i="75"/>
  <c r="Y99" i="75"/>
  <c r="T99" i="75"/>
  <c r="U99" i="75"/>
  <c r="Z99" i="75"/>
  <c r="AA99" i="75"/>
  <c r="O99" i="75"/>
  <c r="W99" i="75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V22" i="75"/>
  <c r="J22" i="75"/>
  <c r="AA22" i="75" l="1"/>
  <c r="U22" i="75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4" i="72" l="1" a="1"/>
  <c r="P114" i="72" s="1"/>
  <c r="P115" i="8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I11" i="33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72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H72" i="33" s="1"/>
  <c r="E90" i="85"/>
  <c r="H67" i="33" s="1"/>
  <c r="E92" i="85"/>
  <c r="H69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<sst xmlns="http://schemas.openxmlformats.org/spreadsheetml/2006/main" count="977" uniqueCount="322">
  <si>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</si>
  <si>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</si>
  <si>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</si>
  <si>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</si>
  <si>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</si>
  <si>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</si>
  <si>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</si>
  <si>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</si>
  <si>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</si>
  <si>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</si>
  <si>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</si>
  <si>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</si>
  <si>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</si>
  <si>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</si>
  <si>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</si>
  <si>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</si>
  <si>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</si>
  <si>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</si>
  <si>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</si>
  <si>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</si>
  <si>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</si>
  <si>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</si>
  <si>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</si>
  <si>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</si>
  <si>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</si>
  <si>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</si>
  <si>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</si>
  <si>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</si>
  <si>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</si>
  <si>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</si>
  <si>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</si>
  <si>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</si>
  <si>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</si>
  <si>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</si>
  <si>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</si>
  <si>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</si>
  <si>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</si>
  <si>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</si>
  <si>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</si>
  <si>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</si>
  <si>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</si>
  <si>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</si>
  <si>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</si>
  <si>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</si>
  <si>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</si>
  <si>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</si>
  <si>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</si>
  <si>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</si>
  <si>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</si>
  <si>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</si>
  <si>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</si>
  <si>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</si>
  <si>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</si>
  <si>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</si>
  <si>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</si>
  <si>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</si>
  <si>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</si>
  <si>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</si>
  <si>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</si>
  <si>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</si>
  <si>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</si>
  <si>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</si>
  <si>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</si>
  <si>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</si>
  <si>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</si>
  <si>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</si>
  <si>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</si>
  <si>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</si>
  <si>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</si>
  <si>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</si>
  <si>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</si>
  <si>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</si>
  <si>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</si>
  <si>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</si>
  <si>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</si>
  <si>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</si>
  <si>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</si>
  <si>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</si>
  <si>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</si>
  <si>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</si>
  <si>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</si>
  <si>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</si>
  <si>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</si>
  <si>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</si>
  <si>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</si>
  <si>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</si>
  <si>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</si>
  <si>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</si>
  <si>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</si>
  <si>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</si>
  <si>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</si>
  <si>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</si>
  <si>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</si>
  <si>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</si>
  <si>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</si>
  <si>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</si>
  <si>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</si>
  <si>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</si>
  <si>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</si>
  <si>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</si>
  <si>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</si>
  <si>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</si>
  <si>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</si>
  <si>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</si>
  <si>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</si>
  <si>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</si>
  <si>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</si>
  <si>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</si>
  <si>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</si>
  <si>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</si>
  <si>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</si>
  <si>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</si>
  <si>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</si>
  <si>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</si>
  <si>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</si>
  <si>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</si>
  <si>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</si>
  <si>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</si>
  <si>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</si>
  <si>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</si>
  <si>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</si>
  <si>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</si>
  <si>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</si>
  <si>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</si>
  <si>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</si>
  <si>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</si>
  <si>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</si>
  <si>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</si>
  <si>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</si>
  <si>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</si>
  <si>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</si>
  <si>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</si>
  <si>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</si>
  <si>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</si>
  <si>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</si>
  <si>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</si>
  <si>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N/A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</si>
  <si>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</si>
  <si>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</si>
  <si>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</si>
  <si>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</si>
  <si>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</si>
  <si>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</si>
  <si>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</si>
  <si>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</si>
  <si>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</si>
  <si>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</si>
  <si>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</si>
  <si>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</si>
  <si>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</si>
  <si>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</si>
  <si>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</si>
  <si>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</si>
  <si>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</si>
  <si>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</si>
  <si>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</si>
  <si>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</si>
  <si>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</si>
  <si>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</si>
  <si>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</si>
  <si>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</si>
  <si>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</si>
  <si>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</si>
  <si>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</si>
  <si>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</si>
  <si>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</si>
  <si>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</si>
  <si>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</si>
  <si>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</si>
  <si>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</si>
  <si>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</si>
  <si>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</si>
  <si>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</si>
  <si>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</si>
  <si>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</si>
  <si>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</si>
  <si>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</si>
  <si>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</si>
  <si>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</si>
  <si>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</si>
  <si>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</si>
  <si>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</si>
  <si>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</si>
  <si>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</si>
  <si>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</si>
  <si>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</si>
  <si>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</si>
  <si>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</si>
  <si>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</si>
  <si>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</si>
  <si>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</si>
  <si>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</si>
  <si>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</si>
  <si>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</si>
  <si>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</si>
  <si>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</si>
  <si>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</si>
  <si>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</si>
  <si>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</si>
  <si>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</si>
  <si>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</si>
  <si>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</si>
  <si>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</si>
  <si>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</si>
  <si>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</si>
  <si>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</si>
  <si>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</si>
  <si>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</si>
  <si>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</si>
  <si>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</si>
  <si>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</si>
  <si>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</si>
  <si>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</si>
  <si>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</si>
  <si>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</si>
  <si>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</si>
  <si>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</si>
  <si>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</si>
  <si>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</si>
  <si>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</si>
  <si>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</si>
  <si>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</si>
  <si>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</si>
  <si>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</si>
  <si>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</si>
  <si>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</si>
  <si>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</si>
  <si>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</si>
  <si>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</si>
  <si>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</si>
  <si>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</si>
  <si>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</si>
  <si>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</si>
  <si>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</si>
  <si>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</si>
  <si>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</si>
  <si>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</si>
  <si>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</si>
  <si>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</si>
  <si>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</si>
  <si>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</si>
  <si>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</si>
  <si>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</si>
  <si>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</si>
  <si>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</si>
  <si>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</si>
  <si>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</si>
  <si>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WORKINGS - COSTS</t>
  </si>
  <si>
    <t>Option 1 - continue existing maintenance with no proactive replacement cost</t>
  </si>
  <si>
    <t>SWBD online monitoring annual cost ($)</t>
  </si>
  <si>
    <t>Relay annual maintenance cost ($)</t>
  </si>
  <si>
    <t>Total opex cost ($)</t>
  </si>
  <si>
    <t>SWBD capex profile ($)</t>
  </si>
  <si>
    <t>Relay capex profile ($)</t>
  </si>
  <si>
    <t>Total capex ($)</t>
  </si>
  <si>
    <t>WORKINGS - RISKS</t>
  </si>
  <si>
    <t>SWBD risks</t>
  </si>
  <si>
    <t>Energy at Risk ($)</t>
  </si>
  <si>
    <t>Safety Risk</t>
  </si>
  <si>
    <t>Unplanned Replacement Risk</t>
  </si>
  <si>
    <t>Unplanned Fault Risk</t>
  </si>
  <si>
    <t>Total SWBD risks</t>
  </si>
  <si>
    <t>Relay risks</t>
  </si>
  <si>
    <t>Total relay risks</t>
  </si>
  <si>
    <t>Total SWBD and relay risk</t>
  </si>
  <si>
    <t>Total SWBD and relay risks</t>
  </si>
  <si>
    <t>Energy at Risk ($, Weighted)</t>
  </si>
  <si>
    <t>Input Data - Station Configuration</t>
  </si>
  <si>
    <t>Constants</t>
  </si>
  <si>
    <t>POF METHOD</t>
  </si>
  <si>
    <t>FIXED</t>
  </si>
  <si>
    <t>Modifier (x)</t>
  </si>
  <si>
    <t>Comment</t>
  </si>
  <si>
    <t>Substation:</t>
  </si>
  <si>
    <t>Major Failure CoC</t>
  </si>
  <si>
    <t>PoF (#1)</t>
  </si>
  <si>
    <t>Asset Type</t>
  </si>
  <si>
    <t>Indoor CB</t>
  </si>
  <si>
    <t>Minor Failure CoC</t>
  </si>
  <si>
    <t>PoF (#2)</t>
  </si>
  <si>
    <t>Major Failure CoC - used</t>
  </si>
  <si>
    <t>PoF (#3)</t>
  </si>
  <si>
    <t>Load Profile (PoE)</t>
  </si>
  <si>
    <t>Minor Failure CoC - used</t>
  </si>
  <si>
    <t>PoF (#4)</t>
  </si>
  <si>
    <t>Setting</t>
  </si>
  <si>
    <t>Unit Price</t>
  </si>
  <si>
    <t>Model Output</t>
  </si>
  <si>
    <t>Spare Available</t>
  </si>
  <si>
    <t>Online Monitoring</t>
  </si>
  <si>
    <t>Physical Separation</t>
  </si>
  <si>
    <t>More Frequent Maintenance</t>
  </si>
  <si>
    <t>Pr (Terminal Failure)</t>
  </si>
  <si>
    <t>Staggered Maintenance</t>
  </si>
  <si>
    <t>Pr (Repairable Failure)</t>
  </si>
  <si>
    <t>Bunded</t>
  </si>
  <si>
    <t>Refurbish Assets</t>
  </si>
  <si>
    <t>Replace 1 Asset</t>
  </si>
  <si>
    <t>Replace 2 Assets</t>
  </si>
  <si>
    <t>Replace 3 Assets</t>
  </si>
  <si>
    <t>Addiitonal Asset</t>
  </si>
  <si>
    <t>Unplanned Enviromental Risk</t>
  </si>
  <si>
    <t>Load Transfers</t>
  </si>
  <si>
    <t>Unplanned Fire Risk</t>
  </si>
  <si>
    <t>Non-Network MW</t>
  </si>
  <si>
    <t>Option Capital Cost</t>
  </si>
  <si>
    <t>Total Life Cycle Cost</t>
  </si>
  <si>
    <t>Switchboard</t>
  </si>
  <si>
    <t>Relays</t>
  </si>
  <si>
    <t>Safety risk</t>
  </si>
  <si>
    <t>Unplanned fault</t>
  </si>
  <si>
    <t>Opex saving</t>
  </si>
  <si>
    <t>EW switchboard and relay</t>
  </si>
  <si>
    <t>EW switchboard and relay replacement</t>
  </si>
  <si>
    <t>SWBD and relay replacement completed in 2027-28</t>
  </si>
  <si>
    <t>Relay replacement in 2026-27 and SWBD replacement in 2031-32</t>
  </si>
  <si>
    <t>EW</t>
  </si>
  <si>
    <t>Elwood</t>
  </si>
  <si>
    <t>Energy at Risk (MWh)</t>
  </si>
  <si>
    <t>Scenario #1: EW - Indoor CB</t>
  </si>
  <si>
    <t>Scenario #2: EW - Indoor CB</t>
  </si>
  <si>
    <t>Scenario #3: EW - Indoor 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</si>
</sst>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0.000%"/>
    <numFmt numFmtId="190" formatCode="\+0%;[Red]\ \ \-0%;\ &quot;-&quot;"/>
    <numFmt numFmtId="191" formatCode="#,##0.00_ ;[Red]\-#,##0.00\ "/>
    <numFmt numFmtId="192" formatCode="#,##0.0;[Red]\ \-#,##0.0;\ &quot;&quot;"/>
    <numFmt numFmtId="193" formatCode="0.000000000000000"/>
    <numFmt numFmtId="194" formatCode="0%;[Red]\ \ \-0%;\ &quot;-&quot;"/>
    <numFmt numFmtId="195" formatCode="dd\ mmmm\ yyyy"/>
    <numFmt numFmtId="196" formatCode="mmm\ yyyy"/>
    <numFmt numFmtId="197" formatCode="#,##0.000_);\(#,##0.000\);\-\-_)"/>
    <numFmt numFmtId="198" formatCode="_-&quot;$&quot;* #,##0_-;\-&quot;$&quot;* #,##0_-;_-&quot;$&quot;* &quot;-&quot;??_-;_-@_-"/>
    <numFmt numFmtId="199" formatCode="_-* #,##0.0_-;\-* #,##0.0_-;_-* &quot;-&quot;??_-;_-@_-"/>
    <numFmt numFmtId="200" formatCode="?0"/>
    <numFmt numFmtId="201" formatCode="0.0"/>
  </numFmts>
  <fonts count="113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sz val="18"/>
      <color theme="3"/>
      <name val="Cambria"/>
      <family val="2"/>
      <scheme val="major"/>
    </font>
    <font>
      <b/>
      <sz val="14"/>
      <color theme="1"/>
      <name val="Calibri"/>
      <family val="2"/>
    </font>
    <font>
      <sz val="10"/>
      <name val="Verdana"/>
      <family val="2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33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89999084444715716"/>
        <bgColor indexed="64"/>
      </patternFill>
    </fill>
    <fill>
      <patternFill patternType="solid">
        <fgColor theme="4" tint="0.749992370372631"/>
        <bgColor indexed="64"/>
      </patternFill>
    </fill>
  </fills>
  <borders count="2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92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8" fillId="0" borderId="0"/>
    <xf numFmtId="9" fontId="78" fillId="0" borderId="0" applyFont="0" applyFill="0" applyBorder="0" applyAlignment="0" applyProtection="0"/>
    <xf numFmtId="0" fontId="18" fillId="0" borderId="0"/>
    <xf numFmtId="44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" fontId="93" fillId="17" borderId="16" applyNumberFormat="0" applyProtection="0">
      <alignment horizontal="left" vertical="center" indent="1"/>
    </xf>
    <xf numFmtId="4" fontId="93" fillId="17" borderId="16" applyNumberFormat="0" applyProtection="0">
      <alignment horizontal="left" vertical="center" indent="1"/>
    </xf>
    <xf numFmtId="4" fontId="93" fillId="0" borderId="16" applyNumberFormat="0" applyProtection="0">
      <alignment horizontal="right" vertical="center"/>
    </xf>
    <xf numFmtId="44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9" fillId="0" borderId="0" applyFill="0" applyBorder="0"/>
    <xf numFmtId="9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00" fillId="0" borderId="17" applyNumberFormat="0" applyFill="0" applyAlignment="0" applyProtection="0"/>
    <xf numFmtId="0" fontId="101" fillId="0" borderId="18" applyNumberFormat="0" applyFill="0" applyAlignment="0" applyProtection="0"/>
    <xf numFmtId="0" fontId="102" fillId="0" borderId="19" applyNumberFormat="0" applyFill="0" applyAlignment="0" applyProtection="0"/>
    <xf numFmtId="0" fontId="102" fillId="0" borderId="0" applyNumberFormat="0" applyFill="0" applyBorder="0" applyAlignment="0" applyProtection="0"/>
    <xf numFmtId="0" fontId="103" fillId="18" borderId="0" applyNumberFormat="0" applyBorder="0" applyAlignment="0" applyProtection="0"/>
    <xf numFmtId="0" fontId="104" fillId="19" borderId="0" applyNumberFormat="0" applyBorder="0" applyAlignment="0" applyProtection="0"/>
    <xf numFmtId="0" fontId="105" fillId="20" borderId="0" applyNumberFormat="0" applyBorder="0" applyAlignment="0" applyProtection="0"/>
    <xf numFmtId="0" fontId="106" fillId="21" borderId="20" applyNumberFormat="0" applyAlignment="0" applyProtection="0"/>
    <xf numFmtId="0" fontId="107" fillId="22" borderId="21" applyNumberFormat="0" applyAlignment="0" applyProtection="0"/>
    <xf numFmtId="0" fontId="108" fillId="22" borderId="20" applyNumberFormat="0" applyAlignment="0" applyProtection="0"/>
    <xf numFmtId="0" fontId="109" fillId="0" borderId="22" applyNumberFormat="0" applyFill="0" applyAlignment="0" applyProtection="0"/>
    <xf numFmtId="0" fontId="98" fillId="23" borderId="23" applyNumberFormat="0" applyAlignment="0" applyProtection="0"/>
    <xf numFmtId="0" fontId="110" fillId="0" borderId="0" applyNumberFormat="0" applyFill="0" applyBorder="0" applyAlignment="0" applyProtection="0"/>
    <xf numFmtId="0" fontId="62" fillId="0" borderId="25" applyNumberFormat="0" applyFill="0" applyAlignment="0" applyProtection="0"/>
    <xf numFmtId="0" fontId="11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1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11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11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11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11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0" fontId="18" fillId="24" borderId="24" applyNumberFormat="0" applyFont="0" applyAlignment="0" applyProtection="0"/>
    <xf numFmtId="0" fontId="112" fillId="0" borderId="0" applyNumberFormat="0" applyFill="0" applyBorder="0" applyAlignment="0" applyProtection="0"/>
    <xf numFmtId="44" fontId="7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7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78" fillId="0" borderId="0" applyFont="0" applyFill="0" applyBorder="0" applyAlignment="0" applyProtection="0"/>
  </cellStyleXfs>
  <cellXfs count="413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7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8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0" fontId="58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60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1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1" fillId="10" borderId="0" xfId="18" applyNumberFormat="1" applyFont="1" applyFill="1" applyAlignment="1">
      <alignment horizontal="left" vertical="center"/>
    </xf>
    <xf numFmtId="0" fontId="62" fillId="0" borderId="0" xfId="18" applyFont="1"/>
    <xf numFmtId="0" fontId="63" fillId="0" borderId="7" xfId="18" applyFont="1" applyFill="1" applyBorder="1" applyAlignment="1">
      <alignment vertical="center"/>
    </xf>
    <xf numFmtId="0" fontId="64" fillId="0" borderId="0" xfId="18" applyFont="1"/>
    <xf numFmtId="0" fontId="59" fillId="0" borderId="0" xfId="0" applyFont="1"/>
    <xf numFmtId="168" fontId="64" fillId="0" borderId="0" xfId="18" applyNumberFormat="1" applyFont="1" applyFill="1" applyAlignment="1">
      <alignment horizontal="left"/>
    </xf>
    <xf numFmtId="0" fontId="63" fillId="0" borderId="0" xfId="18" applyFont="1" applyFill="1" applyBorder="1" applyAlignment="1">
      <alignment vertical="center"/>
    </xf>
    <xf numFmtId="168" fontId="65" fillId="0" borderId="0" xfId="18" applyNumberFormat="1" applyFont="1" applyFill="1" applyAlignment="1">
      <alignment horizontal="left"/>
    </xf>
    <xf numFmtId="168" fontId="66" fillId="0" borderId="0" xfId="18" applyNumberFormat="1" applyFont="1" applyAlignment="1">
      <alignment horizontal="left" vertical="center"/>
    </xf>
    <xf numFmtId="0" fontId="63" fillId="0" borderId="0" xfId="18" applyFont="1" applyFill="1" applyBorder="1" applyAlignment="1">
      <alignment horizontal="left" vertical="center"/>
    </xf>
    <xf numFmtId="0" fontId="64" fillId="0" borderId="0" xfId="18" applyFont="1" applyAlignment="1">
      <alignment horizontal="left"/>
    </xf>
    <xf numFmtId="0" fontId="67" fillId="0" borderId="0" xfId="18" applyFont="1" applyAlignment="1">
      <alignment horizontal="left" vertical="center"/>
    </xf>
    <xf numFmtId="0" fontId="66" fillId="0" borderId="0" xfId="18" applyFont="1" applyAlignment="1">
      <alignment horizontal="left" vertical="center"/>
    </xf>
    <xf numFmtId="168" fontId="66" fillId="0" borderId="11" xfId="18" applyNumberFormat="1" applyFont="1" applyBorder="1" applyAlignment="1">
      <alignment horizontal="left" vertical="center"/>
    </xf>
    <xf numFmtId="168" fontId="68" fillId="0" borderId="0" xfId="18" applyNumberFormat="1" applyFont="1" applyAlignment="1">
      <alignment horizontal="left" vertical="center"/>
    </xf>
    <xf numFmtId="168" fontId="66" fillId="0" borderId="0" xfId="18" applyNumberFormat="1" applyFont="1" applyBorder="1" applyAlignment="1">
      <alignment horizontal="left" vertical="center"/>
    </xf>
    <xf numFmtId="0" fontId="69" fillId="0" borderId="0" xfId="0" applyFont="1"/>
    <xf numFmtId="0" fontId="46" fillId="0" borderId="0" xfId="18" applyFont="1"/>
    <xf numFmtId="0" fontId="70" fillId="11" borderId="0" xfId="18" applyFont="1" applyFill="1" applyAlignment="1">
      <alignment horizontal="right" vertical="center"/>
    </xf>
    <xf numFmtId="167" fontId="66" fillId="0" borderId="0" xfId="18" applyNumberFormat="1" applyFont="1" applyAlignment="1">
      <alignment horizontal="right" vertical="center"/>
    </xf>
    <xf numFmtId="0" fontId="63" fillId="0" borderId="7" xfId="18" applyFont="1" applyBorder="1" applyAlignment="1">
      <alignment horizontal="right" vertical="center"/>
    </xf>
    <xf numFmtId="166" fontId="72" fillId="10" borderId="0" xfId="16" applyFont="1" applyFill="1" applyAlignment="1">
      <alignment horizontal="right"/>
    </xf>
    <xf numFmtId="0" fontId="71" fillId="0" borderId="0" xfId="8" applyFont="1" applyAlignment="1">
      <alignment horizontal="right"/>
    </xf>
    <xf numFmtId="168" fontId="66" fillId="0" borderId="0" xfId="18" applyNumberFormat="1" applyFont="1" applyAlignment="1">
      <alignment horizontal="right" vertical="center"/>
    </xf>
    <xf numFmtId="168" fontId="68" fillId="0" borderId="0" xfId="18" applyNumberFormat="1" applyFont="1" applyAlignment="1">
      <alignment horizontal="right" vertical="center"/>
    </xf>
    <xf numFmtId="168" fontId="66" fillId="0" borderId="4" xfId="18" applyNumberFormat="1" applyFont="1" applyBorder="1" applyAlignment="1">
      <alignment horizontal="right" vertical="center"/>
    </xf>
    <xf numFmtId="0" fontId="64" fillId="0" borderId="0" xfId="18" applyFont="1" applyAlignment="1">
      <alignment horizontal="right"/>
    </xf>
    <xf numFmtId="0" fontId="64" fillId="0" borderId="0" xfId="0" applyFont="1" applyAlignment="1">
      <alignment horizontal="right"/>
    </xf>
    <xf numFmtId="0" fontId="73" fillId="0" borderId="0" xfId="18" applyFont="1" applyAlignment="1">
      <alignment vertical="center"/>
    </xf>
    <xf numFmtId="0" fontId="26" fillId="0" borderId="0" xfId="18" applyFont="1"/>
    <xf numFmtId="178" fontId="73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4" fillId="0" borderId="0" xfId="18" applyNumberFormat="1" applyFont="1" applyAlignment="1">
      <alignment horizontal="left"/>
    </xf>
    <xf numFmtId="0" fontId="75" fillId="0" borderId="11" xfId="0" applyFont="1" applyFill="1" applyBorder="1" applyAlignment="1"/>
    <xf numFmtId="166" fontId="74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6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90" fontId="15" fillId="0" borderId="0" xfId="18" applyNumberFormat="1"/>
    <xf numFmtId="191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8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90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9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2" fontId="15" fillId="0" borderId="0" xfId="0" applyNumberFormat="1" applyFont="1" applyFill="1" applyAlignment="1">
      <alignment horizontal="center"/>
    </xf>
    <xf numFmtId="0" fontId="80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6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2" fontId="16" fillId="0" borderId="11" xfId="18" applyNumberFormat="1" applyFont="1" applyBorder="1" applyAlignment="1">
      <alignment horizontal="right" vertical="center"/>
    </xf>
    <xf numFmtId="192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1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2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2" fontId="82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3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9" fillId="0" borderId="7" xfId="18" applyFont="1" applyBorder="1"/>
    <xf numFmtId="183" fontId="15" fillId="0" borderId="0" xfId="18" applyNumberFormat="1" applyAlignment="1">
      <alignment horizontal="left"/>
    </xf>
    <xf numFmtId="194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90" fontId="27" fillId="2" borderId="0" xfId="23" applyNumberFormat="1" applyAlignment="1">
      <alignment horizontal="right"/>
    </xf>
    <xf numFmtId="190" fontId="37" fillId="2" borderId="0" xfId="23" applyNumberFormat="1" applyFont="1" applyAlignment="1">
      <alignment horizontal="right"/>
    </xf>
    <xf numFmtId="0" fontId="18" fillId="16" borderId="0" xfId="20" applyFill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0" fontId="88" fillId="0" borderId="0" xfId="20" applyFont="1"/>
    <xf numFmtId="195" fontId="89" fillId="0" borderId="0" xfId="20" applyNumberFormat="1" applyFont="1" applyAlignment="1">
      <alignment horizontal="left"/>
    </xf>
    <xf numFmtId="0" fontId="90" fillId="0" borderId="0" xfId="20" applyFont="1"/>
    <xf numFmtId="196" fontId="91" fillId="10" borderId="0" xfId="16" applyNumberFormat="1" applyFont="1" applyFill="1" applyAlignment="1">
      <alignment horizontal="right"/>
    </xf>
    <xf numFmtId="196" fontId="92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7" fillId="0" borderId="0" xfId="20" applyFont="1" applyAlignment="1">
      <alignment horizontal="left"/>
    </xf>
    <xf numFmtId="0" fontId="95" fillId="0" borderId="0" xfId="18" applyFont="1"/>
    <xf numFmtId="197" fontId="15" fillId="0" borderId="0" xfId="18" applyNumberFormat="1"/>
    <xf numFmtId="0" fontId="24" fillId="49" borderId="0" xfId="18" applyFont="1" applyFill="1" applyAlignment="1">
      <alignment vertical="center"/>
    </xf>
    <xf numFmtId="197" fontId="24" fillId="49" borderId="0" xfId="18" applyNumberFormat="1" applyFont="1" applyFill="1" applyAlignment="1">
      <alignment vertical="center"/>
    </xf>
    <xf numFmtId="0" fontId="24" fillId="49" borderId="0" xfId="18" applyFont="1" applyFill="1" applyAlignment="1">
      <alignment horizontal="left" vertical="center"/>
    </xf>
    <xf numFmtId="0" fontId="34" fillId="8" borderId="0" xfId="18" applyFont="1" applyFill="1"/>
    <xf numFmtId="0" fontId="56" fillId="8" borderId="0" xfId="18" applyFont="1" applyFill="1"/>
    <xf numFmtId="0" fontId="96" fillId="8" borderId="0" xfId="0" applyFont="1" applyFill="1"/>
    <xf numFmtId="0" fontId="97" fillId="0" borderId="0" xfId="18" applyFont="1"/>
    <xf numFmtId="0" fontId="15" fillId="50" borderId="0" xfId="18" applyFill="1" applyAlignment="1">
      <alignment horizontal="right"/>
    </xf>
    <xf numFmtId="0" fontId="17" fillId="0" borderId="0" xfId="18" applyFont="1" applyAlignment="1">
      <alignment horizontal="right"/>
    </xf>
    <xf numFmtId="198" fontId="15" fillId="2" borderId="0" xfId="34" applyNumberFormat="1" applyFont="1" applyFill="1"/>
    <xf numFmtId="0" fontId="17" fillId="0" borderId="12" xfId="18" applyFont="1" applyBorder="1" applyAlignment="1">
      <alignment horizontal="right"/>
    </xf>
    <xf numFmtId="198" fontId="15" fillId="0" borderId="12" xfId="34" applyNumberFormat="1" applyFont="1" applyBorder="1"/>
    <xf numFmtId="0" fontId="15" fillId="8" borderId="0" xfId="18" applyFill="1"/>
    <xf numFmtId="198" fontId="15" fillId="0" borderId="0" xfId="34" applyNumberFormat="1" applyFont="1" applyFill="1"/>
    <xf numFmtId="198" fontId="15" fillId="0" borderId="0" xfId="34" applyNumberFormat="1" applyFont="1"/>
    <xf numFmtId="0" fontId="15" fillId="0" borderId="12" xfId="18" applyBorder="1" applyAlignment="1">
      <alignment horizontal="right"/>
    </xf>
    <xf numFmtId="198" fontId="15" fillId="0" borderId="12" xfId="18" applyNumberFormat="1" applyBorder="1"/>
    <xf numFmtId="0" fontId="15" fillId="0" borderId="12" xfId="18" applyBorder="1"/>
    <xf numFmtId="0" fontId="15" fillId="51" borderId="0" xfId="18" applyFill="1"/>
    <xf numFmtId="198" fontId="17" fillId="0" borderId="0" xfId="18" applyNumberFormat="1" applyFont="1"/>
    <xf numFmtId="6" fontId="15" fillId="0" borderId="0" xfId="18" applyNumberFormat="1"/>
    <xf numFmtId="6" fontId="15" fillId="51" borderId="0" xfId="18" applyNumberFormat="1" applyFill="1"/>
    <xf numFmtId="198" fontId="15" fillId="51" borderId="0" xfId="34" applyNumberFormat="1" applyFont="1" applyFill="1"/>
    <xf numFmtId="0" fontId="15" fillId="0" borderId="0" xfId="28" applyFont="1"/>
    <xf numFmtId="198" fontId="15" fillId="53" borderId="26" xfId="29" applyNumberFormat="1" applyFont="1" applyFill="1" applyBorder="1"/>
    <xf numFmtId="44" fontId="15" fillId="54" borderId="26" xfId="27" applyNumberFormat="1" applyFont="1" applyFill="1" applyBorder="1" applyAlignment="1" applyProtection="1">
      <alignment horizontal="left" vertical="center"/>
      <protection locked="0"/>
    </xf>
    <xf numFmtId="199" fontId="15" fillId="0" borderId="0" xfId="30" applyNumberFormat="1" applyFont="1"/>
    <xf numFmtId="199" fontId="15" fillId="2" borderId="26" xfId="30" applyNumberFormat="1" applyFont="1" applyFill="1" applyBorder="1"/>
    <xf numFmtId="10" fontId="15" fillId="2" borderId="26" xfId="30" applyNumberFormat="1" applyFont="1" applyFill="1" applyBorder="1"/>
    <xf numFmtId="198" fontId="15" fillId="0" borderId="0" xfId="34" applyNumberFormat="1" applyFont="1" applyFill="1" applyBorder="1"/>
    <xf numFmtId="44" fontId="34" fillId="0" borderId="0" xfId="26" applyNumberFormat="1" applyFont="1" applyAlignment="1">
      <alignment horizontal="left"/>
    </xf>
    <xf numFmtId="198" fontId="27" fillId="2" borderId="0" xfId="23" applyNumberFormat="1"/>
    <xf numFmtId="0" fontId="15" fillId="0" borderId="0" xfId="18"/>
    <xf numFmtId="0" fontId="15" fillId="0" borderId="0" xfId="0" applyFont="1"/>
    <xf numFmtId="167" fontId="27" fillId="2" borderId="8" xfId="18" applyNumberFormat="1" applyFont="1" applyFill="1" applyBorder="1" applyAlignment="1">
      <alignment horizontal="right" vertical="center"/>
    </xf>
    <xf numFmtId="198" fontId="15" fillId="2" borderId="0" xfId="18" applyNumberFormat="1" applyFill="1"/>
    <xf numFmtId="0" fontId="56" fillId="8" borderId="0" xfId="26" applyFont="1" applyFill="1" applyAlignment="1">
      <alignment horizontal="left" vertical="center"/>
    </xf>
    <xf numFmtId="0" fontId="56" fillId="8" borderId="0" xfId="26" applyFont="1" applyFill="1" applyAlignment="1">
      <alignment vertical="center"/>
    </xf>
    <xf numFmtId="0" fontId="15" fillId="0" borderId="0" xfId="28" applyFont="1"/>
    <xf numFmtId="0" fontId="56" fillId="52" borderId="0" xfId="26" applyFont="1" applyFill="1" applyAlignment="1">
      <alignment vertical="center"/>
    </xf>
    <xf numFmtId="9" fontId="34" fillId="53" borderId="26" xfId="27" applyFont="1" applyFill="1" applyBorder="1" applyAlignment="1" applyProtection="1">
      <alignment horizontal="center" vertical="center"/>
      <protection locked="0"/>
    </xf>
    <xf numFmtId="0" fontId="34" fillId="0" borderId="0" xfId="26" applyFont="1" applyAlignment="1">
      <alignment horizontal="left"/>
    </xf>
    <xf numFmtId="200" fontId="34" fillId="53" borderId="26" xfId="26" applyNumberFormat="1" applyFont="1" applyFill="1" applyBorder="1" applyAlignment="1" applyProtection="1">
      <alignment horizontal="left" vertical="center"/>
      <protection locked="0"/>
    </xf>
    <xf numFmtId="0" fontId="34" fillId="0" borderId="0" xfId="26" applyFont="1"/>
    <xf numFmtId="189" fontId="15" fillId="2" borderId="26" xfId="27" applyNumberFormat="1" applyFont="1" applyFill="1" applyBorder="1" applyAlignment="1" applyProtection="1">
      <alignment horizontal="center" vertical="center"/>
      <protection locked="0"/>
    </xf>
    <xf numFmtId="9" fontId="15" fillId="2" borderId="26" xfId="27" applyFont="1" applyFill="1" applyBorder="1" applyAlignment="1" applyProtection="1">
      <alignment horizontal="center" vertical="center"/>
      <protection locked="0"/>
    </xf>
    <xf numFmtId="9" fontId="15" fillId="54" borderId="26" xfId="27" applyFont="1" applyFill="1" applyBorder="1" applyAlignment="1" applyProtection="1">
      <alignment horizontal="left" vertical="center"/>
      <protection locked="0"/>
    </xf>
    <xf numFmtId="198" fontId="15" fillId="54" borderId="26" xfId="27" applyNumberFormat="1" applyFont="1" applyFill="1" applyBorder="1" applyAlignment="1" applyProtection="1">
      <alignment horizontal="left" vertical="center"/>
      <protection locked="0"/>
    </xf>
    <xf numFmtId="10" fontId="15" fillId="2" borderId="26" xfId="27" applyNumberFormat="1" applyFont="1" applyFill="1" applyBorder="1" applyAlignment="1" applyProtection="1">
      <alignment horizontal="center" vertical="center"/>
      <protection locked="0"/>
    </xf>
    <xf numFmtId="0" fontId="56" fillId="8" borderId="0" xfId="26" applyFont="1" applyFill="1" applyAlignment="1">
      <alignment horizontal="left" vertical="center" wrapText="1"/>
    </xf>
    <xf numFmtId="0" fontId="56" fillId="8" borderId="0" xfId="26" applyFont="1" applyFill="1" applyAlignment="1">
      <alignment horizontal="center" vertical="center"/>
    </xf>
    <xf numFmtId="0" fontId="56" fillId="55" borderId="0" xfId="26" applyFont="1" applyFill="1" applyAlignment="1">
      <alignment vertical="center"/>
    </xf>
    <xf numFmtId="9" fontId="15" fillId="0" borderId="0" xfId="26" applyNumberFormat="1" applyFont="1" applyAlignment="1">
      <alignment horizontal="center"/>
    </xf>
    <xf numFmtId="198" fontId="15" fillId="0" borderId="0" xfId="26" applyNumberFormat="1" applyFont="1" applyAlignment="1">
      <alignment horizontal="left"/>
    </xf>
    <xf numFmtId="201" fontId="15" fillId="0" borderId="0" xfId="26" applyNumberFormat="1" applyFont="1" applyAlignment="1">
      <alignment horizontal="center"/>
    </xf>
    <xf numFmtId="0" fontId="34" fillId="0" borderId="27" xfId="26" applyFont="1" applyBorder="1" applyAlignment="1">
      <alignment horizontal="left"/>
    </xf>
    <xf numFmtId="0" fontId="36" fillId="56" borderId="27" xfId="26" applyFont="1" applyFill="1" applyBorder="1" applyAlignment="1">
      <alignment horizontal="left"/>
    </xf>
    <xf numFmtId="198" fontId="36" fillId="56" borderId="27" xfId="26" applyNumberFormat="1" applyFont="1" applyFill="1" applyBorder="1" applyAlignment="1">
      <alignment horizontal="left"/>
    </xf>
    <xf numFmtId="0" fontId="15" fillId="0" borderId="0" xfId="26" applyFont="1" applyAlignment="1">
      <alignment horizontal="left"/>
    </xf>
    <xf numFmtId="0" fontId="36" fillId="57" borderId="0" xfId="26" applyFont="1" applyFill="1" applyAlignment="1">
      <alignment horizontal="left"/>
    </xf>
    <xf numFmtId="198" fontId="34" fillId="57" borderId="0" xfId="26" applyNumberFormat="1" applyFont="1" applyFill="1" applyAlignment="1">
      <alignment horizontal="left"/>
    </xf>
    <xf numFmtId="9" fontId="15" fillId="54" borderId="26" xfId="35" applyFont="1" applyFill="1" applyBorder="1" applyAlignment="1" applyProtection="1">
      <alignment horizontal="right" vertical="center"/>
      <protection locked="0"/>
    </xf>
    <xf numFmtId="198" fontId="15" fillId="0" borderId="0" xfId="18" applyNumberFormat="1"/>
    <xf numFmtId="0" fontId="15" fillId="0" borderId="0" xfId="0" applyFont="1" applyAlignment="1">
      <alignment horizontal="left" indent="4"/>
    </xf>
    <xf numFmtId="0" fontId="0" fillId="10" borderId="0" xfId="0" applyFill="1"/>
    <xf numFmtId="14" fontId="59" fillId="10" borderId="0" xfId="0" applyNumberFormat="1" applyFont="1" applyFill="1"/>
    <xf numFmtId="0" fontId="15" fillId="10" borderId="0" xfId="0" applyFont="1" applyFill="1"/>
    <xf numFmtId="0" fontId="15" fillId="10" borderId="0" xfId="18" applyFill="1"/>
    <xf numFmtId="197" fontId="25" fillId="10" borderId="0" xfId="16" applyNumberFormat="1" applyFont="1" applyFill="1"/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  <xf numFmtId="177" fontId="34" fillId="2" borderId="0" xfId="18" applyNumberFormat="1" applyFont="1" applyFill="1" applyAlignment="1">
      <alignment horizontal="right" vertical="center"/>
    </xf>
    <xf numFmtId="171" fontId="15" fillId="2" borderId="0" xfId="18" applyNumberFormat="1" applyFill="1"/>
    <xf numFmtId="171" fontId="15" fillId="2" borderId="0" xfId="34" applyNumberFormat="1" applyFont="1" applyFill="1"/>
    <xf numFmtId="198" fontId="15" fillId="0" borderId="0" xfId="18" applyNumberFormat="1" applyFill="1"/>
  </cellXfs>
  <cellStyles count="92">
    <cellStyle name="20% - Accent1 2" xfId="58" xr:uid="{27FDEE84-C25F-4B04-97BD-2A53BE157790}"/>
    <cellStyle name="20% - Accent2 2" xfId="62" xr:uid="{FCC73D84-3264-4CEC-A38D-192A3EDCF35E}"/>
    <cellStyle name="20% - Accent3 2" xfId="66" xr:uid="{04EC1C5E-F9D4-40E9-8CF1-6CB82FF6F344}"/>
    <cellStyle name="20% - Accent4 2" xfId="70" xr:uid="{CA6E2978-439B-4F25-B399-3913F0B68782}"/>
    <cellStyle name="20% - Accent5 2" xfId="74" xr:uid="{FA9B04AB-1C47-45E5-AB68-577AFBC4E23F}"/>
    <cellStyle name="20% - Accent6 2" xfId="78" xr:uid="{D64A97D6-9B04-4E55-B886-84B67A96C81F}"/>
    <cellStyle name="40% - Accent1 2" xfId="59" xr:uid="{5C485B75-DFE1-43D2-AC5E-0AC19275BBE5}"/>
    <cellStyle name="40% - Accent2 2" xfId="63" xr:uid="{36D63CA9-9CBB-40EB-A2CF-6B4D4892CFC8}"/>
    <cellStyle name="40% - Accent3 2" xfId="67" xr:uid="{7FE67735-E6EE-42AF-BE78-1A0F2EEBCB4C}"/>
    <cellStyle name="40% - Accent4 2" xfId="71" xr:uid="{CA38DFF1-06C2-44F0-9A5A-C548774629D7}"/>
    <cellStyle name="40% - Accent5 2" xfId="75" xr:uid="{811756FF-91F3-41A9-BF6D-4E40E302B78B}"/>
    <cellStyle name="40% - Accent6 2" xfId="79" xr:uid="{B90DD441-7821-4E2D-BBA5-09D58663061A}"/>
    <cellStyle name="60% - Accent1 2" xfId="60" xr:uid="{D782E704-FB1B-4C64-88F1-09D283902820}"/>
    <cellStyle name="60% - Accent2 2" xfId="64" xr:uid="{A2BC960E-29E4-40E0-B4E8-3BA1920A3A96}"/>
    <cellStyle name="60% - Accent3 2" xfId="68" xr:uid="{9E75B431-F30A-49AB-9DE8-2DAF1F9C857A}"/>
    <cellStyle name="60% - Accent4 2" xfId="72" xr:uid="{EC3268B2-95BC-4EB0-A610-0F2D98DE1DEA}"/>
    <cellStyle name="60% - Accent5 2" xfId="76" xr:uid="{A4C07B88-C246-4452-8A25-04353962710C}"/>
    <cellStyle name="60% - Accent6 2" xfId="80" xr:uid="{2909B405-F11F-49FA-9458-E18867D9E9D7}"/>
    <cellStyle name="Accent1 2" xfId="57" xr:uid="{71FE5FF5-EC24-45BF-B0E8-20FCB2E76718}"/>
    <cellStyle name="Accent2 2" xfId="61" xr:uid="{C2AC8B86-BDDD-4D2C-AEA0-C6297DD33C95}"/>
    <cellStyle name="Accent3 2" xfId="65" xr:uid="{C794517A-4C88-4AD8-A0BE-291AE979AA2D}"/>
    <cellStyle name="Accent4 2" xfId="69" xr:uid="{3D057098-38C2-440D-B8E2-B99EC2032669}"/>
    <cellStyle name="Accent5 2" xfId="73" xr:uid="{3CC1E2CB-2C8B-4719-BA66-5F87B908C392}"/>
    <cellStyle name="Accent6 2" xfId="77" xr:uid="{FD9B878D-148A-492E-B014-22C6FC4F0601}"/>
    <cellStyle name="Assumption" xfId="23" xr:uid="{E21B85CB-AE39-493C-90CF-A6033D394DF7}"/>
    <cellStyle name="Bad 2" xfId="48" xr:uid="{5DD8BED3-48FA-4190-B59C-CC8203AA0BF7}"/>
    <cellStyle name="Base_Input" xfId="12" xr:uid="{00000000-0005-0000-0000-000000000000}"/>
    <cellStyle name="Calculation 2" xfId="52" xr:uid="{F68A7A04-3744-4EC6-9CD4-31950D6E4C75}"/>
    <cellStyle name="Check Cell 2" xfId="54" xr:uid="{9C6C22A9-F494-4F94-AFA9-C9F51FD4327A}"/>
    <cellStyle name="Comma [0] 2" xfId="3" xr:uid="{00000000-0005-0000-0000-000002000000}"/>
    <cellStyle name="Comma 2" xfId="30" xr:uid="{50BDA386-AB13-404C-8C84-0EDF43721243}"/>
    <cellStyle name="Comma 2 2" xfId="89" xr:uid="{80061F79-EB90-4000-AFF4-E49214912727}"/>
    <cellStyle name="Comma 3" xfId="86" xr:uid="{FC8C937F-4E95-4033-B01F-B15D1117CED0}"/>
    <cellStyle name="Comma 4" xfId="91" xr:uid="{178931B2-E701-47F8-885B-5DFFC473C8D0}"/>
    <cellStyle name="Currency" xfId="34" builtinId="4"/>
    <cellStyle name="Currency 2" xfId="39" xr:uid="{E2D8D30C-EC43-435D-9413-6746B6241791}"/>
    <cellStyle name="Currency 2 2" xfId="29" xr:uid="{F29057D5-5718-441F-8CAD-00B1D320E1EF}"/>
    <cellStyle name="Currency 2 2 2" xfId="87" xr:uid="{D351A479-2017-457C-A825-0026F5A0C2C3}"/>
    <cellStyle name="Currency 3" xfId="85" xr:uid="{D3787227-E124-4C9B-BF59-FD082EB06900}"/>
    <cellStyle name="Currency 4" xfId="90" xr:uid="{B174AB27-9ACC-4932-8BD9-D81344BFA840}"/>
    <cellStyle name="Currency 5" xfId="84" xr:uid="{AC2AD5B2-F60C-49A4-8B4D-EC8C6C3BDC3D}"/>
    <cellStyle name="Empty_Cell" xfId="9" xr:uid="{00000000-0005-0000-0000-000004000000}"/>
    <cellStyle name="Explanatory Text" xfId="1" builtinId="53" customBuiltin="1"/>
    <cellStyle name="Explanatory Text 2" xfId="83" xr:uid="{37B8CED7-463D-4A2A-A7CC-D96BB21D71F8}"/>
    <cellStyle name="Fixed_input" xfId="24" xr:uid="{0B0B930C-107A-4F05-8A3E-C5F6EECE17A8}"/>
    <cellStyle name="Flag" xfId="4" xr:uid="{00000000-0005-0000-0000-000006000000}"/>
    <cellStyle name="Good 2" xfId="47" xr:uid="{4C1C9DA0-F7AB-40EB-8136-9329E63D7F89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Heading 1 2" xfId="43" xr:uid="{9D3B47A4-B1E6-4222-80BE-3CABCD2D32DC}"/>
    <cellStyle name="Heading 2 2" xfId="44" xr:uid="{0AEFF609-0FC4-4100-BC60-E612F8EE5BB2}"/>
    <cellStyle name="Heading 3 2" xfId="45" xr:uid="{C0EB4F11-FD63-4693-90DC-6766A087BBF1}"/>
    <cellStyle name="Heading 4 2" xfId="46" xr:uid="{0274EEB1-2FD9-40E4-86E9-3AFF6F92ABD7}"/>
    <cellStyle name="Input 2" xfId="50" xr:uid="{573D253A-EFB3-4E6A-9900-445B9508BF23}"/>
    <cellStyle name="Insheet" xfId="6" xr:uid="{00000000-0005-0000-0000-00000D000000}"/>
    <cellStyle name="Line_SubTotal" xfId="7" xr:uid="{00000000-0005-0000-0000-00000E000000}"/>
    <cellStyle name="Linked Cell 2" xfId="53" xr:uid="{40ED6877-D97A-403B-AC9B-18827F15CC23}"/>
    <cellStyle name="Neutral 2" xfId="49" xr:uid="{B9986E6E-CF11-461D-8B73-CC39A8D0115E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4" xfId="37" xr:uid="{6CA71292-F4F3-4AAE-952A-AFA9D18B9784}"/>
    <cellStyle name="Normal 5" xfId="40" xr:uid="{8F2E6D1E-E748-4C54-AD32-213520ECA8CC}"/>
    <cellStyle name="Normal 6" xfId="41" xr:uid="{AB90C847-155F-455F-9271-F340A723B55B}"/>
    <cellStyle name="Normal 7" xfId="81" xr:uid="{95F9945B-5D01-4793-9185-E9BD65C298CC}"/>
    <cellStyle name="Normal 8" xfId="28" xr:uid="{A72DEBFF-D704-40A2-B10B-0D568324BDB3}"/>
    <cellStyle name="Note 2" xfId="82" xr:uid="{D59A5D40-F850-4FC6-9608-8005B28F5D03}"/>
    <cellStyle name="Offsheet" xfId="10" xr:uid="{00000000-0005-0000-0000-000012000000}"/>
    <cellStyle name="Output 2" xfId="51" xr:uid="{0E9A3415-7530-44E7-BACB-1E79CE4348FE}"/>
    <cellStyle name="Percent" xfId="35" builtinId="5"/>
    <cellStyle name="Percent 2" xfId="19" xr:uid="{39961233-90E2-46DE-A48A-52E8009F685E}"/>
    <cellStyle name="Percent 2 2" xfId="27" xr:uid="{E4F6E093-BFA5-41AA-B689-F440D86C5D1D}"/>
    <cellStyle name="Percent 3" xfId="38" xr:uid="{FE74188D-AF9E-4C19-9282-64BF64354A5D}"/>
    <cellStyle name="Percent 4" xfId="42" xr:uid="{43B9ECE0-D17B-40F1-9C83-C98F76E92FDB}"/>
    <cellStyle name="Percent 5" xfId="88" xr:uid="{447D60ED-B0A9-4FDE-9025-AC5C7AF42363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Title" xfId="36" builtinId="15" customBuiltin="1"/>
    <cellStyle name="Total 2" xfId="56" xr:uid="{1025AFE6-D61B-4754-99DA-91DF60799FA8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  <cellStyle name="Warning Text 2" xfId="55" xr:uid="{F90834D8-E354-4386-A729-15ADFF9D81AA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003366"/>
      <color rgb="FF66FFFF"/>
      <color rgb="FF00215B"/>
      <color rgb="FF3333FF"/>
      <color rgb="FFFFFFCC"/>
      <color rgb="FFF2F2F2"/>
      <color rgb="FFFABFA8"/>
      <color rgb="FF882B3C"/>
      <color rgb="FFEE2A24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163746447994599E-2"/>
          <c:y val="6.7231498068280646E-2"/>
          <c:w val="0.89562073372082374"/>
          <c:h val="0.75931613806725873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0079C1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0.2837195037474165</c:v>
                </c:pt>
                <c:pt idx="1">
                  <c:v>0.2837195037474165</c:v>
                </c:pt>
                <c:pt idx="2">
                  <c:v>0.2837195037474165</c:v>
                </c:pt>
                <c:pt idx="3">
                  <c:v>0.2837195037474165</c:v>
                </c:pt>
                <c:pt idx="4">
                  <c:v>0.2837195037474165</c:v>
                </c:pt>
                <c:pt idx="5">
                  <c:v>0.2837195037474165</c:v>
                </c:pt>
                <c:pt idx="6">
                  <c:v>0.2837195037474165</c:v>
                </c:pt>
                <c:pt idx="7">
                  <c:v>0.2837195037474165</c:v>
                </c:pt>
                <c:pt idx="8">
                  <c:v>0.2837195037474165</c:v>
                </c:pt>
                <c:pt idx="9">
                  <c:v>0.2837195037474165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E-4088-A167-E1DEAE4ABC30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ACD0E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0.26401892039397284</c:v>
                </c:pt>
                <c:pt idx="1">
                  <c:v>0.27371113067122088</c:v>
                </c:pt>
                <c:pt idx="2">
                  <c:v>0.28602279364336453</c:v>
                </c:pt>
                <c:pt idx="3">
                  <c:v>0.29435753823495453</c:v>
                </c:pt>
                <c:pt idx="4">
                  <c:v>0.30186249564198608</c:v>
                </c:pt>
                <c:pt idx="5">
                  <c:v>0.31188414380708485</c:v>
                </c:pt>
                <c:pt idx="6">
                  <c:v>0.3243294925324432</c:v>
                </c:pt>
                <c:pt idx="7">
                  <c:v>0.33808761173160373</c:v>
                </c:pt>
                <c:pt idx="8">
                  <c:v>0.347483089358048</c:v>
                </c:pt>
                <c:pt idx="9">
                  <c:v>0.35035554399473384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E-4088-A167-E1DEAE4AB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40349075582219E-2"/>
          <c:y val="0.91674025677597648"/>
          <c:w val="0.97443796425947038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369444444444442E-2"/>
          <c:y val="7.7035475234270415E-2"/>
          <c:w val="0.91102968750000002"/>
          <c:h val="0.804035140562249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0079C1"/>
            </a:solidFill>
            <a:ln>
              <a:noFill/>
            </a:ln>
            <a:effectLst/>
          </c:spPr>
          <c:invertIfNegative val="0"/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0.22225696867206943</c:v>
                </c:pt>
                <c:pt idx="1">
                  <c:v>0.23062138648150995</c:v>
                </c:pt>
                <c:pt idx="2">
                  <c:v>0.2412944416617202</c:v>
                </c:pt>
                <c:pt idx="3">
                  <c:v>0.2483494867482394</c:v>
                </c:pt>
                <c:pt idx="4">
                  <c:v>0.25461495232464665</c:v>
                </c:pt>
                <c:pt idx="5">
                  <c:v>0.26309852452627286</c:v>
                </c:pt>
                <c:pt idx="6">
                  <c:v>0.27371752520323062</c:v>
                </c:pt>
                <c:pt idx="7">
                  <c:v>0.28547477105949187</c:v>
                </c:pt>
                <c:pt idx="8">
                  <c:v>0.29327186350174383</c:v>
                </c:pt>
                <c:pt idx="9">
                  <c:v>0.29516898899935717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F-472C-8A8A-2EB688C9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104775</xdr:rowOff>
    </xdr:from>
    <xdr:to>
      <xdr:col>10</xdr:col>
      <xdr:colOff>315446</xdr:colOff>
      <xdr:row>3</xdr:row>
      <xdr:rowOff>48052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ED1487-FF16-4251-8EFE-FA12FC2C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9527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537706</xdr:colOff>
      <xdr:row>38</xdr:row>
      <xdr:rowOff>100852</xdr:rowOff>
    </xdr:from>
    <xdr:to>
      <xdr:col>13</xdr:col>
      <xdr:colOff>0</xdr:colOff>
      <xdr:row>57</xdr:row>
      <xdr:rowOff>108087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E06A84-B032-460E-8F5D-C9BAFF353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9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34" sqref="A34"/>
    </sheetView>
  </sheetViews>
  <sheetFormatPr defaultColWidth="0" defaultRowHeight="15" customHeight="1" zeroHeight="1" x14ac:dyDescent="0.25"/>
  <cols>
    <col min="1" max="1" width="8" style="128" customWidth="1"/>
    <col min="2" max="2" width="1.875" style="128" customWidth="1"/>
    <col min="3" max="3" width="14" style="128" customWidth="1"/>
    <col min="4" max="4" width="8" style="128" customWidth="1"/>
    <col min="5" max="5" width="9.375" style="128" customWidth="1"/>
    <col min="6" max="11" width="8" style="128" customWidth="1"/>
    <col min="12" max="19" width="8" style="128" hidden="1" customWidth="1"/>
    <col min="20" max="16384" width="0" style="128" hidden="1"/>
  </cols>
  <sheetData>
    <row r="1" spans="1:19" x14ac:dyDescent="0.25">
      <c r="A1" s="308"/>
    </row>
    <row r="2" spans="1:19" ht="23.25" x14ac:dyDescent="0.35">
      <c r="A2" s="308"/>
      <c r="C2" s="309" t="s">
        <v>43</v>
      </c>
      <c r="D2" s="310"/>
      <c r="E2" s="310"/>
    </row>
    <row r="3" spans="1:19" ht="15.75" x14ac:dyDescent="0.25">
      <c r="A3" s="308"/>
      <c r="C3" s="311" t="s">
        <v>242</v>
      </c>
      <c r="D3" s="310"/>
      <c r="E3" s="310"/>
    </row>
    <row r="4" spans="1:19" x14ac:dyDescent="0.25">
      <c r="A4" s="308"/>
      <c r="D4" s="310"/>
      <c r="E4" s="310"/>
    </row>
    <row r="5" spans="1:19" x14ac:dyDescent="0.25">
      <c r="A5" s="308"/>
      <c r="C5" s="312" t="s">
        <v>312</v>
      </c>
    </row>
    <row r="6" spans="1:19" x14ac:dyDescent="0.25">
      <c r="A6" s="308"/>
      <c r="C6" s="313" t="s">
        <v>243</v>
      </c>
      <c r="D6" s="326">
        <v>4.03</v>
      </c>
      <c r="E6" s="313"/>
    </row>
    <row r="7" spans="1:19" x14ac:dyDescent="0.25">
      <c r="A7" s="308"/>
      <c r="F7" s="314"/>
      <c r="G7" s="314"/>
      <c r="H7" s="314"/>
      <c r="J7" s="314"/>
      <c r="K7" s="314"/>
      <c r="L7" s="314"/>
      <c r="M7" s="314"/>
      <c r="N7" s="314"/>
      <c r="O7" s="314"/>
      <c r="P7" s="314"/>
      <c r="Q7" s="314"/>
      <c r="R7" s="314"/>
      <c r="S7" s="314"/>
    </row>
    <row r="8" spans="1:19" x14ac:dyDescent="0.25">
      <c r="A8" s="308"/>
      <c r="C8" s="315">
        <v>45688</v>
      </c>
      <c r="F8" s="314"/>
      <c r="G8" s="314"/>
      <c r="H8" s="314"/>
      <c r="J8" s="314"/>
      <c r="K8" s="314"/>
      <c r="L8" s="314"/>
      <c r="M8" s="314"/>
      <c r="N8" s="314"/>
      <c r="O8" s="314"/>
      <c r="P8" s="314"/>
      <c r="Q8" s="314"/>
      <c r="R8" s="314"/>
      <c r="S8" s="314"/>
    </row>
    <row r="9" spans="1:19" x14ac:dyDescent="0.25">
      <c r="A9" s="308"/>
      <c r="C9" s="316"/>
      <c r="D9" s="316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</row>
    <row r="10" spans="1:19" x14ac:dyDescent="0.25">
      <c r="A10" s="308"/>
      <c r="C10" s="316"/>
      <c r="D10" s="316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</row>
    <row r="11" spans="1:19" x14ac:dyDescent="0.25">
      <c r="A11" s="308"/>
      <c r="C11" s="316"/>
      <c r="D11" s="316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</row>
    <row r="12" spans="1:19" x14ac:dyDescent="0.25">
      <c r="A12" s="308"/>
      <c r="C12" s="316"/>
      <c r="D12" s="316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</row>
    <row r="13" spans="1:19" x14ac:dyDescent="0.25">
      <c r="A13" s="308"/>
      <c r="C13" s="316"/>
      <c r="D13" s="316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</row>
    <row r="14" spans="1:19" x14ac:dyDescent="0.25">
      <c r="A14" s="308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</row>
    <row r="15" spans="1:19" x14ac:dyDescent="0.25">
      <c r="A15" s="308"/>
      <c r="C15" s="312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</row>
    <row r="16" spans="1:19" x14ac:dyDescent="0.25">
      <c r="A16" s="308"/>
      <c r="C16" s="312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</row>
    <row r="17" spans="1:19" x14ac:dyDescent="0.25">
      <c r="A17" s="308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</row>
    <row r="18" spans="1:19" x14ac:dyDescent="0.25">
      <c r="A18" s="308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</row>
    <row r="19" spans="1:19" x14ac:dyDescent="0.25">
      <c r="A19" s="308"/>
      <c r="C19" s="314"/>
      <c r="D19" s="314"/>
      <c r="E19" s="314"/>
      <c r="F19" s="314"/>
      <c r="G19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</row>
    <row r="20" spans="1:19" x14ac:dyDescent="0.25">
      <c r="A20" s="308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</row>
    <row r="21" spans="1:19" ht="16.5" customHeight="1" x14ac:dyDescent="0.25">
      <c r="A21" s="308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</row>
    <row r="22" spans="1:19" x14ac:dyDescent="0.25">
      <c r="A22" s="308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</row>
    <row r="23" spans="1:19" x14ac:dyDescent="0.25">
      <c r="A23" s="308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</row>
    <row r="24" spans="1:19" x14ac:dyDescent="0.25">
      <c r="A24" s="308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</row>
    <row r="25" spans="1:19" x14ac:dyDescent="0.25">
      <c r="A25" s="308"/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</row>
    <row r="26" spans="1:19" x14ac:dyDescent="0.25">
      <c r="A26" s="308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</row>
    <row r="27" spans="1:19" x14ac:dyDescent="0.25">
      <c r="A27" s="308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</row>
    <row r="28" spans="1:19" x14ac:dyDescent="0.25">
      <c r="A28" s="308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</row>
    <row r="29" spans="1:19" x14ac:dyDescent="0.25">
      <c r="A29" s="308"/>
      <c r="C29" s="314"/>
      <c r="D29" s="314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</row>
    <row r="30" spans="1:19" x14ac:dyDescent="0.25">
      <c r="A30" s="308"/>
      <c r="C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</row>
    <row r="31" spans="1:19" x14ac:dyDescent="0.25">
      <c r="A31" s="308"/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</row>
    <row r="32" spans="1:19" x14ac:dyDescent="0.25">
      <c r="A32" s="308"/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</row>
    <row r="33" spans="1:19" x14ac:dyDescent="0.25">
      <c r="A33" s="308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</row>
    <row r="34" spans="1:19" x14ac:dyDescent="0.25">
      <c r="A34" s="308"/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</row>
    <row r="35" spans="1:19" x14ac:dyDescent="0.25">
      <c r="A35" s="308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</row>
    <row r="36" spans="1:19" x14ac:dyDescent="0.25">
      <c r="A36" s="308"/>
    </row>
    <row r="37" spans="1:19" x14ac:dyDescent="0.25">
      <c r="A37" s="308"/>
    </row>
    <row r="38" spans="1:19" x14ac:dyDescent="0.25">
      <c r="A38" s="308"/>
    </row>
    <row r="39" spans="1:19" x14ac:dyDescent="0.25">
      <c r="A39" s="308"/>
    </row>
    <row r="40" spans="1:19" x14ac:dyDescent="0.25">
      <c r="A40" s="308">
        <f ca="1">_xlfn.SHEETS()</f>
        <v>15</v>
      </c>
    </row>
    <row r="41" spans="1:19" x14ac:dyDescent="0.25">
      <c r="A41" s="308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EW switchboard and relay replacement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1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0" t="s">
        <v>189</v>
      </c>
      <c r="H7" s="150" t="s">
        <v>190</v>
      </c>
      <c r="I7" s="150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2">
        <f>output_dollars</f>
        <v>46203</v>
      </c>
      <c r="H8" s="182">
        <f>output_dollars</f>
        <v>46203</v>
      </c>
      <c r="I8" s="182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99" t="str">
        <f>INDEX(Assumptions!$E$14:$E$18, MATCH(C9, Assumptions!$C$14:$C$18,0))</f>
        <v>No change to existing practices</v>
      </c>
      <c r="E9" s="400"/>
      <c r="F9" s="400"/>
      <c r="G9" s="102">
        <f>IF(Data!$C9, "", INDEX(Consol!$F$15:$F$82, MATCH($C9&amp;G$7, Consol!$D$15:$D$82,0))/mill_conv)</f>
        <v>0</v>
      </c>
      <c r="H9" s="102">
        <f>IF(Data!$C9, "", INDEX(Consol!$F$15:$F$82, MATCH($C9&amp;H$7, Consol!$D$15:$D$82,0))/mill_conv)</f>
        <v>0</v>
      </c>
      <c r="I9" s="102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401" t="str">
        <f>INDEX(Assumptions!$E$14:$E$18, MATCH(C10, Assumptions!$C$14:$C$18,0))</f>
        <v>SWBD and relay replacement completed in 2027-28</v>
      </c>
      <c r="E10" s="402"/>
      <c r="F10" s="402"/>
      <c r="G10" s="102">
        <f>IF(Data!$C10, "", INDEX(Consol!$F$15:$F$82, MATCH($C10&amp;G$7, Consol!$D$15:$D$82,0))/mill_conv)</f>
        <v>-3.7335971920590576</v>
      </c>
      <c r="H10" s="102">
        <f>IF(Data!$C10, "", INDEX(Consol!$F$15:$F$82, MATCH($C10&amp;H$7, Consol!$D$15:$D$82,0))/mill_conv)</f>
        <v>4.4051522755483159</v>
      </c>
      <c r="I10" s="102">
        <f>IF(Data!$C10, "", INDEX(Consol!$F$15:$F$82, MATCH($C10&amp;I$7, Consol!$D$15:$D$82,0))/mill_conv)</f>
        <v>0.67155508348925808</v>
      </c>
    </row>
    <row r="11" spans="1:13" s="7" customFormat="1" ht="12.75" x14ac:dyDescent="0.2">
      <c r="C11" s="91" t="str">
        <v>Option 3</v>
      </c>
      <c r="D11" s="401" t="str">
        <f>INDEX(Assumptions!$E$14:$E$18, MATCH(C11, Assumptions!$C$14:$C$18,0))</f>
        <v>Relay replacement in 2026-27 and SWBD replacement in 2031-32</v>
      </c>
      <c r="E11" s="402"/>
      <c r="F11" s="402"/>
      <c r="G11" s="102">
        <f>IF(Data!$C11, "", INDEX(Consol!$F$15:$F$82, MATCH($C11&amp;G$7, Consol!$D$15:$D$82,0))/mill_conv)</f>
        <v>-3.5204229483933971</v>
      </c>
      <c r="H11" s="102">
        <f>IF(Data!$C11, "", INDEX(Consol!$F$15:$F$82, MATCH($C11&amp;H$7, Consol!$D$15:$D$82,0))/mill_conv)</f>
        <v>3.0583214893965751</v>
      </c>
      <c r="I11" s="102">
        <f>IF(Data!$C11, "", INDEX(Consol!$F$15:$F$82, MATCH($C11&amp;I$7, Consol!$D$15:$D$82,0))/mill_conv)</f>
        <v>-0.4621014589968222</v>
      </c>
    </row>
    <row r="12" spans="1:13" s="7" customFormat="1" ht="12.75" x14ac:dyDescent="0.2">
      <c r="C12" s="91" t="str">
        <v>Option 4</v>
      </c>
      <c r="D12" s="401">
        <f>INDEX(Assumptions!$E$14:$E$18, MATCH(C12, Assumptions!$C$14:$C$18,0))</f>
        <v>0</v>
      </c>
      <c r="E12" s="402"/>
      <c r="F12" s="402"/>
      <c r="G12" s="102" t="str">
        <f>IF(Data!$C12, "", INDEX(Consol!$F$15:$F$82, MATCH($C12&amp;G$7, Consol!$D$15:$D$82,0))/mill_conv)</f>
        <v/>
      </c>
      <c r="H12" s="102" t="str">
        <f>IF(Data!$C12, "", INDEX(Consol!$F$15:$F$82, MATCH($C12&amp;H$7, Consol!$D$15:$D$82,0))/mill_conv)</f>
        <v/>
      </c>
      <c r="I12" s="102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401">
        <f>INDEX(Assumptions!$E$14:$E$18, MATCH(C13, Assumptions!$C$14:$C$18,0))</f>
        <v>0</v>
      </c>
      <c r="E13" s="402"/>
      <c r="F13" s="402"/>
      <c r="G13" s="102" t="str">
        <f>IF(Data!$C13, "", INDEX(Consol!$F$15:$F$82, MATCH($C13&amp;G$7, Consol!$D$15:$D$82,0))/mill_conv)</f>
        <v/>
      </c>
      <c r="H13" s="102" t="str">
        <f>IF(Data!$C13, "", INDEX(Consol!$F$15:$F$82, MATCH($C13&amp;H$7, Consol!$D$15:$D$82,0))/mill_conv)</f>
        <v/>
      </c>
      <c r="I13" s="102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5"/>
      <c r="E14" s="245"/>
      <c r="F14" s="239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0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2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98" t="str">
        <f>INDEX($D$9:$D$13,MATCH(G18, $I$9:$I$13,0))</f>
        <v>SWBD and relay replacement completed in 2027-28</v>
      </c>
      <c r="E18" s="398"/>
      <c r="F18" s="398"/>
      <c r="G18" s="103">
        <f>_xlfn.MAXIFS(I9:I13, IF(compliance, Data!$F$9:$F$13, Data!$C$9:$C$13),FALSE)</f>
        <v>0.67155508348925808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7">
        <f>output_dollars</f>
        <v>46203</v>
      </c>
      <c r="E29" s="183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141</v>
      </c>
    </row>
    <row r="30" spans="1:13" s="8" customFormat="1" ht="12.75" x14ac:dyDescent="0.2">
      <c r="C30" s="4" t="s">
        <v>30</v>
      </c>
      <c r="F30" s="104">
        <f>-INDEX(Consol!$I$15:$Q$82,MATCH($C$26&amp;$C30,Consol!$D$15:$D$82,0), MATCH(F$29, Consol!$I$9:$Q$9,0))/mill_conv</f>
        <v>3.7943218312145404</v>
      </c>
      <c r="G30" s="104">
        <f>-INDEX(Consol!$I$15:$Q$82,MATCH($C$26&amp;$C30,Consol!$D$15:$D$82,0), MATCH(G$29, Consol!$I$9:$Q$9,0))/mill_conv</f>
        <v>1.8971609156072702</v>
      </c>
      <c r="H30" s="104">
        <f>-INDEX(Consol!$I$15:$Q$82,MATCH($C$26&amp;$C30,Consol!$D$15:$D$82,0), MATCH(H$29, Consol!$I$9:$Q$9,0))/mill_conv</f>
        <v>0</v>
      </c>
      <c r="I30" s="104">
        <f>-INDEX(Consol!$I$15:$Q$82,MATCH($C$26&amp;$C30,Consol!$D$15:$D$82,0), MATCH(I$29, Consol!$I$9:$Q$9,0))/mill_conv</f>
        <v>0</v>
      </c>
      <c r="J30" s="104">
        <f>-INDEX(Consol!$I$15:$Q$82,MATCH($C$26&amp;$C30,Consol!$D$15:$D$82,0), MATCH(J$29, Consol!$I$9:$Q$9,0))/mill_conv</f>
        <v>0</v>
      </c>
      <c r="K30" s="184"/>
      <c r="L30" s="184">
        <f>SUM(F30:J30)</f>
        <v>5.6914827468218103</v>
      </c>
    </row>
    <row r="31" spans="1:13" s="8" customFormat="1" ht="12.75" x14ac:dyDescent="0.2">
      <c r="C31" s="4" t="s">
        <v>31</v>
      </c>
      <c r="D31" s="28"/>
      <c r="E31" s="28"/>
      <c r="F31" s="104">
        <f>-INDEX(Consol!$I$15:$Q$82,MATCH($C$26&amp;$C31,Consol!$D$15:$D$82,0), MATCH(F$29, Consol!$I$9:$Q$9,0))/mill_conv</f>
        <v>0</v>
      </c>
      <c r="G31" s="104">
        <f>-INDEX(Consol!$I$15:$Q$82,MATCH($C$26&amp;$C31,Consol!$D$15:$D$82,0), MATCH(G$29, Consol!$I$9:$Q$9,0))/mill_conv</f>
        <v>0</v>
      </c>
      <c r="H31" s="104">
        <f>-INDEX(Consol!$I$15:$Q$82,MATCH($C$26&amp;$C31,Consol!$D$15:$D$82,0), MATCH(H$29, Consol!$I$9:$Q$9,0))/mill_conv</f>
        <v>0</v>
      </c>
      <c r="I31" s="104">
        <f>-INDEX(Consol!$I$15:$Q$82,MATCH($C$26&amp;$C31,Consol!$D$15:$D$82,0), MATCH(I$29, Consol!$I$9:$Q$9,0))/mill_conv</f>
        <v>0</v>
      </c>
      <c r="J31" s="104">
        <f>-INDEX(Consol!$I$15:$Q$82,MATCH($C$26&amp;$C31,Consol!$D$15:$D$82,0), MATCH(J$29, Consol!$I$9:$Q$9,0))/mill_conv</f>
        <v>0</v>
      </c>
      <c r="K31" s="184"/>
      <c r="L31" s="184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233</v>
      </c>
      <c r="D37" s="28"/>
      <c r="E37" s="28"/>
      <c r="F37" s="392" t="s">
        <v>239</v>
      </c>
      <c r="G37" s="362"/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216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</row>
    <row r="66" spans="3:13" s="8" customFormat="1" ht="12.75" x14ac:dyDescent="0.2">
      <c r="C66" s="255" t="s">
        <v>220</v>
      </c>
      <c r="D66" s="183">
        <f>output_dollars</f>
        <v>46203</v>
      </c>
      <c r="E66" s="183"/>
      <c r="F66" s="256" t="str">
        <f>Sensitivity_calcs!C89</f>
        <v>Option 1 (base case)</v>
      </c>
      <c r="G66" s="256" t="str">
        <f>Sensitivity_calcs!D89</f>
        <v>Option 2</v>
      </c>
      <c r="H66" s="256" t="str">
        <f>Sensitivity_calcs!E89</f>
        <v>Option 3</v>
      </c>
      <c r="I66" s="256" t="str">
        <f>Sensitivity_calcs!F89</f>
        <v>Option 4</v>
      </c>
      <c r="J66" s="256" t="str">
        <f>Sensitivity_calcs!G89</f>
        <v>Option 5</v>
      </c>
      <c r="K66" s="260"/>
      <c r="L66" s="285" t="s">
        <v>218</v>
      </c>
      <c r="M66" s="260"/>
    </row>
    <row r="67" spans="3:13" s="8" customFormat="1" ht="12.75" x14ac:dyDescent="0.2">
      <c r="C67" s="283" t="str">
        <f>Sensitivity_calcs!B90</f>
        <v>None</v>
      </c>
      <c r="D67" s="263"/>
      <c r="E67" s="263"/>
      <c r="F67" s="284">
        <f>Sensitivity_calcs!C90</f>
        <v>0</v>
      </c>
      <c r="G67" s="284">
        <f>Sensitivity_calcs!D90</f>
        <v>0.67155508348925796</v>
      </c>
      <c r="H67" s="284">
        <f>Sensitivity_calcs!E90</f>
        <v>-0.4621014589968222</v>
      </c>
      <c r="I67" s="284" t="str">
        <f>Sensitivity_calcs!F90</f>
        <v/>
      </c>
      <c r="J67" s="284" t="str">
        <f>Sensitivity_calcs!G90</f>
        <v/>
      </c>
      <c r="K67" s="254"/>
      <c r="L67" s="286" t="str">
        <f>Sensitivity_calcs!K90</f>
        <v>Option 2</v>
      </c>
      <c r="M67" s="254"/>
    </row>
    <row r="68" spans="3:13" s="8" customFormat="1" ht="12.75" x14ac:dyDescent="0.2">
      <c r="C68" s="262" t="str">
        <f>Sensitivity_calcs!B91</f>
        <v>Capex 10% higher</v>
      </c>
      <c r="D68" s="262"/>
      <c r="E68" s="262"/>
      <c r="F68" s="276">
        <f>Sensitivity_calcs!C91</f>
        <v>0</v>
      </c>
      <c r="G68" s="271">
        <f>Sensitivity_calcs!D91</f>
        <v>0.29819536428335203</v>
      </c>
      <c r="H68" s="271">
        <f>Sensitivity_calcs!E91</f>
        <v>-0.814143753836162</v>
      </c>
      <c r="I68" s="271" t="str">
        <f>Sensitivity_calcs!F91</f>
        <v/>
      </c>
      <c r="J68" s="271" t="str">
        <f>Sensitivity_calcs!G91</f>
        <v/>
      </c>
      <c r="K68" s="254"/>
      <c r="L68" s="279" t="str">
        <f>Sensitivity_calcs!K91</f>
        <v>Option 2</v>
      </c>
      <c r="M68" s="254"/>
    </row>
    <row r="69" spans="3:13" s="8" customFormat="1" ht="12.75" x14ac:dyDescent="0.2">
      <c r="C69" s="262" t="str">
        <f>Sensitivity_calcs!B92</f>
        <v>Capex 10% lower</v>
      </c>
      <c r="D69" s="262"/>
      <c r="E69" s="262"/>
      <c r="F69" s="277">
        <f>Sensitivity_calcs!C92</f>
        <v>0</v>
      </c>
      <c r="G69" s="272">
        <f>Sensitivity_calcs!D92</f>
        <v>1.0449148026951636</v>
      </c>
      <c r="H69" s="272">
        <f>Sensitivity_calcs!E92</f>
        <v>-0.11005916415748246</v>
      </c>
      <c r="I69" s="272" t="str">
        <f>Sensitivity_calcs!F92</f>
        <v/>
      </c>
      <c r="J69" s="272" t="str">
        <f>Sensitivity_calcs!G92</f>
        <v/>
      </c>
      <c r="K69" s="254"/>
      <c r="L69" s="279" t="str">
        <f>Sensitivity_calcs!K92</f>
        <v>Option 2</v>
      </c>
      <c r="M69" s="254"/>
    </row>
    <row r="70" spans="3:13" s="8" customFormat="1" ht="12.75" x14ac:dyDescent="0.2">
      <c r="C70" s="262" t="str">
        <f>Sensitivity_calcs!B93</f>
        <v>Total benefits 10% higher</v>
      </c>
      <c r="D70" s="262"/>
      <c r="E70" s="262"/>
      <c r="F70" s="277">
        <f>Sensitivity_calcs!C93</f>
        <v>0</v>
      </c>
      <c r="G70" s="272">
        <f>Sensitivity_calcs!D93</f>
        <v>1.1120703110440893</v>
      </c>
      <c r="H70" s="272">
        <f>Sensitivity_calcs!E93</f>
        <v>-0.15626931005716485</v>
      </c>
      <c r="I70" s="272" t="str">
        <f>Sensitivity_calcs!F93</f>
        <v/>
      </c>
      <c r="J70" s="272" t="str">
        <f>Sensitivity_calcs!G93</f>
        <v/>
      </c>
      <c r="K70" s="254"/>
      <c r="L70" s="279" t="str">
        <f>Sensitivity_calcs!K93</f>
        <v>Option 2</v>
      </c>
      <c r="M70" s="254"/>
    </row>
    <row r="71" spans="3:13" s="8" customFormat="1" ht="12.75" x14ac:dyDescent="0.2">
      <c r="C71" s="262" t="str">
        <f>Sensitivity_calcs!B94</f>
        <v>Total benefits 10% lower</v>
      </c>
      <c r="D71" s="262"/>
      <c r="E71" s="262"/>
      <c r="F71" s="277">
        <f>Sensitivity_calcs!C94</f>
        <v>0</v>
      </c>
      <c r="G71" s="272">
        <f>Sensitivity_calcs!D94</f>
        <v>0.23103985593442625</v>
      </c>
      <c r="H71" s="272">
        <f>Sensitivity_calcs!E94</f>
        <v>-0.76793360793647947</v>
      </c>
      <c r="I71" s="272" t="str">
        <f>Sensitivity_calcs!F94</f>
        <v/>
      </c>
      <c r="J71" s="272" t="str">
        <f>Sensitivity_calcs!G94</f>
        <v/>
      </c>
      <c r="K71" s="254"/>
      <c r="L71" s="279" t="str">
        <f>Sensitivity_calcs!K94</f>
        <v>Option 2</v>
      </c>
      <c r="M71" s="254"/>
    </row>
    <row r="72" spans="3:13" s="8" customFormat="1" ht="12.75" x14ac:dyDescent="0.2">
      <c r="C72" s="262" t="str">
        <f>Sensitivity_calcs!B95</f>
        <v>Capex 10% higher &amp; Total benefits 10% lower</v>
      </c>
      <c r="D72" s="262"/>
      <c r="E72" s="262"/>
      <c r="F72" s="277">
        <f>Sensitivity_calcs!C95</f>
        <v>0</v>
      </c>
      <c r="G72" s="272">
        <f>Sensitivity_calcs!D95</f>
        <v>-0.14231986327147966</v>
      </c>
      <c r="H72" s="272">
        <f>Sensitivity_calcs!E95</f>
        <v>-1.1199759027758194</v>
      </c>
      <c r="I72" s="272" t="str">
        <f>Sensitivity_calcs!F95</f>
        <v/>
      </c>
      <c r="J72" s="272" t="str">
        <f>Sensitivity_calcs!G95</f>
        <v/>
      </c>
      <c r="K72" s="254"/>
      <c r="L72" s="279" t="str">
        <f>Sensitivity_calcs!K95</f>
        <v>Option 1 (base case)</v>
      </c>
      <c r="M72" s="254"/>
    </row>
    <row r="73" spans="3:13" s="8" customFormat="1" ht="12.75" x14ac:dyDescent="0.2">
      <c r="C73" s="262">
        <f>Sensitivity_calcs!B96</f>
        <v>0</v>
      </c>
      <c r="D73" s="262"/>
      <c r="E73" s="262"/>
      <c r="F73" s="277" t="str">
        <f>Sensitivity_calcs!C96</f>
        <v/>
      </c>
      <c r="G73" s="272" t="str">
        <f>Sensitivity_calcs!D96</f>
        <v/>
      </c>
      <c r="H73" s="272" t="str">
        <f>Sensitivity_calcs!E96</f>
        <v/>
      </c>
      <c r="I73" s="272" t="str">
        <f>Sensitivity_calcs!F96</f>
        <v/>
      </c>
      <c r="J73" s="272" t="str">
        <f>Sensitivity_calcs!G96</f>
        <v/>
      </c>
      <c r="K73" s="254"/>
      <c r="L73" s="279" t="str">
        <f>Sensitivity_calcs!K96</f>
        <v/>
      </c>
      <c r="M73" s="254"/>
    </row>
    <row r="74" spans="3:13" s="8" customFormat="1" ht="12.75" x14ac:dyDescent="0.2">
      <c r="C74" s="262">
        <f>Sensitivity_calcs!B97</f>
        <v>0</v>
      </c>
      <c r="D74" s="257"/>
      <c r="E74" s="257"/>
      <c r="F74" s="277" t="str">
        <f>Sensitivity_calcs!C97</f>
        <v/>
      </c>
      <c r="G74" s="272" t="str">
        <f>Sensitivity_calcs!D97</f>
        <v/>
      </c>
      <c r="H74" s="272" t="str">
        <f>Sensitivity_calcs!E97</f>
        <v/>
      </c>
      <c r="I74" s="272" t="str">
        <f>Sensitivity_calcs!F97</f>
        <v/>
      </c>
      <c r="J74" s="272" t="str">
        <f>Sensitivity_calcs!G97</f>
        <v/>
      </c>
      <c r="K74" s="264">
        <f>IF(C74=0,0, INDEX($F$66:$J$66, MATCH(MAX($F74:$I74),$F74:$I74,0)))</f>
        <v>0</v>
      </c>
      <c r="L74" s="279" t="str">
        <f>Sensitivity_calcs!K97</f>
        <v/>
      </c>
    </row>
    <row r="75" spans="3:13" s="8" customFormat="1" ht="12.75" x14ac:dyDescent="0.2">
      <c r="D75" s="262">
        <f>Sensitivity_calcs!B98</f>
        <v>0</v>
      </c>
      <c r="E75" s="262"/>
      <c r="F75" s="277" t="str">
        <f>Sensitivity_calcs!C98</f>
        <v/>
      </c>
      <c r="G75" s="272" t="str">
        <f>Sensitivity_calcs!D98</f>
        <v/>
      </c>
      <c r="H75" s="272" t="str">
        <f>Sensitivity_calcs!E98</f>
        <v/>
      </c>
      <c r="I75" s="272" t="str">
        <f>Sensitivity_calcs!F98</f>
        <v/>
      </c>
      <c r="J75" s="272" t="str">
        <f>Sensitivity_calcs!G98</f>
        <v/>
      </c>
      <c r="K75" s="254"/>
      <c r="L75" s="279" t="str">
        <f>Sensitivity_calcs!K98</f>
        <v/>
      </c>
      <c r="M75" s="254"/>
    </row>
    <row r="76" spans="3:13" s="8" customFormat="1" ht="12.75" x14ac:dyDescent="0.2">
      <c r="D76" s="262">
        <f>Sensitivity_calcs!B99</f>
        <v>0</v>
      </c>
      <c r="E76" s="262"/>
      <c r="F76" s="278"/>
      <c r="G76" s="104"/>
      <c r="H76" s="104"/>
      <c r="I76" s="104"/>
      <c r="J76" s="104"/>
      <c r="K76" s="254"/>
      <c r="L76" s="254"/>
    </row>
    <row r="77" spans="3:13" s="8" customFormat="1" ht="12.75" x14ac:dyDescent="0.2">
      <c r="F77" s="261"/>
      <c r="G77" s="104"/>
      <c r="H77" s="104"/>
      <c r="I77" s="104"/>
      <c r="J77" s="104"/>
    </row>
    <row r="78" spans="3:13" s="8" customFormat="1" ht="12.75" x14ac:dyDescent="0.2">
      <c r="F78" s="261"/>
      <c r="G78" s="261"/>
      <c r="H78" s="261"/>
      <c r="I78" s="261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2"/>
      <c r="E81" s="242"/>
      <c r="F81" s="242"/>
    </row>
    <row r="82" spans="4:6" s="8" customFormat="1" ht="12.75" x14ac:dyDescent="0.2">
      <c r="D82" s="242"/>
      <c r="E82" s="242"/>
      <c r="F82" s="242"/>
    </row>
    <row r="83" spans="4:6" s="8" customFormat="1" ht="12.75" hidden="1" x14ac:dyDescent="0.2">
      <c r="D83" s="242"/>
      <c r="E83" s="242"/>
      <c r="F83" s="242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EW switchboard and relay replacement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43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406" t="s">
        <v>313</v>
      </c>
      <c r="F8" s="406"/>
      <c r="G8" s="406"/>
      <c r="H8" s="406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407" t="s">
        <v>58</v>
      </c>
      <c r="F14" s="407"/>
      <c r="G14" s="407"/>
      <c r="H14" s="407"/>
      <c r="I14" s="407"/>
      <c r="J14" s="407"/>
      <c r="K14" s="407"/>
      <c r="L14"/>
    </row>
    <row r="15" spans="1:16" s="1" customFormat="1" ht="12.75" customHeight="1" x14ac:dyDescent="0.2">
      <c r="C15" s="61" t="str">
        <v>Option 2</v>
      </c>
      <c r="D15" s="61"/>
      <c r="E15" s="408" t="s">
        <v>314</v>
      </c>
      <c r="F15" s="408"/>
      <c r="G15" s="408"/>
      <c r="H15" s="408"/>
      <c r="I15" s="408"/>
      <c r="J15" s="408"/>
      <c r="K15" s="408"/>
      <c r="L15"/>
    </row>
    <row r="16" spans="1:16" s="1" customFormat="1" ht="12.75" customHeight="1" x14ac:dyDescent="0.2">
      <c r="C16" s="61" t="str">
        <v>Option 3</v>
      </c>
      <c r="D16" s="61"/>
      <c r="E16" s="408" t="s">
        <v>315</v>
      </c>
      <c r="F16" s="408"/>
      <c r="G16" s="408"/>
      <c r="H16" s="408"/>
      <c r="I16" s="408"/>
      <c r="J16" s="408"/>
      <c r="K16" s="408"/>
      <c r="L16"/>
    </row>
    <row r="17" spans="1:16" s="1" customFormat="1" ht="12.75" customHeight="1" x14ac:dyDescent="0.2">
      <c r="C17" s="61" t="str">
        <v>Option 4</v>
      </c>
      <c r="D17" s="61"/>
      <c r="E17" s="408"/>
      <c r="F17" s="408"/>
      <c r="G17" s="408"/>
      <c r="H17" s="408"/>
      <c r="I17" s="408"/>
      <c r="J17" s="408"/>
      <c r="K17" s="408"/>
      <c r="L17"/>
    </row>
    <row r="18" spans="1:16" s="1" customFormat="1" ht="12.75" customHeight="1" x14ac:dyDescent="0.2">
      <c r="C18" s="61" t="str">
        <v>Option 5</v>
      </c>
      <c r="D18" s="61"/>
      <c r="E18" s="408"/>
      <c r="F18" s="408"/>
      <c r="G18" s="408"/>
      <c r="H18" s="408"/>
      <c r="I18" s="408"/>
      <c r="J18" s="408"/>
      <c r="K18" s="408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88" t="s">
        <v>223</v>
      </c>
      <c r="D20"/>
      <c r="E20" s="289" t="s">
        <v>226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237</v>
      </c>
      <c r="E22" s="294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182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183</v>
      </c>
      <c r="G28" s="300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1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196</v>
      </c>
      <c r="G31" s="302">
        <v>20</v>
      </c>
      <c r="H31" s="68" t="s">
        <v>197</v>
      </c>
    </row>
    <row r="32" spans="1:16" s="1" customFormat="1" x14ac:dyDescent="0.2"/>
    <row r="33" spans="1:20" s="1" customFormat="1" x14ac:dyDescent="0.2">
      <c r="C33" s="1" t="s">
        <v>32</v>
      </c>
      <c r="G33" s="303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19">
        <v>45291</v>
      </c>
      <c r="H34" s="68" t="s">
        <v>72</v>
      </c>
      <c r="J34" s="68"/>
    </row>
    <row r="35" spans="1:20" s="1" customFormat="1" ht="13.5" x14ac:dyDescent="0.25">
      <c r="C35" s="1" t="s">
        <v>240</v>
      </c>
      <c r="G35" s="301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7" customFormat="1" x14ac:dyDescent="0.2">
      <c r="A41" s="126"/>
      <c r="B41" s="126"/>
      <c r="C41" s="1" t="s">
        <v>245</v>
      </c>
      <c r="D41" s="238" t="s">
        <v>246</v>
      </c>
      <c r="E41" s="322" t="s">
        <v>316</v>
      </c>
      <c r="F41" s="323"/>
      <c r="G41" s="324" t="s">
        <v>317</v>
      </c>
      <c r="H41" s="130">
        <v>32343.394611205291</v>
      </c>
      <c r="I41" s="325" t="s">
        <v>215</v>
      </c>
      <c r="J41" s="126"/>
      <c r="M41" s="126"/>
      <c r="N41" s="126"/>
      <c r="O41" s="126"/>
      <c r="P41" s="126"/>
      <c r="Q41" s="126"/>
      <c r="R41" s="126"/>
      <c r="S41" s="126"/>
      <c r="T41" s="126"/>
    </row>
    <row r="42" spans="1:20" s="127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6"/>
      <c r="N42" s="126"/>
      <c r="O42" s="126"/>
      <c r="P42" s="126"/>
      <c r="Q42" s="126"/>
      <c r="R42" s="126"/>
      <c r="S42" s="126"/>
      <c r="T42" s="126"/>
    </row>
    <row r="43" spans="1:20" s="127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6"/>
      <c r="N43" s="126"/>
      <c r="O43" s="126"/>
      <c r="P43" s="126"/>
      <c r="Q43" s="126"/>
      <c r="R43" s="126"/>
      <c r="S43" s="126"/>
      <c r="T43" s="126"/>
    </row>
    <row r="45" spans="1:20" ht="15" x14ac:dyDescent="0.2">
      <c r="A45" s="18" t="s">
        <v>149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174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148</v>
      </c>
      <c r="G50" s="304">
        <v>5400000</v>
      </c>
      <c r="H50" s="69">
        <v>45107</v>
      </c>
    </row>
    <row r="52" spans="3:8" x14ac:dyDescent="0.2">
      <c r="C52" s="8" t="s">
        <v>165</v>
      </c>
      <c r="G52" s="162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2">
        <f>Data!F85</f>
        <v>1</v>
      </c>
    </row>
    <row r="56" spans="3:8" x14ac:dyDescent="0.2">
      <c r="C56" s="8" t="str">
        <f>Data!B86</f>
        <v>Harm to property from bushfire</v>
      </c>
      <c r="G56" s="302">
        <f>Data!F86</f>
        <v>1</v>
      </c>
    </row>
    <row r="57" spans="3:8" x14ac:dyDescent="0.2">
      <c r="C57" s="8" t="str">
        <f>Data!B87</f>
        <v>Harm to environment</v>
      </c>
      <c r="G57" s="302">
        <f>Data!F87</f>
        <v>1</v>
      </c>
    </row>
    <row r="58" spans="3:8" x14ac:dyDescent="0.2">
      <c r="C58" s="8" t="str">
        <f>Data!B88</f>
        <v>Safety - Public trespass</v>
      </c>
      <c r="G58" s="302">
        <f>Data!F88</f>
        <v>1</v>
      </c>
    </row>
    <row r="59" spans="3:8" x14ac:dyDescent="0.2">
      <c r="C59" s="8" t="str">
        <f>Data!B89</f>
        <v>Safety - Single fatality or serious injury ^</v>
      </c>
      <c r="G59" s="302">
        <f>Data!F89</f>
        <v>3</v>
      </c>
    </row>
    <row r="60" spans="3:8" x14ac:dyDescent="0.2">
      <c r="C60" s="8" t="str">
        <f>Data!B90</f>
        <v>Safety from bushfire in HBRA</v>
      </c>
      <c r="G60" s="302">
        <f>Data!F90</f>
        <v>3</v>
      </c>
    </row>
    <row r="61" spans="3:8" x14ac:dyDescent="0.2">
      <c r="C61" s="8" t="str">
        <f>Data!B91</f>
        <v>Safety - Multiple fatality or serious injury ^</v>
      </c>
      <c r="G61" s="302">
        <f>Data!F91</f>
        <v>6</v>
      </c>
    </row>
    <row r="62" spans="3:8" x14ac:dyDescent="0.2">
      <c r="C62" s="8" t="str">
        <f>Data!B92</f>
        <v>Safety from bushfire (REFCL declared areas)</v>
      </c>
      <c r="G62" s="302">
        <f>Data!F92</f>
        <v>6</v>
      </c>
    </row>
    <row r="63" spans="3:8" x14ac:dyDescent="0.2">
      <c r="C63" s="8" t="str">
        <f>Data!B93</f>
        <v>Safety from bushfire (electric line construction areas)</v>
      </c>
      <c r="G63" s="302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181</v>
      </c>
      <c r="D69" s="59"/>
      <c r="E69" s="59"/>
      <c r="F69" s="59"/>
      <c r="G69" s="155" t="s">
        <v>68</v>
      </c>
      <c r="H69" s="155" t="s">
        <v>166</v>
      </c>
      <c r="I69" s="155" t="s">
        <v>180</v>
      </c>
      <c r="J69" s="154" t="s">
        <v>184</v>
      </c>
      <c r="K69" s="155"/>
      <c r="L69" s="155"/>
      <c r="M69" s="155"/>
    </row>
    <row r="70" spans="2:16" x14ac:dyDescent="0.2">
      <c r="C70" s="8" t="s">
        <v>167</v>
      </c>
      <c r="G70" s="156">
        <f>G50*INDEX(hy_escalation, MATCH(input_dollars,hy_dates,0))/INDEX(hy_escalation, MATCH(H50,hy_dates,0))</f>
        <v>5607473.5197347086</v>
      </c>
      <c r="H70" s="161">
        <v>0</v>
      </c>
      <c r="I70" s="163">
        <v>0</v>
      </c>
      <c r="J70" s="403">
        <v>0</v>
      </c>
      <c r="K70" s="404"/>
      <c r="L70" s="404"/>
      <c r="M70" s="405"/>
    </row>
    <row r="71" spans="2:16" x14ac:dyDescent="0.2">
      <c r="C71" s="8" t="s">
        <v>168</v>
      </c>
      <c r="G71" s="156">
        <f>G52*INDEX(hy_escalation, MATCH(input_dollars,hy_dates,0))/INDEX(hy_escalation, MATCH(H52,hy_dates,0))</f>
        <v>0</v>
      </c>
      <c r="H71" s="160">
        <v>0</v>
      </c>
      <c r="I71" s="163">
        <v>0</v>
      </c>
      <c r="J71" s="403">
        <v>0</v>
      </c>
      <c r="K71" s="404"/>
      <c r="L71" s="404"/>
      <c r="M71" s="405"/>
    </row>
    <row r="72" spans="2:16" x14ac:dyDescent="0.2">
      <c r="I72" s="159"/>
      <c r="M72"/>
    </row>
    <row r="73" spans="2:16" x14ac:dyDescent="0.2">
      <c r="G73" s="164"/>
    </row>
    <row r="74" spans="2:16" x14ac:dyDescent="0.2">
      <c r="C74" s="82"/>
    </row>
    <row r="77" spans="2:16" x14ac:dyDescent="0.2">
      <c r="B77" s="30" t="s">
        <v>175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169</v>
      </c>
      <c r="G78" s="152">
        <v>0</v>
      </c>
      <c r="H78" s="69">
        <f>input_dollars</f>
        <v>45291</v>
      </c>
    </row>
    <row r="79" spans="2:16" x14ac:dyDescent="0.2">
      <c r="C79" s="8" t="s">
        <v>170</v>
      </c>
      <c r="G79" s="152">
        <v>0</v>
      </c>
      <c r="H79" s="69">
        <f>input_dollars</f>
        <v>45291</v>
      </c>
    </row>
    <row r="81" spans="1:16" x14ac:dyDescent="0.2">
      <c r="C81" s="8" t="s">
        <v>171</v>
      </c>
      <c r="G81" s="157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176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5">
        <v>2.4730486797759084E-2</v>
      </c>
      <c r="L90" s="305">
        <v>2.2340740091772258E-2</v>
      </c>
      <c r="M90" s="305">
        <v>2.0196329122153123E-2</v>
      </c>
      <c r="N90" s="305">
        <v>1.806294207659629E-2</v>
      </c>
      <c r="O90" s="305">
        <v>1.5913397615084226E-2</v>
      </c>
      <c r="P90" s="305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177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4">
        <v>0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4">
        <v>38560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4">
        <v>862.60284529259377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5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5">
        <v>0.34750851315331577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5">
        <v>0.34750851315331577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5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5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217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69"/>
      <c r="C110" s="296"/>
      <c r="D110" s="59"/>
      <c r="E110" s="297"/>
      <c r="F110" s="296"/>
      <c r="G110" s="296" t="s">
        <v>17</v>
      </c>
      <c r="H110" s="296" t="s">
        <v>241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5"/>
      <c r="G111" s="306">
        <v>0.1</v>
      </c>
      <c r="H111" s="306">
        <v>0</v>
      </c>
      <c r="I111" s="259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5"/>
      <c r="G112" s="306">
        <v>-0.1</v>
      </c>
      <c r="H112" s="306">
        <v>0</v>
      </c>
      <c r="I112" s="259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5"/>
      <c r="G113" s="307">
        <v>0</v>
      </c>
      <c r="H113" s="306">
        <v>0.1</v>
      </c>
      <c r="I113" s="259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5"/>
      <c r="G114" s="307">
        <v>0</v>
      </c>
      <c r="H114" s="306">
        <v>-0.1</v>
      </c>
      <c r="I114" s="259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5"/>
      <c r="G115" s="306">
        <v>0.1</v>
      </c>
      <c r="H115" s="306">
        <v>-0.1</v>
      </c>
      <c r="I115" s="259"/>
      <c r="J115"/>
      <c r="K115"/>
      <c r="L115"/>
      <c r="M115"/>
      <c r="N115"/>
      <c r="O115"/>
      <c r="P115"/>
    </row>
    <row r="116" spans="2:16" x14ac:dyDescent="0.2">
      <c r="E116" s="265"/>
      <c r="H116"/>
      <c r="I116"/>
      <c r="J116"/>
      <c r="K116"/>
      <c r="L116"/>
      <c r="M116"/>
      <c r="N116"/>
      <c r="O116"/>
      <c r="P116"/>
    </row>
    <row r="117" spans="2:16" x14ac:dyDescent="0.2">
      <c r="E117" s="258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7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B36" sqref="B36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43" ht="18.75" x14ac:dyDescent="0.3">
      <c r="A2" s="56" t="str">
        <f>proj</f>
        <v>EW switchboard and relay replacement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43" ht="15.75" x14ac:dyDescent="0.25">
      <c r="A3" s="201" t="s">
        <v>142</v>
      </c>
      <c r="B3" s="5"/>
      <c r="C3" s="133"/>
      <c r="D3" s="94"/>
    </row>
    <row r="4" spans="1:43" x14ac:dyDescent="0.2">
      <c r="A4" s="165"/>
      <c r="B4" s="185"/>
      <c r="C4" s="236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9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">
        <v>92</v>
      </c>
      <c r="B6" s="97"/>
      <c r="C6" s="98"/>
      <c r="D6" s="97"/>
      <c r="E6" s="99"/>
      <c r="F6" s="99"/>
      <c r="G6" s="99"/>
      <c r="H6" s="149">
        <v>0</v>
      </c>
      <c r="I6" s="100">
        <f t="shared" ref="I6:AG6" si="0">H6+1</f>
        <v>1</v>
      </c>
      <c r="J6" s="100">
        <f t="shared" si="0"/>
        <v>2</v>
      </c>
      <c r="K6" s="100">
        <f t="shared" si="0"/>
        <v>3</v>
      </c>
      <c r="L6" s="100">
        <f t="shared" si="0"/>
        <v>4</v>
      </c>
      <c r="M6" s="100">
        <f t="shared" si="0"/>
        <v>5</v>
      </c>
      <c r="N6" s="100">
        <f t="shared" si="0"/>
        <v>6</v>
      </c>
      <c r="O6" s="100">
        <f t="shared" si="0"/>
        <v>7</v>
      </c>
      <c r="P6" s="100">
        <f t="shared" si="0"/>
        <v>8</v>
      </c>
      <c r="Q6" s="100">
        <f t="shared" si="0"/>
        <v>9</v>
      </c>
      <c r="R6" s="100">
        <f t="shared" si="0"/>
        <v>10</v>
      </c>
      <c r="S6" s="100">
        <f t="shared" si="0"/>
        <v>11</v>
      </c>
      <c r="T6" s="100">
        <f t="shared" si="0"/>
        <v>12</v>
      </c>
      <c r="U6" s="100">
        <f t="shared" si="0"/>
        <v>13</v>
      </c>
      <c r="V6" s="100">
        <f t="shared" si="0"/>
        <v>14</v>
      </c>
      <c r="W6" s="100">
        <f t="shared" si="0"/>
        <v>15</v>
      </c>
      <c r="X6" s="100">
        <f t="shared" si="0"/>
        <v>16</v>
      </c>
      <c r="Y6" s="100">
        <f t="shared" si="0"/>
        <v>17</v>
      </c>
      <c r="Z6" s="100">
        <f t="shared" si="0"/>
        <v>18</v>
      </c>
      <c r="AA6" s="100">
        <f t="shared" si="0"/>
        <v>19</v>
      </c>
      <c r="AB6" s="100">
        <f t="shared" si="0"/>
        <v>20</v>
      </c>
      <c r="AC6" s="100">
        <f t="shared" si="0"/>
        <v>21</v>
      </c>
      <c r="AD6" s="100">
        <f t="shared" si="0"/>
        <v>22</v>
      </c>
      <c r="AE6" s="100">
        <f t="shared" si="0"/>
        <v>23</v>
      </c>
      <c r="AF6" s="100">
        <f t="shared" si="0"/>
        <v>24</v>
      </c>
      <c r="AG6" s="100">
        <f t="shared" si="0"/>
        <v>25</v>
      </c>
    </row>
    <row r="7" spans="1:43" hidden="1" outlineLevel="1" x14ac:dyDescent="0.2">
      <c r="A7" s="97" t="s">
        <v>127</v>
      </c>
      <c r="B7" s="97"/>
      <c r="G7" s="158" t="s">
        <v>63</v>
      </c>
      <c r="I7" s="98">
        <f>IF(ISBLANK(Assumptions!K90), H7,Assumptions!K90*thous_conv)</f>
        <v>24.730486797759085</v>
      </c>
      <c r="J7" s="98">
        <f>IF(ISBLANK(Assumptions!L90), I7,Assumptions!L90*thous_conv)</f>
        <v>22.340740091772258</v>
      </c>
      <c r="K7" s="98">
        <f>IF(ISBLANK(Assumptions!M90), J7,Assumptions!M90*thous_conv)</f>
        <v>20.196329122153124</v>
      </c>
      <c r="L7" s="98">
        <f>IF(ISBLANK(Assumptions!N90), K7,Assumptions!N90*thous_conv)</f>
        <v>18.06294207659629</v>
      </c>
      <c r="M7" s="98">
        <f>IF(ISBLANK(Assumptions!O90), L7,Assumptions!O90*thous_conv)</f>
        <v>15.913397615084225</v>
      </c>
      <c r="N7" s="98">
        <f>IF(ISBLANK(Assumptions!P90), M7,Assumptions!P90*thous_conv)</f>
        <v>13.715069432539002</v>
      </c>
      <c r="O7" s="98">
        <f>IF(ISBLANK(Assumptions!Q90), N7,Assumptions!Q90*thous_conv)</f>
        <v>13.715069432539002</v>
      </c>
      <c r="P7" s="98">
        <f>IF(ISBLANK(Assumptions!R90), O7,Assumptions!R90*thous_conv)</f>
        <v>13.715069432539002</v>
      </c>
      <c r="Q7" s="98">
        <f>IF(ISBLANK(Assumptions!S90), P7,Assumptions!S90*thous_conv)</f>
        <v>13.715069432539002</v>
      </c>
      <c r="R7" s="98">
        <f>IF(ISBLANK(Assumptions!T90), Q7,Assumptions!T90*thous_conv)</f>
        <v>13.715069432539002</v>
      </c>
      <c r="S7" s="98">
        <f>IF(ISBLANK(Assumptions!U90), R7,Assumptions!U90*thous_conv)</f>
        <v>13.715069432539002</v>
      </c>
      <c r="T7" s="98">
        <f>IF(ISBLANK(Assumptions!V90), S7,Assumptions!V90*thous_conv)</f>
        <v>13.715069432539002</v>
      </c>
      <c r="U7" s="98">
        <f>IF(ISBLANK(Assumptions!W90), T7,Assumptions!W90*thous_conv)</f>
        <v>13.715069432539002</v>
      </c>
      <c r="V7" s="98">
        <f>IF(ISBLANK(Assumptions!X90), U7,Assumptions!X90*thous_conv)</f>
        <v>13.715069432539002</v>
      </c>
      <c r="W7" s="98">
        <f>IF(ISBLANK(Assumptions!Y90), V7,Assumptions!Y90*thous_conv)</f>
        <v>13.715069432539002</v>
      </c>
      <c r="X7" s="98">
        <f>IF(ISBLANK(Assumptions!Z90), W7,Assumptions!Z90*thous_conv)</f>
        <v>13.715069432539002</v>
      </c>
      <c r="Y7" s="98">
        <f>IF(ISBLANK(Assumptions!AA90), X7,Assumptions!AA90*thous_conv)</f>
        <v>13.715069432539002</v>
      </c>
      <c r="Z7" s="98">
        <f>IF(ISBLANK(Assumptions!AB90), Y7,Assumptions!AB90*thous_conv)</f>
        <v>13.715069432539002</v>
      </c>
      <c r="AA7" s="98">
        <f>IF(ISBLANK(Assumptions!AC90), Z7,Assumptions!AC90*thous_conv)</f>
        <v>13.715069432539002</v>
      </c>
      <c r="AB7" s="98">
        <f>IF(ISBLANK(Assumptions!AD90), AA7,Assumptions!AD90*thous_conv)</f>
        <v>13.715069432539002</v>
      </c>
      <c r="AC7" s="98">
        <f>IF(ISBLANK(Assumptions!AE90), AB7,Assumptions!AE90*thous_conv)</f>
        <v>13.715069432539002</v>
      </c>
      <c r="AD7" s="98">
        <f>IF(ISBLANK(Assumptions!AF90), AC7,Assumptions!AF90*thous_conv)</f>
        <v>13.715069432539002</v>
      </c>
      <c r="AE7" s="98">
        <f>IF(ISBLANK(Assumptions!AG90), AD7,Assumptions!AG90*thous_conv)</f>
        <v>13.715069432539002</v>
      </c>
      <c r="AF7" s="98">
        <f>IF(ISBLANK(Assumptions!AH90), AE7,Assumptions!AH90*thous_conv)</f>
        <v>13.715069432539002</v>
      </c>
      <c r="AG7" s="98">
        <f>IF(ISBLANK(Assumptions!AI90), AF7,Assumptions!AI90*thous_conv)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79"/>
      <c r="B9" s="179"/>
      <c r="C9" s="179"/>
      <c r="D9" s="179"/>
      <c r="E9" s="179"/>
      <c r="F9" s="180"/>
      <c r="G9" s="179" t="s">
        <v>25</v>
      </c>
      <c r="H9" s="318">
        <f>DATE(LEFT(I9,4), 6,30)</f>
        <v>46203</v>
      </c>
      <c r="I9" s="181" t="str">
        <f>start</f>
        <v>2026-27</v>
      </c>
      <c r="J9" s="181" t="str">
        <f t="shared" ref="J9:AG9" si="1">LEFT(I9,4)+1&amp;"-"&amp;RIGHT(I9,2)+1</f>
        <v>2027-28</v>
      </c>
      <c r="K9" s="181" t="str">
        <f t="shared" si="1"/>
        <v>2028-29</v>
      </c>
      <c r="L9" s="181" t="str">
        <f t="shared" si="1"/>
        <v>2029-30</v>
      </c>
      <c r="M9" s="181" t="str">
        <f t="shared" si="1"/>
        <v>2030-31</v>
      </c>
      <c r="N9" s="181" t="str">
        <f t="shared" si="1"/>
        <v>2031-32</v>
      </c>
      <c r="O9" s="181" t="str">
        <f t="shared" si="1"/>
        <v>2032-33</v>
      </c>
      <c r="P9" s="181" t="str">
        <f t="shared" si="1"/>
        <v>2033-34</v>
      </c>
      <c r="Q9" s="181" t="str">
        <f t="shared" si="1"/>
        <v>2034-35</v>
      </c>
      <c r="R9" s="181" t="str">
        <f t="shared" si="1"/>
        <v>2035-36</v>
      </c>
      <c r="S9" s="181" t="str">
        <f t="shared" si="1"/>
        <v>2036-37</v>
      </c>
      <c r="T9" s="181" t="str">
        <f t="shared" si="1"/>
        <v>2037-38</v>
      </c>
      <c r="U9" s="181" t="str">
        <f t="shared" si="1"/>
        <v>2038-39</v>
      </c>
      <c r="V9" s="181" t="str">
        <f t="shared" si="1"/>
        <v>2039-40</v>
      </c>
      <c r="W9" s="181" t="str">
        <f t="shared" si="1"/>
        <v>2040-41</v>
      </c>
      <c r="X9" s="181" t="str">
        <f t="shared" si="1"/>
        <v>2041-42</v>
      </c>
      <c r="Y9" s="181" t="str">
        <f t="shared" si="1"/>
        <v>2042-43</v>
      </c>
      <c r="Z9" s="181" t="str">
        <f t="shared" si="1"/>
        <v>2043-44</v>
      </c>
      <c r="AA9" s="181" t="str">
        <f t="shared" si="1"/>
        <v>2044-45</v>
      </c>
      <c r="AB9" s="181" t="str">
        <f t="shared" si="1"/>
        <v>2045-46</v>
      </c>
      <c r="AC9" s="181" t="str">
        <f t="shared" si="1"/>
        <v>2046-47</v>
      </c>
      <c r="AD9" s="181" t="str">
        <f t="shared" si="1"/>
        <v>2047-48</v>
      </c>
      <c r="AE9" s="181" t="str">
        <f t="shared" si="1"/>
        <v>2048-49</v>
      </c>
      <c r="AF9" s="181" t="str">
        <f t="shared" si="1"/>
        <v>2049-50</v>
      </c>
      <c r="AG9" s="181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2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</row>
    <row r="12" spans="1:43" x14ac:dyDescent="0.2">
      <c r="A12" s="3"/>
      <c r="B12" s="3"/>
      <c r="C12" s="3"/>
      <c r="D12" s="3"/>
      <c r="G12" s="203"/>
    </row>
    <row r="13" spans="1:43" x14ac:dyDescent="0.2">
      <c r="C13" s="3" t="s">
        <v>17</v>
      </c>
      <c r="D13"/>
      <c r="E13" s="125" t="s">
        <v>69</v>
      </c>
      <c r="G13" s="204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6">
        <v>0</v>
      </c>
      <c r="G14" s="205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6">
        <v>0</v>
      </c>
      <c r="G15" s="205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6">
        <v>0</v>
      </c>
      <c r="G16" s="205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5">
        <f>input_dollars</f>
        <v>45291</v>
      </c>
      <c r="H17" s="106"/>
      <c r="I17" s="105">
        <f t="shared" ref="I17:AB17" si="2">SUM(I14:I16)</f>
        <v>0</v>
      </c>
      <c r="J17" s="105">
        <f t="shared" si="2"/>
        <v>0</v>
      </c>
      <c r="K17" s="105">
        <f t="shared" si="2"/>
        <v>0</v>
      </c>
      <c r="L17" s="105">
        <f t="shared" si="2"/>
        <v>0</v>
      </c>
      <c r="M17" s="105">
        <f t="shared" si="2"/>
        <v>0</v>
      </c>
      <c r="N17" s="105">
        <f t="shared" si="2"/>
        <v>0</v>
      </c>
      <c r="O17" s="105">
        <f t="shared" si="2"/>
        <v>0</v>
      </c>
      <c r="P17" s="105">
        <f t="shared" si="2"/>
        <v>0</v>
      </c>
      <c r="Q17" s="105">
        <f t="shared" si="2"/>
        <v>0</v>
      </c>
      <c r="R17" s="105">
        <f t="shared" si="2"/>
        <v>0</v>
      </c>
      <c r="S17" s="105">
        <f t="shared" si="2"/>
        <v>0</v>
      </c>
      <c r="T17" s="105">
        <f t="shared" si="2"/>
        <v>0</v>
      </c>
      <c r="U17" s="105">
        <f t="shared" si="2"/>
        <v>0</v>
      </c>
      <c r="V17" s="105">
        <f t="shared" si="2"/>
        <v>0</v>
      </c>
      <c r="W17" s="105">
        <f t="shared" si="2"/>
        <v>0</v>
      </c>
      <c r="X17" s="105">
        <f t="shared" si="2"/>
        <v>0</v>
      </c>
      <c r="Y17" s="105">
        <f t="shared" si="2"/>
        <v>0</v>
      </c>
      <c r="Z17" s="105">
        <f t="shared" si="2"/>
        <v>0</v>
      </c>
      <c r="AA17" s="105">
        <f t="shared" si="2"/>
        <v>0</v>
      </c>
      <c r="AB17" s="105">
        <f t="shared" si="2"/>
        <v>0</v>
      </c>
      <c r="AC17" s="105">
        <f>SUM(AC14:AC16)</f>
        <v>0</v>
      </c>
      <c r="AD17" s="105">
        <f>SUM(AD14:AD16)</f>
        <v>0</v>
      </c>
      <c r="AE17" s="105">
        <f>SUM(AE14:AE16)</f>
        <v>0</v>
      </c>
      <c r="AF17" s="105">
        <f>SUM(AF14:AF16)</f>
        <v>0</v>
      </c>
      <c r="AG17" s="105">
        <f>SUM(AG14:AG16)</f>
        <v>0</v>
      </c>
    </row>
    <row r="18" spans="1:43" x14ac:dyDescent="0.2">
      <c r="C18"/>
      <c r="D18"/>
      <c r="E18"/>
      <c r="G18" s="204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05">
        <f>input_dollars</f>
        <v>45291</v>
      </c>
      <c r="H19" s="106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3"/>
    </row>
    <row r="21" spans="1:43" x14ac:dyDescent="0.2">
      <c r="C21"/>
      <c r="D21"/>
      <c r="E21"/>
      <c r="G21" s="204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2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06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151</v>
      </c>
      <c r="D24" s="110"/>
      <c r="E24" s="110"/>
      <c r="F24" s="110"/>
      <c r="G24" s="206"/>
      <c r="H24" s="110"/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35">
        <v>0</v>
      </c>
      <c r="O24" s="135">
        <v>0</v>
      </c>
      <c r="P24" s="135">
        <v>0</v>
      </c>
      <c r="Q24" s="135">
        <v>0</v>
      </c>
      <c r="R24" s="135">
        <v>0</v>
      </c>
      <c r="S24" s="135">
        <v>0</v>
      </c>
      <c r="T24" s="135">
        <v>0</v>
      </c>
      <c r="U24" s="135">
        <v>0</v>
      </c>
      <c r="V24" s="135">
        <v>0</v>
      </c>
      <c r="W24" s="135">
        <v>0</v>
      </c>
      <c r="X24" s="135">
        <v>0</v>
      </c>
      <c r="Y24" s="135">
        <v>0</v>
      </c>
      <c r="Z24" s="135">
        <v>0</v>
      </c>
      <c r="AA24" s="135">
        <v>0</v>
      </c>
      <c r="AB24" s="135">
        <v>0</v>
      </c>
      <c r="AC24" s="135">
        <v>0</v>
      </c>
      <c r="AD24" s="135">
        <v>0</v>
      </c>
      <c r="AE24" s="135">
        <v>0</v>
      </c>
      <c r="AF24" s="135">
        <v>0</v>
      </c>
      <c r="AG24" s="135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152</v>
      </c>
      <c r="D25" s="206"/>
      <c r="E25" s="110"/>
      <c r="F25" s="110"/>
      <c r="G25" s="206"/>
      <c r="H25" s="110"/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06"/>
      <c r="E26" s="110"/>
      <c r="F26" s="110"/>
      <c r="G26" s="206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3"/>
      <c r="E27"/>
      <c r="G27" s="205" t="s">
        <v>40</v>
      </c>
      <c r="H27"/>
      <c r="I27" s="166">
        <v>0</v>
      </c>
      <c r="J27" s="166">
        <v>0</v>
      </c>
      <c r="K27" s="166">
        <v>0</v>
      </c>
      <c r="L27" s="166">
        <v>0</v>
      </c>
      <c r="M27" s="166">
        <v>0</v>
      </c>
      <c r="N27" s="166">
        <v>0</v>
      </c>
      <c r="O27" s="166">
        <v>0</v>
      </c>
      <c r="P27" s="166">
        <v>0</v>
      </c>
      <c r="Q27" s="166">
        <v>0</v>
      </c>
      <c r="R27" s="166">
        <v>0</v>
      </c>
      <c r="S27" s="166">
        <v>0</v>
      </c>
      <c r="T27" s="166">
        <v>0</v>
      </c>
      <c r="U27" s="166">
        <v>0</v>
      </c>
      <c r="V27" s="166">
        <v>0</v>
      </c>
      <c r="W27" s="166">
        <v>0</v>
      </c>
      <c r="X27" s="166">
        <v>0</v>
      </c>
      <c r="Y27" s="166">
        <v>0</v>
      </c>
      <c r="Z27" s="166">
        <v>0</v>
      </c>
      <c r="AA27" s="166">
        <v>0</v>
      </c>
      <c r="AB27" s="166">
        <v>0</v>
      </c>
      <c r="AC27" s="166">
        <v>0</v>
      </c>
      <c r="AD27" s="166">
        <v>0</v>
      </c>
      <c r="AE27" s="166">
        <v>0</v>
      </c>
      <c r="AF27" s="166">
        <v>0</v>
      </c>
      <c r="AG27" s="166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3" t="s">
        <v>63</v>
      </c>
      <c r="E28" s="112">
        <f>Assumptions!H41*vcr_esc</f>
        <v>32343.394611205291</v>
      </c>
      <c r="F28" s="236" t="str">
        <f>IF(AND(SUM(I27:AG27)&lt;&gt;0, E28=0), "!", "")</f>
        <v/>
      </c>
      <c r="G28" s="205">
        <f>input_dollars</f>
        <v>45291</v>
      </c>
      <c r="H28"/>
      <c r="I28" s="166">
        <f>Workings_risks!E26</f>
        <v>222256.96867206943</v>
      </c>
      <c r="J28" s="166">
        <f>Workings_risks!F26</f>
        <v>230621.38648150995</v>
      </c>
      <c r="K28" s="166">
        <f>Workings_risks!G26</f>
        <v>241294.44166172019</v>
      </c>
      <c r="L28" s="166">
        <f>Workings_risks!H26</f>
        <v>248349.4867482394</v>
      </c>
      <c r="M28" s="166">
        <f>Workings_risks!I26</f>
        <v>254614.95232464667</v>
      </c>
      <c r="N28" s="166">
        <f>Workings_risks!J26</f>
        <v>263098.52452627284</v>
      </c>
      <c r="O28" s="166">
        <f>Workings_risks!K26</f>
        <v>273717.52520323062</v>
      </c>
      <c r="P28" s="166">
        <f>Workings_risks!L26</f>
        <v>285474.77105949185</v>
      </c>
      <c r="Q28" s="166">
        <f>Workings_risks!M26</f>
        <v>293271.86350174382</v>
      </c>
      <c r="R28" s="166">
        <f>Workings_risks!N26</f>
        <v>295168.98899935716</v>
      </c>
      <c r="S28" s="166">
        <f>Workings_risks!O26</f>
        <v>297038.31108728325</v>
      </c>
      <c r="T28" s="166">
        <f>Workings_risks!P26</f>
        <v>299004.00692623947</v>
      </c>
      <c r="U28" s="166">
        <f>Workings_risks!Q26</f>
        <v>301061.60501340928</v>
      </c>
      <c r="V28" s="166">
        <f>Workings_risks!R26</f>
        <v>303206.07204789831</v>
      </c>
      <c r="W28" s="166">
        <f>Workings_risks!S26</f>
        <v>305431.79189703061</v>
      </c>
      <c r="X28" s="166">
        <f>Workings_risks!T26</f>
        <v>307732.54866703006</v>
      </c>
      <c r="Y28" s="166">
        <f>Workings_risks!U26</f>
        <v>310101.51445197721</v>
      </c>
      <c r="Z28" s="166">
        <f>Workings_risks!V26</f>
        <v>312531.24234548234</v>
      </c>
      <c r="AA28" s="166">
        <f>Workings_risks!W26</f>
        <v>315013.66529962776</v>
      </c>
      <c r="AB28" s="166">
        <f>Workings_risks!X26</f>
        <v>317540.1014038045</v>
      </c>
      <c r="AC28" s="166">
        <f>Workings_risks!Y26</f>
        <v>320101.26613060164</v>
      </c>
      <c r="AD28" s="166">
        <f>Workings_risks!Z26</f>
        <v>322687.29205551423</v>
      </c>
      <c r="AE28" s="166">
        <f>Workings_risks!AA26</f>
        <v>325287.75650075637</v>
      </c>
      <c r="AF28" s="166">
        <f>Workings_risks!AB26</f>
        <v>327891.71748001571</v>
      </c>
      <c r="AG28" s="166">
        <f>Workings_risks!AC26</f>
        <v>330487.7582300505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4"/>
      <c r="E29"/>
      <c r="G29" s="205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Workings_risks!D27</f>
        <v>Safety risk</v>
      </c>
      <c r="D30" s="203" t="s">
        <v>208</v>
      </c>
      <c r="G30" s="205">
        <f>input_dollars</f>
        <v>45291</v>
      </c>
      <c r="H30" s="147"/>
      <c r="I30" s="32">
        <f>Workings_risks!E27</f>
        <v>449.8280408554495</v>
      </c>
      <c r="J30" s="32">
        <f>Workings_risks!F27</f>
        <v>495.02330532000599</v>
      </c>
      <c r="K30" s="32">
        <f>Workings_risks!G27</f>
        <v>546.1300614025165</v>
      </c>
      <c r="L30" s="32">
        <f>Workings_risks!H27</f>
        <v>603.0858044341727</v>
      </c>
      <c r="M30" s="32">
        <f>Workings_risks!I27</f>
        <v>665.8121361599616</v>
      </c>
      <c r="N30" s="32">
        <f>Workings_risks!J27</f>
        <v>734.21308879473349</v>
      </c>
      <c r="O30" s="32">
        <f>Workings_risks!K27</f>
        <v>808.17351908028525</v>
      </c>
      <c r="P30" s="32">
        <f>Workings_risks!L27</f>
        <v>887.55758730036655</v>
      </c>
      <c r="Q30" s="32">
        <f>Workings_risks!M27</f>
        <v>972.20733735471435</v>
      </c>
      <c r="R30" s="32">
        <f>Workings_risks!N27</f>
        <v>1061.9413949909049</v>
      </c>
      <c r="S30" s="32">
        <f>Workings_risks!O27</f>
        <v>1156.5538021181355</v>
      </c>
      <c r="T30" s="32">
        <f>Workings_risks!P27</f>
        <v>1255.8130057530534</v>
      </c>
      <c r="U30" s="32">
        <f>Workings_risks!Q27</f>
        <v>1359.4610205472627</v>
      </c>
      <c r="V30" s="32">
        <f>Workings_risks!R27</f>
        <v>1467.2127839917885</v>
      </c>
      <c r="W30" s="32">
        <f>Workings_risks!S27</f>
        <v>1578.7557232591626</v>
      </c>
      <c r="X30" s="32">
        <f>Workings_risks!T27</f>
        <v>1693.7495522036643</v>
      </c>
      <c r="Y30" s="32">
        <f>Workings_risks!U27</f>
        <v>1811.8263162716098</v>
      </c>
      <c r="Z30" s="32">
        <f>Workings_risks!V27</f>
        <v>1932.590701956191</v>
      </c>
      <c r="AA30" s="32">
        <f>Workings_risks!W27</f>
        <v>2055.620625948728</v>
      </c>
      <c r="AB30" s="32">
        <f>Workings_risks!X27</f>
        <v>2180.4681172782966</v>
      </c>
      <c r="AC30" s="32">
        <f>Workings_risks!Y27</f>
        <v>2306.6605034876952</v>
      </c>
      <c r="AD30" s="32">
        <f>Workings_risks!Z27</f>
        <v>2433.7019092652472</v>
      </c>
      <c r="AE30" s="32">
        <f>Workings_risks!AA27</f>
        <v>2561.0750729449287</v>
      </c>
      <c r="AF30" s="32">
        <f>Workings_risks!AB27</f>
        <v>2688.2434829158819</v>
      </c>
      <c r="AG30" s="32">
        <f>Workings_risks!AC27</f>
        <v>2814.6538322683987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Workings_risks!D28</f>
        <v>Unplanned replacement</v>
      </c>
      <c r="D31" s="204"/>
      <c r="E31"/>
      <c r="G31" s="205">
        <f>input_dollars</f>
        <v>45291</v>
      </c>
      <c r="H31" s="147"/>
      <c r="I31" s="32">
        <f>Workings_risks!E28</f>
        <v>14021.537377661332</v>
      </c>
      <c r="J31" s="32">
        <f>Workings_risks!F28</f>
        <v>14320.793152048565</v>
      </c>
      <c r="K31" s="32">
        <f>Workings_risks!G28</f>
        <v>14659.191257449302</v>
      </c>
      <c r="L31" s="32">
        <f>Workings_risks!H28</f>
        <v>15036.317825656579</v>
      </c>
      <c r="M31" s="32">
        <f>Workings_risks!I28</f>
        <v>15451.653750724399</v>
      </c>
      <c r="N31" s="32">
        <f>Workings_risks!J28</f>
        <v>15904.56359187813</v>
      </c>
      <c r="O31" s="32">
        <f>Workings_risks!K28</f>
        <v>16394.284939929388</v>
      </c>
      <c r="P31" s="32">
        <f>Workings_risks!L28</f>
        <v>16919.91834623105</v>
      </c>
      <c r="Q31" s="32">
        <f>Workings_risks!M28</f>
        <v>17480.417920784166</v>
      </c>
      <c r="R31" s="32">
        <f>Workings_risks!N28</f>
        <v>18074.582712714662</v>
      </c>
      <c r="S31" s="32">
        <f>Workings_risks!O28</f>
        <v>18701.048991802454</v>
      </c>
      <c r="T31" s="32">
        <f>Workings_risks!P28</f>
        <v>19358.283553890746</v>
      </c>
      <c r="U31" s="32">
        <f>Workings_risks!Q28</f>
        <v>20044.578175648414</v>
      </c>
      <c r="V31" s="32">
        <f>Workings_risks!R28</f>
        <v>20758.045345122977</v>
      </c>
      <c r="W31" s="32">
        <f>Workings_risks!S28</f>
        <v>21496.615393630243</v>
      </c>
      <c r="X31" s="32">
        <f>Workings_risks!T28</f>
        <v>22258.035151612348</v>
      </c>
      <c r="Y31" s="32">
        <f>Workings_risks!U28</f>
        <v>23039.868246006616</v>
      </c>
      <c r="Z31" s="32">
        <f>Workings_risks!V28</f>
        <v>23839.497149268798</v>
      </c>
      <c r="AA31" s="32">
        <f>Workings_risks!W28</f>
        <v>24654.127080377235</v>
      </c>
      <c r="AB31" s="32">
        <f>Workings_risks!X28</f>
        <v>25480.791845829226</v>
      </c>
      <c r="AC31" s="32">
        <f>Workings_risks!Y28</f>
        <v>26316.361693782696</v>
      </c>
      <c r="AD31" s="32">
        <f>Workings_risks!Z28</f>
        <v>27157.553237091808</v>
      </c>
      <c r="AE31" s="32">
        <f>Workings_risks!AA28</f>
        <v>28000.941481074929</v>
      </c>
      <c r="AF31" s="32">
        <f>Workings_risks!AB28</f>
        <v>28842.973969529448</v>
      </c>
      <c r="AG31" s="32">
        <f>Workings_risks!AC28</f>
        <v>29679.987037916617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Workings_risks!D29</f>
        <v>Unplanned fault</v>
      </c>
      <c r="D32" s="203" t="s">
        <v>208</v>
      </c>
      <c r="E32"/>
      <c r="G32" s="205">
        <f>input_dollars</f>
        <v>45291</v>
      </c>
      <c r="H32"/>
      <c r="I32" s="32">
        <f>Workings_risks!E29</f>
        <v>504.05</v>
      </c>
      <c r="J32" s="32">
        <f>Workings_risks!F29</f>
        <v>504.05</v>
      </c>
      <c r="K32" s="32">
        <f>Workings_risks!G29</f>
        <v>504.05</v>
      </c>
      <c r="L32" s="32">
        <f>Workings_risks!H29</f>
        <v>504.05</v>
      </c>
      <c r="M32" s="32">
        <f>Workings_risks!I29</f>
        <v>504.05</v>
      </c>
      <c r="N32" s="32">
        <f>Workings_risks!J29</f>
        <v>504.05</v>
      </c>
      <c r="O32" s="32">
        <f>Workings_risks!K29</f>
        <v>504.05</v>
      </c>
      <c r="P32" s="32">
        <f>Workings_risks!L29</f>
        <v>504.05</v>
      </c>
      <c r="Q32" s="32">
        <f>Workings_risks!M29</f>
        <v>504.05</v>
      </c>
      <c r="R32" s="32">
        <f>Workings_risks!N29</f>
        <v>504.05</v>
      </c>
      <c r="S32" s="32">
        <f>Workings_risks!O29</f>
        <v>504.05</v>
      </c>
      <c r="T32" s="32">
        <f>Workings_risks!P29</f>
        <v>504.05</v>
      </c>
      <c r="U32" s="32">
        <f>Workings_risks!Q29</f>
        <v>504.05</v>
      </c>
      <c r="V32" s="32">
        <f>Workings_risks!R29</f>
        <v>504.05</v>
      </c>
      <c r="W32" s="32">
        <f>Workings_risks!S29</f>
        <v>504.05</v>
      </c>
      <c r="X32" s="32">
        <f>Workings_risks!T29</f>
        <v>504.05</v>
      </c>
      <c r="Y32" s="32">
        <f>Workings_risks!U29</f>
        <v>504.05</v>
      </c>
      <c r="Z32" s="32">
        <f>Workings_risks!V29</f>
        <v>504.05</v>
      </c>
      <c r="AA32" s="32">
        <f>Workings_risks!W29</f>
        <v>504.05</v>
      </c>
      <c r="AB32" s="32">
        <f>Workings_risks!X29</f>
        <v>504.05</v>
      </c>
      <c r="AC32" s="32">
        <f>Workings_risks!Y29</f>
        <v>504.05</v>
      </c>
      <c r="AD32" s="32">
        <f>Workings_risks!Z29</f>
        <v>504.05</v>
      </c>
      <c r="AE32" s="32">
        <f>Workings_risks!AA29</f>
        <v>504.05</v>
      </c>
      <c r="AF32" s="32">
        <f>Workings_risks!AB29</f>
        <v>504.05</v>
      </c>
      <c r="AG32" s="32">
        <f>Workings_risks!AC29</f>
        <v>504.05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2" t="s">
        <v>173</v>
      </c>
      <c r="D33" s="217"/>
      <c r="E33"/>
      <c r="G33" s="205">
        <f>input_dollars</f>
        <v>45291</v>
      </c>
      <c r="H33"/>
      <c r="I33" s="363">
        <v>0</v>
      </c>
      <c r="J33" s="363">
        <v>0</v>
      </c>
      <c r="K33" s="363">
        <v>0</v>
      </c>
      <c r="L33" s="363">
        <v>0</v>
      </c>
      <c r="M33" s="363">
        <v>0</v>
      </c>
      <c r="N33" s="363">
        <v>0</v>
      </c>
      <c r="O33" s="363">
        <v>0</v>
      </c>
      <c r="P33" s="363">
        <v>0</v>
      </c>
      <c r="Q33" s="363">
        <v>0</v>
      </c>
      <c r="R33" s="363">
        <v>0</v>
      </c>
      <c r="S33" s="363">
        <v>0</v>
      </c>
      <c r="T33" s="363">
        <v>0</v>
      </c>
      <c r="U33" s="363">
        <v>0</v>
      </c>
      <c r="V33" s="363">
        <v>0</v>
      </c>
      <c r="W33" s="363">
        <v>0</v>
      </c>
      <c r="X33" s="363">
        <v>0</v>
      </c>
      <c r="Y33" s="363">
        <v>0</v>
      </c>
      <c r="Z33" s="363">
        <v>0</v>
      </c>
      <c r="AA33" s="363">
        <v>0</v>
      </c>
      <c r="AB33" s="363">
        <v>0</v>
      </c>
      <c r="AC33" s="363">
        <v>0</v>
      </c>
      <c r="AD33" s="363">
        <v>0</v>
      </c>
      <c r="AE33" s="363">
        <v>0</v>
      </c>
      <c r="AF33" s="363">
        <v>0</v>
      </c>
      <c r="AG33" s="363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2" t="s">
        <v>173</v>
      </c>
      <c r="D34" s="204"/>
      <c r="E34"/>
      <c r="G34" s="205">
        <f>input_dollars</f>
        <v>45291</v>
      </c>
      <c r="H34"/>
      <c r="I34" s="363">
        <v>0</v>
      </c>
      <c r="J34" s="363">
        <v>0</v>
      </c>
      <c r="K34" s="363">
        <v>0</v>
      </c>
      <c r="L34" s="363">
        <v>0</v>
      </c>
      <c r="M34" s="363">
        <v>0</v>
      </c>
      <c r="N34" s="363">
        <v>0</v>
      </c>
      <c r="O34" s="363">
        <v>0</v>
      </c>
      <c r="P34" s="363">
        <v>0</v>
      </c>
      <c r="Q34" s="363">
        <v>0</v>
      </c>
      <c r="R34" s="363">
        <v>0</v>
      </c>
      <c r="S34" s="363">
        <v>0</v>
      </c>
      <c r="T34" s="363">
        <v>0</v>
      </c>
      <c r="U34" s="363">
        <v>0</v>
      </c>
      <c r="V34" s="363">
        <v>0</v>
      </c>
      <c r="W34" s="363">
        <v>0</v>
      </c>
      <c r="X34" s="363">
        <v>0</v>
      </c>
      <c r="Y34" s="363">
        <v>0</v>
      </c>
      <c r="Z34" s="363">
        <v>0</v>
      </c>
      <c r="AA34" s="363">
        <v>0</v>
      </c>
      <c r="AB34" s="363">
        <v>0</v>
      </c>
      <c r="AC34" s="363">
        <v>0</v>
      </c>
      <c r="AD34" s="363">
        <v>0</v>
      </c>
      <c r="AE34" s="363">
        <v>0</v>
      </c>
      <c r="AF34" s="363">
        <v>0</v>
      </c>
      <c r="AG34" s="363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4"/>
      <c r="E35"/>
      <c r="G35" s="20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6"/>
      <c r="E36" s="106"/>
      <c r="F36" s="3"/>
      <c r="G36" s="207"/>
      <c r="H36" s="106"/>
      <c r="I36" s="105">
        <f>SUM(I28:I34)</f>
        <v>237232.38409058619</v>
      </c>
      <c r="J36" s="105">
        <f t="shared" ref="J36:AB36" si="3">SUM(J28:J34)</f>
        <v>245941.25293887852</v>
      </c>
      <c r="K36" s="105">
        <f t="shared" si="3"/>
        <v>257003.81298057199</v>
      </c>
      <c r="L36" s="105">
        <f t="shared" si="3"/>
        <v>264492.94037833012</v>
      </c>
      <c r="M36" s="105">
        <f t="shared" si="3"/>
        <v>271236.468211531</v>
      </c>
      <c r="N36" s="105">
        <f t="shared" si="3"/>
        <v>280241.35120694566</v>
      </c>
      <c r="O36" s="105">
        <f t="shared" si="3"/>
        <v>291424.03366224025</v>
      </c>
      <c r="P36" s="105">
        <f t="shared" si="3"/>
        <v>303786.29699302325</v>
      </c>
      <c r="Q36" s="105">
        <f t="shared" si="3"/>
        <v>312228.53875988268</v>
      </c>
      <c r="R36" s="105">
        <f t="shared" si="3"/>
        <v>314809.56310706271</v>
      </c>
      <c r="S36" s="105">
        <f t="shared" si="3"/>
        <v>317399.96388120379</v>
      </c>
      <c r="T36" s="105">
        <f t="shared" si="3"/>
        <v>320122.15348588326</v>
      </c>
      <c r="U36" s="105">
        <f t="shared" si="3"/>
        <v>322969.69420960493</v>
      </c>
      <c r="V36" s="105">
        <f t="shared" si="3"/>
        <v>325935.38017701305</v>
      </c>
      <c r="W36" s="105">
        <f t="shared" si="3"/>
        <v>329011.21301392</v>
      </c>
      <c r="X36" s="105">
        <f t="shared" si="3"/>
        <v>332188.3833708461</v>
      </c>
      <c r="Y36" s="105">
        <f t="shared" si="3"/>
        <v>335457.25901425543</v>
      </c>
      <c r="Z36" s="105">
        <f t="shared" si="3"/>
        <v>338807.38019670732</v>
      </c>
      <c r="AA36" s="105">
        <f t="shared" si="3"/>
        <v>342227.4630059537</v>
      </c>
      <c r="AB36" s="105">
        <f t="shared" si="3"/>
        <v>345705.41136691201</v>
      </c>
      <c r="AC36" s="105">
        <f>SUM(AC28:AC34)</f>
        <v>349228.33832787198</v>
      </c>
      <c r="AD36" s="105">
        <f>SUM(AD28:AD34)</f>
        <v>352782.59720187128</v>
      </c>
      <c r="AE36" s="105">
        <f>SUM(AE28:AE34)</f>
        <v>356353.82305477624</v>
      </c>
      <c r="AF36" s="105">
        <f>SUM(AF28:AF34)</f>
        <v>359926.984932461</v>
      </c>
      <c r="AG36" s="105">
        <f>SUM(AG28:AG34)</f>
        <v>363486.44910023548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5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2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5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5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3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3" t="s">
        <v>104</v>
      </c>
      <c r="I42" s="31">
        <f t="shared" ref="I42:AG42" si="4">I41*I7</f>
        <v>0</v>
      </c>
      <c r="J42" s="31">
        <f t="shared" si="4"/>
        <v>0</v>
      </c>
      <c r="K42" s="31">
        <f t="shared" si="4"/>
        <v>0</v>
      </c>
      <c r="L42" s="31">
        <f t="shared" si="4"/>
        <v>0</v>
      </c>
      <c r="M42" s="31">
        <f t="shared" si="4"/>
        <v>0</v>
      </c>
      <c r="N42" s="31">
        <f t="shared" si="4"/>
        <v>0</v>
      </c>
      <c r="O42" s="31">
        <f t="shared" si="4"/>
        <v>0</v>
      </c>
      <c r="P42" s="31">
        <f t="shared" si="4"/>
        <v>0</v>
      </c>
      <c r="Q42" s="31">
        <f t="shared" si="4"/>
        <v>0</v>
      </c>
      <c r="R42" s="31">
        <f t="shared" si="4"/>
        <v>0</v>
      </c>
      <c r="S42" s="31">
        <f t="shared" si="4"/>
        <v>0</v>
      </c>
      <c r="T42" s="31">
        <f t="shared" si="4"/>
        <v>0</v>
      </c>
      <c r="U42" s="31">
        <f t="shared" si="4"/>
        <v>0</v>
      </c>
      <c r="V42" s="31">
        <f t="shared" si="4"/>
        <v>0</v>
      </c>
      <c r="W42" s="31">
        <f t="shared" si="4"/>
        <v>0</v>
      </c>
      <c r="X42" s="31">
        <f t="shared" si="4"/>
        <v>0</v>
      </c>
      <c r="Y42" s="31">
        <f t="shared" si="4"/>
        <v>0</v>
      </c>
      <c r="Z42" s="31">
        <f t="shared" si="4"/>
        <v>0</v>
      </c>
      <c r="AA42" s="31">
        <f t="shared" si="4"/>
        <v>0</v>
      </c>
      <c r="AB42" s="31">
        <f t="shared" si="4"/>
        <v>0</v>
      </c>
      <c r="AC42" s="31">
        <f t="shared" si="4"/>
        <v>0</v>
      </c>
      <c r="AD42" s="31">
        <f t="shared" si="4"/>
        <v>0</v>
      </c>
      <c r="AE42" s="31">
        <f t="shared" si="4"/>
        <v>0</v>
      </c>
      <c r="AF42" s="31">
        <f t="shared" si="4"/>
        <v>0</v>
      </c>
      <c r="AG42" s="31">
        <f t="shared" si="4"/>
        <v>0</v>
      </c>
    </row>
    <row r="43" spans="1:16372" x14ac:dyDescent="0.2">
      <c r="D43"/>
      <c r="E43"/>
      <c r="G43" s="205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4"/>
      <c r="E44"/>
      <c r="G44" s="205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3" t="s">
        <v>63</v>
      </c>
      <c r="E45" s="112">
        <f>Assumptions!G94</f>
        <v>0</v>
      </c>
      <c r="G45" s="205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3" t="s">
        <v>63</v>
      </c>
      <c r="E46" s="112">
        <f>Assumptions!G95</f>
        <v>38560</v>
      </c>
      <c r="G46" s="205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3" t="s">
        <v>63</v>
      </c>
      <c r="E47" s="111">
        <f>Assumptions!G96</f>
        <v>862.60284529259377</v>
      </c>
      <c r="G47" s="205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3" t="s">
        <v>126</v>
      </c>
      <c r="E48" s="111">
        <f>Assumptions!G97</f>
        <v>0</v>
      </c>
      <c r="G48" s="205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3" t="s">
        <v>206</v>
      </c>
      <c r="E49" s="111">
        <f>Assumptions!G98</f>
        <v>0.34750851315331577</v>
      </c>
      <c r="G49" s="205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3" t="s">
        <v>206</v>
      </c>
      <c r="E50" s="111">
        <f>Assumptions!G99</f>
        <v>0.34750851315331577</v>
      </c>
      <c r="G50" s="205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3" t="s">
        <v>126</v>
      </c>
      <c r="E51" s="111">
        <f>Assumptions!G100</f>
        <v>0</v>
      </c>
      <c r="G51" s="205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3" t="s">
        <v>126</v>
      </c>
      <c r="E52" s="111">
        <f>Assumptions!G101</f>
        <v>0</v>
      </c>
      <c r="G52" s="205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3"/>
      <c r="G53" s="205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3"/>
      <c r="G54" s="205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3"/>
      <c r="G55" s="205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3"/>
      <c r="G56" s="203"/>
    </row>
    <row r="57" spans="1:43" x14ac:dyDescent="0.2">
      <c r="C57" s="3" t="s">
        <v>125</v>
      </c>
      <c r="D57" s="216"/>
      <c r="E57" s="106"/>
      <c r="F57" s="3"/>
      <c r="G57" s="208">
        <f>input_dollars</f>
        <v>45291</v>
      </c>
      <c r="H57" s="106"/>
      <c r="I57" s="105" cm="1">
        <f t="array" ref="I57">SUMPRODUCT((I$45:I$52)*($E$45:$E$52))+SUM(I54:I55)+I42</f>
        <v>0</v>
      </c>
      <c r="J57" s="105" cm="1">
        <f t="array" ref="J57">SUMPRODUCT((J$45:J$52)*($E$45:$E$52))+SUM(J54:J55)+J42</f>
        <v>0</v>
      </c>
      <c r="K57" s="105" cm="1">
        <f t="array" ref="K57">SUMPRODUCT((K$45:K$52)*($E$45:$E$52))+SUM(K54:K55)+K42</f>
        <v>0</v>
      </c>
      <c r="L57" s="105" cm="1">
        <f t="array" ref="L57">SUMPRODUCT((L$45:L$52)*($E$45:$E$52))+SUM(L54:L55)+L42</f>
        <v>0</v>
      </c>
      <c r="M57" s="105" cm="1">
        <f t="array" ref="M57">SUMPRODUCT((M$45:M$52)*($E$45:$E$52))+SUM(M54:M55)+M42</f>
        <v>0</v>
      </c>
      <c r="N57" s="105" cm="1">
        <f t="array" ref="N57">SUMPRODUCT((N$45:N$52)*($E$45:$E$52))+SUM(N54:N55)+N42</f>
        <v>0</v>
      </c>
      <c r="O57" s="105" cm="1">
        <f t="array" ref="O57">SUMPRODUCT((O$45:O$52)*($E$45:$E$52))+SUM(O54:O55)+O42</f>
        <v>0</v>
      </c>
      <c r="P57" s="105" cm="1">
        <f t="array" ref="P57">SUMPRODUCT((P$45:P$52)*($E$45:$E$52))+SUM(P54:P55)+P42</f>
        <v>0</v>
      </c>
      <c r="Q57" s="105" cm="1">
        <f t="array" ref="Q57">SUMPRODUCT((Q$45:Q$52)*($E$45:$E$52))+SUM(Q54:Q55)+Q42</f>
        <v>0</v>
      </c>
      <c r="R57" s="105" cm="1">
        <f t="array" ref="R57">SUMPRODUCT((R$45:R$52)*($E$45:$E$52))+SUM(R54:R55)+R42</f>
        <v>0</v>
      </c>
      <c r="S57" s="105" cm="1">
        <f t="array" ref="S57">SUMPRODUCT((S$45:S$52)*($E$45:$E$52))+SUM(S54:S55)+S42</f>
        <v>0</v>
      </c>
      <c r="T57" s="105" cm="1">
        <f t="array" ref="T57">SUMPRODUCT((T$45:T$52)*($E$45:$E$52))+SUM(T54:T55)+T42</f>
        <v>0</v>
      </c>
      <c r="U57" s="105" cm="1">
        <f t="array" ref="U57">SUMPRODUCT((U$45:U$52)*($E$45:$E$52))+SUM(U54:U55)+U42</f>
        <v>0</v>
      </c>
      <c r="V57" s="105" cm="1">
        <f t="array" ref="V57">SUMPRODUCT((V$45:V$52)*($E$45:$E$52))+SUM(V54:V55)+V42</f>
        <v>0</v>
      </c>
      <c r="W57" s="105" cm="1">
        <f t="array" ref="W57">SUMPRODUCT((W$45:W$52)*($E$45:$E$52))+SUM(W54:W55)+W42</f>
        <v>0</v>
      </c>
      <c r="X57" s="105" cm="1">
        <f t="array" ref="X57">SUMPRODUCT((X$45:X$52)*($E$45:$E$52))+SUM(X54:X55)+X42</f>
        <v>0</v>
      </c>
      <c r="Y57" s="105" cm="1">
        <f t="array" ref="Y57">SUMPRODUCT((Y$45:Y$52)*($E$45:$E$52))+SUM(Y54:Y55)+Y42</f>
        <v>0</v>
      </c>
      <c r="Z57" s="105" cm="1">
        <f t="array" ref="Z57">SUMPRODUCT((Z$45:Z$52)*($E$45:$E$52))+SUM(Z54:Z55)+Z42</f>
        <v>0</v>
      </c>
      <c r="AA57" s="105" cm="1">
        <f t="array" ref="AA57">SUMPRODUCT((AA$45:AA$52)*($E$45:$E$52))+SUM(AA54:AA55)+AA42</f>
        <v>0</v>
      </c>
      <c r="AB57" s="105" cm="1">
        <f t="array" ref="AB57">SUMPRODUCT((AB$45:AB$52)*($E$45:$E$52))+SUM(AB54:AB55)+AB42</f>
        <v>0</v>
      </c>
      <c r="AC57" s="105" cm="1">
        <f t="array" ref="AC57">SUMPRODUCT((AC$45:AC$52)*($E$45:$E$52))+SUM(AC54:AC55)+AC42</f>
        <v>0</v>
      </c>
      <c r="AD57" s="105" cm="1">
        <f t="array" ref="AD57">SUMPRODUCT((AD$45:AD$52)*($E$45:$E$52))+SUM(AD54:AD55)+AD42</f>
        <v>0</v>
      </c>
      <c r="AE57" s="105" cm="1">
        <f t="array" ref="AE57">SUMPRODUCT((AE$45:AE$52)*($E$45:$E$52))+SUM(AE54:AE55)+AE42</f>
        <v>0</v>
      </c>
      <c r="AF57" s="105" cm="1">
        <f t="array" ref="AF57">SUMPRODUCT((AF$45:AF$52)*($E$45:$E$52))+SUM(AF54:AF55)+AF42</f>
        <v>0</v>
      </c>
      <c r="AG57" s="105" cm="1">
        <f t="array" ref="AG57">SUMPRODUCT((AG$45:AG$52)*($E$45:$E$52))+SUM(AG54:AG55)+AG42</f>
        <v>0</v>
      </c>
    </row>
    <row r="58" spans="1:43" x14ac:dyDescent="0.2">
      <c r="D58" s="203"/>
      <c r="G58" s="203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3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2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06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09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0"/>
    </row>
    <row r="64" spans="1:43" x14ac:dyDescent="0.2">
      <c r="C64" s="4" t="s">
        <v>121</v>
      </c>
      <c r="G64" s="208">
        <f>input_dollars</f>
        <v>45291</v>
      </c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</row>
    <row r="65" spans="1:33" x14ac:dyDescent="0.2">
      <c r="G65" s="210"/>
    </row>
    <row r="66" spans="1:33" x14ac:dyDescent="0.2">
      <c r="A66" s="8"/>
      <c r="B66" s="8"/>
      <c r="C66" s="145" t="s">
        <v>30</v>
      </c>
      <c r="D66" s="38"/>
      <c r="F66" s="96"/>
      <c r="G66" s="21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6"/>
      <c r="G67" s="208">
        <f>input_dollars</f>
        <v>45291</v>
      </c>
      <c r="H67" s="31"/>
      <c r="I67" s="118">
        <f t="shared" ref="I67:AG67" si="5">-I14</f>
        <v>0</v>
      </c>
      <c r="J67" s="118">
        <f t="shared" si="5"/>
        <v>0</v>
      </c>
      <c r="K67" s="118">
        <f t="shared" si="5"/>
        <v>0</v>
      </c>
      <c r="L67" s="118">
        <f t="shared" si="5"/>
        <v>0</v>
      </c>
      <c r="M67" s="118">
        <f t="shared" si="5"/>
        <v>0</v>
      </c>
      <c r="N67" s="118">
        <f t="shared" si="5"/>
        <v>0</v>
      </c>
      <c r="O67" s="118">
        <f t="shared" si="5"/>
        <v>0</v>
      </c>
      <c r="P67" s="118">
        <f t="shared" si="5"/>
        <v>0</v>
      </c>
      <c r="Q67" s="118">
        <f t="shared" si="5"/>
        <v>0</v>
      </c>
      <c r="R67" s="118">
        <f t="shared" si="5"/>
        <v>0</v>
      </c>
      <c r="S67" s="118">
        <f t="shared" si="5"/>
        <v>0</v>
      </c>
      <c r="T67" s="118">
        <f t="shared" si="5"/>
        <v>0</v>
      </c>
      <c r="U67" s="118">
        <f t="shared" si="5"/>
        <v>0</v>
      </c>
      <c r="V67" s="118">
        <f t="shared" si="5"/>
        <v>0</v>
      </c>
      <c r="W67" s="118">
        <f t="shared" si="5"/>
        <v>0</v>
      </c>
      <c r="X67" s="118">
        <f t="shared" si="5"/>
        <v>0</v>
      </c>
      <c r="Y67" s="118">
        <f t="shared" si="5"/>
        <v>0</v>
      </c>
      <c r="Z67" s="118">
        <f t="shared" si="5"/>
        <v>0</v>
      </c>
      <c r="AA67" s="118">
        <f t="shared" si="5"/>
        <v>0</v>
      </c>
      <c r="AB67" s="118">
        <f t="shared" si="5"/>
        <v>0</v>
      </c>
      <c r="AC67" s="118">
        <f t="shared" si="5"/>
        <v>0</v>
      </c>
      <c r="AD67" s="118">
        <f t="shared" si="5"/>
        <v>0</v>
      </c>
      <c r="AE67" s="118">
        <f t="shared" si="5"/>
        <v>0</v>
      </c>
      <c r="AF67" s="118">
        <f t="shared" si="5"/>
        <v>0</v>
      </c>
      <c r="AG67" s="118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6"/>
      <c r="G68" s="208">
        <f>input_dollars</f>
        <v>45291</v>
      </c>
      <c r="H68" s="31"/>
      <c r="I68" s="118">
        <f t="shared" ref="I68:AG68" si="6">-I15</f>
        <v>0</v>
      </c>
      <c r="J68" s="118">
        <f t="shared" si="6"/>
        <v>0</v>
      </c>
      <c r="K68" s="118">
        <f t="shared" si="6"/>
        <v>0</v>
      </c>
      <c r="L68" s="118">
        <f t="shared" si="6"/>
        <v>0</v>
      </c>
      <c r="M68" s="118">
        <f t="shared" si="6"/>
        <v>0</v>
      </c>
      <c r="N68" s="118">
        <f t="shared" si="6"/>
        <v>0</v>
      </c>
      <c r="O68" s="118">
        <f t="shared" si="6"/>
        <v>0</v>
      </c>
      <c r="P68" s="118">
        <f t="shared" si="6"/>
        <v>0</v>
      </c>
      <c r="Q68" s="118">
        <f t="shared" si="6"/>
        <v>0</v>
      </c>
      <c r="R68" s="118">
        <f t="shared" si="6"/>
        <v>0</v>
      </c>
      <c r="S68" s="118">
        <f t="shared" si="6"/>
        <v>0</v>
      </c>
      <c r="T68" s="118">
        <f t="shared" si="6"/>
        <v>0</v>
      </c>
      <c r="U68" s="118">
        <f t="shared" si="6"/>
        <v>0</v>
      </c>
      <c r="V68" s="118">
        <f t="shared" si="6"/>
        <v>0</v>
      </c>
      <c r="W68" s="118">
        <f t="shared" si="6"/>
        <v>0</v>
      </c>
      <c r="X68" s="118">
        <f t="shared" si="6"/>
        <v>0</v>
      </c>
      <c r="Y68" s="118">
        <f t="shared" si="6"/>
        <v>0</v>
      </c>
      <c r="Z68" s="118">
        <f t="shared" si="6"/>
        <v>0</v>
      </c>
      <c r="AA68" s="118">
        <f t="shared" si="6"/>
        <v>0</v>
      </c>
      <c r="AB68" s="118">
        <f t="shared" si="6"/>
        <v>0</v>
      </c>
      <c r="AC68" s="118">
        <f t="shared" si="6"/>
        <v>0</v>
      </c>
      <c r="AD68" s="118">
        <f t="shared" si="6"/>
        <v>0</v>
      </c>
      <c r="AE68" s="118">
        <f t="shared" si="6"/>
        <v>0</v>
      </c>
      <c r="AF68" s="118">
        <f t="shared" si="6"/>
        <v>0</v>
      </c>
      <c r="AG68" s="118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6"/>
      <c r="G69" s="208">
        <f>input_dollars</f>
        <v>45291</v>
      </c>
      <c r="H69" s="31"/>
      <c r="I69" s="118">
        <f t="shared" ref="I69:AG69" si="7">-I16</f>
        <v>0</v>
      </c>
      <c r="J69" s="118">
        <f t="shared" si="7"/>
        <v>0</v>
      </c>
      <c r="K69" s="118">
        <f t="shared" si="7"/>
        <v>0</v>
      </c>
      <c r="L69" s="118">
        <f t="shared" si="7"/>
        <v>0</v>
      </c>
      <c r="M69" s="118">
        <f t="shared" si="7"/>
        <v>0</v>
      </c>
      <c r="N69" s="118">
        <f t="shared" si="7"/>
        <v>0</v>
      </c>
      <c r="O69" s="118">
        <f t="shared" si="7"/>
        <v>0</v>
      </c>
      <c r="P69" s="118">
        <f t="shared" si="7"/>
        <v>0</v>
      </c>
      <c r="Q69" s="118">
        <f t="shared" si="7"/>
        <v>0</v>
      </c>
      <c r="R69" s="118">
        <f t="shared" si="7"/>
        <v>0</v>
      </c>
      <c r="S69" s="118">
        <f t="shared" si="7"/>
        <v>0</v>
      </c>
      <c r="T69" s="118">
        <f t="shared" si="7"/>
        <v>0</v>
      </c>
      <c r="U69" s="118">
        <f t="shared" si="7"/>
        <v>0</v>
      </c>
      <c r="V69" s="118">
        <f t="shared" si="7"/>
        <v>0</v>
      </c>
      <c r="W69" s="118">
        <f t="shared" si="7"/>
        <v>0</v>
      </c>
      <c r="X69" s="118">
        <f t="shared" si="7"/>
        <v>0</v>
      </c>
      <c r="Y69" s="118">
        <f t="shared" si="7"/>
        <v>0</v>
      </c>
      <c r="Z69" s="118">
        <f t="shared" si="7"/>
        <v>0</v>
      </c>
      <c r="AA69" s="118">
        <f t="shared" si="7"/>
        <v>0</v>
      </c>
      <c r="AB69" s="118">
        <f t="shared" si="7"/>
        <v>0</v>
      </c>
      <c r="AC69" s="118">
        <f t="shared" si="7"/>
        <v>0</v>
      </c>
      <c r="AD69" s="118">
        <f t="shared" si="7"/>
        <v>0</v>
      </c>
      <c r="AE69" s="118">
        <f t="shared" si="7"/>
        <v>0</v>
      </c>
      <c r="AF69" s="118">
        <f t="shared" si="7"/>
        <v>0</v>
      </c>
      <c r="AG69" s="118">
        <f t="shared" si="7"/>
        <v>0</v>
      </c>
    </row>
    <row r="70" spans="1:33" x14ac:dyDescent="0.2">
      <c r="A70" s="8"/>
      <c r="B70" s="8"/>
      <c r="C70" s="4"/>
      <c r="D70" s="38"/>
      <c r="F70" s="96"/>
      <c r="G70" s="212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">
      <c r="A71" s="8"/>
      <c r="B71" s="8"/>
      <c r="C71" s="145" t="s">
        <v>156</v>
      </c>
      <c r="D71" s="38"/>
      <c r="F71" s="96"/>
      <c r="G71" s="211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">
      <c r="A72" s="8"/>
      <c r="B72" s="8"/>
      <c r="C72" s="4" t="str">
        <f>C14</f>
        <v>&lt; Enter description &gt;</v>
      </c>
      <c r="D72" s="38"/>
      <c r="F72" s="96"/>
      <c r="G72" s="208">
        <f>input_dollars</f>
        <v>45291</v>
      </c>
      <c r="H72" s="31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0</v>
      </c>
      <c r="M72" s="118" cm="1">
        <f t="array" ref="M72">SUMPRODUCT(($I67:M67))-SUMPRODUCT(($I67:M67)*($I$6:M$6&lt;=(M$6-$E14)))</f>
        <v>0</v>
      </c>
      <c r="N72" s="118" cm="1">
        <f t="array" ref="N72">SUMPRODUCT(($I67:N67))-SUMPRODUCT(($I67:N67)*($I$6:N$6&lt;=(N$6-$E14)))</f>
        <v>0</v>
      </c>
      <c r="O72" s="118" cm="1">
        <f t="array" ref="O72">SUMPRODUCT(($I67:O67))-SUMPRODUCT(($I67:O67)*($I$6:O$6&lt;=(O$6-$E14)))</f>
        <v>0</v>
      </c>
      <c r="P72" s="118" cm="1">
        <f t="array" ref="P72">SUMPRODUCT(($I67:P67))-SUMPRODUCT(($I67:P67)*($I$6:P$6&lt;=(P$6-$E14)))</f>
        <v>0</v>
      </c>
      <c r="Q72" s="118" cm="1">
        <f t="array" ref="Q72">SUMPRODUCT(($I67:Q67))-SUMPRODUCT(($I67:Q67)*($I$6:Q$6&lt;=(Q$6-$E14)))</f>
        <v>0</v>
      </c>
      <c r="R72" s="118" cm="1">
        <f t="array" ref="R72">SUMPRODUCT(($I67:R67))-SUMPRODUCT(($I67:R67)*($I$6:R$6&lt;=(R$6-$E14)))</f>
        <v>0</v>
      </c>
      <c r="S72" s="118" cm="1">
        <f t="array" ref="S72">SUMPRODUCT(($I67:S67))-SUMPRODUCT(($I67:S67)*($I$6:S$6&lt;=(S$6-$E14)))</f>
        <v>0</v>
      </c>
      <c r="T72" s="118" cm="1">
        <f t="array" ref="T72">SUMPRODUCT(($I67:T67))-SUMPRODUCT(($I67:T67)*($I$6:T$6&lt;=(T$6-$E14)))</f>
        <v>0</v>
      </c>
      <c r="U72" s="118" cm="1">
        <f t="array" ref="U72">SUMPRODUCT(($I67:U67))-SUMPRODUCT(($I67:U67)*($I$6:U$6&lt;=(U$6-$E14)))</f>
        <v>0</v>
      </c>
      <c r="V72" s="118" cm="1">
        <f t="array" ref="V72">SUMPRODUCT(($I67:V67))-SUMPRODUCT(($I67:V67)*($I$6:V$6&lt;=(V$6-$E14)))</f>
        <v>0</v>
      </c>
      <c r="W72" s="118" cm="1">
        <f t="array" ref="W72">SUMPRODUCT(($I67:W67))-SUMPRODUCT(($I67:W67)*($I$6:W$6&lt;=(W$6-$E14)))</f>
        <v>0</v>
      </c>
      <c r="X72" s="118" cm="1">
        <f t="array" ref="X72">SUMPRODUCT(($I67:X67))-SUMPRODUCT(($I67:X67)*($I$6:X$6&lt;=(X$6-$E14)))</f>
        <v>0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6"/>
      <c r="G73" s="208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6"/>
      <c r="G74" s="208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6"/>
      <c r="G75" s="212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2">
      <c r="A76" s="8"/>
      <c r="B76" s="8"/>
      <c r="C76" s="145" t="s">
        <v>91</v>
      </c>
      <c r="D76" s="38"/>
      <c r="F76" s="96"/>
      <c r="G76" s="211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6"/>
      <c r="G77" s="208">
        <f>input_dollars</f>
        <v>45291</v>
      </c>
      <c r="H77" s="31"/>
      <c r="I77" s="118">
        <f t="shared" ref="I77:AG77" si="8">IF($E14=0,0,-PMT(real_disc, $E14,H72,))</f>
        <v>0</v>
      </c>
      <c r="J77" s="118">
        <f t="shared" si="8"/>
        <v>0</v>
      </c>
      <c r="K77" s="118">
        <f t="shared" si="8"/>
        <v>0</v>
      </c>
      <c r="L77" s="118">
        <f t="shared" si="8"/>
        <v>0</v>
      </c>
      <c r="M77" s="118">
        <f t="shared" si="8"/>
        <v>0</v>
      </c>
      <c r="N77" s="118">
        <f t="shared" si="8"/>
        <v>0</v>
      </c>
      <c r="O77" s="118">
        <f t="shared" si="8"/>
        <v>0</v>
      </c>
      <c r="P77" s="118">
        <f t="shared" si="8"/>
        <v>0</v>
      </c>
      <c r="Q77" s="118">
        <f t="shared" si="8"/>
        <v>0</v>
      </c>
      <c r="R77" s="118">
        <f t="shared" si="8"/>
        <v>0</v>
      </c>
      <c r="S77" s="118">
        <f t="shared" si="8"/>
        <v>0</v>
      </c>
      <c r="T77" s="118">
        <f t="shared" si="8"/>
        <v>0</v>
      </c>
      <c r="U77" s="118">
        <f t="shared" si="8"/>
        <v>0</v>
      </c>
      <c r="V77" s="118">
        <f t="shared" si="8"/>
        <v>0</v>
      </c>
      <c r="W77" s="118">
        <f t="shared" si="8"/>
        <v>0</v>
      </c>
      <c r="X77" s="118">
        <f t="shared" si="8"/>
        <v>0</v>
      </c>
      <c r="Y77" s="118">
        <f t="shared" si="8"/>
        <v>0</v>
      </c>
      <c r="Z77" s="118">
        <f t="shared" si="8"/>
        <v>0</v>
      </c>
      <c r="AA77" s="118">
        <f t="shared" si="8"/>
        <v>0</v>
      </c>
      <c r="AB77" s="118">
        <f t="shared" si="8"/>
        <v>0</v>
      </c>
      <c r="AC77" s="118">
        <f t="shared" si="8"/>
        <v>0</v>
      </c>
      <c r="AD77" s="118">
        <f t="shared" si="8"/>
        <v>0</v>
      </c>
      <c r="AE77" s="118">
        <f t="shared" si="8"/>
        <v>0</v>
      </c>
      <c r="AF77" s="118">
        <f t="shared" si="8"/>
        <v>0</v>
      </c>
      <c r="AG77" s="118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6"/>
      <c r="G78" s="208">
        <f>input_dollars</f>
        <v>45291</v>
      </c>
      <c r="H78" s="31"/>
      <c r="I78" s="118">
        <f t="shared" ref="I78:AG78" si="9">IF($E15=0,0,-PMT(real_disc, $E15,H73,))</f>
        <v>0</v>
      </c>
      <c r="J78" s="118">
        <f t="shared" si="9"/>
        <v>0</v>
      </c>
      <c r="K78" s="118">
        <f t="shared" si="9"/>
        <v>0</v>
      </c>
      <c r="L78" s="118">
        <f t="shared" si="9"/>
        <v>0</v>
      </c>
      <c r="M78" s="118">
        <f t="shared" si="9"/>
        <v>0</v>
      </c>
      <c r="N78" s="118">
        <f t="shared" si="9"/>
        <v>0</v>
      </c>
      <c r="O78" s="118">
        <f t="shared" si="9"/>
        <v>0</v>
      </c>
      <c r="P78" s="118">
        <f t="shared" si="9"/>
        <v>0</v>
      </c>
      <c r="Q78" s="118">
        <f t="shared" si="9"/>
        <v>0</v>
      </c>
      <c r="R78" s="118">
        <f t="shared" si="9"/>
        <v>0</v>
      </c>
      <c r="S78" s="118">
        <f t="shared" si="9"/>
        <v>0</v>
      </c>
      <c r="T78" s="118">
        <f t="shared" si="9"/>
        <v>0</v>
      </c>
      <c r="U78" s="118">
        <f t="shared" si="9"/>
        <v>0</v>
      </c>
      <c r="V78" s="118">
        <f t="shared" si="9"/>
        <v>0</v>
      </c>
      <c r="W78" s="118">
        <f t="shared" si="9"/>
        <v>0</v>
      </c>
      <c r="X78" s="118">
        <f t="shared" si="9"/>
        <v>0</v>
      </c>
      <c r="Y78" s="118">
        <f t="shared" si="9"/>
        <v>0</v>
      </c>
      <c r="Z78" s="118">
        <f t="shared" si="9"/>
        <v>0</v>
      </c>
      <c r="AA78" s="118">
        <f t="shared" si="9"/>
        <v>0</v>
      </c>
      <c r="AB78" s="118">
        <f t="shared" si="9"/>
        <v>0</v>
      </c>
      <c r="AC78" s="118">
        <f t="shared" si="9"/>
        <v>0</v>
      </c>
      <c r="AD78" s="118">
        <f t="shared" si="9"/>
        <v>0</v>
      </c>
      <c r="AE78" s="118">
        <f t="shared" si="9"/>
        <v>0</v>
      </c>
      <c r="AF78" s="118">
        <f t="shared" si="9"/>
        <v>0</v>
      </c>
      <c r="AG78" s="118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6"/>
      <c r="G79" s="208">
        <f>input_dollars</f>
        <v>45291</v>
      </c>
      <c r="H79" s="31"/>
      <c r="I79" s="118">
        <f t="shared" ref="I79:AG79" si="10">IF($E16=0,0,-PMT(real_disc, $E16,H74,))</f>
        <v>0</v>
      </c>
      <c r="J79" s="118">
        <f t="shared" si="10"/>
        <v>0</v>
      </c>
      <c r="K79" s="118">
        <f t="shared" si="10"/>
        <v>0</v>
      </c>
      <c r="L79" s="118">
        <f t="shared" si="10"/>
        <v>0</v>
      </c>
      <c r="M79" s="118">
        <f t="shared" si="10"/>
        <v>0</v>
      </c>
      <c r="N79" s="118">
        <f t="shared" si="10"/>
        <v>0</v>
      </c>
      <c r="O79" s="118">
        <f t="shared" si="10"/>
        <v>0</v>
      </c>
      <c r="P79" s="118">
        <f t="shared" si="10"/>
        <v>0</v>
      </c>
      <c r="Q79" s="118">
        <f t="shared" si="10"/>
        <v>0</v>
      </c>
      <c r="R79" s="118">
        <f t="shared" si="10"/>
        <v>0</v>
      </c>
      <c r="S79" s="118">
        <f t="shared" si="10"/>
        <v>0</v>
      </c>
      <c r="T79" s="118">
        <f t="shared" si="10"/>
        <v>0</v>
      </c>
      <c r="U79" s="118">
        <f t="shared" si="10"/>
        <v>0</v>
      </c>
      <c r="V79" s="118">
        <f t="shared" si="10"/>
        <v>0</v>
      </c>
      <c r="W79" s="118">
        <f t="shared" si="10"/>
        <v>0</v>
      </c>
      <c r="X79" s="118">
        <f t="shared" si="10"/>
        <v>0</v>
      </c>
      <c r="Y79" s="118">
        <f t="shared" si="10"/>
        <v>0</v>
      </c>
      <c r="Z79" s="118">
        <f t="shared" si="10"/>
        <v>0</v>
      </c>
      <c r="AA79" s="118">
        <f t="shared" si="10"/>
        <v>0</v>
      </c>
      <c r="AB79" s="118">
        <f t="shared" si="10"/>
        <v>0</v>
      </c>
      <c r="AC79" s="118">
        <f t="shared" si="10"/>
        <v>0</v>
      </c>
      <c r="AD79" s="118">
        <f t="shared" si="10"/>
        <v>0</v>
      </c>
      <c r="AE79" s="118">
        <f t="shared" si="10"/>
        <v>0</v>
      </c>
      <c r="AF79" s="118">
        <f t="shared" si="10"/>
        <v>0</v>
      </c>
      <c r="AG79" s="118">
        <f t="shared" si="10"/>
        <v>0</v>
      </c>
    </row>
    <row r="80" spans="1:33" x14ac:dyDescent="0.2">
      <c r="A80" s="8"/>
      <c r="B80" s="8"/>
      <c r="C80" s="170" t="s">
        <v>157</v>
      </c>
      <c r="D80" s="170"/>
      <c r="E80" s="171"/>
      <c r="F80" s="172"/>
      <c r="G80" s="213">
        <f>input_dollars</f>
        <v>45291</v>
      </c>
      <c r="H80" s="173"/>
      <c r="I80" s="174">
        <f>SUM(I77:I79)</f>
        <v>0</v>
      </c>
      <c r="J80" s="174">
        <f t="shared" ref="J80:AB80" si="11">SUM(J77:J79)</f>
        <v>0</v>
      </c>
      <c r="K80" s="174">
        <f t="shared" si="11"/>
        <v>0</v>
      </c>
      <c r="L80" s="174">
        <f t="shared" si="11"/>
        <v>0</v>
      </c>
      <c r="M80" s="174">
        <f t="shared" si="11"/>
        <v>0</v>
      </c>
      <c r="N80" s="174">
        <f t="shared" si="11"/>
        <v>0</v>
      </c>
      <c r="O80" s="174">
        <f t="shared" si="11"/>
        <v>0</v>
      </c>
      <c r="P80" s="174">
        <f t="shared" si="11"/>
        <v>0</v>
      </c>
      <c r="Q80" s="174">
        <f t="shared" si="11"/>
        <v>0</v>
      </c>
      <c r="R80" s="174">
        <f t="shared" si="11"/>
        <v>0</v>
      </c>
      <c r="S80" s="174">
        <f t="shared" si="11"/>
        <v>0</v>
      </c>
      <c r="T80" s="174">
        <f t="shared" si="11"/>
        <v>0</v>
      </c>
      <c r="U80" s="174">
        <f t="shared" si="11"/>
        <v>0</v>
      </c>
      <c r="V80" s="174">
        <f t="shared" si="11"/>
        <v>0</v>
      </c>
      <c r="W80" s="174">
        <f t="shared" si="11"/>
        <v>0</v>
      </c>
      <c r="X80" s="174">
        <f t="shared" si="11"/>
        <v>0</v>
      </c>
      <c r="Y80" s="174">
        <f t="shared" si="11"/>
        <v>0</v>
      </c>
      <c r="Z80" s="174">
        <f t="shared" si="11"/>
        <v>0</v>
      </c>
      <c r="AA80" s="174">
        <f t="shared" si="11"/>
        <v>0</v>
      </c>
      <c r="AB80" s="174">
        <f t="shared" si="11"/>
        <v>0</v>
      </c>
      <c r="AC80" s="174">
        <f>SUM(AC77:AC79)</f>
        <v>0</v>
      </c>
      <c r="AD80" s="174">
        <f>SUM(AD77:AD79)</f>
        <v>0</v>
      </c>
      <c r="AE80" s="174">
        <f>SUM(AE77:AE79)</f>
        <v>0</v>
      </c>
      <c r="AF80" s="174">
        <f>SUM(AF77:AF79)</f>
        <v>0</v>
      </c>
      <c r="AG80" s="174">
        <f>SUM(AG77:AG79)</f>
        <v>0</v>
      </c>
    </row>
    <row r="81" spans="1:33" x14ac:dyDescent="0.2">
      <c r="A81" s="8"/>
      <c r="B81" s="8"/>
      <c r="C81" s="75"/>
      <c r="D81" s="38"/>
      <c r="F81"/>
      <c r="G81" s="214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6"/>
      <c r="G82" s="208">
        <f t="shared" ref="G82:G87" si="12">input_dollars</f>
        <v>45291</v>
      </c>
      <c r="H82" s="31"/>
      <c r="I82" s="118">
        <f>I80</f>
        <v>0</v>
      </c>
      <c r="J82" s="118">
        <f t="shared" ref="J82:AB82" si="13">J80</f>
        <v>0</v>
      </c>
      <c r="K82" s="118">
        <f t="shared" si="13"/>
        <v>0</v>
      </c>
      <c r="L82" s="118">
        <f t="shared" si="13"/>
        <v>0</v>
      </c>
      <c r="M82" s="118">
        <f t="shared" si="13"/>
        <v>0</v>
      </c>
      <c r="N82" s="118">
        <f t="shared" si="13"/>
        <v>0</v>
      </c>
      <c r="O82" s="118">
        <f t="shared" si="13"/>
        <v>0</v>
      </c>
      <c r="P82" s="118">
        <f t="shared" si="13"/>
        <v>0</v>
      </c>
      <c r="Q82" s="118">
        <f t="shared" si="13"/>
        <v>0</v>
      </c>
      <c r="R82" s="118">
        <f t="shared" si="13"/>
        <v>0</v>
      </c>
      <c r="S82" s="118">
        <f t="shared" si="13"/>
        <v>0</v>
      </c>
      <c r="T82" s="118">
        <f t="shared" si="13"/>
        <v>0</v>
      </c>
      <c r="U82" s="118">
        <f t="shared" si="13"/>
        <v>0</v>
      </c>
      <c r="V82" s="118">
        <f t="shared" si="13"/>
        <v>0</v>
      </c>
      <c r="W82" s="118">
        <f t="shared" si="13"/>
        <v>0</v>
      </c>
      <c r="X82" s="118">
        <f t="shared" si="13"/>
        <v>0</v>
      </c>
      <c r="Y82" s="118">
        <f t="shared" si="13"/>
        <v>0</v>
      </c>
      <c r="Z82" s="118">
        <f t="shared" si="13"/>
        <v>0</v>
      </c>
      <c r="AA82" s="118">
        <f t="shared" si="13"/>
        <v>0</v>
      </c>
      <c r="AB82" s="118">
        <f t="shared" si="13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</row>
    <row r="83" spans="1:33" x14ac:dyDescent="0.2">
      <c r="A83" s="8"/>
      <c r="B83" s="8"/>
      <c r="C83" s="4" t="s">
        <v>31</v>
      </c>
      <c r="D83" s="38"/>
      <c r="F83" s="96"/>
      <c r="G83" s="208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6"/>
      <c r="G84" s="208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6"/>
      <c r="G85" s="208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08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8" t="s">
        <v>188</v>
      </c>
      <c r="D87" s="176"/>
      <c r="E87" s="171"/>
      <c r="F87" s="177"/>
      <c r="G87" s="213">
        <f t="shared" si="12"/>
        <v>45291</v>
      </c>
      <c r="H87" s="177"/>
      <c r="I87" s="177">
        <f t="shared" ref="I87:AB87" si="17">SUM(I82:I86)</f>
        <v>0</v>
      </c>
      <c r="J87" s="177">
        <f t="shared" si="17"/>
        <v>0</v>
      </c>
      <c r="K87" s="177">
        <f t="shared" si="17"/>
        <v>0</v>
      </c>
      <c r="L87" s="177">
        <f t="shared" si="17"/>
        <v>0</v>
      </c>
      <c r="M87" s="177">
        <f t="shared" si="17"/>
        <v>0</v>
      </c>
      <c r="N87" s="177">
        <f t="shared" si="17"/>
        <v>0</v>
      </c>
      <c r="O87" s="177">
        <f t="shared" si="17"/>
        <v>0</v>
      </c>
      <c r="P87" s="177">
        <f t="shared" si="17"/>
        <v>0</v>
      </c>
      <c r="Q87" s="177">
        <f t="shared" si="17"/>
        <v>0</v>
      </c>
      <c r="R87" s="177">
        <f t="shared" si="17"/>
        <v>0</v>
      </c>
      <c r="S87" s="177">
        <f t="shared" si="17"/>
        <v>0</v>
      </c>
      <c r="T87" s="177">
        <f t="shared" si="17"/>
        <v>0</v>
      </c>
      <c r="U87" s="177">
        <f t="shared" si="17"/>
        <v>0</v>
      </c>
      <c r="V87" s="177">
        <f t="shared" si="17"/>
        <v>0</v>
      </c>
      <c r="W87" s="177">
        <f t="shared" si="17"/>
        <v>0</v>
      </c>
      <c r="X87" s="177">
        <f t="shared" si="17"/>
        <v>0</v>
      </c>
      <c r="Y87" s="177">
        <f t="shared" si="17"/>
        <v>0</v>
      </c>
      <c r="Z87" s="177">
        <f t="shared" si="17"/>
        <v>0</v>
      </c>
      <c r="AA87" s="177">
        <f t="shared" si="17"/>
        <v>0</v>
      </c>
      <c r="AB87" s="177">
        <f t="shared" si="17"/>
        <v>0</v>
      </c>
      <c r="AC87" s="177">
        <f>SUM(AC82:AC86)</f>
        <v>0</v>
      </c>
      <c r="AD87" s="177">
        <f>SUM(AD82:AD86)</f>
        <v>0</v>
      </c>
      <c r="AE87" s="177">
        <f>SUM(AE82:AE86)</f>
        <v>0</v>
      </c>
      <c r="AF87" s="177">
        <f>SUM(AF82:AF86)</f>
        <v>0</v>
      </c>
      <c r="AG87" s="177">
        <f>SUM(AG82:AG86)</f>
        <v>0</v>
      </c>
    </row>
    <row r="88" spans="1:33" x14ac:dyDescent="0.2">
      <c r="A88" s="8"/>
      <c r="B88" s="8"/>
      <c r="C88" s="75"/>
      <c r="D88" s="137"/>
      <c r="E88" s="64"/>
      <c r="F88" s="139"/>
      <c r="G88" s="215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</row>
    <row r="89" spans="1:33" x14ac:dyDescent="0.2">
      <c r="A89" s="8"/>
      <c r="B89" s="8"/>
      <c r="C89" s="75"/>
      <c r="D89" s="137"/>
      <c r="E89" s="64"/>
      <c r="F89" s="139"/>
      <c r="G89" s="215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</row>
    <row r="90" spans="1:33" x14ac:dyDescent="0.2">
      <c r="A90" s="8"/>
      <c r="B90" s="8"/>
      <c r="C90" s="228"/>
      <c r="D90" s="82"/>
      <c r="E90" s="229"/>
      <c r="F90" s="230"/>
      <c r="G90" s="229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29"/>
      <c r="D91" s="229"/>
      <c r="E91" s="229"/>
      <c r="F91" s="229"/>
      <c r="G91" s="229"/>
    </row>
    <row r="92" spans="1:33" x14ac:dyDescent="0.2">
      <c r="C92" s="229"/>
      <c r="D92" s="229"/>
      <c r="E92" s="229"/>
      <c r="F92" s="229"/>
      <c r="G92" s="229"/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2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240"/>
    </row>
    <row r="105" spans="1:43" x14ac:dyDescent="0.2">
      <c r="E105"/>
      <c r="F105"/>
      <c r="G105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 s="250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299" t="str">
        <f>Assumptions!G110</f>
        <v>Capex</v>
      </c>
      <c r="E109" s="299" t="str">
        <f>Assumptions!H110</f>
        <v>Total benefits</v>
      </c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</row>
    <row r="110" spans="1:43" x14ac:dyDescent="0.2">
      <c r="A110" s="1" t="str">
        <f>"sens"&amp;Assumptions!B111</f>
        <v>sens1</v>
      </c>
      <c r="C110" s="298" t="str">
        <f>Assumptions!C111</f>
        <v>Capex 10% higher</v>
      </c>
      <c r="D110" s="299">
        <f>Assumptions!G111</f>
        <v>0.1</v>
      </c>
      <c r="E110" s="299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98" t="str">
        <f>Assumptions!C112</f>
        <v>Capex 10% lower</v>
      </c>
      <c r="D111" s="299">
        <f>Assumptions!G112</f>
        <v>-0.1</v>
      </c>
      <c r="E111" s="299">
        <f>Assumptions!H112</f>
        <v>0</v>
      </c>
      <c r="G111" s="38" t="str">
        <f t="shared" ref="G111:G117" si="21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98" t="str">
        <f>Assumptions!C113</f>
        <v>Total benefits 10% higher</v>
      </c>
      <c r="D112" s="299">
        <f>Assumptions!G113</f>
        <v>0</v>
      </c>
      <c r="E112" s="299">
        <f>Assumptions!H113</f>
        <v>0.1</v>
      </c>
      <c r="G112" s="38" t="str">
        <f t="shared" si="21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98" t="str">
        <f>Assumptions!C114</f>
        <v>Total benefits 10% lower</v>
      </c>
      <c r="D113" s="299">
        <f>Assumptions!G114</f>
        <v>0</v>
      </c>
      <c r="E113" s="299">
        <f>Assumptions!H114</f>
        <v>-0.1</v>
      </c>
      <c r="G113" s="38" t="str">
        <f t="shared" si="21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98" t="str">
        <f>Assumptions!C115</f>
        <v>Capex 10% higher &amp; Total benefits 10% lower</v>
      </c>
      <c r="D114" s="299">
        <f>Assumptions!G115</f>
        <v>0.1</v>
      </c>
      <c r="E114" s="299">
        <f>Assumptions!H115</f>
        <v>-0.1</v>
      </c>
      <c r="G114" s="38" t="str">
        <f t="shared" si="21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98">
        <f>Assumptions!C116</f>
        <v>0</v>
      </c>
      <c r="D115" s="299">
        <f>Assumptions!G116</f>
        <v>0</v>
      </c>
      <c r="E115" s="299">
        <f>Assumptions!H116</f>
        <v>0</v>
      </c>
      <c r="G115" s="38" t="str">
        <f t="shared" si="21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98">
        <f>Assumptions!C117</f>
        <v>0</v>
      </c>
      <c r="D116" s="299">
        <f>Assumptions!G117</f>
        <v>0</v>
      </c>
      <c r="E116" s="299">
        <f>Assumptions!H117</f>
        <v>0</v>
      </c>
      <c r="G116" s="38" t="str">
        <f t="shared" si="21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98">
        <f>Assumptions!C118</f>
        <v>0</v>
      </c>
      <c r="D117" s="299">
        <f>Assumptions!G118</f>
        <v>0</v>
      </c>
      <c r="E117" s="299">
        <f>Assumptions!H118</f>
        <v>0</v>
      </c>
      <c r="G117" s="38" t="str">
        <f t="shared" si="21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26" activePane="bottomRight" state="frozen"/>
      <selection activeCell="A2" sqref="A2"/>
      <selection pane="topRight" activeCell="A2" sqref="A2"/>
      <selection pane="bottomLeft" activeCell="A2" sqref="A2"/>
      <selection pane="bottomRight" activeCell="I54" sqref="I5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43" ht="18.75" x14ac:dyDescent="0.3">
      <c r="A2" s="56" t="str">
        <f>proj</f>
        <v>EW switchboard and relay replacement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43" ht="15.75" x14ac:dyDescent="0.25">
      <c r="A3" s="201" t="s">
        <v>130</v>
      </c>
      <c r="B3" s="5"/>
      <c r="C3" s="198" t="str">
        <f>INDEX(Assumptions!$E$14:$E$18, MATCH(A3,_xlfn.ANCHORARRAY( Assumptions!$C$14),0))</f>
        <v>SWBD and relay replacement completed in 2027-28</v>
      </c>
    </row>
    <row r="4" spans="1:43" x14ac:dyDescent="0.2">
      <c r="A4" s="199" t="str">
        <f>(INDEX(Data!$D$9:$D$13, MATCH(A3, options,0)))</f>
        <v/>
      </c>
      <c r="B4" s="185"/>
      <c r="C4" s="236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7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tr">
        <f>'Option1 (base case)'!A6</f>
        <v>Count</v>
      </c>
      <c r="B6" s="97"/>
      <c r="C6" s="98"/>
      <c r="D6" s="97"/>
      <c r="E6" s="99"/>
      <c r="F6" s="99"/>
      <c r="G6" s="97"/>
      <c r="H6" s="100"/>
      <c r="I6" s="100">
        <f>'Option1 (base case)'!I6</f>
        <v>1</v>
      </c>
      <c r="J6" s="100">
        <f>'Option1 (base case)'!J6</f>
        <v>2</v>
      </c>
      <c r="K6" s="100">
        <f>'Option1 (base case)'!K6</f>
        <v>3</v>
      </c>
      <c r="L6" s="100">
        <f>'Option1 (base case)'!L6</f>
        <v>4</v>
      </c>
      <c r="M6" s="100">
        <f>'Option1 (base case)'!M6</f>
        <v>5</v>
      </c>
      <c r="N6" s="100">
        <f>'Option1 (base case)'!N6</f>
        <v>6</v>
      </c>
      <c r="O6" s="100">
        <f>'Option1 (base case)'!O6</f>
        <v>7</v>
      </c>
      <c r="P6" s="100">
        <f>'Option1 (base case)'!P6</f>
        <v>8</v>
      </c>
      <c r="Q6" s="100">
        <f>'Option1 (base case)'!Q6</f>
        <v>9</v>
      </c>
      <c r="R6" s="100">
        <f>'Option1 (base case)'!R6</f>
        <v>10</v>
      </c>
      <c r="S6" s="100">
        <f>'Option1 (base case)'!S6</f>
        <v>11</v>
      </c>
      <c r="T6" s="100">
        <f>'Option1 (base case)'!T6</f>
        <v>12</v>
      </c>
      <c r="U6" s="100">
        <f>'Option1 (base case)'!U6</f>
        <v>13</v>
      </c>
      <c r="V6" s="100">
        <f>'Option1 (base case)'!V6</f>
        <v>14</v>
      </c>
      <c r="W6" s="100">
        <f>'Option1 (base case)'!W6</f>
        <v>15</v>
      </c>
      <c r="X6" s="100">
        <f>'Option1 (base case)'!X6</f>
        <v>16</v>
      </c>
      <c r="Y6" s="100">
        <f>'Option1 (base case)'!Y6</f>
        <v>17</v>
      </c>
      <c r="Z6" s="100">
        <f>'Option1 (base case)'!Z6</f>
        <v>18</v>
      </c>
      <c r="AA6" s="100">
        <f>'Option1 (base case)'!AA6</f>
        <v>19</v>
      </c>
      <c r="AB6" s="100">
        <f>'Option1 (base case)'!AB6</f>
        <v>20</v>
      </c>
      <c r="AC6" s="100">
        <f>'Option1 (base case)'!AC6</f>
        <v>21</v>
      </c>
      <c r="AD6" s="100">
        <f>'Option1 (base case)'!AD6</f>
        <v>22</v>
      </c>
      <c r="AE6" s="100">
        <f>'Option1 (base case)'!AE6</f>
        <v>23</v>
      </c>
      <c r="AF6" s="100">
        <f>'Option1 (base case)'!AF6</f>
        <v>24</v>
      </c>
      <c r="AG6" s="100">
        <f>'Option1 (base case)'!AG6</f>
        <v>25</v>
      </c>
    </row>
    <row r="7" spans="1:43" hidden="1" outlineLevel="1" x14ac:dyDescent="0.2">
      <c r="A7" s="97" t="str">
        <f>'Option1 (base case)'!A7</f>
        <v>Value of CO2 reductions</v>
      </c>
      <c r="B7" s="97"/>
      <c r="G7" s="158" t="s">
        <v>63</v>
      </c>
      <c r="I7" s="98">
        <f>'Option1 (base case)'!I7</f>
        <v>24.730486797759085</v>
      </c>
      <c r="J7" s="98">
        <f>'Option1 (base case)'!J7</f>
        <v>22.340740091772258</v>
      </c>
      <c r="K7" s="98">
        <f>'Option1 (base case)'!K7</f>
        <v>20.196329122153124</v>
      </c>
      <c r="L7" s="98">
        <f>'Option1 (base case)'!L7</f>
        <v>18.06294207659629</v>
      </c>
      <c r="M7" s="98">
        <f>'Option1 (base case)'!M7</f>
        <v>15.913397615084225</v>
      </c>
      <c r="N7" s="98">
        <f>'Option1 (base case)'!N7</f>
        <v>13.715069432539002</v>
      </c>
      <c r="O7" s="98">
        <f>'Option1 (base case)'!O7</f>
        <v>13.715069432539002</v>
      </c>
      <c r="P7" s="98">
        <f>'Option1 (base case)'!P7</f>
        <v>13.715069432539002</v>
      </c>
      <c r="Q7" s="98">
        <f>'Option1 (base case)'!Q7</f>
        <v>13.715069432539002</v>
      </c>
      <c r="R7" s="98">
        <f>'Option1 (base case)'!R7</f>
        <v>13.715069432539002</v>
      </c>
      <c r="S7" s="98">
        <f>'Option1 (base case)'!S7</f>
        <v>13.715069432539002</v>
      </c>
      <c r="T7" s="98">
        <f>'Option1 (base case)'!T7</f>
        <v>13.715069432539002</v>
      </c>
      <c r="U7" s="98">
        <f>'Option1 (base case)'!U7</f>
        <v>13.715069432539002</v>
      </c>
      <c r="V7" s="98">
        <f>'Option1 (base case)'!V7</f>
        <v>13.715069432539002</v>
      </c>
      <c r="W7" s="98">
        <f>'Option1 (base case)'!W7</f>
        <v>13.715069432539002</v>
      </c>
      <c r="X7" s="98">
        <f>'Option1 (base case)'!X7</f>
        <v>13.715069432539002</v>
      </c>
      <c r="Y7" s="98">
        <f>'Option1 (base case)'!Y7</f>
        <v>13.715069432539002</v>
      </c>
      <c r="Z7" s="98">
        <f>'Option1 (base case)'!Z7</f>
        <v>13.715069432539002</v>
      </c>
      <c r="AA7" s="98">
        <f>'Option1 (base case)'!AA7</f>
        <v>13.715069432539002</v>
      </c>
      <c r="AB7" s="98">
        <f>'Option1 (base case)'!AB7</f>
        <v>13.715069432539002</v>
      </c>
      <c r="AC7" s="98">
        <f>'Option1 (base case)'!AC7</f>
        <v>13.715069432539002</v>
      </c>
      <c r="AD7" s="98">
        <f>'Option1 (base case)'!AD7</f>
        <v>13.715069432539002</v>
      </c>
      <c r="AE7" s="98">
        <f>'Option1 (base case)'!AE7</f>
        <v>13.715069432539002</v>
      </c>
      <c r="AF7" s="98">
        <f>'Option1 (base case)'!AF7</f>
        <v>13.715069432539002</v>
      </c>
      <c r="AG7" s="98">
        <f>'Option1 (base case)'!AG7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8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2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</row>
    <row r="12" spans="1:43" x14ac:dyDescent="0.2">
      <c r="A12" s="3"/>
      <c r="B12" s="3"/>
      <c r="C12" s="3"/>
      <c r="D12" s="3"/>
      <c r="G12" s="203"/>
    </row>
    <row r="13" spans="1:43" x14ac:dyDescent="0.2">
      <c r="C13" s="3" t="s">
        <v>17</v>
      </c>
      <c r="D13"/>
      <c r="E13" s="125" t="s">
        <v>69</v>
      </c>
      <c r="G13" s="204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307</v>
      </c>
      <c r="D14"/>
      <c r="E14" s="146">
        <v>50</v>
      </c>
      <c r="G14" s="205">
        <f>input_dollars</f>
        <v>45291</v>
      </c>
      <c r="H14" s="147"/>
      <c r="I14" s="32">
        <f>Workings_costs!E22</f>
        <v>2045617.0626319998</v>
      </c>
      <c r="J14" s="32">
        <f>Workings_costs!F22</f>
        <v>1022808.5313159998</v>
      </c>
      <c r="K14" s="32">
        <f>Workings_costs!G22</f>
        <v>0</v>
      </c>
      <c r="L14" s="32">
        <f>Workings_costs!H22</f>
        <v>0</v>
      </c>
      <c r="M14" s="32">
        <f>Workings_costs!I22</f>
        <v>0</v>
      </c>
      <c r="N14" s="32">
        <f>Workings_costs!J22</f>
        <v>0</v>
      </c>
      <c r="O14" s="32">
        <f>Workings_costs!K22</f>
        <v>0</v>
      </c>
      <c r="P14" s="32">
        <f>Workings_costs!L22</f>
        <v>0</v>
      </c>
      <c r="Q14" s="32">
        <f>Workings_costs!M22</f>
        <v>0</v>
      </c>
      <c r="R14" s="32">
        <f>Workings_costs!N22</f>
        <v>0</v>
      </c>
      <c r="S14" s="32">
        <f>Workings_costs!O22</f>
        <v>0</v>
      </c>
      <c r="T14" s="32">
        <f>Workings_costs!P22</f>
        <v>0</v>
      </c>
      <c r="U14" s="32">
        <f>Workings_costs!Q22</f>
        <v>0</v>
      </c>
      <c r="V14" s="32">
        <f>Workings_costs!R22</f>
        <v>0</v>
      </c>
      <c r="W14" s="32">
        <f>Workings_costs!S22</f>
        <v>0</v>
      </c>
      <c r="X14" s="32">
        <f>Workings_costs!T22</f>
        <v>0</v>
      </c>
      <c r="Y14" s="32">
        <f>Workings_costs!U22</f>
        <v>0</v>
      </c>
      <c r="Z14" s="32">
        <f>Workings_costs!V22</f>
        <v>0</v>
      </c>
      <c r="AA14" s="32">
        <f>Workings_costs!W22</f>
        <v>0</v>
      </c>
      <c r="AB14" s="32">
        <f>Workings_costs!X22</f>
        <v>0</v>
      </c>
      <c r="AC14" s="32">
        <f>Workings_costs!Y22</f>
        <v>0</v>
      </c>
      <c r="AD14" s="32">
        <f>Workings_costs!Z22</f>
        <v>0</v>
      </c>
      <c r="AE14" s="32">
        <f>Workings_costs!AA22</f>
        <v>0</v>
      </c>
      <c r="AF14" s="32">
        <f>Workings_costs!AB22</f>
        <v>0</v>
      </c>
      <c r="AG14" s="32">
        <f>Workings_costs!AC22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308</v>
      </c>
      <c r="D15"/>
      <c r="E15" s="146">
        <v>25</v>
      </c>
      <c r="G15" s="205">
        <f>input_dollars</f>
        <v>45291</v>
      </c>
      <c r="H15" s="2"/>
      <c r="I15" s="32">
        <f>Workings_costs!E23</f>
        <v>1363744.7084213332</v>
      </c>
      <c r="J15" s="32">
        <f>Workings_costs!F23</f>
        <v>681872.35421066661</v>
      </c>
      <c r="K15" s="32">
        <f>Workings_costs!G23</f>
        <v>0</v>
      </c>
      <c r="L15" s="32">
        <f>Workings_costs!H23</f>
        <v>0</v>
      </c>
      <c r="M15" s="32">
        <f>Workings_costs!I23</f>
        <v>0</v>
      </c>
      <c r="N15" s="32">
        <f>Workings_costs!J23</f>
        <v>0</v>
      </c>
      <c r="O15" s="32">
        <f>Workings_costs!K23</f>
        <v>0</v>
      </c>
      <c r="P15" s="32">
        <f>Workings_costs!L23</f>
        <v>0</v>
      </c>
      <c r="Q15" s="32">
        <f>Workings_costs!M23</f>
        <v>0</v>
      </c>
      <c r="R15" s="32">
        <f>Workings_costs!N23</f>
        <v>0</v>
      </c>
      <c r="S15" s="32">
        <f>Workings_costs!O23</f>
        <v>0</v>
      </c>
      <c r="T15" s="32">
        <f>Workings_costs!P23</f>
        <v>0</v>
      </c>
      <c r="U15" s="32">
        <f>Workings_costs!Q23</f>
        <v>0</v>
      </c>
      <c r="V15" s="32">
        <f>Workings_costs!R23</f>
        <v>0</v>
      </c>
      <c r="W15" s="32">
        <f>Workings_costs!S23</f>
        <v>0</v>
      </c>
      <c r="X15" s="32">
        <f>Workings_costs!T23</f>
        <v>0</v>
      </c>
      <c r="Y15" s="32">
        <f>Workings_costs!U23</f>
        <v>0</v>
      </c>
      <c r="Z15" s="32">
        <f>Workings_costs!V23</f>
        <v>0</v>
      </c>
      <c r="AA15" s="32">
        <f>Workings_costs!W23</f>
        <v>0</v>
      </c>
      <c r="AB15" s="32">
        <f>Workings_costs!X23</f>
        <v>0</v>
      </c>
      <c r="AC15" s="32">
        <f>Workings_costs!Y23</f>
        <v>0</v>
      </c>
      <c r="AD15" s="32">
        <f>Workings_costs!Z23</f>
        <v>0</v>
      </c>
      <c r="AE15" s="32">
        <f>Workings_costs!AA23</f>
        <v>0</v>
      </c>
      <c r="AF15" s="32">
        <f>Workings_costs!AB23</f>
        <v>0</v>
      </c>
      <c r="AG15" s="32">
        <f>Workings_costs!AC23</f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6">
        <v>0</v>
      </c>
      <c r="G16" s="205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5">
        <f>input_dollars</f>
        <v>45291</v>
      </c>
      <c r="H17" s="106"/>
      <c r="I17" s="105">
        <f t="shared" ref="I17:Q17" si="0">SUM(I14:I16)</f>
        <v>3409361.7710533328</v>
      </c>
      <c r="J17" s="105">
        <f t="shared" si="0"/>
        <v>1704680.8855266664</v>
      </c>
      <c r="K17" s="105">
        <f t="shared" si="0"/>
        <v>0</v>
      </c>
      <c r="L17" s="105">
        <f t="shared" si="0"/>
        <v>0</v>
      </c>
      <c r="M17" s="105">
        <f t="shared" si="0"/>
        <v>0</v>
      </c>
      <c r="N17" s="105">
        <f t="shared" si="0"/>
        <v>0</v>
      </c>
      <c r="O17" s="105">
        <f t="shared" si="0"/>
        <v>0</v>
      </c>
      <c r="P17" s="105">
        <f t="shared" si="0"/>
        <v>0</v>
      </c>
      <c r="Q17" s="105">
        <f t="shared" si="0"/>
        <v>0</v>
      </c>
      <c r="R17" s="105">
        <f t="shared" ref="R17:AG17" si="1">SUM(R14:R16)</f>
        <v>0</v>
      </c>
      <c r="S17" s="105">
        <f t="shared" si="1"/>
        <v>0</v>
      </c>
      <c r="T17" s="105">
        <f t="shared" si="1"/>
        <v>0</v>
      </c>
      <c r="U17" s="105">
        <f t="shared" si="1"/>
        <v>0</v>
      </c>
      <c r="V17" s="105">
        <f t="shared" si="1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 t="shared" si="1"/>
        <v>0</v>
      </c>
      <c r="AD17" s="105">
        <f t="shared" si="1"/>
        <v>0</v>
      </c>
      <c r="AE17" s="105">
        <f t="shared" si="1"/>
        <v>0</v>
      </c>
      <c r="AF17" s="105">
        <f t="shared" si="1"/>
        <v>0</v>
      </c>
      <c r="AG17" s="105">
        <f t="shared" si="1"/>
        <v>0</v>
      </c>
    </row>
    <row r="18" spans="1:43" x14ac:dyDescent="0.2">
      <c r="C18"/>
      <c r="D18"/>
      <c r="E18"/>
      <c r="G18" s="204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05">
        <f>input_dollars</f>
        <v>45291</v>
      </c>
      <c r="H19" s="106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3"/>
    </row>
    <row r="21" spans="1:43" x14ac:dyDescent="0.2">
      <c r="C21"/>
      <c r="D21"/>
      <c r="E21"/>
      <c r="G21" s="204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2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06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151</v>
      </c>
      <c r="D24" s="110"/>
      <c r="E24" s="110"/>
      <c r="F24" s="110"/>
      <c r="G24" s="206"/>
      <c r="H24" s="110"/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7">
        <v>0</v>
      </c>
      <c r="W24" s="167">
        <v>0</v>
      </c>
      <c r="X24" s="167">
        <v>0</v>
      </c>
      <c r="Y24" s="167">
        <v>0</v>
      </c>
      <c r="Z24" s="167">
        <v>0</v>
      </c>
      <c r="AA24" s="167">
        <v>0</v>
      </c>
      <c r="AB24" s="167">
        <v>0</v>
      </c>
      <c r="AC24" s="167">
        <v>0</v>
      </c>
      <c r="AD24" s="167">
        <v>0</v>
      </c>
      <c r="AE24" s="167">
        <v>0</v>
      </c>
      <c r="AF24" s="167">
        <v>0</v>
      </c>
      <c r="AG24" s="167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152</v>
      </c>
      <c r="D25" s="206"/>
      <c r="E25" s="110"/>
      <c r="F25" s="110"/>
      <c r="G25" s="206"/>
      <c r="H25" s="110"/>
      <c r="I25" s="167">
        <v>0</v>
      </c>
      <c r="J25" s="167">
        <v>0</v>
      </c>
      <c r="K25" s="167">
        <v>0</v>
      </c>
      <c r="L25" s="167">
        <v>0</v>
      </c>
      <c r="M25" s="167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7">
        <v>0</v>
      </c>
      <c r="W25" s="167">
        <v>0</v>
      </c>
      <c r="X25" s="167">
        <v>0</v>
      </c>
      <c r="Y25" s="167">
        <v>0</v>
      </c>
      <c r="Z25" s="167">
        <v>0</v>
      </c>
      <c r="AA25" s="167">
        <v>0</v>
      </c>
      <c r="AB25" s="167">
        <v>0</v>
      </c>
      <c r="AC25" s="167">
        <v>0</v>
      </c>
      <c r="AD25" s="167">
        <v>0</v>
      </c>
      <c r="AE25" s="167">
        <v>0</v>
      </c>
      <c r="AF25" s="167">
        <v>0</v>
      </c>
      <c r="AG25" s="167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06"/>
      <c r="E26" s="110"/>
      <c r="F26" s="110"/>
      <c r="G26" s="206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3"/>
      <c r="E27"/>
      <c r="G27" s="205" t="s">
        <v>40</v>
      </c>
      <c r="H27"/>
      <c r="I27" s="166">
        <v>0</v>
      </c>
      <c r="J27" s="166">
        <v>0</v>
      </c>
      <c r="K27" s="166">
        <v>0</v>
      </c>
      <c r="L27" s="166">
        <v>0</v>
      </c>
      <c r="M27" s="166">
        <v>0</v>
      </c>
      <c r="N27" s="166">
        <v>0</v>
      </c>
      <c r="O27" s="166">
        <v>0</v>
      </c>
      <c r="P27" s="166">
        <v>0</v>
      </c>
      <c r="Q27" s="166">
        <v>0</v>
      </c>
      <c r="R27" s="166">
        <v>0</v>
      </c>
      <c r="S27" s="166">
        <v>0</v>
      </c>
      <c r="T27" s="166">
        <v>0</v>
      </c>
      <c r="U27" s="166">
        <v>0</v>
      </c>
      <c r="V27" s="166">
        <v>0</v>
      </c>
      <c r="W27" s="166">
        <v>0</v>
      </c>
      <c r="X27" s="166">
        <v>0</v>
      </c>
      <c r="Y27" s="166">
        <v>0</v>
      </c>
      <c r="Z27" s="166">
        <v>0</v>
      </c>
      <c r="AA27" s="166">
        <v>0</v>
      </c>
      <c r="AB27" s="166">
        <v>0</v>
      </c>
      <c r="AC27" s="166">
        <v>0</v>
      </c>
      <c r="AD27" s="166">
        <v>0</v>
      </c>
      <c r="AE27" s="166">
        <v>0</v>
      </c>
      <c r="AF27" s="166">
        <v>0</v>
      </c>
      <c r="AG27" s="166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3" t="s">
        <v>63</v>
      </c>
      <c r="E28" s="112">
        <f>Assumptions!H41*vcr_esc</f>
        <v>32343.394611205291</v>
      </c>
      <c r="F28" s="236" t="str">
        <f>IF(AND(SUM(I27:AG27)&lt;&gt;0, E28=0), "!", "")</f>
        <v/>
      </c>
      <c r="G28" s="205">
        <f>input_dollars</f>
        <v>45291</v>
      </c>
      <c r="H28"/>
      <c r="I28" s="166">
        <f>Workings_risks!E51</f>
        <v>222256.96867206943</v>
      </c>
      <c r="J28" s="166">
        <f>Workings_risks!F51</f>
        <v>230621.38648150995</v>
      </c>
      <c r="K28" s="166">
        <f>Workings_risks!G51</f>
        <v>27788.814227421357</v>
      </c>
      <c r="L28" s="166">
        <f>Workings_risks!H51</f>
        <v>28658.091789471582</v>
      </c>
      <c r="M28" s="166">
        <f>Workings_risks!I51</f>
        <v>29541.790644056542</v>
      </c>
      <c r="N28" s="166">
        <f>Workings_risks!J51</f>
        <v>30802.31492388812</v>
      </c>
      <c r="O28" s="166">
        <f>Workings_risks!K51</f>
        <v>32421.999591828273</v>
      </c>
      <c r="P28" s="166">
        <f>Workings_risks!L51</f>
        <v>34283.712356474265</v>
      </c>
      <c r="Q28" s="166">
        <f>Workings_risks!M51</f>
        <v>35828.263017780293</v>
      </c>
      <c r="R28" s="166">
        <f>Workings_risks!N51</f>
        <v>36846.942569332467</v>
      </c>
      <c r="S28" s="166">
        <f>Workings_risks!O51</f>
        <v>38083.098589233865</v>
      </c>
      <c r="T28" s="166">
        <f>Workings_risks!P51</f>
        <v>39417.156894265667</v>
      </c>
      <c r="U28" s="166">
        <f>Workings_risks!Q51</f>
        <v>40880.196889810781</v>
      </c>
      <c r="V28" s="166">
        <f>Workings_risks!R51</f>
        <v>42403.580867473254</v>
      </c>
      <c r="W28" s="166">
        <f>Workings_risks!S51</f>
        <v>44049.183202667191</v>
      </c>
      <c r="X28" s="166">
        <f>Workings_risks!T51</f>
        <v>45812.483291082957</v>
      </c>
      <c r="Y28" s="166">
        <f>Workings_risks!U51</f>
        <v>47687.998073431816</v>
      </c>
      <c r="Z28" s="166">
        <f>Workings_risks!V51</f>
        <v>49669.203702955376</v>
      </c>
      <c r="AA28" s="166">
        <f>Workings_risks!W51</f>
        <v>51748.465512881055</v>
      </c>
      <c r="AB28" s="166">
        <f>Workings_risks!X51</f>
        <v>53916.978714835044</v>
      </c>
      <c r="AC28" s="166">
        <f>Workings_risks!Y51</f>
        <v>56164.72246184176</v>
      </c>
      <c r="AD28" s="166">
        <f>Workings_risks!Z51</f>
        <v>58480.430054593118</v>
      </c>
      <c r="AE28" s="166">
        <f>Workings_risks!AA51</f>
        <v>60851.578139357633</v>
      </c>
      <c r="AF28" s="166">
        <f>Workings_risks!AB51</f>
        <v>63264.397722203728</v>
      </c>
      <c r="AG28" s="166">
        <f>Workings_risks!AC51</f>
        <v>65703.909689932392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4"/>
      <c r="E29"/>
      <c r="G29" s="205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Workings_risks!D52</f>
        <v>Safety risk</v>
      </c>
      <c r="D30" s="203" t="s">
        <v>208</v>
      </c>
      <c r="G30" s="205">
        <f>input_dollars</f>
        <v>45291</v>
      </c>
      <c r="H30" s="147"/>
      <c r="I30" s="32">
        <f>Workings_risks!E52</f>
        <v>449.8280408554495</v>
      </c>
      <c r="J30" s="32">
        <f>Workings_risks!F52</f>
        <v>495.02330532000599</v>
      </c>
      <c r="K30" s="32">
        <f>Workings_risks!G52</f>
        <v>38.521244153562101</v>
      </c>
      <c r="L30" s="32">
        <f>Workings_risks!H52</f>
        <v>47.597671095291744</v>
      </c>
      <c r="M30" s="32">
        <f>Workings_risks!I52</f>
        <v>62.721847774765564</v>
      </c>
      <c r="N30" s="32">
        <f>Workings_risks!J52</f>
        <v>83.88435765869221</v>
      </c>
      <c r="O30" s="32">
        <f>Workings_risks!K52</f>
        <v>111.06572419383315</v>
      </c>
      <c r="P30" s="32">
        <f>Workings_risks!L52</f>
        <v>144.23270996893538</v>
      </c>
      <c r="Q30" s="32">
        <f>Workings_risks!M52</f>
        <v>183.33465435734803</v>
      </c>
      <c r="R30" s="32">
        <f>Workings_risks!N52</f>
        <v>228.2998745636632</v>
      </c>
      <c r="S30" s="32">
        <f>Workings_risks!O52</f>
        <v>279.03216116177413</v>
      </c>
      <c r="T30" s="32">
        <f>Workings_risks!P52</f>
        <v>335.40740514004858</v>
      </c>
      <c r="U30" s="32">
        <f>Workings_risks!Q52</f>
        <v>397.27039905372686</v>
      </c>
      <c r="V30" s="32">
        <f>Workings_risks!R52</f>
        <v>464.43185999842194</v>
      </c>
      <c r="W30" s="32">
        <f>Workings_risks!S52</f>
        <v>536.6657266184917</v>
      </c>
      <c r="X30" s="32">
        <f>Workings_risks!T52</f>
        <v>613.70678609304139</v>
      </c>
      <c r="Y30" s="32">
        <f>Workings_risks!U52</f>
        <v>695.24868983316821</v>
      </c>
      <c r="Z30" s="32">
        <f>Workings_risks!V52</f>
        <v>780.9424183037205</v>
      </c>
      <c r="AA30" s="32">
        <f>Workings_risks!W52</f>
        <v>870.39525577766346</v>
      </c>
      <c r="AB30" s="32">
        <f>Workings_risks!X52</f>
        <v>963.1703347728577</v>
      </c>
      <c r="AC30" s="32">
        <f>Workings_risks!Y52</f>
        <v>1058.7868072538315</v>
      </c>
      <c r="AD30" s="32">
        <f>Workings_risks!Z52</f>
        <v>1156.7206952687559</v>
      </c>
      <c r="AE30" s="32">
        <f>Workings_risks!AA52</f>
        <v>1256.4064674260833</v>
      </c>
      <c r="AF30" s="32">
        <f>Workings_risks!AB52</f>
        <v>1357.2393794238894</v>
      </c>
      <c r="AG30" s="32">
        <f>Workings_risks!AC52</f>
        <v>1458.578606700137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Workings_risks!D53</f>
        <v>Unplanned replacement</v>
      </c>
      <c r="D31" s="204"/>
      <c r="E31"/>
      <c r="G31" s="205">
        <f>input_dollars</f>
        <v>45291</v>
      </c>
      <c r="H31" s="147"/>
      <c r="I31" s="32">
        <f>Workings_risks!E53</f>
        <v>14021.537377661332</v>
      </c>
      <c r="J31" s="32">
        <f>Workings_risks!F53</f>
        <v>14320.793152048565</v>
      </c>
      <c r="K31" s="32">
        <f>Workings_risks!G53</f>
        <v>1542.2262760567648</v>
      </c>
      <c r="L31" s="32">
        <f>Workings_risks!H53</f>
        <v>1566.2657253689511</v>
      </c>
      <c r="M31" s="32">
        <f>Workings_risks!I53</f>
        <v>1606.3229947117131</v>
      </c>
      <c r="N31" s="32">
        <f>Workings_risks!J53</f>
        <v>1662.3731438441159</v>
      </c>
      <c r="O31" s="32">
        <f>Workings_risks!K53</f>
        <v>1734.3645879721253</v>
      </c>
      <c r="P31" s="32">
        <f>Workings_risks!L53</f>
        <v>1822.2092958618412</v>
      </c>
      <c r="Q31" s="32">
        <f>Workings_risks!M53</f>
        <v>1925.7730898710795</v>
      </c>
      <c r="R31" s="32">
        <f>Workings_risks!N53</f>
        <v>2044.8661139102328</v>
      </c>
      <c r="S31" s="32">
        <f>Workings_risks!O53</f>
        <v>2179.2335516691937</v>
      </c>
      <c r="T31" s="32">
        <f>Workings_risks!P53</f>
        <v>2328.5466931485907</v>
      </c>
      <c r="U31" s="32">
        <f>Workings_risks!Q53</f>
        <v>2492.3944623242205</v>
      </c>
      <c r="V31" s="32">
        <f>Workings_risks!R53</f>
        <v>2670.275532317688</v>
      </c>
      <c r="W31" s="32">
        <f>Workings_risks!S53</f>
        <v>2861.5911663644833</v>
      </c>
      <c r="X31" s="32">
        <f>Workings_risks!T53</f>
        <v>3065.6389327471729</v>
      </c>
      <c r="Y31" s="32">
        <f>Workings_risks!U53</f>
        <v>3281.6074492531234</v>
      </c>
      <c r="Z31" s="32">
        <f>Workings_risks!V53</f>
        <v>3508.5723171648524</v>
      </c>
      <c r="AA31" s="32">
        <f>Workings_risks!W53</f>
        <v>3745.4934058368167</v>
      </c>
      <c r="AB31" s="32">
        <f>Workings_risks!X53</f>
        <v>3991.2136461094801</v>
      </c>
      <c r="AC31" s="32">
        <f>Workings_risks!Y53</f>
        <v>4244.4594837472632</v>
      </c>
      <c r="AD31" s="32">
        <f>Workings_risks!Z53</f>
        <v>4503.8431324004741</v>
      </c>
      <c r="AE31" s="32">
        <f>Workings_risks!AA53</f>
        <v>4767.8667489961917</v>
      </c>
      <c r="AF31" s="32">
        <f>Workings_risks!AB53</f>
        <v>5034.9286327675518</v>
      </c>
      <c r="AG31" s="32">
        <f>Workings_risks!AC53</f>
        <v>5303.331522261783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Workings_risks!D54</f>
        <v>Unplanned fault</v>
      </c>
      <c r="D32" s="203" t="s">
        <v>208</v>
      </c>
      <c r="E32"/>
      <c r="G32" s="205">
        <f>input_dollars</f>
        <v>45291</v>
      </c>
      <c r="H32"/>
      <c r="I32" s="32">
        <f>Workings_risks!E54</f>
        <v>504.05</v>
      </c>
      <c r="J32" s="32">
        <f>Workings_risks!F54</f>
        <v>504.05</v>
      </c>
      <c r="K32" s="32">
        <f>Workings_risks!G54</f>
        <v>59.29999999999999</v>
      </c>
      <c r="L32" s="32">
        <f>Workings_risks!H54</f>
        <v>59.29999999999999</v>
      </c>
      <c r="M32" s="32">
        <f>Workings_risks!I54</f>
        <v>59.29999999999999</v>
      </c>
      <c r="N32" s="32">
        <f>Workings_risks!J54</f>
        <v>59.29999999999999</v>
      </c>
      <c r="O32" s="32">
        <f>Workings_risks!K54</f>
        <v>59.29999999999999</v>
      </c>
      <c r="P32" s="32">
        <f>Workings_risks!L54</f>
        <v>59.29999999999999</v>
      </c>
      <c r="Q32" s="32">
        <f>Workings_risks!M54</f>
        <v>59.29999999999999</v>
      </c>
      <c r="R32" s="32">
        <f>Workings_risks!N54</f>
        <v>59.29999999999999</v>
      </c>
      <c r="S32" s="32">
        <f>Workings_risks!O54</f>
        <v>59.29999999999999</v>
      </c>
      <c r="T32" s="32">
        <f>Workings_risks!P54</f>
        <v>59.29999999999999</v>
      </c>
      <c r="U32" s="32">
        <f>Workings_risks!Q54</f>
        <v>59.29999999999999</v>
      </c>
      <c r="V32" s="32">
        <f>Workings_risks!R54</f>
        <v>59.29999999999999</v>
      </c>
      <c r="W32" s="32">
        <f>Workings_risks!S54</f>
        <v>59.29999999999999</v>
      </c>
      <c r="X32" s="32">
        <f>Workings_risks!T54</f>
        <v>59.29999999999999</v>
      </c>
      <c r="Y32" s="32">
        <f>Workings_risks!U54</f>
        <v>59.29999999999999</v>
      </c>
      <c r="Z32" s="32">
        <f>Workings_risks!V54</f>
        <v>59.29999999999999</v>
      </c>
      <c r="AA32" s="32">
        <f>Workings_risks!W54</f>
        <v>59.29999999999999</v>
      </c>
      <c r="AB32" s="32">
        <f>Workings_risks!X54</f>
        <v>59.29999999999999</v>
      </c>
      <c r="AC32" s="32">
        <f>Workings_risks!Y54</f>
        <v>59.29999999999999</v>
      </c>
      <c r="AD32" s="32">
        <f>Workings_risks!Z54</f>
        <v>59.29999999999999</v>
      </c>
      <c r="AE32" s="32">
        <f>Workings_risks!AA54</f>
        <v>59.29999999999999</v>
      </c>
      <c r="AF32" s="32">
        <f>Workings_risks!AB54</f>
        <v>59.29999999999999</v>
      </c>
      <c r="AG32" s="32">
        <f>Workings_risks!AC54</f>
        <v>59.29999999999999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2" t="s">
        <v>173</v>
      </c>
      <c r="D33" s="217"/>
      <c r="E33"/>
      <c r="G33" s="205">
        <f>input_dollars</f>
        <v>45291</v>
      </c>
      <c r="H33"/>
      <c r="I33" s="363">
        <v>0</v>
      </c>
      <c r="J33" s="363">
        <v>0</v>
      </c>
      <c r="K33" s="363">
        <v>0</v>
      </c>
      <c r="L33" s="363">
        <v>0</v>
      </c>
      <c r="M33" s="363">
        <v>0</v>
      </c>
      <c r="N33" s="363">
        <v>0</v>
      </c>
      <c r="O33" s="363">
        <v>0</v>
      </c>
      <c r="P33" s="363">
        <v>0</v>
      </c>
      <c r="Q33" s="363">
        <v>0</v>
      </c>
      <c r="R33" s="363">
        <v>0</v>
      </c>
      <c r="S33" s="363">
        <v>0</v>
      </c>
      <c r="T33" s="363">
        <v>0</v>
      </c>
      <c r="U33" s="363">
        <v>0</v>
      </c>
      <c r="V33" s="363">
        <v>0</v>
      </c>
      <c r="W33" s="363">
        <v>0</v>
      </c>
      <c r="X33" s="363">
        <v>0</v>
      </c>
      <c r="Y33" s="363">
        <v>0</v>
      </c>
      <c r="Z33" s="363">
        <v>0</v>
      </c>
      <c r="AA33" s="363">
        <v>0</v>
      </c>
      <c r="AB33" s="363">
        <v>0</v>
      </c>
      <c r="AC33" s="363">
        <v>0</v>
      </c>
      <c r="AD33" s="363">
        <v>0</v>
      </c>
      <c r="AE33" s="363">
        <v>0</v>
      </c>
      <c r="AF33" s="363">
        <v>0</v>
      </c>
      <c r="AG33" s="363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2" t="s">
        <v>173</v>
      </c>
      <c r="D34" s="204"/>
      <c r="E34"/>
      <c r="G34" s="205">
        <f>input_dollars</f>
        <v>45291</v>
      </c>
      <c r="H34"/>
      <c r="I34" s="363">
        <v>0</v>
      </c>
      <c r="J34" s="363">
        <v>0</v>
      </c>
      <c r="K34" s="363">
        <v>0</v>
      </c>
      <c r="L34" s="363">
        <v>0</v>
      </c>
      <c r="M34" s="363">
        <v>0</v>
      </c>
      <c r="N34" s="363">
        <v>0</v>
      </c>
      <c r="O34" s="363">
        <v>0</v>
      </c>
      <c r="P34" s="363">
        <v>0</v>
      </c>
      <c r="Q34" s="363">
        <v>0</v>
      </c>
      <c r="R34" s="363">
        <v>0</v>
      </c>
      <c r="S34" s="363">
        <v>0</v>
      </c>
      <c r="T34" s="363">
        <v>0</v>
      </c>
      <c r="U34" s="363">
        <v>0</v>
      </c>
      <c r="V34" s="363">
        <v>0</v>
      </c>
      <c r="W34" s="363">
        <v>0</v>
      </c>
      <c r="X34" s="363">
        <v>0</v>
      </c>
      <c r="Y34" s="363">
        <v>0</v>
      </c>
      <c r="Z34" s="363">
        <v>0</v>
      </c>
      <c r="AA34" s="363">
        <v>0</v>
      </c>
      <c r="AB34" s="363">
        <v>0</v>
      </c>
      <c r="AC34" s="363">
        <v>0</v>
      </c>
      <c r="AD34" s="363">
        <v>0</v>
      </c>
      <c r="AE34" s="363">
        <v>0</v>
      </c>
      <c r="AF34" s="363">
        <v>0</v>
      </c>
      <c r="AG34" s="363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4"/>
      <c r="E35"/>
      <c r="G35" s="20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6"/>
      <c r="E36" s="106"/>
      <c r="F36" s="3"/>
      <c r="G36" s="207"/>
      <c r="H36" s="106"/>
      <c r="I36" s="168">
        <f>SUM(I28:I34)</f>
        <v>237232.38409058619</v>
      </c>
      <c r="J36" s="168">
        <f t="shared" ref="J36:AG36" si="2">SUM(J28:J34)</f>
        <v>245941.25293887852</v>
      </c>
      <c r="K36" s="168">
        <f t="shared" si="2"/>
        <v>29428.861747631683</v>
      </c>
      <c r="L36" s="168">
        <f t="shared" si="2"/>
        <v>30331.255185935825</v>
      </c>
      <c r="M36" s="168">
        <f t="shared" si="2"/>
        <v>31270.135486543022</v>
      </c>
      <c r="N36" s="168">
        <f t="shared" si="2"/>
        <v>32607.872425390928</v>
      </c>
      <c r="O36" s="168">
        <f t="shared" si="2"/>
        <v>34326.72990399423</v>
      </c>
      <c r="P36" s="168">
        <f t="shared" si="2"/>
        <v>36309.454362305041</v>
      </c>
      <c r="Q36" s="168">
        <f t="shared" si="2"/>
        <v>37996.670762008725</v>
      </c>
      <c r="R36" s="168">
        <f t="shared" si="2"/>
        <v>39179.408557806368</v>
      </c>
      <c r="S36" s="168">
        <f t="shared" si="2"/>
        <v>40600.664302064841</v>
      </c>
      <c r="T36" s="168">
        <f t="shared" si="2"/>
        <v>42140.410992554309</v>
      </c>
      <c r="U36" s="168">
        <f t="shared" si="2"/>
        <v>43829.161751188731</v>
      </c>
      <c r="V36" s="168">
        <f t="shared" si="2"/>
        <v>45597.588259789372</v>
      </c>
      <c r="W36" s="168">
        <f t="shared" si="2"/>
        <v>47506.740095650166</v>
      </c>
      <c r="X36" s="168">
        <f t="shared" si="2"/>
        <v>49551.12900992317</v>
      </c>
      <c r="Y36" s="168">
        <f t="shared" si="2"/>
        <v>51724.154212518115</v>
      </c>
      <c r="Z36" s="168">
        <f t="shared" si="2"/>
        <v>54018.018438423947</v>
      </c>
      <c r="AA36" s="168">
        <f t="shared" si="2"/>
        <v>56423.654174495539</v>
      </c>
      <c r="AB36" s="168">
        <f t="shared" si="2"/>
        <v>58930.662695717379</v>
      </c>
      <c r="AC36" s="168">
        <f t="shared" si="2"/>
        <v>61527.268752842858</v>
      </c>
      <c r="AD36" s="168">
        <f t="shared" si="2"/>
        <v>64200.293882262355</v>
      </c>
      <c r="AE36" s="168">
        <f t="shared" si="2"/>
        <v>66935.151355779904</v>
      </c>
      <c r="AF36" s="168">
        <f t="shared" si="2"/>
        <v>69715.865734395178</v>
      </c>
      <c r="AG36" s="168">
        <f t="shared" si="2"/>
        <v>72525.119818894309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5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2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5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5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3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3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</row>
    <row r="43" spans="1:16372" x14ac:dyDescent="0.2">
      <c r="D43"/>
      <c r="E43"/>
      <c r="G43" s="205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4"/>
      <c r="E44"/>
      <c r="G44" s="205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3" t="s">
        <v>63</v>
      </c>
      <c r="E45" s="112">
        <f>Assumptions!G94</f>
        <v>0</v>
      </c>
      <c r="G45" s="205" t="s">
        <v>40</v>
      </c>
      <c r="I45" s="320">
        <v>0</v>
      </c>
      <c r="J45" s="320">
        <v>0</v>
      </c>
      <c r="K45" s="320">
        <v>0</v>
      </c>
      <c r="L45" s="320">
        <v>0</v>
      </c>
      <c r="M45" s="320">
        <v>0</v>
      </c>
      <c r="N45" s="320">
        <v>0</v>
      </c>
      <c r="O45" s="320">
        <v>0</v>
      </c>
      <c r="P45" s="320">
        <v>0</v>
      </c>
      <c r="Q45" s="320">
        <v>0</v>
      </c>
      <c r="R45" s="320">
        <v>0</v>
      </c>
      <c r="S45" s="320">
        <v>0</v>
      </c>
      <c r="T45" s="320">
        <v>0</v>
      </c>
      <c r="U45" s="320">
        <v>0</v>
      </c>
      <c r="V45" s="320">
        <v>0</v>
      </c>
      <c r="W45" s="320">
        <v>0</v>
      </c>
      <c r="X45" s="320">
        <v>0</v>
      </c>
      <c r="Y45" s="320">
        <v>0</v>
      </c>
      <c r="Z45" s="320">
        <v>0</v>
      </c>
      <c r="AA45" s="320">
        <v>0</v>
      </c>
      <c r="AB45" s="320">
        <v>0</v>
      </c>
      <c r="AC45" s="320">
        <v>0</v>
      </c>
      <c r="AD45" s="320">
        <v>0</v>
      </c>
      <c r="AE45" s="320">
        <v>0</v>
      </c>
      <c r="AF45" s="320">
        <v>0</v>
      </c>
      <c r="AG45" s="320">
        <v>0</v>
      </c>
    </row>
    <row r="46" spans="1:16372" x14ac:dyDescent="0.2">
      <c r="C46" s="1" t="s">
        <v>4</v>
      </c>
      <c r="D46" s="203" t="s">
        <v>63</v>
      </c>
      <c r="E46" s="112">
        <f>Assumptions!G95</f>
        <v>38560</v>
      </c>
      <c r="G46" s="205" t="s">
        <v>40</v>
      </c>
      <c r="I46" s="320">
        <v>0</v>
      </c>
      <c r="J46" s="320">
        <v>0</v>
      </c>
      <c r="K46" s="320">
        <v>0</v>
      </c>
      <c r="L46" s="320">
        <v>0</v>
      </c>
      <c r="M46" s="320">
        <v>0</v>
      </c>
      <c r="N46" s="320">
        <v>0</v>
      </c>
      <c r="O46" s="320">
        <v>0</v>
      </c>
      <c r="P46" s="320">
        <v>0</v>
      </c>
      <c r="Q46" s="320">
        <v>0</v>
      </c>
      <c r="R46" s="320">
        <v>0</v>
      </c>
      <c r="S46" s="320">
        <v>0</v>
      </c>
      <c r="T46" s="320">
        <v>0</v>
      </c>
      <c r="U46" s="320">
        <v>0</v>
      </c>
      <c r="V46" s="320">
        <v>0</v>
      </c>
      <c r="W46" s="320">
        <v>0</v>
      </c>
      <c r="X46" s="320">
        <v>0</v>
      </c>
      <c r="Y46" s="320">
        <v>0</v>
      </c>
      <c r="Z46" s="320">
        <v>0</v>
      </c>
      <c r="AA46" s="320">
        <v>0</v>
      </c>
      <c r="AB46" s="320">
        <v>0</v>
      </c>
      <c r="AC46" s="320">
        <v>0</v>
      </c>
      <c r="AD46" s="320">
        <v>0</v>
      </c>
      <c r="AE46" s="320">
        <v>0</v>
      </c>
      <c r="AF46" s="320">
        <v>0</v>
      </c>
      <c r="AG46" s="320">
        <v>0</v>
      </c>
    </row>
    <row r="47" spans="1:16372" x14ac:dyDescent="0.2">
      <c r="C47" s="1" t="s">
        <v>5</v>
      </c>
      <c r="D47" s="203" t="s">
        <v>63</v>
      </c>
      <c r="E47" s="112">
        <f>Assumptions!G96</f>
        <v>862.60284529259377</v>
      </c>
      <c r="G47" s="205" t="s">
        <v>40</v>
      </c>
      <c r="I47" s="320">
        <v>0</v>
      </c>
      <c r="J47" s="320">
        <v>0</v>
      </c>
      <c r="K47" s="320">
        <v>0</v>
      </c>
      <c r="L47" s="320">
        <v>0</v>
      </c>
      <c r="M47" s="320">
        <v>0</v>
      </c>
      <c r="N47" s="320">
        <v>0</v>
      </c>
      <c r="O47" s="320">
        <v>0</v>
      </c>
      <c r="P47" s="320">
        <v>0</v>
      </c>
      <c r="Q47" s="320">
        <v>0</v>
      </c>
      <c r="R47" s="320">
        <v>0</v>
      </c>
      <c r="S47" s="320">
        <v>0</v>
      </c>
      <c r="T47" s="320">
        <v>0</v>
      </c>
      <c r="U47" s="320">
        <v>0</v>
      </c>
      <c r="V47" s="320">
        <v>0</v>
      </c>
      <c r="W47" s="320">
        <v>0</v>
      </c>
      <c r="X47" s="320">
        <v>0</v>
      </c>
      <c r="Y47" s="320">
        <v>0</v>
      </c>
      <c r="Z47" s="320">
        <v>0</v>
      </c>
      <c r="AA47" s="320">
        <v>0</v>
      </c>
      <c r="AB47" s="320">
        <v>0</v>
      </c>
      <c r="AC47" s="320">
        <v>0</v>
      </c>
      <c r="AD47" s="320">
        <v>0</v>
      </c>
      <c r="AE47" s="320">
        <v>0</v>
      </c>
      <c r="AF47" s="320">
        <v>0</v>
      </c>
      <c r="AG47" s="320">
        <v>0</v>
      </c>
    </row>
    <row r="48" spans="1:16372" x14ac:dyDescent="0.2">
      <c r="C48" s="1" t="s">
        <v>15</v>
      </c>
      <c r="D48" s="203" t="s">
        <v>126</v>
      </c>
      <c r="E48" s="111">
        <f>Assumptions!G97</f>
        <v>0</v>
      </c>
      <c r="G48" s="205" t="s">
        <v>205</v>
      </c>
      <c r="I48" s="320">
        <v>0</v>
      </c>
      <c r="J48" s="320">
        <v>0</v>
      </c>
      <c r="K48" s="320">
        <v>0</v>
      </c>
      <c r="L48" s="320">
        <v>0</v>
      </c>
      <c r="M48" s="320">
        <v>0</v>
      </c>
      <c r="N48" s="320">
        <v>0</v>
      </c>
      <c r="O48" s="320">
        <v>0</v>
      </c>
      <c r="P48" s="320">
        <v>0</v>
      </c>
      <c r="Q48" s="320">
        <v>0</v>
      </c>
      <c r="R48" s="320">
        <v>0</v>
      </c>
      <c r="S48" s="320">
        <v>0</v>
      </c>
      <c r="T48" s="320">
        <v>0</v>
      </c>
      <c r="U48" s="320">
        <v>0</v>
      </c>
      <c r="V48" s="320">
        <v>0</v>
      </c>
      <c r="W48" s="320">
        <v>0</v>
      </c>
      <c r="X48" s="320">
        <v>0</v>
      </c>
      <c r="Y48" s="320">
        <v>0</v>
      </c>
      <c r="Z48" s="320">
        <v>0</v>
      </c>
      <c r="AA48" s="320">
        <v>0</v>
      </c>
      <c r="AB48" s="320">
        <v>0</v>
      </c>
      <c r="AC48" s="320">
        <v>0</v>
      </c>
      <c r="AD48" s="320">
        <v>0</v>
      </c>
      <c r="AE48" s="320">
        <v>0</v>
      </c>
      <c r="AF48" s="320">
        <v>0</v>
      </c>
      <c r="AG48" s="320">
        <v>0</v>
      </c>
    </row>
    <row r="49" spans="1:43" x14ac:dyDescent="0.2">
      <c r="C49" s="1" t="s">
        <v>9</v>
      </c>
      <c r="D49" s="203" t="s">
        <v>206</v>
      </c>
      <c r="E49" s="111">
        <f>Assumptions!G98</f>
        <v>0.34750851315331577</v>
      </c>
      <c r="G49" s="205" t="s">
        <v>207</v>
      </c>
      <c r="I49" s="320">
        <v>0</v>
      </c>
      <c r="J49" s="320">
        <v>0</v>
      </c>
      <c r="K49" s="320">
        <v>0</v>
      </c>
      <c r="L49" s="320">
        <v>0</v>
      </c>
      <c r="M49" s="320">
        <v>0</v>
      </c>
      <c r="N49" s="320">
        <v>0</v>
      </c>
      <c r="O49" s="320">
        <v>0</v>
      </c>
      <c r="P49" s="320">
        <v>0</v>
      </c>
      <c r="Q49" s="320">
        <v>0</v>
      </c>
      <c r="R49" s="320">
        <v>0</v>
      </c>
      <c r="S49" s="320">
        <v>0</v>
      </c>
      <c r="T49" s="320">
        <v>0</v>
      </c>
      <c r="U49" s="320">
        <v>0</v>
      </c>
      <c r="V49" s="320">
        <v>0</v>
      </c>
      <c r="W49" s="320">
        <v>0</v>
      </c>
      <c r="X49" s="320">
        <v>0</v>
      </c>
      <c r="Y49" s="320">
        <v>0</v>
      </c>
      <c r="Z49" s="320">
        <v>0</v>
      </c>
      <c r="AA49" s="320">
        <v>0</v>
      </c>
      <c r="AB49" s="320">
        <v>0</v>
      </c>
      <c r="AC49" s="320">
        <v>0</v>
      </c>
      <c r="AD49" s="320">
        <v>0</v>
      </c>
      <c r="AE49" s="320">
        <v>0</v>
      </c>
      <c r="AF49" s="320">
        <v>0</v>
      </c>
      <c r="AG49" s="320">
        <v>0</v>
      </c>
    </row>
    <row r="50" spans="1:43" x14ac:dyDescent="0.2">
      <c r="C50" s="1" t="s">
        <v>10</v>
      </c>
      <c r="D50" s="203" t="s">
        <v>206</v>
      </c>
      <c r="E50" s="111">
        <f>Assumptions!G99</f>
        <v>0.34750851315331577</v>
      </c>
      <c r="G50" s="205" t="s">
        <v>207</v>
      </c>
      <c r="I50" s="320">
        <v>0</v>
      </c>
      <c r="J50" s="320">
        <v>0</v>
      </c>
      <c r="K50" s="320">
        <v>0</v>
      </c>
      <c r="L50" s="320">
        <v>0</v>
      </c>
      <c r="M50" s="320">
        <v>0</v>
      </c>
      <c r="N50" s="320">
        <v>0</v>
      </c>
      <c r="O50" s="320">
        <v>0</v>
      </c>
      <c r="P50" s="320">
        <v>0</v>
      </c>
      <c r="Q50" s="320">
        <v>0</v>
      </c>
      <c r="R50" s="320">
        <v>0</v>
      </c>
      <c r="S50" s="320">
        <v>0</v>
      </c>
      <c r="T50" s="320">
        <v>0</v>
      </c>
      <c r="U50" s="320">
        <v>0</v>
      </c>
      <c r="V50" s="320">
        <v>0</v>
      </c>
      <c r="W50" s="320">
        <v>0</v>
      </c>
      <c r="X50" s="320">
        <v>0</v>
      </c>
      <c r="Y50" s="320">
        <v>0</v>
      </c>
      <c r="Z50" s="320">
        <v>0</v>
      </c>
      <c r="AA50" s="320">
        <v>0</v>
      </c>
      <c r="AB50" s="320">
        <v>0</v>
      </c>
      <c r="AC50" s="320">
        <v>0</v>
      </c>
      <c r="AD50" s="320">
        <v>0</v>
      </c>
      <c r="AE50" s="320">
        <v>0</v>
      </c>
      <c r="AF50" s="320">
        <v>0</v>
      </c>
      <c r="AG50" s="320">
        <v>0</v>
      </c>
    </row>
    <row r="51" spans="1:43" x14ac:dyDescent="0.2">
      <c r="C51" s="1" t="s">
        <v>6</v>
      </c>
      <c r="D51" s="203" t="s">
        <v>126</v>
      </c>
      <c r="E51" s="111">
        <f>Assumptions!G100</f>
        <v>0</v>
      </c>
      <c r="G51" s="205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3" t="s">
        <v>126</v>
      </c>
      <c r="E52" s="111">
        <f>Assumptions!G101</f>
        <v>0</v>
      </c>
      <c r="G52" s="205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3"/>
      <c r="G53" s="205"/>
      <c r="H53" s="62"/>
      <c r="I53" s="321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311</v>
      </c>
      <c r="D54" s="203"/>
      <c r="G54" s="205">
        <f>input_dollars</f>
        <v>45291</v>
      </c>
      <c r="I54" s="32">
        <f>Workings_costs!E31</f>
        <v>0</v>
      </c>
      <c r="J54" s="363">
        <f>Workings_costs!F31</f>
        <v>0</v>
      </c>
      <c r="K54" s="363">
        <f>Workings_costs!G31</f>
        <v>50000</v>
      </c>
      <c r="L54" s="363">
        <f>Workings_costs!H31</f>
        <v>50000</v>
      </c>
      <c r="M54" s="363">
        <f>Workings_costs!I31</f>
        <v>50000</v>
      </c>
      <c r="N54" s="363">
        <f>Workings_costs!J31</f>
        <v>50000</v>
      </c>
      <c r="O54" s="363">
        <f>Workings_costs!K31</f>
        <v>50000</v>
      </c>
      <c r="P54" s="363">
        <f>Workings_costs!L31</f>
        <v>50000</v>
      </c>
      <c r="Q54" s="363">
        <f>Workings_costs!M31</f>
        <v>50000</v>
      </c>
      <c r="R54" s="363">
        <f>Workings_costs!N31</f>
        <v>50000</v>
      </c>
      <c r="S54" s="363">
        <f>Workings_costs!O31</f>
        <v>50000</v>
      </c>
      <c r="T54" s="363">
        <f>Workings_costs!P31</f>
        <v>50000</v>
      </c>
      <c r="U54" s="363">
        <f>Workings_costs!Q31</f>
        <v>50000</v>
      </c>
      <c r="V54" s="363">
        <f>Workings_costs!R31</f>
        <v>50000</v>
      </c>
      <c r="W54" s="363">
        <f>Workings_costs!S31</f>
        <v>50000</v>
      </c>
      <c r="X54" s="363">
        <f>Workings_costs!T31</f>
        <v>50000</v>
      </c>
      <c r="Y54" s="363">
        <f>Workings_costs!U31</f>
        <v>50000</v>
      </c>
      <c r="Z54" s="363">
        <f>Workings_costs!V31</f>
        <v>50000</v>
      </c>
      <c r="AA54" s="363">
        <f>Workings_costs!W31</f>
        <v>50000</v>
      </c>
      <c r="AB54" s="363">
        <f>Workings_costs!X31</f>
        <v>50000</v>
      </c>
      <c r="AC54" s="363">
        <f>Workings_costs!Y31</f>
        <v>50000</v>
      </c>
      <c r="AD54" s="363">
        <f>Workings_costs!Z31</f>
        <v>50000</v>
      </c>
      <c r="AE54" s="363">
        <f>Workings_costs!AA31</f>
        <v>50000</v>
      </c>
      <c r="AF54" s="363">
        <f>Workings_costs!AB31</f>
        <v>50000</v>
      </c>
      <c r="AG54" s="363">
        <f>Workings_costs!AC31</f>
        <v>50000</v>
      </c>
    </row>
    <row r="55" spans="1:43" x14ac:dyDescent="0.2">
      <c r="C55" s="1" t="s">
        <v>118</v>
      </c>
      <c r="D55" s="203"/>
      <c r="G55" s="205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3"/>
      <c r="G56" s="203"/>
    </row>
    <row r="57" spans="1:43" x14ac:dyDescent="0.2">
      <c r="C57" s="3" t="s">
        <v>125</v>
      </c>
      <c r="D57" s="216"/>
      <c r="E57" s="106"/>
      <c r="F57" s="3"/>
      <c r="G57" s="208">
        <f>input_dollars</f>
        <v>45291</v>
      </c>
      <c r="H57" s="106"/>
      <c r="I57" s="168" cm="1">
        <f t="array" ref="I57">SUMPRODUCT((I$45:I$52)*($E$45:$E$52))+SUM(I54:I55)+I42</f>
        <v>0</v>
      </c>
      <c r="J57" s="168" cm="1">
        <f t="array" ref="J57">SUMPRODUCT((J$45:J$52)*($E$45:$E$52))+SUM(J54:J55)+J42</f>
        <v>0</v>
      </c>
      <c r="K57" s="168" cm="1">
        <f t="array" ref="K57">SUMPRODUCT((K$45:K$52)*($E$45:$E$52))+SUM(K54:K55)+K42</f>
        <v>50000</v>
      </c>
      <c r="L57" s="168" cm="1">
        <f t="array" ref="L57">SUMPRODUCT((L$45:L$52)*($E$45:$E$52))+SUM(L54:L55)+L42</f>
        <v>50000</v>
      </c>
      <c r="M57" s="168" cm="1">
        <f t="array" ref="M57">SUMPRODUCT((M$45:M$52)*($E$45:$E$52))+SUM(M54:M55)+M42</f>
        <v>50000</v>
      </c>
      <c r="N57" s="168" cm="1">
        <f t="array" ref="N57">SUMPRODUCT((N$45:N$52)*($E$45:$E$52))+SUM(N54:N55)+N42</f>
        <v>50000</v>
      </c>
      <c r="O57" s="168" cm="1">
        <f t="array" ref="O57">SUMPRODUCT((O$45:O$52)*($E$45:$E$52))+SUM(O54:O55)+O42</f>
        <v>50000</v>
      </c>
      <c r="P57" s="168" cm="1">
        <f t="array" ref="P57">SUMPRODUCT((P$45:P$52)*($E$45:$E$52))+SUM(P54:P55)+P42</f>
        <v>50000</v>
      </c>
      <c r="Q57" s="168" cm="1">
        <f t="array" ref="Q57">SUMPRODUCT((Q$45:Q$52)*($E$45:$E$52))+SUM(Q54:Q55)+Q42</f>
        <v>50000</v>
      </c>
      <c r="R57" s="168" cm="1">
        <f t="array" ref="R57">SUMPRODUCT((R$45:R$52)*($E$45:$E$52))+SUM(R54:R55)+R42</f>
        <v>50000</v>
      </c>
      <c r="S57" s="168" cm="1">
        <f t="array" ref="S57">SUMPRODUCT((S$45:S$52)*($E$45:$E$52))+SUM(S54:S55)+S42</f>
        <v>50000</v>
      </c>
      <c r="T57" s="168" cm="1">
        <f t="array" ref="T57">SUMPRODUCT((T$45:T$52)*($E$45:$E$52))+SUM(T54:T55)+T42</f>
        <v>50000</v>
      </c>
      <c r="U57" s="168" cm="1">
        <f t="array" ref="U57">SUMPRODUCT((U$45:U$52)*($E$45:$E$52))+SUM(U54:U55)+U42</f>
        <v>50000</v>
      </c>
      <c r="V57" s="168" cm="1">
        <f t="array" ref="V57">SUMPRODUCT((V$45:V$52)*($E$45:$E$52))+SUM(V54:V55)+V42</f>
        <v>50000</v>
      </c>
      <c r="W57" s="168" cm="1">
        <f t="array" ref="W57">SUMPRODUCT((W$45:W$52)*($E$45:$E$52))+SUM(W54:W55)+W42</f>
        <v>50000</v>
      </c>
      <c r="X57" s="168" cm="1">
        <f t="array" ref="X57">SUMPRODUCT((X$45:X$52)*($E$45:$E$52))+SUM(X54:X55)+X42</f>
        <v>50000</v>
      </c>
      <c r="Y57" s="168" cm="1">
        <f t="array" ref="Y57">SUMPRODUCT((Y$45:Y$52)*($E$45:$E$52))+SUM(Y54:Y55)+Y42</f>
        <v>50000</v>
      </c>
      <c r="Z57" s="168" cm="1">
        <f t="array" ref="Z57">SUMPRODUCT((Z$45:Z$52)*($E$45:$E$52))+SUM(Z54:Z55)+Z42</f>
        <v>50000</v>
      </c>
      <c r="AA57" s="168" cm="1">
        <f t="array" ref="AA57">SUMPRODUCT((AA$45:AA$52)*($E$45:$E$52))+SUM(AA54:AA55)+AA42</f>
        <v>50000</v>
      </c>
      <c r="AB57" s="168" cm="1">
        <f t="array" ref="AB57">SUMPRODUCT((AB$45:AB$52)*($E$45:$E$52))+SUM(AB54:AB55)+AB42</f>
        <v>50000</v>
      </c>
      <c r="AC57" s="168" cm="1">
        <f t="array" ref="AC57">SUMPRODUCT((AC$45:AC$52)*($E$45:$E$52))+SUM(AC54:AC55)+AC42</f>
        <v>50000</v>
      </c>
      <c r="AD57" s="168" cm="1">
        <f t="array" ref="AD57">SUMPRODUCT((AD$45:AD$52)*($E$45:$E$52))+SUM(AD54:AD55)+AD42</f>
        <v>50000</v>
      </c>
      <c r="AE57" s="168" cm="1">
        <f t="array" ref="AE57">SUMPRODUCT((AE$45:AE$52)*($E$45:$E$52))+SUM(AE54:AE55)+AE42</f>
        <v>50000</v>
      </c>
      <c r="AF57" s="168" cm="1">
        <f t="array" ref="AF57">SUMPRODUCT((AF$45:AF$52)*($E$45:$E$52))+SUM(AF54:AF55)+AF42</f>
        <v>50000</v>
      </c>
      <c r="AG57" s="168" cm="1">
        <f t="array" ref="AG57">SUMPRODUCT((AG$45:AG$52)*($E$45:$E$52))+SUM(AG54:AG55)+AG42</f>
        <v>50000</v>
      </c>
    </row>
    <row r="58" spans="1:43" x14ac:dyDescent="0.2">
      <c r="D58" s="203"/>
      <c r="G58" s="203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3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2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06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09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0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</row>
    <row r="64" spans="1:43" x14ac:dyDescent="0.2">
      <c r="C64" s="4" t="str">
        <f>'Option1 (base case)'!C64</f>
        <v>Risks mitigated vs base case</v>
      </c>
      <c r="G64" s="208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227574.95123294031</v>
      </c>
      <c r="L64" s="131">
        <f>(1-INDEX(Data!$C$9:$C$13, MATCH($A$3, options,0)))*('Option1 (base case)'!L36-L36)</f>
        <v>234161.6851923943</v>
      </c>
      <c r="M64" s="131">
        <f>(1-INDEX(Data!$C$9:$C$13, MATCH($A$3, options,0)))*('Option1 (base case)'!M36-M36)</f>
        <v>239966.33272498797</v>
      </c>
      <c r="N64" s="131">
        <f>(1-INDEX(Data!$C$9:$C$13, MATCH($A$3, options,0)))*('Option1 (base case)'!N36-N36)</f>
        <v>247633.47878155473</v>
      </c>
      <c r="O64" s="131">
        <f>(1-INDEX(Data!$C$9:$C$13, MATCH($A$3, options,0)))*('Option1 (base case)'!O36-O36)</f>
        <v>257097.30375824601</v>
      </c>
      <c r="P64" s="131">
        <f>(1-INDEX(Data!$C$9:$C$13, MATCH($A$3, options,0)))*('Option1 (base case)'!P36-P36)</f>
        <v>267476.84263071819</v>
      </c>
      <c r="Q64" s="131">
        <f>(1-INDEX(Data!$C$9:$C$13, MATCH($A$3, options,0)))*('Option1 (base case)'!Q36-Q36)</f>
        <v>274231.86799787392</v>
      </c>
      <c r="R64" s="131">
        <f>(1-INDEX(Data!$C$9:$C$13, MATCH($A$3, options,0)))*('Option1 (base case)'!R36-R36)</f>
        <v>275630.15454925632</v>
      </c>
      <c r="S64" s="131">
        <f>(1-INDEX(Data!$C$9:$C$13, MATCH($A$3, options,0)))*('Option1 (base case)'!S36-S36)</f>
        <v>276799.29957913893</v>
      </c>
      <c r="T64" s="131">
        <f>(1-INDEX(Data!$C$9:$C$13, MATCH($A$3, options,0)))*('Option1 (base case)'!T36-T36)</f>
        <v>277981.74249332893</v>
      </c>
      <c r="U64" s="131">
        <f>(1-INDEX(Data!$C$9:$C$13, MATCH($A$3, options,0)))*('Option1 (base case)'!U36-U36)</f>
        <v>279140.53245841619</v>
      </c>
      <c r="V64" s="131">
        <f>(1-INDEX(Data!$C$9:$C$13, MATCH($A$3, options,0)))*('Option1 (base case)'!V36-V36)</f>
        <v>280337.79191722366</v>
      </c>
      <c r="W64" s="131">
        <f>(1-INDEX(Data!$C$9:$C$13, MATCH($A$3, options,0)))*('Option1 (base case)'!W36-W36)</f>
        <v>281504.47291826981</v>
      </c>
      <c r="X64" s="131">
        <f>(1-INDEX(Data!$C$9:$C$13, MATCH($A$3, options,0)))*('Option1 (base case)'!X36-X36)</f>
        <v>282637.25436092296</v>
      </c>
      <c r="Y64" s="131">
        <f>(1-INDEX(Data!$C$9:$C$13, MATCH($A$3, options,0)))*('Option1 (base case)'!Y36-Y36)</f>
        <v>283733.1048017373</v>
      </c>
      <c r="Z64" s="131">
        <f>(1-INDEX(Data!$C$9:$C$13, MATCH($A$3, options,0)))*('Option1 (base case)'!Z36-Z36)</f>
        <v>284789.3617582834</v>
      </c>
      <c r="AA64" s="131">
        <f>(1-INDEX(Data!$C$9:$C$13, MATCH($A$3, options,0)))*('Option1 (base case)'!AA36-AA36)</f>
        <v>285803.80883145815</v>
      </c>
      <c r="AB64" s="131">
        <f>(1-INDEX(Data!$C$9:$C$13, MATCH($A$3, options,0)))*('Option1 (base case)'!AB36-AB36)</f>
        <v>286774.74867119465</v>
      </c>
      <c r="AC64" s="131">
        <f>(1-INDEX(Data!$C$9:$C$13, MATCH($A$3, options,0)))*('Option1 (base case)'!AC36-AC36)</f>
        <v>287701.06957502913</v>
      </c>
      <c r="AD64" s="131">
        <f>(1-INDEX(Data!$C$9:$C$13, MATCH($A$3, options,0)))*('Option1 (base case)'!AD36-AD36)</f>
        <v>288582.30331960891</v>
      </c>
      <c r="AE64" s="131">
        <f>(1-INDEX(Data!$C$9:$C$13, MATCH($A$3, options,0)))*('Option1 (base case)'!AE36-AE36)</f>
        <v>289418.67169899633</v>
      </c>
      <c r="AF64" s="131">
        <f>(1-INDEX(Data!$C$9:$C$13, MATCH($A$3, options,0)))*('Option1 (base case)'!AF36-AF36)</f>
        <v>290211.11919806583</v>
      </c>
      <c r="AG64" s="131">
        <f>(1-INDEX(Data!$C$9:$C$13, MATCH($A$3, options,0)))*('Option1 (base case)'!AG36-AG36)</f>
        <v>290961.32928134117</v>
      </c>
    </row>
    <row r="65" spans="1:33" x14ac:dyDescent="0.2">
      <c r="G65" s="210"/>
    </row>
    <row r="66" spans="1:33" x14ac:dyDescent="0.2">
      <c r="A66" s="8"/>
      <c r="B66" s="8"/>
      <c r="C66" s="145" t="s">
        <v>30</v>
      </c>
      <c r="D66" s="38"/>
      <c r="F66" s="96"/>
      <c r="G66" s="21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Switchboard</v>
      </c>
      <c r="D67" s="38"/>
      <c r="F67" s="96"/>
      <c r="G67" s="208">
        <f>input_dollars</f>
        <v>45291</v>
      </c>
      <c r="H67" s="31"/>
      <c r="I67" s="118">
        <f t="shared" ref="I67:AG67" si="4">-I14</f>
        <v>-2045617.0626319998</v>
      </c>
      <c r="J67" s="118">
        <f t="shared" si="4"/>
        <v>-1022808.5313159998</v>
      </c>
      <c r="K67" s="118">
        <f t="shared" si="4"/>
        <v>0</v>
      </c>
      <c r="L67" s="118">
        <f t="shared" si="4"/>
        <v>0</v>
      </c>
      <c r="M67" s="118">
        <f t="shared" si="4"/>
        <v>0</v>
      </c>
      <c r="N67" s="118">
        <f t="shared" si="4"/>
        <v>0</v>
      </c>
      <c r="O67" s="118">
        <f t="shared" si="4"/>
        <v>0</v>
      </c>
      <c r="P67" s="118">
        <f t="shared" si="4"/>
        <v>0</v>
      </c>
      <c r="Q67" s="118">
        <f t="shared" si="4"/>
        <v>0</v>
      </c>
      <c r="R67" s="118">
        <f t="shared" si="4"/>
        <v>0</v>
      </c>
      <c r="S67" s="118">
        <f t="shared" si="4"/>
        <v>0</v>
      </c>
      <c r="T67" s="118">
        <f t="shared" si="4"/>
        <v>0</v>
      </c>
      <c r="U67" s="118">
        <f t="shared" si="4"/>
        <v>0</v>
      </c>
      <c r="V67" s="118">
        <f t="shared" si="4"/>
        <v>0</v>
      </c>
      <c r="W67" s="118">
        <f t="shared" si="4"/>
        <v>0</v>
      </c>
      <c r="X67" s="118">
        <f t="shared" si="4"/>
        <v>0</v>
      </c>
      <c r="Y67" s="118">
        <f t="shared" si="4"/>
        <v>0</v>
      </c>
      <c r="Z67" s="118">
        <f t="shared" si="4"/>
        <v>0</v>
      </c>
      <c r="AA67" s="118">
        <f t="shared" si="4"/>
        <v>0</v>
      </c>
      <c r="AB67" s="118">
        <f t="shared" si="4"/>
        <v>0</v>
      </c>
      <c r="AC67" s="118">
        <f t="shared" si="4"/>
        <v>0</v>
      </c>
      <c r="AD67" s="118">
        <f t="shared" si="4"/>
        <v>0</v>
      </c>
      <c r="AE67" s="118">
        <f t="shared" si="4"/>
        <v>0</v>
      </c>
      <c r="AF67" s="118">
        <f t="shared" si="4"/>
        <v>0</v>
      </c>
      <c r="AG67" s="118">
        <f t="shared" si="4"/>
        <v>0</v>
      </c>
    </row>
    <row r="68" spans="1:33" x14ac:dyDescent="0.2">
      <c r="A68" s="8"/>
      <c r="B68" s="8"/>
      <c r="C68" s="4" t="str">
        <f>C15</f>
        <v>Relays</v>
      </c>
      <c r="D68" s="38"/>
      <c r="F68" s="96"/>
      <c r="G68" s="208">
        <f>input_dollars</f>
        <v>45291</v>
      </c>
      <c r="H68" s="31"/>
      <c r="I68" s="118">
        <f t="shared" ref="I68:AG68" si="5">-I15</f>
        <v>-1363744.7084213332</v>
      </c>
      <c r="J68" s="118">
        <f t="shared" si="5"/>
        <v>-681872.35421066661</v>
      </c>
      <c r="K68" s="118">
        <f t="shared" si="5"/>
        <v>0</v>
      </c>
      <c r="L68" s="118">
        <f t="shared" si="5"/>
        <v>0</v>
      </c>
      <c r="M68" s="118">
        <f t="shared" si="5"/>
        <v>0</v>
      </c>
      <c r="N68" s="118">
        <f t="shared" si="5"/>
        <v>0</v>
      </c>
      <c r="O68" s="118">
        <f t="shared" si="5"/>
        <v>0</v>
      </c>
      <c r="P68" s="118">
        <f t="shared" si="5"/>
        <v>0</v>
      </c>
      <c r="Q68" s="118">
        <f t="shared" si="5"/>
        <v>0</v>
      </c>
      <c r="R68" s="118">
        <f t="shared" si="5"/>
        <v>0</v>
      </c>
      <c r="S68" s="118">
        <f t="shared" si="5"/>
        <v>0</v>
      </c>
      <c r="T68" s="118">
        <f t="shared" si="5"/>
        <v>0</v>
      </c>
      <c r="U68" s="118">
        <f t="shared" si="5"/>
        <v>0</v>
      </c>
      <c r="V68" s="118">
        <f t="shared" si="5"/>
        <v>0</v>
      </c>
      <c r="W68" s="118">
        <f t="shared" si="5"/>
        <v>0</v>
      </c>
      <c r="X68" s="118">
        <f t="shared" si="5"/>
        <v>0</v>
      </c>
      <c r="Y68" s="118">
        <f t="shared" si="5"/>
        <v>0</v>
      </c>
      <c r="Z68" s="118">
        <f t="shared" si="5"/>
        <v>0</v>
      </c>
      <c r="AA68" s="118">
        <f t="shared" si="5"/>
        <v>0</v>
      </c>
      <c r="AB68" s="118">
        <f t="shared" si="5"/>
        <v>0</v>
      </c>
      <c r="AC68" s="118">
        <f t="shared" si="5"/>
        <v>0</v>
      </c>
      <c r="AD68" s="118">
        <f t="shared" si="5"/>
        <v>0</v>
      </c>
      <c r="AE68" s="118">
        <f t="shared" si="5"/>
        <v>0</v>
      </c>
      <c r="AF68" s="118">
        <f t="shared" si="5"/>
        <v>0</v>
      </c>
      <c r="AG68" s="118">
        <f t="shared" si="5"/>
        <v>0</v>
      </c>
    </row>
    <row r="69" spans="1:33" x14ac:dyDescent="0.2">
      <c r="A69" s="8"/>
      <c r="B69" s="8"/>
      <c r="C69" s="4">
        <f>C16</f>
        <v>0</v>
      </c>
      <c r="D69" s="38"/>
      <c r="F69" s="96"/>
      <c r="G69" s="208">
        <f>input_dollars</f>
        <v>45291</v>
      </c>
      <c r="H69" s="31"/>
      <c r="I69" s="118">
        <f t="shared" ref="I69:AG69" si="6">-I16</f>
        <v>0</v>
      </c>
      <c r="J69" s="118">
        <f t="shared" si="6"/>
        <v>0</v>
      </c>
      <c r="K69" s="118">
        <f t="shared" si="6"/>
        <v>0</v>
      </c>
      <c r="L69" s="118">
        <f t="shared" si="6"/>
        <v>0</v>
      </c>
      <c r="M69" s="118">
        <f t="shared" si="6"/>
        <v>0</v>
      </c>
      <c r="N69" s="118">
        <f t="shared" si="6"/>
        <v>0</v>
      </c>
      <c r="O69" s="118">
        <f t="shared" si="6"/>
        <v>0</v>
      </c>
      <c r="P69" s="118">
        <f t="shared" si="6"/>
        <v>0</v>
      </c>
      <c r="Q69" s="118">
        <f t="shared" si="6"/>
        <v>0</v>
      </c>
      <c r="R69" s="118">
        <f t="shared" si="6"/>
        <v>0</v>
      </c>
      <c r="S69" s="118">
        <f t="shared" si="6"/>
        <v>0</v>
      </c>
      <c r="T69" s="118">
        <f t="shared" si="6"/>
        <v>0</v>
      </c>
      <c r="U69" s="118">
        <f t="shared" si="6"/>
        <v>0</v>
      </c>
      <c r="V69" s="118">
        <f t="shared" si="6"/>
        <v>0</v>
      </c>
      <c r="W69" s="118">
        <f t="shared" si="6"/>
        <v>0</v>
      </c>
      <c r="X69" s="118">
        <f t="shared" si="6"/>
        <v>0</v>
      </c>
      <c r="Y69" s="118">
        <f t="shared" si="6"/>
        <v>0</v>
      </c>
      <c r="Z69" s="118">
        <f t="shared" si="6"/>
        <v>0</v>
      </c>
      <c r="AA69" s="118">
        <f t="shared" si="6"/>
        <v>0</v>
      </c>
      <c r="AB69" s="118">
        <f t="shared" si="6"/>
        <v>0</v>
      </c>
      <c r="AC69" s="118">
        <f t="shared" si="6"/>
        <v>0</v>
      </c>
      <c r="AD69" s="118">
        <f t="shared" si="6"/>
        <v>0</v>
      </c>
      <c r="AE69" s="118">
        <f t="shared" si="6"/>
        <v>0</v>
      </c>
      <c r="AF69" s="118">
        <f t="shared" si="6"/>
        <v>0</v>
      </c>
      <c r="AG69" s="118">
        <f t="shared" si="6"/>
        <v>0</v>
      </c>
    </row>
    <row r="70" spans="1:33" x14ac:dyDescent="0.2">
      <c r="A70" s="8"/>
      <c r="B70" s="8"/>
      <c r="C70" s="4"/>
      <c r="D70" s="38"/>
      <c r="F70" s="96"/>
      <c r="G70" s="212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">
      <c r="A71" s="8"/>
      <c r="B71" s="8"/>
      <c r="C71" s="145" t="s">
        <v>156</v>
      </c>
      <c r="D71" s="38"/>
      <c r="F71" s="96"/>
      <c r="G71" s="211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">
      <c r="A72" s="8"/>
      <c r="B72" s="8"/>
      <c r="C72" s="4" t="str">
        <f>C14</f>
        <v>Switchboard</v>
      </c>
      <c r="D72" s="38"/>
      <c r="F72" s="96"/>
      <c r="G72" s="208">
        <f>input_dollars</f>
        <v>45291</v>
      </c>
      <c r="H72" s="31"/>
      <c r="I72" s="118" cm="1">
        <f t="array" ref="I72">SUMPRODUCT(($I67:I67))-SUMPRODUCT(($I67:I67)*($I$6:I$6&lt;=(I$6-$E14)))</f>
        <v>-2045617.0626319998</v>
      </c>
      <c r="J72" s="118" cm="1">
        <f t="array" ref="J72">SUMPRODUCT(($I67:J67))-SUMPRODUCT(($I67:J67)*($I$6:J$6&lt;=(J$6-$E14)))</f>
        <v>-3068425.5939479996</v>
      </c>
      <c r="K72" s="118" cm="1">
        <f t="array" ref="K72">SUMPRODUCT(($I67:K67))-SUMPRODUCT(($I67:K67)*($I$6:K$6&lt;=(K$6-$E14)))</f>
        <v>-3068425.5939479996</v>
      </c>
      <c r="L72" s="118" cm="1">
        <f t="array" ref="L72">SUMPRODUCT(($I67:L67))-SUMPRODUCT(($I67:L67)*($I$6:L$6&lt;=(L$6-$E14)))</f>
        <v>-3068425.5939479996</v>
      </c>
      <c r="M72" s="118" cm="1">
        <f t="array" ref="M72">SUMPRODUCT(($I67:M67))-SUMPRODUCT(($I67:M67)*($I$6:M$6&lt;=(M$6-$E14)))</f>
        <v>-3068425.5939479996</v>
      </c>
      <c r="N72" s="118" cm="1">
        <f t="array" ref="N72">SUMPRODUCT(($I67:N67))-SUMPRODUCT(($I67:N67)*($I$6:N$6&lt;=(N$6-$E14)))</f>
        <v>-3068425.5939479996</v>
      </c>
      <c r="O72" s="118" cm="1">
        <f t="array" ref="O72">SUMPRODUCT(($I67:O67))-SUMPRODUCT(($I67:O67)*($I$6:O$6&lt;=(O$6-$E14)))</f>
        <v>-3068425.5939479996</v>
      </c>
      <c r="P72" s="118" cm="1">
        <f t="array" ref="P72">SUMPRODUCT(($I67:P67))-SUMPRODUCT(($I67:P67)*($I$6:P$6&lt;=(P$6-$E14)))</f>
        <v>-3068425.5939479996</v>
      </c>
      <c r="Q72" s="118" cm="1">
        <f t="array" ref="Q72">SUMPRODUCT(($I67:Q67))-SUMPRODUCT(($I67:Q67)*($I$6:Q$6&lt;=(Q$6-$E14)))</f>
        <v>-3068425.5939479996</v>
      </c>
      <c r="R72" s="118" cm="1">
        <f t="array" ref="R72">SUMPRODUCT(($I67:R67))-SUMPRODUCT(($I67:R67)*($I$6:R$6&lt;=(R$6-$E14)))</f>
        <v>-3068425.5939479996</v>
      </c>
      <c r="S72" s="118" cm="1">
        <f t="array" ref="S72">SUMPRODUCT(($I67:S67))-SUMPRODUCT(($I67:S67)*($I$6:S$6&lt;=(S$6-$E14)))</f>
        <v>-3068425.5939479996</v>
      </c>
      <c r="T72" s="118" cm="1">
        <f t="array" ref="T72">SUMPRODUCT(($I67:T67))-SUMPRODUCT(($I67:T67)*($I$6:T$6&lt;=(T$6-$E14)))</f>
        <v>-3068425.5939479996</v>
      </c>
      <c r="U72" s="118" cm="1">
        <f t="array" ref="U72">SUMPRODUCT(($I67:U67))-SUMPRODUCT(($I67:U67)*($I$6:U$6&lt;=(U$6-$E14)))</f>
        <v>-3068425.5939479996</v>
      </c>
      <c r="V72" s="118" cm="1">
        <f t="array" ref="V72">SUMPRODUCT(($I67:V67))-SUMPRODUCT(($I67:V67)*($I$6:V$6&lt;=(V$6-$E14)))</f>
        <v>-3068425.5939479996</v>
      </c>
      <c r="W72" s="118" cm="1">
        <f t="array" ref="W72">SUMPRODUCT(($I67:W67))-SUMPRODUCT(($I67:W67)*($I$6:W$6&lt;=(W$6-$E14)))</f>
        <v>-3068425.5939479996</v>
      </c>
      <c r="X72" s="118" cm="1">
        <f t="array" ref="X72">SUMPRODUCT(($I67:X67))-SUMPRODUCT(($I67:X67)*($I$6:X$6&lt;=(X$6-$E14)))</f>
        <v>-3068425.5939479996</v>
      </c>
      <c r="Y72" s="118" cm="1">
        <f t="array" ref="Y72">SUMPRODUCT(($I67:Y67))-SUMPRODUCT(($I67:Y67)*($I$6:Y$6&lt;=(Y$6-$E14)))</f>
        <v>-3068425.5939479996</v>
      </c>
      <c r="Z72" s="118" cm="1">
        <f t="array" ref="Z72">SUMPRODUCT(($I67:Z67))-SUMPRODUCT(($I67:Z67)*($I$6:Z$6&lt;=(Z$6-$E14)))</f>
        <v>-3068425.5939479996</v>
      </c>
      <c r="AA72" s="118" cm="1">
        <f t="array" ref="AA72">SUMPRODUCT(($I67:AA67))-SUMPRODUCT(($I67:AA67)*($I$6:AA$6&lt;=(AA$6-$E14)))</f>
        <v>-3068425.5939479996</v>
      </c>
      <c r="AB72" s="118" cm="1">
        <f t="array" ref="AB72">SUMPRODUCT(($I67:AB67))-SUMPRODUCT(($I67:AB67)*($I$6:AB$6&lt;=(AB$6-$E14)))</f>
        <v>-3068425.5939479996</v>
      </c>
      <c r="AC72" s="118" cm="1">
        <f t="array" ref="AC72">SUMPRODUCT(($I67:AC67))-SUMPRODUCT(($I67:AC67)*($I$6:AC$6&lt;=(AC$6-$E14)))</f>
        <v>-3068425.5939479996</v>
      </c>
      <c r="AD72" s="118" cm="1">
        <f t="array" ref="AD72">SUMPRODUCT(($I67:AD67))-SUMPRODUCT(($I67:AD67)*($I$6:AD$6&lt;=(AD$6-$E14)))</f>
        <v>-3068425.5939479996</v>
      </c>
      <c r="AE72" s="118" cm="1">
        <f t="array" ref="AE72">SUMPRODUCT(($I67:AE67))-SUMPRODUCT(($I67:AE67)*($I$6:AE$6&lt;=(AE$6-$E14)))</f>
        <v>-3068425.5939479996</v>
      </c>
      <c r="AF72" s="118" cm="1">
        <f t="array" ref="AF72">SUMPRODUCT(($I67:AF67))-SUMPRODUCT(($I67:AF67)*($I$6:AF$6&lt;=(AF$6-$E14)))</f>
        <v>-3068425.5939479996</v>
      </c>
      <c r="AG72" s="118" cm="1">
        <f t="array" ref="AG72">SUMPRODUCT(($I67:AG67))-SUMPRODUCT(($I67:AG67)*($I$6:AG$6&lt;=(AG$6-$E14)))</f>
        <v>-3068425.5939479996</v>
      </c>
    </row>
    <row r="73" spans="1:33" x14ac:dyDescent="0.2">
      <c r="A73" s="8"/>
      <c r="B73" s="8"/>
      <c r="C73" s="4" t="str">
        <f>C15</f>
        <v>Relays</v>
      </c>
      <c r="D73" s="38"/>
      <c r="F73" s="96"/>
      <c r="G73" s="208">
        <f>input_dollars</f>
        <v>45291</v>
      </c>
      <c r="H73" s="31"/>
      <c r="I73" s="118" cm="1">
        <f t="array" ref="I73">SUMPRODUCT(($I68:I68))-SUMPRODUCT(($I68:I68)*($I$6:I$6&lt;=(I$6-$E15)))</f>
        <v>-1363744.7084213332</v>
      </c>
      <c r="J73" s="118" cm="1">
        <f t="array" ref="J73">SUMPRODUCT(($I68:J68))-SUMPRODUCT(($I68:J68)*($I$6:J$6&lt;=(J$6-$E15)))</f>
        <v>-2045617.0626319998</v>
      </c>
      <c r="K73" s="118" cm="1">
        <f t="array" ref="K73">SUMPRODUCT(($I68:K68))-SUMPRODUCT(($I68:K68)*($I$6:K$6&lt;=(K$6-$E15)))</f>
        <v>-2045617.0626319998</v>
      </c>
      <c r="L73" s="118" cm="1">
        <f t="array" ref="L73">SUMPRODUCT(($I68:L68))-SUMPRODUCT(($I68:L68)*($I$6:L$6&lt;=(L$6-$E15)))</f>
        <v>-2045617.0626319998</v>
      </c>
      <c r="M73" s="118" cm="1">
        <f t="array" ref="M73">SUMPRODUCT(($I68:M68))-SUMPRODUCT(($I68:M68)*($I$6:M$6&lt;=(M$6-$E15)))</f>
        <v>-2045617.0626319998</v>
      </c>
      <c r="N73" s="118" cm="1">
        <f t="array" ref="N73">SUMPRODUCT(($I68:N68))-SUMPRODUCT(($I68:N68)*($I$6:N$6&lt;=(N$6-$E15)))</f>
        <v>-2045617.0626319998</v>
      </c>
      <c r="O73" s="118" cm="1">
        <f t="array" ref="O73">SUMPRODUCT(($I68:O68))-SUMPRODUCT(($I68:O68)*($I$6:O$6&lt;=(O$6-$E15)))</f>
        <v>-2045617.0626319998</v>
      </c>
      <c r="P73" s="118" cm="1">
        <f t="array" ref="P73">SUMPRODUCT(($I68:P68))-SUMPRODUCT(($I68:P68)*($I$6:P$6&lt;=(P$6-$E15)))</f>
        <v>-2045617.0626319998</v>
      </c>
      <c r="Q73" s="118" cm="1">
        <f t="array" ref="Q73">SUMPRODUCT(($I68:Q68))-SUMPRODUCT(($I68:Q68)*($I$6:Q$6&lt;=(Q$6-$E15)))</f>
        <v>-2045617.0626319998</v>
      </c>
      <c r="R73" s="118" cm="1">
        <f t="array" ref="R73">SUMPRODUCT(($I68:R68))-SUMPRODUCT(($I68:R68)*($I$6:R$6&lt;=(R$6-$E15)))</f>
        <v>-2045617.0626319998</v>
      </c>
      <c r="S73" s="118" cm="1">
        <f t="array" ref="S73">SUMPRODUCT(($I68:S68))-SUMPRODUCT(($I68:S68)*($I$6:S$6&lt;=(S$6-$E15)))</f>
        <v>-2045617.0626319998</v>
      </c>
      <c r="T73" s="118" cm="1">
        <f t="array" ref="T73">SUMPRODUCT(($I68:T68))-SUMPRODUCT(($I68:T68)*($I$6:T$6&lt;=(T$6-$E15)))</f>
        <v>-2045617.0626319998</v>
      </c>
      <c r="U73" s="118" cm="1">
        <f t="array" ref="U73">SUMPRODUCT(($I68:U68))-SUMPRODUCT(($I68:U68)*($I$6:U$6&lt;=(U$6-$E15)))</f>
        <v>-2045617.0626319998</v>
      </c>
      <c r="V73" s="118" cm="1">
        <f t="array" ref="V73">SUMPRODUCT(($I68:V68))-SUMPRODUCT(($I68:V68)*($I$6:V$6&lt;=(V$6-$E15)))</f>
        <v>-2045617.0626319998</v>
      </c>
      <c r="W73" s="118" cm="1">
        <f t="array" ref="W73">SUMPRODUCT(($I68:W68))-SUMPRODUCT(($I68:W68)*($I$6:W$6&lt;=(W$6-$E15)))</f>
        <v>-2045617.0626319998</v>
      </c>
      <c r="X73" s="118" cm="1">
        <f t="array" ref="X73">SUMPRODUCT(($I68:X68))-SUMPRODUCT(($I68:X68)*($I$6:X$6&lt;=(X$6-$E15)))</f>
        <v>-2045617.0626319998</v>
      </c>
      <c r="Y73" s="118" cm="1">
        <f t="array" ref="Y73">SUMPRODUCT(($I68:Y68))-SUMPRODUCT(($I68:Y68)*($I$6:Y$6&lt;=(Y$6-$E15)))</f>
        <v>-2045617.0626319998</v>
      </c>
      <c r="Z73" s="118" cm="1">
        <f t="array" ref="Z73">SUMPRODUCT(($I68:Z68))-SUMPRODUCT(($I68:Z68)*($I$6:Z$6&lt;=(Z$6-$E15)))</f>
        <v>-2045617.0626319998</v>
      </c>
      <c r="AA73" s="118" cm="1">
        <f t="array" ref="AA73">SUMPRODUCT(($I68:AA68))-SUMPRODUCT(($I68:AA68)*($I$6:AA$6&lt;=(AA$6-$E15)))</f>
        <v>-2045617.0626319998</v>
      </c>
      <c r="AB73" s="118" cm="1">
        <f t="array" ref="AB73">SUMPRODUCT(($I68:AB68))-SUMPRODUCT(($I68:AB68)*($I$6:AB$6&lt;=(AB$6-$E15)))</f>
        <v>-2045617.0626319998</v>
      </c>
      <c r="AC73" s="118" cm="1">
        <f t="array" ref="AC73">SUMPRODUCT(($I68:AC68))-SUMPRODUCT(($I68:AC68)*($I$6:AC$6&lt;=(AC$6-$E15)))</f>
        <v>-2045617.0626319998</v>
      </c>
      <c r="AD73" s="118" cm="1">
        <f t="array" ref="AD73">SUMPRODUCT(($I68:AD68))-SUMPRODUCT(($I68:AD68)*($I$6:AD$6&lt;=(AD$6-$E15)))</f>
        <v>-2045617.0626319998</v>
      </c>
      <c r="AE73" s="118" cm="1">
        <f t="array" ref="AE73">SUMPRODUCT(($I68:AE68))-SUMPRODUCT(($I68:AE68)*($I$6:AE$6&lt;=(AE$6-$E15)))</f>
        <v>-2045617.0626319998</v>
      </c>
      <c r="AF73" s="118" cm="1">
        <f t="array" ref="AF73">SUMPRODUCT(($I68:AF68))-SUMPRODUCT(($I68:AF68)*($I$6:AF$6&lt;=(AF$6-$E15)))</f>
        <v>-2045617.0626319998</v>
      </c>
      <c r="AG73" s="118" cm="1">
        <f t="array" ref="AG73">SUMPRODUCT(($I68:AG68))-SUMPRODUCT(($I68:AG68)*($I$6:AG$6&lt;=(AG$6-$E15)))</f>
        <v>-2045617.0626319998</v>
      </c>
    </row>
    <row r="74" spans="1:33" x14ac:dyDescent="0.2">
      <c r="A74" s="8"/>
      <c r="B74" s="8"/>
      <c r="C74" s="4">
        <f>C16</f>
        <v>0</v>
      </c>
      <c r="D74" s="38"/>
      <c r="F74" s="96"/>
      <c r="G74" s="208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6"/>
      <c r="G75" s="212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2">
      <c r="A76" s="8"/>
      <c r="B76" s="8"/>
      <c r="C76" s="145" t="s">
        <v>91</v>
      </c>
      <c r="D76" s="38"/>
      <c r="F76" s="96"/>
      <c r="G76" s="211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2">
      <c r="A77" s="8"/>
      <c r="B77" s="8"/>
      <c r="C77" s="4" t="str">
        <f>$C$76&amp;" - "&amp;C14</f>
        <v>Annualised capex - Switchboard</v>
      </c>
      <c r="D77" s="38"/>
      <c r="F77" s="96"/>
      <c r="G77" s="208">
        <f>input_dollars</f>
        <v>45291</v>
      </c>
      <c r="H77" s="31"/>
      <c r="I77" s="118">
        <f t="shared" ref="I77:AG77" si="7">IF($E14=0,0,-PMT(real_disc, $E14,H72,))</f>
        <v>0</v>
      </c>
      <c r="J77" s="118">
        <f t="shared" si="7"/>
        <v>-87212.24373262767</v>
      </c>
      <c r="K77" s="118">
        <f t="shared" si="7"/>
        <v>-130818.3655989415</v>
      </c>
      <c r="L77" s="118">
        <f t="shared" si="7"/>
        <v>-130818.3655989415</v>
      </c>
      <c r="M77" s="118">
        <f t="shared" si="7"/>
        <v>-130818.3655989415</v>
      </c>
      <c r="N77" s="118">
        <f t="shared" si="7"/>
        <v>-130818.3655989415</v>
      </c>
      <c r="O77" s="118">
        <f t="shared" si="7"/>
        <v>-130818.3655989415</v>
      </c>
      <c r="P77" s="118">
        <f t="shared" si="7"/>
        <v>-130818.3655989415</v>
      </c>
      <c r="Q77" s="118">
        <f t="shared" si="7"/>
        <v>-130818.3655989415</v>
      </c>
      <c r="R77" s="118">
        <f t="shared" si="7"/>
        <v>-130818.3655989415</v>
      </c>
      <c r="S77" s="118">
        <f t="shared" si="7"/>
        <v>-130818.3655989415</v>
      </c>
      <c r="T77" s="118">
        <f t="shared" si="7"/>
        <v>-130818.3655989415</v>
      </c>
      <c r="U77" s="118">
        <f t="shared" si="7"/>
        <v>-130818.3655989415</v>
      </c>
      <c r="V77" s="118">
        <f t="shared" si="7"/>
        <v>-130818.3655989415</v>
      </c>
      <c r="W77" s="118">
        <f t="shared" si="7"/>
        <v>-130818.3655989415</v>
      </c>
      <c r="X77" s="118">
        <f t="shared" si="7"/>
        <v>-130818.3655989415</v>
      </c>
      <c r="Y77" s="118">
        <f t="shared" si="7"/>
        <v>-130818.3655989415</v>
      </c>
      <c r="Z77" s="118">
        <f t="shared" si="7"/>
        <v>-130818.3655989415</v>
      </c>
      <c r="AA77" s="118">
        <f t="shared" si="7"/>
        <v>-130818.3655989415</v>
      </c>
      <c r="AB77" s="118">
        <f t="shared" si="7"/>
        <v>-130818.3655989415</v>
      </c>
      <c r="AC77" s="118">
        <f t="shared" si="7"/>
        <v>-130818.3655989415</v>
      </c>
      <c r="AD77" s="118">
        <f t="shared" si="7"/>
        <v>-130818.3655989415</v>
      </c>
      <c r="AE77" s="118">
        <f t="shared" si="7"/>
        <v>-130818.3655989415</v>
      </c>
      <c r="AF77" s="118">
        <f t="shared" si="7"/>
        <v>-130818.3655989415</v>
      </c>
      <c r="AG77" s="118">
        <f t="shared" si="7"/>
        <v>-130818.3655989415</v>
      </c>
    </row>
    <row r="78" spans="1:33" x14ac:dyDescent="0.2">
      <c r="A78" s="8"/>
      <c r="B78" s="8"/>
      <c r="C78" s="4" t="str">
        <f>$C$76&amp;" - "&amp;C15</f>
        <v>Annualised capex - Relays</v>
      </c>
      <c r="D78" s="38"/>
      <c r="F78" s="96"/>
      <c r="G78" s="208">
        <f>input_dollars</f>
        <v>45291</v>
      </c>
      <c r="H78" s="31"/>
      <c r="I78" s="118">
        <f t="shared" ref="I78:AG78" si="8">IF($E15=0,0,-PMT(real_disc, $E15,H73,))</f>
        <v>0</v>
      </c>
      <c r="J78" s="118">
        <f t="shared" si="8"/>
        <v>-82743.894730379616</v>
      </c>
      <c r="K78" s="118">
        <f t="shared" si="8"/>
        <v>-124115.84209556945</v>
      </c>
      <c r="L78" s="118">
        <f t="shared" si="8"/>
        <v>-124115.84209556945</v>
      </c>
      <c r="M78" s="118">
        <f t="shared" si="8"/>
        <v>-124115.84209556945</v>
      </c>
      <c r="N78" s="118">
        <f t="shared" si="8"/>
        <v>-124115.84209556945</v>
      </c>
      <c r="O78" s="118">
        <f t="shared" si="8"/>
        <v>-124115.84209556945</v>
      </c>
      <c r="P78" s="118">
        <f t="shared" si="8"/>
        <v>-124115.84209556945</v>
      </c>
      <c r="Q78" s="118">
        <f t="shared" si="8"/>
        <v>-124115.84209556945</v>
      </c>
      <c r="R78" s="118">
        <f t="shared" si="8"/>
        <v>-124115.84209556945</v>
      </c>
      <c r="S78" s="118">
        <f t="shared" si="8"/>
        <v>-124115.84209556945</v>
      </c>
      <c r="T78" s="118">
        <f t="shared" si="8"/>
        <v>-124115.84209556945</v>
      </c>
      <c r="U78" s="118">
        <f t="shared" si="8"/>
        <v>-124115.84209556945</v>
      </c>
      <c r="V78" s="118">
        <f t="shared" si="8"/>
        <v>-124115.84209556945</v>
      </c>
      <c r="W78" s="118">
        <f t="shared" si="8"/>
        <v>-124115.84209556945</v>
      </c>
      <c r="X78" s="118">
        <f t="shared" si="8"/>
        <v>-124115.84209556945</v>
      </c>
      <c r="Y78" s="118">
        <f t="shared" si="8"/>
        <v>-124115.84209556945</v>
      </c>
      <c r="Z78" s="118">
        <f t="shared" si="8"/>
        <v>-124115.84209556945</v>
      </c>
      <c r="AA78" s="118">
        <f t="shared" si="8"/>
        <v>-124115.84209556945</v>
      </c>
      <c r="AB78" s="118">
        <f t="shared" si="8"/>
        <v>-124115.84209556945</v>
      </c>
      <c r="AC78" s="118">
        <f t="shared" si="8"/>
        <v>-124115.84209556945</v>
      </c>
      <c r="AD78" s="118">
        <f t="shared" si="8"/>
        <v>-124115.84209556945</v>
      </c>
      <c r="AE78" s="118">
        <f t="shared" si="8"/>
        <v>-124115.84209556945</v>
      </c>
      <c r="AF78" s="118">
        <f t="shared" si="8"/>
        <v>-124115.84209556945</v>
      </c>
      <c r="AG78" s="118">
        <f t="shared" si="8"/>
        <v>-124115.84209556945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6"/>
      <c r="G79" s="208">
        <f>input_dollars</f>
        <v>45291</v>
      </c>
      <c r="H79" s="31"/>
      <c r="I79" s="118">
        <f t="shared" ref="I79:AG79" si="9">IF($E16=0,0,-PMT(real_disc, $E16,H74,))</f>
        <v>0</v>
      </c>
      <c r="J79" s="118">
        <f t="shared" si="9"/>
        <v>0</v>
      </c>
      <c r="K79" s="118">
        <f t="shared" si="9"/>
        <v>0</v>
      </c>
      <c r="L79" s="118">
        <f t="shared" si="9"/>
        <v>0</v>
      </c>
      <c r="M79" s="118">
        <f t="shared" si="9"/>
        <v>0</v>
      </c>
      <c r="N79" s="118">
        <f t="shared" si="9"/>
        <v>0</v>
      </c>
      <c r="O79" s="118">
        <f t="shared" si="9"/>
        <v>0</v>
      </c>
      <c r="P79" s="118">
        <f t="shared" si="9"/>
        <v>0</v>
      </c>
      <c r="Q79" s="118">
        <f t="shared" si="9"/>
        <v>0</v>
      </c>
      <c r="R79" s="118">
        <f t="shared" si="9"/>
        <v>0</v>
      </c>
      <c r="S79" s="118">
        <f t="shared" si="9"/>
        <v>0</v>
      </c>
      <c r="T79" s="118">
        <f t="shared" si="9"/>
        <v>0</v>
      </c>
      <c r="U79" s="118">
        <f t="shared" si="9"/>
        <v>0</v>
      </c>
      <c r="V79" s="118">
        <f t="shared" si="9"/>
        <v>0</v>
      </c>
      <c r="W79" s="118">
        <f t="shared" si="9"/>
        <v>0</v>
      </c>
      <c r="X79" s="118">
        <f t="shared" si="9"/>
        <v>0</v>
      </c>
      <c r="Y79" s="118">
        <f t="shared" si="9"/>
        <v>0</v>
      </c>
      <c r="Z79" s="118">
        <f t="shared" si="9"/>
        <v>0</v>
      </c>
      <c r="AA79" s="118">
        <f t="shared" si="9"/>
        <v>0</v>
      </c>
      <c r="AB79" s="118">
        <f t="shared" si="9"/>
        <v>0</v>
      </c>
      <c r="AC79" s="118">
        <f t="shared" si="9"/>
        <v>0</v>
      </c>
      <c r="AD79" s="118">
        <f t="shared" si="9"/>
        <v>0</v>
      </c>
      <c r="AE79" s="118">
        <f t="shared" si="9"/>
        <v>0</v>
      </c>
      <c r="AF79" s="118">
        <f t="shared" si="9"/>
        <v>0</v>
      </c>
      <c r="AG79" s="118">
        <f t="shared" si="9"/>
        <v>0</v>
      </c>
    </row>
    <row r="80" spans="1:33" x14ac:dyDescent="0.2">
      <c r="A80" s="8"/>
      <c r="B80" s="8"/>
      <c r="C80" s="170" t="s">
        <v>157</v>
      </c>
      <c r="D80" s="170"/>
      <c r="E80" s="171"/>
      <c r="F80" s="172"/>
      <c r="G80" s="213">
        <f>input_dollars</f>
        <v>45291</v>
      </c>
      <c r="H80" s="173"/>
      <c r="I80" s="174">
        <f>SUM(I77:I79)</f>
        <v>0</v>
      </c>
      <c r="J80" s="174">
        <f t="shared" ref="J80:AB80" si="10">SUM(J77:J79)</f>
        <v>-169956.13846300729</v>
      </c>
      <c r="K80" s="174">
        <f t="shared" si="10"/>
        <v>-254934.20769451093</v>
      </c>
      <c r="L80" s="174">
        <f t="shared" si="10"/>
        <v>-254934.20769451093</v>
      </c>
      <c r="M80" s="174">
        <f t="shared" si="10"/>
        <v>-254934.20769451093</v>
      </c>
      <c r="N80" s="174">
        <f t="shared" si="10"/>
        <v>-254934.20769451093</v>
      </c>
      <c r="O80" s="174">
        <f t="shared" si="10"/>
        <v>-254934.20769451093</v>
      </c>
      <c r="P80" s="174">
        <f t="shared" si="10"/>
        <v>-254934.20769451093</v>
      </c>
      <c r="Q80" s="174">
        <f t="shared" si="10"/>
        <v>-254934.20769451093</v>
      </c>
      <c r="R80" s="174">
        <f t="shared" si="10"/>
        <v>-254934.20769451093</v>
      </c>
      <c r="S80" s="174">
        <f t="shared" si="10"/>
        <v>-254934.20769451093</v>
      </c>
      <c r="T80" s="174">
        <f t="shared" si="10"/>
        <v>-254934.20769451093</v>
      </c>
      <c r="U80" s="174">
        <f t="shared" si="10"/>
        <v>-254934.20769451093</v>
      </c>
      <c r="V80" s="174">
        <f t="shared" si="10"/>
        <v>-254934.20769451093</v>
      </c>
      <c r="W80" s="174">
        <f t="shared" si="10"/>
        <v>-254934.20769451093</v>
      </c>
      <c r="X80" s="174">
        <f t="shared" si="10"/>
        <v>-254934.20769451093</v>
      </c>
      <c r="Y80" s="174">
        <f t="shared" si="10"/>
        <v>-254934.20769451093</v>
      </c>
      <c r="Z80" s="174">
        <f t="shared" si="10"/>
        <v>-254934.20769451093</v>
      </c>
      <c r="AA80" s="174">
        <f t="shared" si="10"/>
        <v>-254934.20769451093</v>
      </c>
      <c r="AB80" s="174">
        <f t="shared" si="10"/>
        <v>-254934.20769451093</v>
      </c>
      <c r="AC80" s="174">
        <f>SUM(AC77:AC79)</f>
        <v>-254934.20769451093</v>
      </c>
      <c r="AD80" s="174">
        <f>SUM(AD77:AD79)</f>
        <v>-254934.20769451093</v>
      </c>
      <c r="AE80" s="174">
        <f>SUM(AE77:AE79)</f>
        <v>-254934.20769451093</v>
      </c>
      <c r="AF80" s="174">
        <f>SUM(AF77:AF79)</f>
        <v>-254934.20769451093</v>
      </c>
      <c r="AG80" s="174">
        <f>SUM(AG77:AG79)</f>
        <v>-254934.20769451093</v>
      </c>
    </row>
    <row r="81" spans="1:33" x14ac:dyDescent="0.2">
      <c r="A81" s="8"/>
      <c r="B81" s="8"/>
      <c r="C81" s="75"/>
      <c r="D81" s="38"/>
      <c r="F81"/>
      <c r="G81" s="214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6"/>
      <c r="G82" s="208">
        <f t="shared" ref="G82:G87" si="11">input_dollars</f>
        <v>45291</v>
      </c>
      <c r="H82" s="31"/>
      <c r="I82" s="118">
        <f>I80</f>
        <v>0</v>
      </c>
      <c r="J82" s="118">
        <f t="shared" ref="J82:AB82" si="12">J80</f>
        <v>-169956.13846300729</v>
      </c>
      <c r="K82" s="118">
        <f t="shared" si="12"/>
        <v>-254934.20769451093</v>
      </c>
      <c r="L82" s="118">
        <f t="shared" si="12"/>
        <v>-254934.20769451093</v>
      </c>
      <c r="M82" s="118">
        <f t="shared" si="12"/>
        <v>-254934.20769451093</v>
      </c>
      <c r="N82" s="118">
        <f t="shared" si="12"/>
        <v>-254934.20769451093</v>
      </c>
      <c r="O82" s="118">
        <f t="shared" si="12"/>
        <v>-254934.20769451093</v>
      </c>
      <c r="P82" s="118">
        <f t="shared" si="12"/>
        <v>-254934.20769451093</v>
      </c>
      <c r="Q82" s="118">
        <f t="shared" si="12"/>
        <v>-254934.20769451093</v>
      </c>
      <c r="R82" s="118">
        <f t="shared" si="12"/>
        <v>-254934.20769451093</v>
      </c>
      <c r="S82" s="118">
        <f t="shared" si="12"/>
        <v>-254934.20769451093</v>
      </c>
      <c r="T82" s="118">
        <f t="shared" si="12"/>
        <v>-254934.20769451093</v>
      </c>
      <c r="U82" s="118">
        <f t="shared" si="12"/>
        <v>-254934.20769451093</v>
      </c>
      <c r="V82" s="118">
        <f t="shared" si="12"/>
        <v>-254934.20769451093</v>
      </c>
      <c r="W82" s="118">
        <f t="shared" si="12"/>
        <v>-254934.20769451093</v>
      </c>
      <c r="X82" s="118">
        <f t="shared" si="12"/>
        <v>-254934.20769451093</v>
      </c>
      <c r="Y82" s="118">
        <f t="shared" si="12"/>
        <v>-254934.20769451093</v>
      </c>
      <c r="Z82" s="118">
        <f t="shared" si="12"/>
        <v>-254934.20769451093</v>
      </c>
      <c r="AA82" s="118">
        <f t="shared" si="12"/>
        <v>-254934.20769451093</v>
      </c>
      <c r="AB82" s="118">
        <f t="shared" si="12"/>
        <v>-254934.20769451093</v>
      </c>
      <c r="AC82" s="118">
        <f>AC80</f>
        <v>-254934.20769451093</v>
      </c>
      <c r="AD82" s="118">
        <f>AD80</f>
        <v>-254934.20769451093</v>
      </c>
      <c r="AE82" s="118">
        <f>AE80</f>
        <v>-254934.20769451093</v>
      </c>
      <c r="AF82" s="118">
        <f>AF80</f>
        <v>-254934.20769451093</v>
      </c>
      <c r="AG82" s="118">
        <f>AG80</f>
        <v>-254934.20769451093</v>
      </c>
    </row>
    <row r="83" spans="1:33" x14ac:dyDescent="0.2">
      <c r="A83" s="8"/>
      <c r="B83" s="8"/>
      <c r="C83" s="4" t="s">
        <v>31</v>
      </c>
      <c r="D83" s="38"/>
      <c r="F83" s="96"/>
      <c r="G83" s="208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</row>
    <row r="84" spans="1:33" x14ac:dyDescent="0.2">
      <c r="A84" s="8"/>
      <c r="B84" s="8"/>
      <c r="C84" s="4" t="s">
        <v>140</v>
      </c>
      <c r="D84" s="38"/>
      <c r="F84" s="96"/>
      <c r="G84" s="208">
        <f t="shared" si="11"/>
        <v>45291</v>
      </c>
      <c r="H84" s="31"/>
      <c r="I84" s="31">
        <f>I64</f>
        <v>0</v>
      </c>
      <c r="J84" s="31">
        <f t="shared" ref="J84:AB84" si="14">J64</f>
        <v>0</v>
      </c>
      <c r="K84" s="31">
        <f t="shared" si="14"/>
        <v>227574.95123294031</v>
      </c>
      <c r="L84" s="31">
        <f t="shared" si="14"/>
        <v>234161.6851923943</v>
      </c>
      <c r="M84" s="31">
        <f t="shared" si="14"/>
        <v>239966.33272498797</v>
      </c>
      <c r="N84" s="31">
        <f t="shared" si="14"/>
        <v>247633.47878155473</v>
      </c>
      <c r="O84" s="31">
        <f t="shared" si="14"/>
        <v>257097.30375824601</v>
      </c>
      <c r="P84" s="31">
        <f t="shared" si="14"/>
        <v>267476.84263071819</v>
      </c>
      <c r="Q84" s="31">
        <f t="shared" si="14"/>
        <v>274231.86799787392</v>
      </c>
      <c r="R84" s="31">
        <f t="shared" si="14"/>
        <v>275630.15454925632</v>
      </c>
      <c r="S84" s="31">
        <f t="shared" si="14"/>
        <v>276799.29957913893</v>
      </c>
      <c r="T84" s="31">
        <f t="shared" si="14"/>
        <v>277981.74249332893</v>
      </c>
      <c r="U84" s="31">
        <f t="shared" si="14"/>
        <v>279140.53245841619</v>
      </c>
      <c r="V84" s="31">
        <f t="shared" si="14"/>
        <v>280337.79191722366</v>
      </c>
      <c r="W84" s="31">
        <f t="shared" si="14"/>
        <v>281504.47291826981</v>
      </c>
      <c r="X84" s="31">
        <f t="shared" si="14"/>
        <v>282637.25436092296</v>
      </c>
      <c r="Y84" s="31">
        <f t="shared" si="14"/>
        <v>283733.1048017373</v>
      </c>
      <c r="Z84" s="31">
        <f t="shared" si="14"/>
        <v>284789.3617582834</v>
      </c>
      <c r="AA84" s="31">
        <f t="shared" si="14"/>
        <v>285803.80883145815</v>
      </c>
      <c r="AB84" s="31">
        <f t="shared" si="14"/>
        <v>286774.74867119465</v>
      </c>
      <c r="AC84" s="31">
        <f>AC64</f>
        <v>287701.06957502913</v>
      </c>
      <c r="AD84" s="31">
        <f>AD64</f>
        <v>288582.30331960891</v>
      </c>
      <c r="AE84" s="31">
        <f>AE64</f>
        <v>289418.67169899633</v>
      </c>
      <c r="AF84" s="31">
        <f>AF64</f>
        <v>290211.11919806583</v>
      </c>
      <c r="AG84" s="31">
        <f>AG64</f>
        <v>290961.32928134117</v>
      </c>
    </row>
    <row r="85" spans="1:33" x14ac:dyDescent="0.2">
      <c r="A85" s="8"/>
      <c r="B85" s="8"/>
      <c r="C85" s="4" t="s">
        <v>122</v>
      </c>
      <c r="D85" s="38"/>
      <c r="F85" s="96"/>
      <c r="G85" s="208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50000</v>
      </c>
      <c r="L85" s="31">
        <f t="shared" si="15"/>
        <v>50000</v>
      </c>
      <c r="M85" s="31">
        <f t="shared" si="15"/>
        <v>50000</v>
      </c>
      <c r="N85" s="31">
        <f t="shared" si="15"/>
        <v>50000</v>
      </c>
      <c r="O85" s="31">
        <f t="shared" si="15"/>
        <v>50000</v>
      </c>
      <c r="P85" s="31">
        <f t="shared" si="15"/>
        <v>50000</v>
      </c>
      <c r="Q85" s="31">
        <f t="shared" si="15"/>
        <v>50000</v>
      </c>
      <c r="R85" s="31">
        <f t="shared" si="15"/>
        <v>50000</v>
      </c>
      <c r="S85" s="31">
        <f t="shared" si="15"/>
        <v>50000</v>
      </c>
      <c r="T85" s="31">
        <f t="shared" si="15"/>
        <v>50000</v>
      </c>
      <c r="U85" s="31">
        <f t="shared" si="15"/>
        <v>50000</v>
      </c>
      <c r="V85" s="31">
        <f t="shared" si="15"/>
        <v>50000</v>
      </c>
      <c r="W85" s="31">
        <f t="shared" si="15"/>
        <v>50000</v>
      </c>
      <c r="X85" s="31">
        <f t="shared" si="15"/>
        <v>50000</v>
      </c>
      <c r="Y85" s="31">
        <f t="shared" si="15"/>
        <v>50000</v>
      </c>
      <c r="Z85" s="31">
        <f t="shared" si="15"/>
        <v>50000</v>
      </c>
      <c r="AA85" s="31">
        <f t="shared" si="15"/>
        <v>50000</v>
      </c>
      <c r="AB85" s="31">
        <f t="shared" si="15"/>
        <v>50000</v>
      </c>
      <c r="AC85" s="31">
        <f t="shared" si="15"/>
        <v>50000</v>
      </c>
      <c r="AD85" s="31">
        <f t="shared" si="15"/>
        <v>50000</v>
      </c>
      <c r="AE85" s="31">
        <f t="shared" si="15"/>
        <v>50000</v>
      </c>
      <c r="AF85" s="31">
        <f t="shared" si="15"/>
        <v>50000</v>
      </c>
      <c r="AG85" s="31">
        <f t="shared" si="15"/>
        <v>50000</v>
      </c>
    </row>
    <row r="86" spans="1:33" x14ac:dyDescent="0.2">
      <c r="A86" s="8"/>
      <c r="B86" s="8"/>
      <c r="C86" s="4"/>
      <c r="D86" s="38"/>
      <c r="F86" s="31"/>
      <c r="G86" s="208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5" t="s">
        <v>188</v>
      </c>
      <c r="D87" s="176"/>
      <c r="E87" s="171"/>
      <c r="F87" s="177"/>
      <c r="G87" s="213">
        <f t="shared" si="11"/>
        <v>45291</v>
      </c>
      <c r="H87" s="177"/>
      <c r="I87" s="177">
        <f t="shared" ref="I87:AB87" si="16">SUM(I82:I86)</f>
        <v>0</v>
      </c>
      <c r="J87" s="177">
        <f t="shared" si="16"/>
        <v>-169956.13846300729</v>
      </c>
      <c r="K87" s="177">
        <f t="shared" si="16"/>
        <v>22640.743538429379</v>
      </c>
      <c r="L87" s="177">
        <f t="shared" si="16"/>
        <v>29227.477497883374</v>
      </c>
      <c r="M87" s="177">
        <f t="shared" si="16"/>
        <v>35032.125030477036</v>
      </c>
      <c r="N87" s="177">
        <f t="shared" si="16"/>
        <v>42699.271087043802</v>
      </c>
      <c r="O87" s="177">
        <f t="shared" si="16"/>
        <v>52163.09606373508</v>
      </c>
      <c r="P87" s="177">
        <f t="shared" si="16"/>
        <v>62542.634936207265</v>
      </c>
      <c r="Q87" s="177">
        <f t="shared" si="16"/>
        <v>69297.660303362994</v>
      </c>
      <c r="R87" s="177">
        <f t="shared" si="16"/>
        <v>70695.946854745387</v>
      </c>
      <c r="S87" s="177">
        <f t="shared" si="16"/>
        <v>71865.091884627996</v>
      </c>
      <c r="T87" s="177">
        <f t="shared" si="16"/>
        <v>73047.534798818</v>
      </c>
      <c r="U87" s="177">
        <f t="shared" si="16"/>
        <v>74206.324763905257</v>
      </c>
      <c r="V87" s="177">
        <f t="shared" si="16"/>
        <v>75403.584222712729</v>
      </c>
      <c r="W87" s="177">
        <f t="shared" si="16"/>
        <v>76570.265223758877</v>
      </c>
      <c r="X87" s="177">
        <f t="shared" si="16"/>
        <v>77703.046666412032</v>
      </c>
      <c r="Y87" s="177">
        <f t="shared" si="16"/>
        <v>78798.897107226367</v>
      </c>
      <c r="Z87" s="177">
        <f t="shared" si="16"/>
        <v>79855.154063772468</v>
      </c>
      <c r="AA87" s="177">
        <f t="shared" si="16"/>
        <v>80869.601136947225</v>
      </c>
      <c r="AB87" s="177">
        <f t="shared" si="16"/>
        <v>81840.540976683726</v>
      </c>
      <c r="AC87" s="177">
        <f>SUM(AC82:AC86)</f>
        <v>82766.861880518205</v>
      </c>
      <c r="AD87" s="177">
        <f>SUM(AD82:AD86)</f>
        <v>83648.09562509798</v>
      </c>
      <c r="AE87" s="177">
        <f>SUM(AE82:AE86)</f>
        <v>84484.464004485402</v>
      </c>
      <c r="AF87" s="177">
        <f>SUM(AF82:AF86)</f>
        <v>85276.911503554904</v>
      </c>
      <c r="AG87" s="177">
        <f>SUM(AG82:AG86)</f>
        <v>86027.121586830239</v>
      </c>
    </row>
    <row r="88" spans="1:33" x14ac:dyDescent="0.2">
      <c r="A88" s="8"/>
      <c r="B88" s="8"/>
      <c r="C88" s="75"/>
      <c r="D88" s="137"/>
      <c r="F88" s="140"/>
      <c r="G88" s="215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</row>
    <row r="89" spans="1:33" x14ac:dyDescent="0.2">
      <c r="A89" s="8"/>
      <c r="B89" s="8"/>
      <c r="C89" s="75"/>
      <c r="D89" s="137"/>
      <c r="F89" s="140"/>
      <c r="G89" s="215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</row>
    <row r="90" spans="1:33" x14ac:dyDescent="0.2">
      <c r="A90" s="8"/>
      <c r="B90" s="8"/>
      <c r="C90" s="228" t="s">
        <v>198</v>
      </c>
      <c r="D90" s="82"/>
      <c r="E90" s="229"/>
      <c r="F90" s="230"/>
      <c r="G90" s="231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2"/>
      <c r="E91" s="229"/>
      <c r="F91" s="230"/>
      <c r="G91" s="231"/>
      <c r="H91" s="35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</row>
    <row r="92" spans="1:33" x14ac:dyDescent="0.2">
      <c r="C92" s="233" t="s">
        <v>193</v>
      </c>
      <c r="D92" s="234"/>
      <c r="E92" s="234"/>
      <c r="F92" s="234"/>
      <c r="G92" s="235">
        <f>IF(_xlfn.MINIFS($G$90:$G$91, $G$90:$G$91, "&gt;"&amp;0)=0, $A$4, _xlfn.MINIFS($G$90:$G$91, $G$90:$G$91, "&gt;"&amp;0))</f>
        <v>1</v>
      </c>
    </row>
    <row r="94" spans="1:33" x14ac:dyDescent="0.2">
      <c r="G94" s="12"/>
      <c r="I94" s="246"/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246"/>
      <c r="X94" s="246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</row>
    <row r="96" spans="1:33" x14ac:dyDescent="0.2"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40"/>
    </row>
    <row r="97" spans="1:43" x14ac:dyDescent="0.2"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0"/>
      <c r="Z97" s="240"/>
    </row>
    <row r="98" spans="1:43" x14ac:dyDescent="0.2"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</row>
    <row r="99" spans="1:43" x14ac:dyDescent="0.2"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40"/>
      <c r="Y99" s="240"/>
      <c r="Z99" s="240"/>
    </row>
    <row r="100" spans="1:43" x14ac:dyDescent="0.2"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40"/>
      <c r="Y100" s="240"/>
      <c r="Z100" s="240"/>
    </row>
    <row r="101" spans="1:43" x14ac:dyDescent="0.2"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0"/>
      <c r="Z101" s="240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2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240"/>
    </row>
    <row r="105" spans="1:43" x14ac:dyDescent="0.2">
      <c r="D105"/>
      <c r="E105"/>
      <c r="F105"/>
      <c r="G105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7">J87</f>
        <v>-169956.13846300729</v>
      </c>
      <c r="K106" s="31">
        <f t="shared" si="17"/>
        <v>22640.743538429379</v>
      </c>
      <c r="L106" s="31">
        <f t="shared" si="17"/>
        <v>29227.477497883374</v>
      </c>
      <c r="M106" s="31">
        <f t="shared" si="17"/>
        <v>35032.125030477036</v>
      </c>
      <c r="N106" s="31">
        <f t="shared" si="17"/>
        <v>42699.271087043802</v>
      </c>
      <c r="O106" s="31">
        <f t="shared" si="17"/>
        <v>52163.09606373508</v>
      </c>
      <c r="P106" s="31">
        <f t="shared" si="17"/>
        <v>62542.634936207265</v>
      </c>
      <c r="Q106" s="31">
        <f t="shared" si="17"/>
        <v>69297.660303362994</v>
      </c>
      <c r="R106" s="31">
        <f t="shared" si="17"/>
        <v>70695.946854745387</v>
      </c>
      <c r="S106" s="31">
        <f t="shared" si="17"/>
        <v>71865.091884627996</v>
      </c>
      <c r="T106" s="31">
        <f t="shared" si="17"/>
        <v>73047.534798818</v>
      </c>
      <c r="U106" s="31">
        <f t="shared" si="17"/>
        <v>74206.324763905257</v>
      </c>
      <c r="V106" s="31">
        <f t="shared" si="17"/>
        <v>75403.584222712729</v>
      </c>
      <c r="W106" s="31">
        <f t="shared" si="17"/>
        <v>76570.265223758877</v>
      </c>
      <c r="X106" s="31">
        <f t="shared" si="17"/>
        <v>77703.046666412032</v>
      </c>
      <c r="Y106" s="31">
        <f t="shared" si="17"/>
        <v>78798.897107226367</v>
      </c>
      <c r="Z106" s="31">
        <f t="shared" si="17"/>
        <v>79855.154063772468</v>
      </c>
      <c r="AA106" s="31">
        <f t="shared" si="17"/>
        <v>80869.601136947225</v>
      </c>
      <c r="AB106" s="31">
        <f t="shared" si="17"/>
        <v>81840.540976683726</v>
      </c>
      <c r="AC106" s="31">
        <f t="shared" si="17"/>
        <v>82766.861880518205</v>
      </c>
      <c r="AD106" s="31">
        <f t="shared" si="17"/>
        <v>83648.09562509798</v>
      </c>
      <c r="AE106" s="31">
        <f t="shared" si="17"/>
        <v>84484.464004485402</v>
      </c>
      <c r="AF106" s="31">
        <f t="shared" si="17"/>
        <v>85276.911503554904</v>
      </c>
      <c r="AG106" s="31">
        <f t="shared" si="17"/>
        <v>86027.121586830239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8">J82</f>
        <v>-169956.13846300729</v>
      </c>
      <c r="K107" s="31">
        <f t="shared" si="18"/>
        <v>-254934.20769451093</v>
      </c>
      <c r="L107" s="31">
        <f t="shared" si="18"/>
        <v>-254934.20769451093</v>
      </c>
      <c r="M107" s="31">
        <f t="shared" si="18"/>
        <v>-254934.20769451093</v>
      </c>
      <c r="N107" s="31">
        <f t="shared" si="18"/>
        <v>-254934.20769451093</v>
      </c>
      <c r="O107" s="31">
        <f t="shared" si="18"/>
        <v>-254934.20769451093</v>
      </c>
      <c r="P107" s="31">
        <f t="shared" si="18"/>
        <v>-254934.20769451093</v>
      </c>
      <c r="Q107" s="31">
        <f t="shared" si="18"/>
        <v>-254934.20769451093</v>
      </c>
      <c r="R107" s="31">
        <f t="shared" si="18"/>
        <v>-254934.20769451093</v>
      </c>
      <c r="S107" s="31">
        <f t="shared" si="18"/>
        <v>-254934.20769451093</v>
      </c>
      <c r="T107" s="31">
        <f t="shared" si="18"/>
        <v>-254934.20769451093</v>
      </c>
      <c r="U107" s="31">
        <f t="shared" si="18"/>
        <v>-254934.20769451093</v>
      </c>
      <c r="V107" s="31">
        <f t="shared" si="18"/>
        <v>-254934.20769451093</v>
      </c>
      <c r="W107" s="31">
        <f t="shared" si="18"/>
        <v>-254934.20769451093</v>
      </c>
      <c r="X107" s="31">
        <f t="shared" si="18"/>
        <v>-254934.20769451093</v>
      </c>
      <c r="Y107" s="31">
        <f t="shared" si="18"/>
        <v>-254934.20769451093</v>
      </c>
      <c r="Z107" s="31">
        <f t="shared" si="18"/>
        <v>-254934.20769451093</v>
      </c>
      <c r="AA107" s="31">
        <f t="shared" si="18"/>
        <v>-254934.20769451093</v>
      </c>
      <c r="AB107" s="31">
        <f t="shared" si="18"/>
        <v>-254934.20769451093</v>
      </c>
      <c r="AC107" s="31">
        <f t="shared" si="18"/>
        <v>-254934.20769451093</v>
      </c>
      <c r="AD107" s="31">
        <f t="shared" si="18"/>
        <v>-254934.20769451093</v>
      </c>
      <c r="AE107" s="31">
        <f t="shared" si="18"/>
        <v>-254934.20769451093</v>
      </c>
      <c r="AF107" s="31">
        <f t="shared" si="18"/>
        <v>-254934.20769451093</v>
      </c>
      <c r="AG107" s="31">
        <f t="shared" si="18"/>
        <v>-254934.20769451093</v>
      </c>
    </row>
    <row r="108" spans="1:43" x14ac:dyDescent="0.2">
      <c r="C108" s="1" t="s">
        <v>241</v>
      </c>
      <c r="D108" s="250"/>
      <c r="E108" s="38"/>
      <c r="I108" s="31">
        <f>SUM(I84:I85)</f>
        <v>0</v>
      </c>
      <c r="J108" s="31">
        <f t="shared" ref="J108:AG108" si="19">SUM(J84:J85)</f>
        <v>0</v>
      </c>
      <c r="K108" s="31">
        <f t="shared" si="19"/>
        <v>277574.95123294031</v>
      </c>
      <c r="L108" s="31">
        <f t="shared" si="19"/>
        <v>284161.6851923943</v>
      </c>
      <c r="M108" s="31">
        <f t="shared" si="19"/>
        <v>289966.33272498799</v>
      </c>
      <c r="N108" s="31">
        <f t="shared" si="19"/>
        <v>297633.47878155473</v>
      </c>
      <c r="O108" s="31">
        <f t="shared" si="19"/>
        <v>307097.30375824601</v>
      </c>
      <c r="P108" s="31">
        <f t="shared" si="19"/>
        <v>317476.84263071819</v>
      </c>
      <c r="Q108" s="31">
        <f t="shared" si="19"/>
        <v>324231.86799787392</v>
      </c>
      <c r="R108" s="31">
        <f t="shared" si="19"/>
        <v>325630.15454925632</v>
      </c>
      <c r="S108" s="31">
        <f t="shared" si="19"/>
        <v>326799.29957913893</v>
      </c>
      <c r="T108" s="31">
        <f t="shared" si="19"/>
        <v>327981.74249332893</v>
      </c>
      <c r="U108" s="31">
        <f t="shared" si="19"/>
        <v>329140.53245841619</v>
      </c>
      <c r="V108" s="31">
        <f t="shared" si="19"/>
        <v>330337.79191722366</v>
      </c>
      <c r="W108" s="31">
        <f t="shared" si="19"/>
        <v>331504.47291826981</v>
      </c>
      <c r="X108" s="31">
        <f t="shared" si="19"/>
        <v>332637.25436092296</v>
      </c>
      <c r="Y108" s="31">
        <f t="shared" si="19"/>
        <v>333733.1048017373</v>
      </c>
      <c r="Z108" s="31">
        <f t="shared" si="19"/>
        <v>334789.3617582834</v>
      </c>
      <c r="AA108" s="31">
        <f t="shared" si="19"/>
        <v>335803.80883145815</v>
      </c>
      <c r="AB108" s="31">
        <f t="shared" si="19"/>
        <v>336774.74867119465</v>
      </c>
      <c r="AC108" s="31">
        <f t="shared" si="19"/>
        <v>337701.06957502913</v>
      </c>
      <c r="AD108" s="31">
        <f t="shared" si="19"/>
        <v>338582.30331960891</v>
      </c>
      <c r="AE108" s="31">
        <f t="shared" si="19"/>
        <v>339418.67169899633</v>
      </c>
      <c r="AF108" s="31">
        <f t="shared" si="19"/>
        <v>340211.11919806583</v>
      </c>
      <c r="AG108" s="31">
        <f t="shared" si="19"/>
        <v>340961.32928134117</v>
      </c>
    </row>
    <row r="109" spans="1:43" x14ac:dyDescent="0.2">
      <c r="D109" s="299" t="str">
        <f>Assumptions!G110</f>
        <v>Capex</v>
      </c>
      <c r="E109" s="299" t="str">
        <f>Assumptions!H110</f>
        <v>Total benefits</v>
      </c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</row>
    <row r="110" spans="1:43" x14ac:dyDescent="0.2">
      <c r="A110" s="1" t="str">
        <f>"sens"&amp;Assumptions!B111</f>
        <v>sens1</v>
      </c>
      <c r="C110" s="298" t="str">
        <f>Assumptions!C111</f>
        <v>Capex 10% higher</v>
      </c>
      <c r="D110" s="299">
        <f>Assumptions!G111</f>
        <v>0.1</v>
      </c>
      <c r="E110" s="299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-186951.75230930801</v>
      </c>
      <c r="K110" s="31" cm="1">
        <f t="array" ref="K110">K$106+IF($C110&lt;&gt;0,SUMPRODUCT((K$107:K$108)*TRANSPOSE(($D110:$E110))),0)</f>
        <v>-2852.6772310217166</v>
      </c>
      <c r="L110" s="31" cm="1">
        <f t="array" ref="L110">L$106+IF($C110&lt;&gt;0,SUMPRODUCT((L$107:L$108)*TRANSPOSE(($D110:$E110))),0)</f>
        <v>3734.0567284322788</v>
      </c>
      <c r="M110" s="31" cm="1">
        <f t="array" ref="M110">M$106+IF($C110&lt;&gt;0,SUMPRODUCT((M$107:M$108)*TRANSPOSE(($D110:$E110))),0)</f>
        <v>9538.7042610259414</v>
      </c>
      <c r="N110" s="31" cm="1">
        <f t="array" ref="N110">N$106+IF($C110&lt;&gt;0,SUMPRODUCT((N$107:N$108)*TRANSPOSE(($D110:$E110))),0)</f>
        <v>17205.850317592707</v>
      </c>
      <c r="O110" s="31" cm="1">
        <f t="array" ref="O110">O$106+IF($C110&lt;&gt;0,SUMPRODUCT((O$107:O$108)*TRANSPOSE(($D110:$E110))),0)</f>
        <v>26669.675294283985</v>
      </c>
      <c r="P110" s="31" cm="1">
        <f t="array" ref="P110">P$106+IF($C110&lt;&gt;0,SUMPRODUCT((P$107:P$108)*TRANSPOSE(($D110:$E110))),0)</f>
        <v>37049.214166756166</v>
      </c>
      <c r="Q110" s="31" cm="1">
        <f t="array" ref="Q110">Q$106+IF($C110&lt;&gt;0,SUMPRODUCT((Q$107:Q$108)*TRANSPOSE(($D110:$E110))),0)</f>
        <v>43804.239533911896</v>
      </c>
      <c r="R110" s="31" cm="1">
        <f t="array" ref="R110">R$106+IF($C110&lt;&gt;0,SUMPRODUCT((R$107:R$108)*TRANSPOSE(($D110:$E110))),0)</f>
        <v>45202.526085294288</v>
      </c>
      <c r="S110" s="31" cm="1">
        <f t="array" ref="S110">S$106+IF($C110&lt;&gt;0,SUMPRODUCT((S$107:S$108)*TRANSPOSE(($D110:$E110))),0)</f>
        <v>46371.671115176898</v>
      </c>
      <c r="T110" s="31" cm="1">
        <f t="array" ref="T110">T$106+IF($C110&lt;&gt;0,SUMPRODUCT((T$107:T$108)*TRANSPOSE(($D110:$E110))),0)</f>
        <v>47554.114029366901</v>
      </c>
      <c r="U110" s="31" cm="1">
        <f t="array" ref="U110">U$106+IF($C110&lt;&gt;0,SUMPRODUCT((U$107:U$108)*TRANSPOSE(($D110:$E110))),0)</f>
        <v>48712.903994454158</v>
      </c>
      <c r="V110" s="31" cm="1">
        <f t="array" ref="V110">V$106+IF($C110&lt;&gt;0,SUMPRODUCT((V$107:V$108)*TRANSPOSE(($D110:$E110))),0)</f>
        <v>49910.16345326163</v>
      </c>
      <c r="W110" s="31" cm="1">
        <f t="array" ref="W110">W$106+IF($C110&lt;&gt;0,SUMPRODUCT((W$107:W$108)*TRANSPOSE(($D110:$E110))),0)</f>
        <v>51076.844454307779</v>
      </c>
      <c r="X110" s="31" cm="1">
        <f t="array" ref="X110">X$106+IF($C110&lt;&gt;0,SUMPRODUCT((X$107:X$108)*TRANSPOSE(($D110:$E110))),0)</f>
        <v>52209.625896960933</v>
      </c>
      <c r="Y110" s="31" cm="1">
        <f t="array" ref="Y110">Y$106+IF($C110&lt;&gt;0,SUMPRODUCT((Y$107:Y$108)*TRANSPOSE(($D110:$E110))),0)</f>
        <v>53305.476337775268</v>
      </c>
      <c r="Z110" s="31" cm="1">
        <f t="array" ref="Z110">Z$106+IF($C110&lt;&gt;0,SUMPRODUCT((Z$107:Z$108)*TRANSPOSE(($D110:$E110))),0)</f>
        <v>54361.73329432137</v>
      </c>
      <c r="AA110" s="31" cm="1">
        <f t="array" ref="AA110">AA$106+IF($C110&lt;&gt;0,SUMPRODUCT((AA$107:AA$108)*TRANSPOSE(($D110:$E110))),0)</f>
        <v>55376.180367496127</v>
      </c>
      <c r="AB110" s="31" cm="1">
        <f t="array" ref="AB110">AB$106+IF($C110&lt;&gt;0,SUMPRODUCT((AB$107:AB$108)*TRANSPOSE(($D110:$E110))),0)</f>
        <v>56347.120207232627</v>
      </c>
      <c r="AC110" s="31" cm="1">
        <f t="array" ref="AC110">AC$106+IF($C110&lt;&gt;0,SUMPRODUCT((AC$107:AC$108)*TRANSPOSE(($D110:$E110))),0)</f>
        <v>57273.441111067106</v>
      </c>
      <c r="AD110" s="31" cm="1">
        <f t="array" ref="AD110">AD$106+IF($C110&lt;&gt;0,SUMPRODUCT((AD$107:AD$108)*TRANSPOSE(($D110:$E110))),0)</f>
        <v>58154.674855646881</v>
      </c>
      <c r="AE110" s="31" cm="1">
        <f t="array" ref="AE110">AE$106+IF($C110&lt;&gt;0,SUMPRODUCT((AE$107:AE$108)*TRANSPOSE(($D110:$E110))),0)</f>
        <v>58991.043235034304</v>
      </c>
      <c r="AF110" s="31" cm="1">
        <f t="array" ref="AF110">AF$106+IF($C110&lt;&gt;0,SUMPRODUCT((AF$107:AF$108)*TRANSPOSE(($D110:$E110))),0)</f>
        <v>59783.490734103805</v>
      </c>
      <c r="AG110" s="31" cm="1">
        <f t="array" ref="AG110">AG$106+IF($C110&lt;&gt;0,SUMPRODUCT((AG$107:AG$108)*TRANSPOSE(($D110:$E110))),0)</f>
        <v>60533.70081737914</v>
      </c>
    </row>
    <row r="111" spans="1:43" x14ac:dyDescent="0.2">
      <c r="A111" s="1" t="str">
        <f>"sens"&amp;Assumptions!B112</f>
        <v>sens2</v>
      </c>
      <c r="C111" s="298" t="str">
        <f>Assumptions!C112</f>
        <v>Capex 10% lower</v>
      </c>
      <c r="D111" s="299">
        <f>Assumptions!G112</f>
        <v>-0.1</v>
      </c>
      <c r="E111" s="299">
        <f>Assumptions!H112</f>
        <v>0</v>
      </c>
      <c r="G111" s="38" t="str">
        <f t="shared" ref="G111:G117" si="20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-152960.52461670656</v>
      </c>
      <c r="K111" s="31" cm="1">
        <f t="array" ref="K111">K$106+IF($C111&lt;&gt;0,SUMPRODUCT((K$107:K$108)*TRANSPOSE(($D111:$E111))),0)</f>
        <v>48134.164307880477</v>
      </c>
      <c r="L111" s="31" cm="1">
        <f t="array" ref="L111">L$106+IF($C111&lt;&gt;0,SUMPRODUCT((L$107:L$108)*TRANSPOSE(($D111:$E111))),0)</f>
        <v>54720.898267334473</v>
      </c>
      <c r="M111" s="31" cm="1">
        <f t="array" ref="M111">M$106+IF($C111&lt;&gt;0,SUMPRODUCT((M$107:M$108)*TRANSPOSE(($D111:$E111))),0)</f>
        <v>60525.545799928135</v>
      </c>
      <c r="N111" s="31" cm="1">
        <f t="array" ref="N111">N$106+IF($C111&lt;&gt;0,SUMPRODUCT((N$107:N$108)*TRANSPOSE(($D111:$E111))),0)</f>
        <v>68192.691856494901</v>
      </c>
      <c r="O111" s="31" cm="1">
        <f t="array" ref="O111">O$106+IF($C111&lt;&gt;0,SUMPRODUCT((O$107:O$108)*TRANSPOSE(($D111:$E111))),0)</f>
        <v>77656.516833186179</v>
      </c>
      <c r="P111" s="31" cm="1">
        <f t="array" ref="P111">P$106+IF($C111&lt;&gt;0,SUMPRODUCT((P$107:P$108)*TRANSPOSE(($D111:$E111))),0)</f>
        <v>88036.055705658364</v>
      </c>
      <c r="Q111" s="31" cm="1">
        <f t="array" ref="Q111">Q$106+IF($C111&lt;&gt;0,SUMPRODUCT((Q$107:Q$108)*TRANSPOSE(($D111:$E111))),0)</f>
        <v>94791.081072814093</v>
      </c>
      <c r="R111" s="31" cm="1">
        <f t="array" ref="R111">R$106+IF($C111&lt;&gt;0,SUMPRODUCT((R$107:R$108)*TRANSPOSE(($D111:$E111))),0)</f>
        <v>96189.367624196486</v>
      </c>
      <c r="S111" s="31" cm="1">
        <f t="array" ref="S111">S$106+IF($C111&lt;&gt;0,SUMPRODUCT((S$107:S$108)*TRANSPOSE(($D111:$E111))),0)</f>
        <v>97358.512654079095</v>
      </c>
      <c r="T111" s="31" cm="1">
        <f t="array" ref="T111">T$106+IF($C111&lt;&gt;0,SUMPRODUCT((T$107:T$108)*TRANSPOSE(($D111:$E111))),0)</f>
        <v>98540.955568269099</v>
      </c>
      <c r="U111" s="31" cm="1">
        <f t="array" ref="U111">U$106+IF($C111&lt;&gt;0,SUMPRODUCT((U$107:U$108)*TRANSPOSE(($D111:$E111))),0)</f>
        <v>99699.745533356356</v>
      </c>
      <c r="V111" s="31" cm="1">
        <f t="array" ref="V111">V$106+IF($C111&lt;&gt;0,SUMPRODUCT((V$107:V$108)*TRANSPOSE(($D111:$E111))),0)</f>
        <v>100897.00499216383</v>
      </c>
      <c r="W111" s="31" cm="1">
        <f t="array" ref="W111">W$106+IF($C111&lt;&gt;0,SUMPRODUCT((W$107:W$108)*TRANSPOSE(($D111:$E111))),0)</f>
        <v>102063.68599320998</v>
      </c>
      <c r="X111" s="31" cm="1">
        <f t="array" ref="X111">X$106+IF($C111&lt;&gt;0,SUMPRODUCT((X$107:X$108)*TRANSPOSE(($D111:$E111))),0)</f>
        <v>103196.46743586313</v>
      </c>
      <c r="Y111" s="31" cm="1">
        <f t="array" ref="Y111">Y$106+IF($C111&lt;&gt;0,SUMPRODUCT((Y$107:Y$108)*TRANSPOSE(($D111:$E111))),0)</f>
        <v>104292.31787667747</v>
      </c>
      <c r="Z111" s="31" cm="1">
        <f t="array" ref="Z111">Z$106+IF($C111&lt;&gt;0,SUMPRODUCT((Z$107:Z$108)*TRANSPOSE(($D111:$E111))),0)</f>
        <v>105348.57483322357</v>
      </c>
      <c r="AA111" s="31" cm="1">
        <f t="array" ref="AA111">AA$106+IF($C111&lt;&gt;0,SUMPRODUCT((AA$107:AA$108)*TRANSPOSE(($D111:$E111))),0)</f>
        <v>106363.02190639832</v>
      </c>
      <c r="AB111" s="31" cm="1">
        <f t="array" ref="AB111">AB$106+IF($C111&lt;&gt;0,SUMPRODUCT((AB$107:AB$108)*TRANSPOSE(($D111:$E111))),0)</f>
        <v>107333.96174613482</v>
      </c>
      <c r="AC111" s="31" cm="1">
        <f t="array" ref="AC111">AC$106+IF($C111&lt;&gt;0,SUMPRODUCT((AC$107:AC$108)*TRANSPOSE(($D111:$E111))),0)</f>
        <v>108260.2826499693</v>
      </c>
      <c r="AD111" s="31" cm="1">
        <f t="array" ref="AD111">AD$106+IF($C111&lt;&gt;0,SUMPRODUCT((AD$107:AD$108)*TRANSPOSE(($D111:$E111))),0)</f>
        <v>109141.51639454908</v>
      </c>
      <c r="AE111" s="31" cm="1">
        <f t="array" ref="AE111">AE$106+IF($C111&lt;&gt;0,SUMPRODUCT((AE$107:AE$108)*TRANSPOSE(($D111:$E111))),0)</f>
        <v>109977.8847739365</v>
      </c>
      <c r="AF111" s="31" cm="1">
        <f t="array" ref="AF111">AF$106+IF($C111&lt;&gt;0,SUMPRODUCT((AF$107:AF$108)*TRANSPOSE(($D111:$E111))),0)</f>
        <v>110770.332273006</v>
      </c>
      <c r="AG111" s="31" cm="1">
        <f t="array" ref="AG111">AG$106+IF($C111&lt;&gt;0,SUMPRODUCT((AG$107:AG$108)*TRANSPOSE(($D111:$E111))),0)</f>
        <v>111520.54235628134</v>
      </c>
    </row>
    <row r="112" spans="1:43" x14ac:dyDescent="0.2">
      <c r="A112" s="1" t="str">
        <f>"sens"&amp;Assumptions!B113</f>
        <v>sens3</v>
      </c>
      <c r="C112" s="298" t="str">
        <f>Assumptions!C113</f>
        <v>Total benefits 10% higher</v>
      </c>
      <c r="D112" s="299">
        <f>Assumptions!G113</f>
        <v>0</v>
      </c>
      <c r="E112" s="299">
        <f>Assumptions!H113</f>
        <v>0.1</v>
      </c>
      <c r="G112" s="38" t="str">
        <f t="shared" si="20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-169956.13846300729</v>
      </c>
      <c r="K112" s="31" cm="1">
        <f t="array" ref="K112">K$106+IF($C112&lt;&gt;0,SUMPRODUCT((K$107:K$108)*TRANSPOSE(($D112:$E112))),0)</f>
        <v>50398.238661723415</v>
      </c>
      <c r="L112" s="31" cm="1">
        <f t="array" ref="L112">L$106+IF($C112&lt;&gt;0,SUMPRODUCT((L$107:L$108)*TRANSPOSE(($D112:$E112))),0)</f>
        <v>57643.64601712281</v>
      </c>
      <c r="M112" s="31" cm="1">
        <f t="array" ref="M112">M$106+IF($C112&lt;&gt;0,SUMPRODUCT((M$107:M$108)*TRANSPOSE(($D112:$E112))),0)</f>
        <v>64028.758302975839</v>
      </c>
      <c r="N112" s="31" cm="1">
        <f t="array" ref="N112">N$106+IF($C112&lt;&gt;0,SUMPRODUCT((N$107:N$108)*TRANSPOSE(($D112:$E112))),0)</f>
        <v>72462.618965199275</v>
      </c>
      <c r="O112" s="31" cm="1">
        <f t="array" ref="O112">O$106+IF($C112&lt;&gt;0,SUMPRODUCT((O$107:O$108)*TRANSPOSE(($D112:$E112))),0)</f>
        <v>82872.826439559678</v>
      </c>
      <c r="P112" s="31" cm="1">
        <f t="array" ref="P112">P$106+IF($C112&lt;&gt;0,SUMPRODUCT((P$107:P$108)*TRANSPOSE(($D112:$E112))),0)</f>
        <v>94290.319199279082</v>
      </c>
      <c r="Q112" s="31" cm="1">
        <f t="array" ref="Q112">Q$106+IF($C112&lt;&gt;0,SUMPRODUCT((Q$107:Q$108)*TRANSPOSE(($D112:$E112))),0)</f>
        <v>101720.84710315039</v>
      </c>
      <c r="R112" s="31" cm="1">
        <f t="array" ref="R112">R$106+IF($C112&lt;&gt;0,SUMPRODUCT((R$107:R$108)*TRANSPOSE(($D112:$E112))),0)</f>
        <v>103258.96230967101</v>
      </c>
      <c r="S112" s="31" cm="1">
        <f t="array" ref="S112">S$106+IF($C112&lt;&gt;0,SUMPRODUCT((S$107:S$108)*TRANSPOSE(($D112:$E112))),0)</f>
        <v>104545.02184254189</v>
      </c>
      <c r="T112" s="31" cm="1">
        <f t="array" ref="T112">T$106+IF($C112&lt;&gt;0,SUMPRODUCT((T$107:T$108)*TRANSPOSE(($D112:$E112))),0)</f>
        <v>105845.70904815089</v>
      </c>
      <c r="U112" s="31" cm="1">
        <f t="array" ref="U112">U$106+IF($C112&lt;&gt;0,SUMPRODUCT((U$107:U$108)*TRANSPOSE(($D112:$E112))),0)</f>
        <v>107120.37800974687</v>
      </c>
      <c r="V112" s="31" cm="1">
        <f t="array" ref="V112">V$106+IF($C112&lt;&gt;0,SUMPRODUCT((V$107:V$108)*TRANSPOSE(($D112:$E112))),0)</f>
        <v>108437.36341443509</v>
      </c>
      <c r="W112" s="31" cm="1">
        <f t="array" ref="W112">W$106+IF($C112&lt;&gt;0,SUMPRODUCT((W$107:W$108)*TRANSPOSE(($D112:$E112))),0)</f>
        <v>109720.71251558585</v>
      </c>
      <c r="X112" s="31" cm="1">
        <f t="array" ref="X112">X$106+IF($C112&lt;&gt;0,SUMPRODUCT((X$107:X$108)*TRANSPOSE(($D112:$E112))),0)</f>
        <v>110966.77210250433</v>
      </c>
      <c r="Y112" s="31" cm="1">
        <f t="array" ref="Y112">Y$106+IF($C112&lt;&gt;0,SUMPRODUCT((Y$107:Y$108)*TRANSPOSE(($D112:$E112))),0)</f>
        <v>112172.2075874001</v>
      </c>
      <c r="Z112" s="31" cm="1">
        <f t="array" ref="Z112">Z$106+IF($C112&lt;&gt;0,SUMPRODUCT((Z$107:Z$108)*TRANSPOSE(($D112:$E112))),0)</f>
        <v>113334.0902396008</v>
      </c>
      <c r="AA112" s="31" cm="1">
        <f t="array" ref="AA112">AA$106+IF($C112&lt;&gt;0,SUMPRODUCT((AA$107:AA$108)*TRANSPOSE(($D112:$E112))),0)</f>
        <v>114449.98202009304</v>
      </c>
      <c r="AB112" s="31" cm="1">
        <f t="array" ref="AB112">AB$106+IF($C112&lt;&gt;0,SUMPRODUCT((AB$107:AB$108)*TRANSPOSE(($D112:$E112))),0)</f>
        <v>115518.01584380319</v>
      </c>
      <c r="AC112" s="31" cm="1">
        <f t="array" ref="AC112">AC$106+IF($C112&lt;&gt;0,SUMPRODUCT((AC$107:AC$108)*TRANSPOSE(($D112:$E112))),0)</f>
        <v>116536.96883802113</v>
      </c>
      <c r="AD112" s="31" cm="1">
        <f t="array" ref="AD112">AD$106+IF($C112&lt;&gt;0,SUMPRODUCT((AD$107:AD$108)*TRANSPOSE(($D112:$E112))),0)</f>
        <v>117506.32595705887</v>
      </c>
      <c r="AE112" s="31" cm="1">
        <f t="array" ref="AE112">AE$106+IF($C112&lt;&gt;0,SUMPRODUCT((AE$107:AE$108)*TRANSPOSE(($D112:$E112))),0)</f>
        <v>118426.33117438504</v>
      </c>
      <c r="AF112" s="31" cm="1">
        <f t="array" ref="AF112">AF$106+IF($C112&lt;&gt;0,SUMPRODUCT((AF$107:AF$108)*TRANSPOSE(($D112:$E112))),0)</f>
        <v>119298.02342336149</v>
      </c>
      <c r="AG112" s="31" cm="1">
        <f t="array" ref="AG112">AG$106+IF($C112&lt;&gt;0,SUMPRODUCT((AG$107:AG$108)*TRANSPOSE(($D112:$E112))),0)</f>
        <v>120123.25451496436</v>
      </c>
    </row>
    <row r="113" spans="1:33" x14ac:dyDescent="0.2">
      <c r="A113" s="1" t="str">
        <f>"sens"&amp;Assumptions!B114</f>
        <v>sens4</v>
      </c>
      <c r="C113" s="298" t="str">
        <f>Assumptions!C114</f>
        <v>Total benefits 10% lower</v>
      </c>
      <c r="D113" s="299">
        <f>Assumptions!G114</f>
        <v>0</v>
      </c>
      <c r="E113" s="299">
        <f>Assumptions!H114</f>
        <v>-0.1</v>
      </c>
      <c r="G113" s="38" t="str">
        <f t="shared" si="20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-169956.13846300729</v>
      </c>
      <c r="K113" s="31" cm="1">
        <f t="array" ref="K113">K$106+IF($C113&lt;&gt;0,SUMPRODUCT((K$107:K$108)*TRANSPOSE(($D113:$E113))),0)</f>
        <v>-5116.7515848646544</v>
      </c>
      <c r="L113" s="31" cm="1">
        <f t="array" ref="L113">L$106+IF($C113&lt;&gt;0,SUMPRODUCT((L$107:L$108)*TRANSPOSE(($D113:$E113))),0)</f>
        <v>811.30897864394137</v>
      </c>
      <c r="M113" s="31" cm="1">
        <f t="array" ref="M113">M$106+IF($C113&lt;&gt;0,SUMPRODUCT((M$107:M$108)*TRANSPOSE(($D113:$E113))),0)</f>
        <v>6035.4917579782341</v>
      </c>
      <c r="N113" s="31" cm="1">
        <f t="array" ref="N113">N$106+IF($C113&lt;&gt;0,SUMPRODUCT((N$107:N$108)*TRANSPOSE(($D113:$E113))),0)</f>
        <v>12935.923208888329</v>
      </c>
      <c r="O113" s="31" cm="1">
        <f t="array" ref="O113">O$106+IF($C113&lt;&gt;0,SUMPRODUCT((O$107:O$108)*TRANSPOSE(($D113:$E113))),0)</f>
        <v>21453.365687910478</v>
      </c>
      <c r="P113" s="31" cm="1">
        <f t="array" ref="P113">P$106+IF($C113&lt;&gt;0,SUMPRODUCT((P$107:P$108)*TRANSPOSE(($D113:$E113))),0)</f>
        <v>30794.950673135445</v>
      </c>
      <c r="Q113" s="31" cm="1">
        <f t="array" ref="Q113">Q$106+IF($C113&lt;&gt;0,SUMPRODUCT((Q$107:Q$108)*TRANSPOSE(($D113:$E113))),0)</f>
        <v>36874.473503575602</v>
      </c>
      <c r="R113" s="31" cm="1">
        <f t="array" ref="R113">R$106+IF($C113&lt;&gt;0,SUMPRODUCT((R$107:R$108)*TRANSPOSE(($D113:$E113))),0)</f>
        <v>38132.931399819754</v>
      </c>
      <c r="S113" s="31" cm="1">
        <f t="array" ref="S113">S$106+IF($C113&lt;&gt;0,SUMPRODUCT((S$107:S$108)*TRANSPOSE(($D113:$E113))),0)</f>
        <v>39185.161926714107</v>
      </c>
      <c r="T113" s="31" cm="1">
        <f t="array" ref="T113">T$106+IF($C113&lt;&gt;0,SUMPRODUCT((T$107:T$108)*TRANSPOSE(($D113:$E113))),0)</f>
        <v>40249.360549485107</v>
      </c>
      <c r="U113" s="31" cm="1">
        <f t="array" ref="U113">U$106+IF($C113&lt;&gt;0,SUMPRODUCT((U$107:U$108)*TRANSPOSE(($D113:$E113))),0)</f>
        <v>41292.271518063637</v>
      </c>
      <c r="V113" s="31" cm="1">
        <f t="array" ref="V113">V$106+IF($C113&lt;&gt;0,SUMPRODUCT((V$107:V$108)*TRANSPOSE(($D113:$E113))),0)</f>
        <v>42369.805030990363</v>
      </c>
      <c r="W113" s="31" cm="1">
        <f t="array" ref="W113">W$106+IF($C113&lt;&gt;0,SUMPRODUCT((W$107:W$108)*TRANSPOSE(($D113:$E113))),0)</f>
        <v>43419.817931931895</v>
      </c>
      <c r="X113" s="31" cm="1">
        <f t="array" ref="X113">X$106+IF($C113&lt;&gt;0,SUMPRODUCT((X$107:X$108)*TRANSPOSE(($D113:$E113))),0)</f>
        <v>44439.321230319736</v>
      </c>
      <c r="Y113" s="31" cm="1">
        <f t="array" ref="Y113">Y$106+IF($C113&lt;&gt;0,SUMPRODUCT((Y$107:Y$108)*TRANSPOSE(($D113:$E113))),0)</f>
        <v>45425.586627052639</v>
      </c>
      <c r="Z113" s="31" cm="1">
        <f t="array" ref="Z113">Z$106+IF($C113&lt;&gt;0,SUMPRODUCT((Z$107:Z$108)*TRANSPOSE(($D113:$E113))),0)</f>
        <v>46376.217887944127</v>
      </c>
      <c r="AA113" s="31" cm="1">
        <f t="array" ref="AA113">AA$106+IF($C113&lt;&gt;0,SUMPRODUCT((AA$107:AA$108)*TRANSPOSE(($D113:$E113))),0)</f>
        <v>47289.22025380141</v>
      </c>
      <c r="AB113" s="31" cm="1">
        <f t="array" ref="AB113">AB$106+IF($C113&lt;&gt;0,SUMPRODUCT((AB$107:AB$108)*TRANSPOSE(($D113:$E113))),0)</f>
        <v>48163.066109564257</v>
      </c>
      <c r="AC113" s="31" cm="1">
        <f t="array" ref="AC113">AC$106+IF($C113&lt;&gt;0,SUMPRODUCT((AC$107:AC$108)*TRANSPOSE(($D113:$E113))),0)</f>
        <v>48996.754923015287</v>
      </c>
      <c r="AD113" s="31" cm="1">
        <f t="array" ref="AD113">AD$106+IF($C113&lt;&gt;0,SUMPRODUCT((AD$107:AD$108)*TRANSPOSE(($D113:$E113))),0)</f>
        <v>49789.865293137089</v>
      </c>
      <c r="AE113" s="31" cm="1">
        <f t="array" ref="AE113">AE$106+IF($C113&lt;&gt;0,SUMPRODUCT((AE$107:AE$108)*TRANSPOSE(($D113:$E113))),0)</f>
        <v>50542.596834585769</v>
      </c>
      <c r="AF113" s="31" cm="1">
        <f t="array" ref="AF113">AF$106+IF($C113&lt;&gt;0,SUMPRODUCT((AF$107:AF$108)*TRANSPOSE(($D113:$E113))),0)</f>
        <v>51255.799583748318</v>
      </c>
      <c r="AG113" s="31" cm="1">
        <f t="array" ref="AG113">AG$106+IF($C113&lt;&gt;0,SUMPRODUCT((AG$107:AG$108)*TRANSPOSE(($D113:$E113))),0)</f>
        <v>51930.988658696122</v>
      </c>
    </row>
    <row r="114" spans="1:33" x14ac:dyDescent="0.2">
      <c r="A114" s="1" t="str">
        <f>"sens"&amp;Assumptions!B115</f>
        <v>sens5</v>
      </c>
      <c r="C114" s="298" t="str">
        <f>Assumptions!C115</f>
        <v>Capex 10% higher &amp; Total benefits 10% lower</v>
      </c>
      <c r="D114" s="299">
        <f>Assumptions!G115</f>
        <v>0.1</v>
      </c>
      <c r="E114" s="299">
        <f>Assumptions!H115</f>
        <v>-0.1</v>
      </c>
      <c r="G114" s="38" t="str">
        <f t="shared" si="20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-186951.75230930801</v>
      </c>
      <c r="K114" s="31" cm="1">
        <f t="array" ref="K114">K$106+IF($C114&lt;&gt;0,SUMPRODUCT((K$107:K$108)*TRANSPOSE(($D114:$E114))),0)</f>
        <v>-30610.17235431575</v>
      </c>
      <c r="L114" s="31" cm="1">
        <f t="array" ref="L114">L$106+IF($C114&lt;&gt;0,SUMPRODUCT((L$107:L$108)*TRANSPOSE(($D114:$E114))),0)</f>
        <v>-24682.111790807154</v>
      </c>
      <c r="M114" s="31" cm="1">
        <f t="array" ref="M114">M$106+IF($C114&lt;&gt;0,SUMPRODUCT((M$107:M$108)*TRANSPOSE(($D114:$E114))),0)</f>
        <v>-19457.929011472865</v>
      </c>
      <c r="N114" s="31" cm="1">
        <f t="array" ref="N114">N$106+IF($C114&lt;&gt;0,SUMPRODUCT((N$107:N$108)*TRANSPOSE(($D114:$E114))),0)</f>
        <v>-12557.49756056277</v>
      </c>
      <c r="O114" s="31" cm="1">
        <f t="array" ref="O114">O$106+IF($C114&lt;&gt;0,SUMPRODUCT((O$107:O$108)*TRANSPOSE(($D114:$E114))),0)</f>
        <v>-4040.0550815406168</v>
      </c>
      <c r="P114" s="31" cm="1">
        <f t="array" ref="P114">P$106+IF($C114&lt;&gt;0,SUMPRODUCT((P$107:P$108)*TRANSPOSE(($D114:$E114))),0)</f>
        <v>5301.5299036843498</v>
      </c>
      <c r="Q114" s="31" cm="1">
        <f t="array" ref="Q114">Q$106+IF($C114&lt;&gt;0,SUMPRODUCT((Q$107:Q$108)*TRANSPOSE(($D114:$E114))),0)</f>
        <v>11381.052734124503</v>
      </c>
      <c r="R114" s="31" cm="1">
        <f t="array" ref="R114">R$106+IF($C114&lt;&gt;0,SUMPRODUCT((R$107:R$108)*TRANSPOSE(($D114:$E114))),0)</f>
        <v>12639.510630368663</v>
      </c>
      <c r="S114" s="31" cm="1">
        <f t="array" ref="S114">S$106+IF($C114&lt;&gt;0,SUMPRODUCT((S$107:S$108)*TRANSPOSE(($D114:$E114))),0)</f>
        <v>13691.741157263008</v>
      </c>
      <c r="T114" s="31" cm="1">
        <f t="array" ref="T114">T$106+IF($C114&lt;&gt;0,SUMPRODUCT((T$107:T$108)*TRANSPOSE(($D114:$E114))),0)</f>
        <v>14755.939780034008</v>
      </c>
      <c r="U114" s="31" cm="1">
        <f t="array" ref="U114">U$106+IF($C114&lt;&gt;0,SUMPRODUCT((U$107:U$108)*TRANSPOSE(($D114:$E114))),0)</f>
        <v>15798.850748612545</v>
      </c>
      <c r="V114" s="31" cm="1">
        <f t="array" ref="V114">V$106+IF($C114&lt;&gt;0,SUMPRODUCT((V$107:V$108)*TRANSPOSE(($D114:$E114))),0)</f>
        <v>16876.384261539264</v>
      </c>
      <c r="W114" s="31" cm="1">
        <f t="array" ref="W114">W$106+IF($C114&lt;&gt;0,SUMPRODUCT((W$107:W$108)*TRANSPOSE(($D114:$E114))),0)</f>
        <v>17926.397162480804</v>
      </c>
      <c r="X114" s="31" cm="1">
        <f t="array" ref="X114">X$106+IF($C114&lt;&gt;0,SUMPRODUCT((X$107:X$108)*TRANSPOSE(($D114:$E114))),0)</f>
        <v>18945.900460868637</v>
      </c>
      <c r="Y114" s="31" cm="1">
        <f t="array" ref="Y114">Y$106+IF($C114&lt;&gt;0,SUMPRODUCT((Y$107:Y$108)*TRANSPOSE(($D114:$E114))),0)</f>
        <v>19932.165857601547</v>
      </c>
      <c r="Z114" s="31" cm="1">
        <f t="array" ref="Z114">Z$106+IF($C114&lt;&gt;0,SUMPRODUCT((Z$107:Z$108)*TRANSPOSE(($D114:$E114))),0)</f>
        <v>20882.797118493036</v>
      </c>
      <c r="AA114" s="31" cm="1">
        <f t="array" ref="AA114">AA$106+IF($C114&lt;&gt;0,SUMPRODUCT((AA$107:AA$108)*TRANSPOSE(($D114:$E114))),0)</f>
        <v>21795.799484350311</v>
      </c>
      <c r="AB114" s="31" cm="1">
        <f t="array" ref="AB114">AB$106+IF($C114&lt;&gt;0,SUMPRODUCT((AB$107:AB$108)*TRANSPOSE(($D114:$E114))),0)</f>
        <v>22669.645340113158</v>
      </c>
      <c r="AC114" s="31" cm="1">
        <f t="array" ref="AC114">AC$106+IF($C114&lt;&gt;0,SUMPRODUCT((AC$107:AC$108)*TRANSPOSE(($D114:$E114))),0)</f>
        <v>23503.334153564196</v>
      </c>
      <c r="AD114" s="31" cm="1">
        <f t="array" ref="AD114">AD$106+IF($C114&lt;&gt;0,SUMPRODUCT((AD$107:AD$108)*TRANSPOSE(($D114:$E114))),0)</f>
        <v>24296.44452368599</v>
      </c>
      <c r="AE114" s="31" cm="1">
        <f t="array" ref="AE114">AE$106+IF($C114&lt;&gt;0,SUMPRODUCT((AE$107:AE$108)*TRANSPOSE(($D114:$E114))),0)</f>
        <v>25049.17606513467</v>
      </c>
      <c r="AF114" s="31" cm="1">
        <f t="array" ref="AF114">AF$106+IF($C114&lt;&gt;0,SUMPRODUCT((AF$107:AF$108)*TRANSPOSE(($D114:$E114))),0)</f>
        <v>25762.378814297219</v>
      </c>
      <c r="AG114" s="31" cm="1">
        <f t="array" ref="AG114">AG$106+IF($C114&lt;&gt;0,SUMPRODUCT((AG$107:AG$108)*TRANSPOSE(($D114:$E114))),0)</f>
        <v>26437.567889245023</v>
      </c>
    </row>
    <row r="115" spans="1:33" x14ac:dyDescent="0.2">
      <c r="A115" s="1" t="str">
        <f>"sens"&amp;Assumptions!B116</f>
        <v>sens</v>
      </c>
      <c r="C115" s="298">
        <f>Assumptions!C116</f>
        <v>0</v>
      </c>
      <c r="D115" s="299">
        <f>Assumptions!G116</f>
        <v>0</v>
      </c>
      <c r="E115" s="299">
        <f>Assumptions!H116</f>
        <v>0</v>
      </c>
      <c r="G115" s="38" t="str">
        <f t="shared" si="20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-169956.13846300729</v>
      </c>
      <c r="K115" s="31" cm="1">
        <f t="array" ref="K115">K$106+IF($C115&lt;&gt;0,SUMPRODUCT((K$107:K$108)*TRANSPOSE(($D115:$E115))),0)</f>
        <v>22640.743538429379</v>
      </c>
      <c r="L115" s="31" cm="1">
        <f t="array" ref="L115">L$106+IF($C115&lt;&gt;0,SUMPRODUCT((L$107:L$108)*TRANSPOSE(($D115:$E115))),0)</f>
        <v>29227.477497883374</v>
      </c>
      <c r="M115" s="31" cm="1">
        <f t="array" ref="M115">M$106+IF($C115&lt;&gt;0,SUMPRODUCT((M$107:M$108)*TRANSPOSE(($D115:$E115))),0)</f>
        <v>35032.125030477036</v>
      </c>
      <c r="N115" s="31" cm="1">
        <f t="array" ref="N115">N$106+IF($C115&lt;&gt;0,SUMPRODUCT((N$107:N$108)*TRANSPOSE(($D115:$E115))),0)</f>
        <v>42699.271087043802</v>
      </c>
      <c r="O115" s="31" cm="1">
        <f t="array" ref="O115">O$106+IF($C115&lt;&gt;0,SUMPRODUCT((O$107:O$108)*TRANSPOSE(($D115:$E115))),0)</f>
        <v>52163.09606373508</v>
      </c>
      <c r="P115" s="31" cm="1">
        <f t="array" ref="P115">P$106+IF($C115&lt;&gt;0,SUMPRODUCT((P$107:P$108)*TRANSPOSE(($D115:$E115))),0)</f>
        <v>62542.634936207265</v>
      </c>
      <c r="Q115" s="31" cm="1">
        <f t="array" ref="Q115">Q$106+IF($C115&lt;&gt;0,SUMPRODUCT((Q$107:Q$108)*TRANSPOSE(($D115:$E115))),0)</f>
        <v>69297.660303362994</v>
      </c>
      <c r="R115" s="31" cm="1">
        <f t="array" ref="R115">R$106+IF($C115&lt;&gt;0,SUMPRODUCT((R$107:R$108)*TRANSPOSE(($D115:$E115))),0)</f>
        <v>70695.946854745387</v>
      </c>
      <c r="S115" s="31" cm="1">
        <f t="array" ref="S115">S$106+IF($C115&lt;&gt;0,SUMPRODUCT((S$107:S$108)*TRANSPOSE(($D115:$E115))),0)</f>
        <v>71865.091884627996</v>
      </c>
      <c r="T115" s="31" cm="1">
        <f t="array" ref="T115">T$106+IF($C115&lt;&gt;0,SUMPRODUCT((T$107:T$108)*TRANSPOSE(($D115:$E115))),0)</f>
        <v>73047.534798818</v>
      </c>
      <c r="U115" s="31" cm="1">
        <f t="array" ref="U115">U$106+IF($C115&lt;&gt;0,SUMPRODUCT((U$107:U$108)*TRANSPOSE(($D115:$E115))),0)</f>
        <v>74206.324763905257</v>
      </c>
      <c r="V115" s="31" cm="1">
        <f t="array" ref="V115">V$106+IF($C115&lt;&gt;0,SUMPRODUCT((V$107:V$108)*TRANSPOSE(($D115:$E115))),0)</f>
        <v>75403.584222712729</v>
      </c>
      <c r="W115" s="31" cm="1">
        <f t="array" ref="W115">W$106+IF($C115&lt;&gt;0,SUMPRODUCT((W$107:W$108)*TRANSPOSE(($D115:$E115))),0)</f>
        <v>76570.265223758877</v>
      </c>
      <c r="X115" s="31" cm="1">
        <f t="array" ref="X115">X$106+IF($C115&lt;&gt;0,SUMPRODUCT((X$107:X$108)*TRANSPOSE(($D115:$E115))),0)</f>
        <v>77703.046666412032</v>
      </c>
      <c r="Y115" s="31" cm="1">
        <f t="array" ref="Y115">Y$106+IF($C115&lt;&gt;0,SUMPRODUCT((Y$107:Y$108)*TRANSPOSE(($D115:$E115))),0)</f>
        <v>78798.897107226367</v>
      </c>
      <c r="Z115" s="31" cm="1">
        <f t="array" ref="Z115">Z$106+IF($C115&lt;&gt;0,SUMPRODUCT((Z$107:Z$108)*TRANSPOSE(($D115:$E115))),0)</f>
        <v>79855.154063772468</v>
      </c>
      <c r="AA115" s="31" cm="1">
        <f t="array" ref="AA115">AA$106+IF($C115&lt;&gt;0,SUMPRODUCT((AA$107:AA$108)*TRANSPOSE(($D115:$E115))),0)</f>
        <v>80869.601136947225</v>
      </c>
      <c r="AB115" s="31" cm="1">
        <f t="array" ref="AB115">AB$106+IF($C115&lt;&gt;0,SUMPRODUCT((AB$107:AB$108)*TRANSPOSE(($D115:$E115))),0)</f>
        <v>81840.540976683726</v>
      </c>
      <c r="AC115" s="31" cm="1">
        <f t="array" ref="AC115">AC$106+IF($C115&lt;&gt;0,SUMPRODUCT((AC$107:AC$108)*TRANSPOSE(($D115:$E115))),0)</f>
        <v>82766.861880518205</v>
      </c>
      <c r="AD115" s="31" cm="1">
        <f t="array" ref="AD115">AD$106+IF($C115&lt;&gt;0,SUMPRODUCT((AD$107:AD$108)*TRANSPOSE(($D115:$E115))),0)</f>
        <v>83648.09562509798</v>
      </c>
      <c r="AE115" s="31" cm="1">
        <f t="array" ref="AE115">AE$106+IF($C115&lt;&gt;0,SUMPRODUCT((AE$107:AE$108)*TRANSPOSE(($D115:$E115))),0)</f>
        <v>84484.464004485402</v>
      </c>
      <c r="AF115" s="31" cm="1">
        <f t="array" ref="AF115">AF$106+IF($C115&lt;&gt;0,SUMPRODUCT((AF$107:AF$108)*TRANSPOSE(($D115:$E115))),0)</f>
        <v>85276.911503554904</v>
      </c>
      <c r="AG115" s="31" cm="1">
        <f t="array" ref="AG115">AG$106+IF($C115&lt;&gt;0,SUMPRODUCT((AG$107:AG$108)*TRANSPOSE(($D115:$E115))),0)</f>
        <v>86027.121586830239</v>
      </c>
    </row>
    <row r="116" spans="1:33" x14ac:dyDescent="0.2">
      <c r="A116" s="1" t="str">
        <f>"sens"&amp;Assumptions!B117</f>
        <v>sens</v>
      </c>
      <c r="C116" s="298">
        <f>Assumptions!C117</f>
        <v>0</v>
      </c>
      <c r="D116" s="299">
        <f>Assumptions!G117</f>
        <v>0</v>
      </c>
      <c r="E116" s="299">
        <f>Assumptions!H117</f>
        <v>0</v>
      </c>
      <c r="G116" s="38" t="str">
        <f t="shared" si="20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-169956.13846300729</v>
      </c>
      <c r="K116" s="31" cm="1">
        <f t="array" ref="K116">K$106+IF($C116&lt;&gt;0,SUMPRODUCT((K$107:K$108)*TRANSPOSE(($D116:$E116))),0)</f>
        <v>22640.743538429379</v>
      </c>
      <c r="L116" s="31" cm="1">
        <f t="array" ref="L116">L$106+IF($C116&lt;&gt;0,SUMPRODUCT((L$107:L$108)*TRANSPOSE(($D116:$E116))),0)</f>
        <v>29227.477497883374</v>
      </c>
      <c r="M116" s="31" cm="1">
        <f t="array" ref="M116">M$106+IF($C116&lt;&gt;0,SUMPRODUCT((M$107:M$108)*TRANSPOSE(($D116:$E116))),0)</f>
        <v>35032.125030477036</v>
      </c>
      <c r="N116" s="31" cm="1">
        <f t="array" ref="N116">N$106+IF($C116&lt;&gt;0,SUMPRODUCT((N$107:N$108)*TRANSPOSE(($D116:$E116))),0)</f>
        <v>42699.271087043802</v>
      </c>
      <c r="O116" s="31" cm="1">
        <f t="array" ref="O116">O$106+IF($C116&lt;&gt;0,SUMPRODUCT((O$107:O$108)*TRANSPOSE(($D116:$E116))),0)</f>
        <v>52163.09606373508</v>
      </c>
      <c r="P116" s="31" cm="1">
        <f t="array" ref="P116">P$106+IF($C116&lt;&gt;0,SUMPRODUCT((P$107:P$108)*TRANSPOSE(($D116:$E116))),0)</f>
        <v>62542.634936207265</v>
      </c>
      <c r="Q116" s="31" cm="1">
        <f t="array" ref="Q116">Q$106+IF($C116&lt;&gt;0,SUMPRODUCT((Q$107:Q$108)*TRANSPOSE(($D116:$E116))),0)</f>
        <v>69297.660303362994</v>
      </c>
      <c r="R116" s="31" cm="1">
        <f t="array" ref="R116">R$106+IF($C116&lt;&gt;0,SUMPRODUCT((R$107:R$108)*TRANSPOSE(($D116:$E116))),0)</f>
        <v>70695.946854745387</v>
      </c>
      <c r="S116" s="31" cm="1">
        <f t="array" ref="S116">S$106+IF($C116&lt;&gt;0,SUMPRODUCT((S$107:S$108)*TRANSPOSE(($D116:$E116))),0)</f>
        <v>71865.091884627996</v>
      </c>
      <c r="T116" s="31" cm="1">
        <f t="array" ref="T116">T$106+IF($C116&lt;&gt;0,SUMPRODUCT((T$107:T$108)*TRANSPOSE(($D116:$E116))),0)</f>
        <v>73047.534798818</v>
      </c>
      <c r="U116" s="31" cm="1">
        <f t="array" ref="U116">U$106+IF($C116&lt;&gt;0,SUMPRODUCT((U$107:U$108)*TRANSPOSE(($D116:$E116))),0)</f>
        <v>74206.324763905257</v>
      </c>
      <c r="V116" s="31" cm="1">
        <f t="array" ref="V116">V$106+IF($C116&lt;&gt;0,SUMPRODUCT((V$107:V$108)*TRANSPOSE(($D116:$E116))),0)</f>
        <v>75403.584222712729</v>
      </c>
      <c r="W116" s="31" cm="1">
        <f t="array" ref="W116">W$106+IF($C116&lt;&gt;0,SUMPRODUCT((W$107:W$108)*TRANSPOSE(($D116:$E116))),0)</f>
        <v>76570.265223758877</v>
      </c>
      <c r="X116" s="31" cm="1">
        <f t="array" ref="X116">X$106+IF($C116&lt;&gt;0,SUMPRODUCT((X$107:X$108)*TRANSPOSE(($D116:$E116))),0)</f>
        <v>77703.046666412032</v>
      </c>
      <c r="Y116" s="31" cm="1">
        <f t="array" ref="Y116">Y$106+IF($C116&lt;&gt;0,SUMPRODUCT((Y$107:Y$108)*TRANSPOSE(($D116:$E116))),0)</f>
        <v>78798.897107226367</v>
      </c>
      <c r="Z116" s="31" cm="1">
        <f t="array" ref="Z116">Z$106+IF($C116&lt;&gt;0,SUMPRODUCT((Z$107:Z$108)*TRANSPOSE(($D116:$E116))),0)</f>
        <v>79855.154063772468</v>
      </c>
      <c r="AA116" s="31" cm="1">
        <f t="array" ref="AA116">AA$106+IF($C116&lt;&gt;0,SUMPRODUCT((AA$107:AA$108)*TRANSPOSE(($D116:$E116))),0)</f>
        <v>80869.601136947225</v>
      </c>
      <c r="AB116" s="31" cm="1">
        <f t="array" ref="AB116">AB$106+IF($C116&lt;&gt;0,SUMPRODUCT((AB$107:AB$108)*TRANSPOSE(($D116:$E116))),0)</f>
        <v>81840.540976683726</v>
      </c>
      <c r="AC116" s="31" cm="1">
        <f t="array" ref="AC116">AC$106+IF($C116&lt;&gt;0,SUMPRODUCT((AC$107:AC$108)*TRANSPOSE(($D116:$E116))),0)</f>
        <v>82766.861880518205</v>
      </c>
      <c r="AD116" s="31" cm="1">
        <f t="array" ref="AD116">AD$106+IF($C116&lt;&gt;0,SUMPRODUCT((AD$107:AD$108)*TRANSPOSE(($D116:$E116))),0)</f>
        <v>83648.09562509798</v>
      </c>
      <c r="AE116" s="31" cm="1">
        <f t="array" ref="AE116">AE$106+IF($C116&lt;&gt;0,SUMPRODUCT((AE$107:AE$108)*TRANSPOSE(($D116:$E116))),0)</f>
        <v>84484.464004485402</v>
      </c>
      <c r="AF116" s="31" cm="1">
        <f t="array" ref="AF116">AF$106+IF($C116&lt;&gt;0,SUMPRODUCT((AF$107:AF$108)*TRANSPOSE(($D116:$E116))),0)</f>
        <v>85276.911503554904</v>
      </c>
      <c r="AG116" s="31" cm="1">
        <f t="array" ref="AG116">AG$106+IF($C116&lt;&gt;0,SUMPRODUCT((AG$107:AG$108)*TRANSPOSE(($D116:$E116))),0)</f>
        <v>86027.121586830239</v>
      </c>
    </row>
    <row r="117" spans="1:33" x14ac:dyDescent="0.2">
      <c r="A117" s="1" t="str">
        <f>"sens"&amp;Assumptions!B118</f>
        <v>sens</v>
      </c>
      <c r="C117" s="298">
        <f>Assumptions!C118</f>
        <v>0</v>
      </c>
      <c r="D117" s="299">
        <f>Assumptions!G118</f>
        <v>0</v>
      </c>
      <c r="E117" s="299">
        <f>Assumptions!H118</f>
        <v>0</v>
      </c>
      <c r="G117" s="38" t="str">
        <f t="shared" si="20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-169956.13846300729</v>
      </c>
      <c r="K117" s="31" cm="1">
        <f t="array" ref="K117">K$106+IF($C117&lt;&gt;0,SUMPRODUCT((K$107:K$108)*TRANSPOSE(($D117:$E117))),0)</f>
        <v>22640.743538429379</v>
      </c>
      <c r="L117" s="31" cm="1">
        <f t="array" ref="L117">L$106+IF($C117&lt;&gt;0,SUMPRODUCT((L$107:L$108)*TRANSPOSE(($D117:$E117))),0)</f>
        <v>29227.477497883374</v>
      </c>
      <c r="M117" s="31" cm="1">
        <f t="array" ref="M117">M$106+IF($C117&lt;&gt;0,SUMPRODUCT((M$107:M$108)*TRANSPOSE(($D117:$E117))),0)</f>
        <v>35032.125030477036</v>
      </c>
      <c r="N117" s="31" cm="1">
        <f t="array" ref="N117">N$106+IF($C117&lt;&gt;0,SUMPRODUCT((N$107:N$108)*TRANSPOSE(($D117:$E117))),0)</f>
        <v>42699.271087043802</v>
      </c>
      <c r="O117" s="31" cm="1">
        <f t="array" ref="O117">O$106+IF($C117&lt;&gt;0,SUMPRODUCT((O$107:O$108)*TRANSPOSE(($D117:$E117))),0)</f>
        <v>52163.09606373508</v>
      </c>
      <c r="P117" s="31" cm="1">
        <f t="array" ref="P117">P$106+IF($C117&lt;&gt;0,SUMPRODUCT((P$107:P$108)*TRANSPOSE(($D117:$E117))),0)</f>
        <v>62542.634936207265</v>
      </c>
      <c r="Q117" s="31" cm="1">
        <f t="array" ref="Q117">Q$106+IF($C117&lt;&gt;0,SUMPRODUCT((Q$107:Q$108)*TRANSPOSE(($D117:$E117))),0)</f>
        <v>69297.660303362994</v>
      </c>
      <c r="R117" s="31" cm="1">
        <f t="array" ref="R117">R$106+IF($C117&lt;&gt;0,SUMPRODUCT((R$107:R$108)*TRANSPOSE(($D117:$E117))),0)</f>
        <v>70695.946854745387</v>
      </c>
      <c r="S117" s="31" cm="1">
        <f t="array" ref="S117">S$106+IF($C117&lt;&gt;0,SUMPRODUCT((S$107:S$108)*TRANSPOSE(($D117:$E117))),0)</f>
        <v>71865.091884627996</v>
      </c>
      <c r="T117" s="31" cm="1">
        <f t="array" ref="T117">T$106+IF($C117&lt;&gt;0,SUMPRODUCT((T$107:T$108)*TRANSPOSE(($D117:$E117))),0)</f>
        <v>73047.534798818</v>
      </c>
      <c r="U117" s="31" cm="1">
        <f t="array" ref="U117">U$106+IF($C117&lt;&gt;0,SUMPRODUCT((U$107:U$108)*TRANSPOSE(($D117:$E117))),0)</f>
        <v>74206.324763905257</v>
      </c>
      <c r="V117" s="31" cm="1">
        <f t="array" ref="V117">V$106+IF($C117&lt;&gt;0,SUMPRODUCT((V$107:V$108)*TRANSPOSE(($D117:$E117))),0)</f>
        <v>75403.584222712729</v>
      </c>
      <c r="W117" s="31" cm="1">
        <f t="array" ref="W117">W$106+IF($C117&lt;&gt;0,SUMPRODUCT((W$107:W$108)*TRANSPOSE(($D117:$E117))),0)</f>
        <v>76570.265223758877</v>
      </c>
      <c r="X117" s="31" cm="1">
        <f t="array" ref="X117">X$106+IF($C117&lt;&gt;0,SUMPRODUCT((X$107:X$108)*TRANSPOSE(($D117:$E117))),0)</f>
        <v>77703.046666412032</v>
      </c>
      <c r="Y117" s="31" cm="1">
        <f t="array" ref="Y117">Y$106+IF($C117&lt;&gt;0,SUMPRODUCT((Y$107:Y$108)*TRANSPOSE(($D117:$E117))),0)</f>
        <v>78798.897107226367</v>
      </c>
      <c r="Z117" s="31" cm="1">
        <f t="array" ref="Z117">Z$106+IF($C117&lt;&gt;0,SUMPRODUCT((Z$107:Z$108)*TRANSPOSE(($D117:$E117))),0)</f>
        <v>79855.154063772468</v>
      </c>
      <c r="AA117" s="31" cm="1">
        <f t="array" ref="AA117">AA$106+IF($C117&lt;&gt;0,SUMPRODUCT((AA$107:AA$108)*TRANSPOSE(($D117:$E117))),0)</f>
        <v>80869.601136947225</v>
      </c>
      <c r="AB117" s="31" cm="1">
        <f t="array" ref="AB117">AB$106+IF($C117&lt;&gt;0,SUMPRODUCT((AB$107:AB$108)*TRANSPOSE(($D117:$E117))),0)</f>
        <v>81840.540976683726</v>
      </c>
      <c r="AC117" s="31" cm="1">
        <f t="array" ref="AC117">AC$106+IF($C117&lt;&gt;0,SUMPRODUCT((AC$107:AC$108)*TRANSPOSE(($D117:$E117))),0)</f>
        <v>82766.861880518205</v>
      </c>
      <c r="AD117" s="31" cm="1">
        <f t="array" ref="AD117">AD$106+IF($C117&lt;&gt;0,SUMPRODUCT((AD$107:AD$108)*TRANSPOSE(($D117:$E117))),0)</f>
        <v>83648.09562509798</v>
      </c>
      <c r="AE117" s="31" cm="1">
        <f t="array" ref="AE117">AE$106+IF($C117&lt;&gt;0,SUMPRODUCT((AE$107:AE$108)*TRANSPOSE(($D117:$E117))),0)</f>
        <v>84484.464004485402</v>
      </c>
      <c r="AF117" s="31" cm="1">
        <f t="array" ref="AF117">AF$106+IF($C117&lt;&gt;0,SUMPRODUCT((AF$107:AF$108)*TRANSPOSE(($D117:$E117))),0)</f>
        <v>85276.911503554904</v>
      </c>
      <c r="AG117" s="31" cm="1">
        <f t="array" ref="AG117">AG$106+IF($C117&lt;&gt;0,SUMPRODUCT((AG$107:AG$108)*TRANSPOSE(($D117:$E117))),0)</f>
        <v>86027.121586830239</v>
      </c>
    </row>
    <row r="118" spans="1:33" x14ac:dyDescent="0.2">
      <c r="E118" s="24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6"/>
      <c r="J129" s="246"/>
      <c r="K129" s="246"/>
      <c r="L129" s="246"/>
    </row>
    <row r="130" spans="9:12" x14ac:dyDescent="0.2">
      <c r="I130" s="246"/>
      <c r="J130" s="246"/>
      <c r="K130" s="246"/>
      <c r="L130" s="246"/>
    </row>
    <row r="131" spans="9:12" x14ac:dyDescent="0.2">
      <c r="I131" s="246"/>
      <c r="J131" s="246"/>
      <c r="K131" s="246"/>
      <c r="L131" s="246"/>
    </row>
    <row r="132" spans="9:12" x14ac:dyDescent="0.2">
      <c r="I132" s="246"/>
      <c r="J132" s="246"/>
      <c r="K132" s="246"/>
      <c r="L132" s="246"/>
    </row>
    <row r="133" spans="9:12" x14ac:dyDescent="0.2">
      <c r="I133" s="246"/>
      <c r="J133" s="246"/>
      <c r="K133" s="246"/>
      <c r="L133" s="246"/>
    </row>
    <row r="134" spans="9:12" x14ac:dyDescent="0.2">
      <c r="I134" s="246"/>
      <c r="J134" s="246"/>
      <c r="K134" s="246"/>
      <c r="L134" s="246"/>
    </row>
    <row r="135" spans="9:12" x14ac:dyDescent="0.2">
      <c r="I135" s="246"/>
      <c r="J135" s="246"/>
      <c r="K135" s="246"/>
      <c r="L135" s="246"/>
    </row>
    <row r="136" spans="9:12" x14ac:dyDescent="0.2">
      <c r="I136" s="246"/>
      <c r="J136" s="246"/>
      <c r="K136" s="246"/>
      <c r="L136" s="246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AC11" activePane="bottomRight" state="frozen"/>
      <selection activeCell="A2" sqref="A2"/>
      <selection pane="topRight" activeCell="A2" sqref="A2"/>
      <selection pane="bottomLeft" activeCell="A2" sqref="A2"/>
      <selection pane="bottomRight" activeCell="AF36" sqref="AF36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43" ht="18.75" x14ac:dyDescent="0.3">
      <c r="A2" s="56" t="str">
        <f>proj</f>
        <v>EW switchboard and relay replacement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43" ht="15.75" x14ac:dyDescent="0.25">
      <c r="A3" s="201" t="s">
        <v>135</v>
      </c>
      <c r="B3" s="5"/>
      <c r="C3" s="198" t="str">
        <f>INDEX(Assumptions!$E$14:$E$18, MATCH(A3,_xlfn.ANCHORARRAY( Assumptions!$C$14),0))</f>
        <v>Relay replacement in 2026-27 and SWBD replacement in 2031-32</v>
      </c>
    </row>
    <row r="4" spans="1:43" x14ac:dyDescent="0.2">
      <c r="A4" s="199" t="str">
        <f>(INDEX(Data!$D$9:$D$13, MATCH(A3, options,0)))</f>
        <v/>
      </c>
      <c r="B4" s="185"/>
      <c r="C4" s="236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7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tr">
        <f>'Option1 (base case)'!A6</f>
        <v>Count</v>
      </c>
      <c r="B6" s="97"/>
      <c r="C6" s="98"/>
      <c r="D6" s="97"/>
      <c r="E6" s="99"/>
      <c r="F6" s="99"/>
      <c r="G6" s="97"/>
      <c r="H6" s="100"/>
      <c r="I6" s="100">
        <f>'Option1 (base case)'!I6</f>
        <v>1</v>
      </c>
      <c r="J6" s="100">
        <f>'Option1 (base case)'!J6</f>
        <v>2</v>
      </c>
      <c r="K6" s="100">
        <f>'Option1 (base case)'!K6</f>
        <v>3</v>
      </c>
      <c r="L6" s="100">
        <f>'Option1 (base case)'!L6</f>
        <v>4</v>
      </c>
      <c r="M6" s="100">
        <f>'Option1 (base case)'!M6</f>
        <v>5</v>
      </c>
      <c r="N6" s="100">
        <f>'Option1 (base case)'!N6</f>
        <v>6</v>
      </c>
      <c r="O6" s="100">
        <f>'Option1 (base case)'!O6</f>
        <v>7</v>
      </c>
      <c r="P6" s="100">
        <f>'Option1 (base case)'!P6</f>
        <v>8</v>
      </c>
      <c r="Q6" s="100">
        <f>'Option1 (base case)'!Q6</f>
        <v>9</v>
      </c>
      <c r="R6" s="100">
        <f>'Option1 (base case)'!R6</f>
        <v>10</v>
      </c>
      <c r="S6" s="100">
        <f>'Option1 (base case)'!S6</f>
        <v>11</v>
      </c>
      <c r="T6" s="100">
        <f>'Option1 (base case)'!T6</f>
        <v>12</v>
      </c>
      <c r="U6" s="100">
        <f>'Option1 (base case)'!U6</f>
        <v>13</v>
      </c>
      <c r="V6" s="100">
        <f>'Option1 (base case)'!V6</f>
        <v>14</v>
      </c>
      <c r="W6" s="100">
        <f>'Option1 (base case)'!W6</f>
        <v>15</v>
      </c>
      <c r="X6" s="100">
        <f>'Option1 (base case)'!X6</f>
        <v>16</v>
      </c>
      <c r="Y6" s="100">
        <f>'Option1 (base case)'!Y6</f>
        <v>17</v>
      </c>
      <c r="Z6" s="100">
        <f>'Option1 (base case)'!Z6</f>
        <v>18</v>
      </c>
      <c r="AA6" s="100">
        <f>'Option1 (base case)'!AA6</f>
        <v>19</v>
      </c>
      <c r="AB6" s="100">
        <f>'Option1 (base case)'!AB6</f>
        <v>20</v>
      </c>
      <c r="AC6" s="100">
        <f>'Option1 (base case)'!AC6</f>
        <v>21</v>
      </c>
      <c r="AD6" s="100">
        <f>'Option1 (base case)'!AD6</f>
        <v>22</v>
      </c>
      <c r="AE6" s="100">
        <f>'Option1 (base case)'!AE6</f>
        <v>23</v>
      </c>
      <c r="AF6" s="100">
        <f>'Option1 (base case)'!AF6</f>
        <v>24</v>
      </c>
      <c r="AG6" s="100">
        <f>'Option1 (base case)'!AG6</f>
        <v>25</v>
      </c>
    </row>
    <row r="7" spans="1:43" hidden="1" outlineLevel="1" x14ac:dyDescent="0.2">
      <c r="A7" s="97" t="str">
        <f>'Option1 (base case)'!A7</f>
        <v>Value of CO2 reductions</v>
      </c>
      <c r="B7" s="97"/>
      <c r="G7" s="158" t="s">
        <v>63</v>
      </c>
      <c r="I7" s="98">
        <f>'Option1 (base case)'!I7</f>
        <v>24.730486797759085</v>
      </c>
      <c r="J7" s="98">
        <f>'Option1 (base case)'!J7</f>
        <v>22.340740091772258</v>
      </c>
      <c r="K7" s="98">
        <f>'Option1 (base case)'!K7</f>
        <v>20.196329122153124</v>
      </c>
      <c r="L7" s="98">
        <f>'Option1 (base case)'!L7</f>
        <v>18.06294207659629</v>
      </c>
      <c r="M7" s="98">
        <f>'Option1 (base case)'!M7</f>
        <v>15.913397615084225</v>
      </c>
      <c r="N7" s="98">
        <f>'Option1 (base case)'!N7</f>
        <v>13.715069432539002</v>
      </c>
      <c r="O7" s="98">
        <f>'Option1 (base case)'!O7</f>
        <v>13.715069432539002</v>
      </c>
      <c r="P7" s="98">
        <f>'Option1 (base case)'!P7</f>
        <v>13.715069432539002</v>
      </c>
      <c r="Q7" s="98">
        <f>'Option1 (base case)'!Q7</f>
        <v>13.715069432539002</v>
      </c>
      <c r="R7" s="98">
        <f>'Option1 (base case)'!R7</f>
        <v>13.715069432539002</v>
      </c>
      <c r="S7" s="98">
        <f>'Option1 (base case)'!S7</f>
        <v>13.715069432539002</v>
      </c>
      <c r="T7" s="98">
        <f>'Option1 (base case)'!T7</f>
        <v>13.715069432539002</v>
      </c>
      <c r="U7" s="98">
        <f>'Option1 (base case)'!U7</f>
        <v>13.715069432539002</v>
      </c>
      <c r="V7" s="98">
        <f>'Option1 (base case)'!V7</f>
        <v>13.715069432539002</v>
      </c>
      <c r="W7" s="98">
        <f>'Option1 (base case)'!W7</f>
        <v>13.715069432539002</v>
      </c>
      <c r="X7" s="98">
        <f>'Option1 (base case)'!X7</f>
        <v>13.715069432539002</v>
      </c>
      <c r="Y7" s="98">
        <f>'Option1 (base case)'!Y7</f>
        <v>13.715069432539002</v>
      </c>
      <c r="Z7" s="98">
        <f>'Option1 (base case)'!Z7</f>
        <v>13.715069432539002</v>
      </c>
      <c r="AA7" s="98">
        <f>'Option1 (base case)'!AA7</f>
        <v>13.715069432539002</v>
      </c>
      <c r="AB7" s="98">
        <f>'Option1 (base case)'!AB7</f>
        <v>13.715069432539002</v>
      </c>
      <c r="AC7" s="98">
        <f>'Option1 (base case)'!AC7</f>
        <v>13.715069432539002</v>
      </c>
      <c r="AD7" s="98">
        <f>'Option1 (base case)'!AD7</f>
        <v>13.715069432539002</v>
      </c>
      <c r="AE7" s="98">
        <f>'Option1 (base case)'!AE7</f>
        <v>13.715069432539002</v>
      </c>
      <c r="AF7" s="98">
        <f>'Option1 (base case)'!AF7</f>
        <v>13.715069432539002</v>
      </c>
      <c r="AG7" s="98">
        <f>'Option1 (base case)'!AG7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8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2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</row>
    <row r="12" spans="1:43" x14ac:dyDescent="0.2">
      <c r="A12" s="3"/>
      <c r="B12" s="3"/>
      <c r="C12" s="3"/>
      <c r="D12" s="3"/>
      <c r="G12" s="203"/>
      <c r="AH12"/>
    </row>
    <row r="13" spans="1:43" x14ac:dyDescent="0.2">
      <c r="C13" s="3" t="s">
        <v>17</v>
      </c>
      <c r="D13"/>
      <c r="E13" s="125" t="s">
        <v>69</v>
      </c>
      <c r="G13" s="204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307</v>
      </c>
      <c r="D14"/>
      <c r="E14" s="146">
        <v>50</v>
      </c>
      <c r="G14" s="205">
        <f>input_dollars</f>
        <v>45291</v>
      </c>
      <c r="H14" s="147"/>
      <c r="I14" s="32">
        <f>Workings_costs!E38</f>
        <v>0</v>
      </c>
      <c r="J14" s="32">
        <f>Workings_costs!F38</f>
        <v>0</v>
      </c>
      <c r="K14" s="32">
        <f>Workings_costs!G38</f>
        <v>0</v>
      </c>
      <c r="L14" s="32">
        <f>Workings_costs!H38</f>
        <v>0</v>
      </c>
      <c r="M14" s="32">
        <f>Workings_costs!I38</f>
        <v>0</v>
      </c>
      <c r="N14" s="32">
        <f>Workings_costs!J38</f>
        <v>2727489.4168426665</v>
      </c>
      <c r="O14" s="32">
        <f>Workings_costs!K38</f>
        <v>1363744.7084213332</v>
      </c>
      <c r="P14" s="32">
        <f>Workings_costs!L38</f>
        <v>0</v>
      </c>
      <c r="Q14" s="32">
        <f>Workings_costs!M38</f>
        <v>0</v>
      </c>
      <c r="R14" s="32">
        <f>Workings_costs!N38</f>
        <v>0</v>
      </c>
      <c r="S14" s="32">
        <f>Workings_costs!O38</f>
        <v>0</v>
      </c>
      <c r="T14" s="32">
        <f>Workings_costs!P38</f>
        <v>0</v>
      </c>
      <c r="U14" s="32">
        <f>Workings_costs!Q38</f>
        <v>0</v>
      </c>
      <c r="V14" s="32">
        <f>Workings_costs!R38</f>
        <v>0</v>
      </c>
      <c r="W14" s="32">
        <f>Workings_costs!S38</f>
        <v>0</v>
      </c>
      <c r="X14" s="32">
        <f>Workings_costs!T38</f>
        <v>0</v>
      </c>
      <c r="Y14" s="32">
        <f>Workings_costs!U38</f>
        <v>0</v>
      </c>
      <c r="Z14" s="32">
        <f>Workings_costs!V38</f>
        <v>0</v>
      </c>
      <c r="AA14" s="32">
        <f>Workings_costs!W38</f>
        <v>0</v>
      </c>
      <c r="AB14" s="32">
        <f>Workings_costs!X38</f>
        <v>0</v>
      </c>
      <c r="AC14" s="32">
        <f>Workings_costs!Y38</f>
        <v>0</v>
      </c>
      <c r="AD14" s="32">
        <f>Workings_costs!Z38</f>
        <v>0</v>
      </c>
      <c r="AE14" s="32">
        <f>Workings_costs!AA38</f>
        <v>0</v>
      </c>
      <c r="AF14" s="32">
        <f>Workings_costs!AB38</f>
        <v>0</v>
      </c>
      <c r="AG14" s="32">
        <f>Workings_costs!AC38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308</v>
      </c>
      <c r="D15"/>
      <c r="E15" s="146">
        <v>25</v>
      </c>
      <c r="G15" s="205">
        <f>input_dollars</f>
        <v>45291</v>
      </c>
      <c r="H15" s="2"/>
      <c r="I15" s="32">
        <f>Workings_costs!E39</f>
        <v>1363744.7084213332</v>
      </c>
      <c r="J15" s="32">
        <f>Workings_costs!F39</f>
        <v>681872.35421066661</v>
      </c>
      <c r="K15" s="32">
        <f>Workings_costs!G39</f>
        <v>0</v>
      </c>
      <c r="L15" s="32">
        <f>Workings_costs!H39</f>
        <v>0</v>
      </c>
      <c r="M15" s="32">
        <f>Workings_costs!I39</f>
        <v>0</v>
      </c>
      <c r="N15" s="32">
        <f>Workings_costs!J39</f>
        <v>0</v>
      </c>
      <c r="O15" s="32">
        <f>Workings_costs!K39</f>
        <v>0</v>
      </c>
      <c r="P15" s="32">
        <f>Workings_costs!L39</f>
        <v>0</v>
      </c>
      <c r="Q15" s="32">
        <f>Workings_costs!M39</f>
        <v>0</v>
      </c>
      <c r="R15" s="32">
        <f>Workings_costs!N39</f>
        <v>0</v>
      </c>
      <c r="S15" s="32">
        <f>Workings_costs!O39</f>
        <v>0</v>
      </c>
      <c r="T15" s="32">
        <f>Workings_costs!P39</f>
        <v>0</v>
      </c>
      <c r="U15" s="32">
        <f>Workings_costs!Q39</f>
        <v>0</v>
      </c>
      <c r="V15" s="32">
        <f>Workings_costs!R39</f>
        <v>0</v>
      </c>
      <c r="W15" s="32">
        <f>Workings_costs!S39</f>
        <v>0</v>
      </c>
      <c r="X15" s="32">
        <f>Workings_costs!T39</f>
        <v>0</v>
      </c>
      <c r="Y15" s="32">
        <f>Workings_costs!U39</f>
        <v>0</v>
      </c>
      <c r="Z15" s="32">
        <f>Workings_costs!V39</f>
        <v>0</v>
      </c>
      <c r="AA15" s="32">
        <f>Workings_costs!W39</f>
        <v>0</v>
      </c>
      <c r="AB15" s="32">
        <f>Workings_costs!X39</f>
        <v>0</v>
      </c>
      <c r="AC15" s="32">
        <f>Workings_costs!Y39</f>
        <v>0</v>
      </c>
      <c r="AD15" s="32">
        <f>Workings_costs!Z39</f>
        <v>0</v>
      </c>
      <c r="AE15" s="32">
        <f>Workings_costs!AA39</f>
        <v>0</v>
      </c>
      <c r="AF15" s="32">
        <f>Workings_costs!AB39</f>
        <v>0</v>
      </c>
      <c r="AG15" s="32">
        <f>Workings_costs!AC39</f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6">
        <v>0</v>
      </c>
      <c r="G16" s="205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5">
        <f>input_dollars</f>
        <v>45291</v>
      </c>
      <c r="H17" s="106"/>
      <c r="I17" s="105">
        <f t="shared" ref="I17:Q17" si="0">SUM(I14:I16)</f>
        <v>1363744.7084213332</v>
      </c>
      <c r="J17" s="105">
        <f t="shared" si="0"/>
        <v>681872.35421066661</v>
      </c>
      <c r="K17" s="105">
        <f t="shared" si="0"/>
        <v>0</v>
      </c>
      <c r="L17" s="105">
        <f t="shared" si="0"/>
        <v>0</v>
      </c>
      <c r="M17" s="105">
        <f t="shared" si="0"/>
        <v>0</v>
      </c>
      <c r="N17" s="105">
        <f t="shared" si="0"/>
        <v>2727489.4168426665</v>
      </c>
      <c r="O17" s="105">
        <f t="shared" si="0"/>
        <v>1363744.7084213332</v>
      </c>
      <c r="P17" s="105">
        <f t="shared" si="0"/>
        <v>0</v>
      </c>
      <c r="Q17" s="105">
        <f t="shared" si="0"/>
        <v>0</v>
      </c>
      <c r="R17" s="105">
        <f t="shared" ref="R17:AB17" si="1">SUM(R14:R16)</f>
        <v>0</v>
      </c>
      <c r="S17" s="105">
        <f t="shared" si="1"/>
        <v>0</v>
      </c>
      <c r="T17" s="105">
        <f t="shared" si="1"/>
        <v>0</v>
      </c>
      <c r="U17" s="105">
        <f t="shared" si="1"/>
        <v>0</v>
      </c>
      <c r="V17" s="105">
        <f t="shared" si="1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>SUM(AC14:AC16)</f>
        <v>0</v>
      </c>
      <c r="AD17" s="105">
        <f>SUM(AD14:AD16)</f>
        <v>0</v>
      </c>
      <c r="AE17" s="105">
        <f>SUM(AE14:AE16)</f>
        <v>0</v>
      </c>
      <c r="AF17" s="105">
        <f>SUM(AF14:AF16)</f>
        <v>0</v>
      </c>
      <c r="AG17" s="105">
        <f>SUM(AG14:AG16)</f>
        <v>0</v>
      </c>
      <c r="AH17"/>
    </row>
    <row r="18" spans="1:43" x14ac:dyDescent="0.2">
      <c r="C18"/>
      <c r="D18"/>
      <c r="E18"/>
      <c r="G18" s="204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05">
        <f>input_dollars</f>
        <v>45291</v>
      </c>
      <c r="H19" s="106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3"/>
      <c r="AH20"/>
    </row>
    <row r="21" spans="1:43" x14ac:dyDescent="0.2">
      <c r="C21"/>
      <c r="D21"/>
      <c r="E21"/>
      <c r="G21" s="204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2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06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151</v>
      </c>
      <c r="D24" s="110"/>
      <c r="E24" s="110"/>
      <c r="F24" s="110"/>
      <c r="G24" s="206"/>
      <c r="H24" s="110"/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7">
        <v>0</v>
      </c>
      <c r="W24" s="167">
        <v>0</v>
      </c>
      <c r="X24" s="167">
        <v>0</v>
      </c>
      <c r="Y24" s="167">
        <v>0</v>
      </c>
      <c r="Z24" s="167">
        <v>0</v>
      </c>
      <c r="AA24" s="167">
        <v>0</v>
      </c>
      <c r="AB24" s="167">
        <v>0</v>
      </c>
      <c r="AC24" s="167">
        <v>0</v>
      </c>
      <c r="AD24" s="167">
        <v>0</v>
      </c>
      <c r="AE24" s="167">
        <v>0</v>
      </c>
      <c r="AF24" s="167">
        <v>0</v>
      </c>
      <c r="AG24" s="167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152</v>
      </c>
      <c r="D25" s="206"/>
      <c r="E25" s="110"/>
      <c r="F25" s="110"/>
      <c r="G25" s="206"/>
      <c r="H25" s="110"/>
      <c r="I25" s="167">
        <v>0</v>
      </c>
      <c r="J25" s="167">
        <v>0</v>
      </c>
      <c r="K25" s="167">
        <v>0</v>
      </c>
      <c r="L25" s="167">
        <v>0</v>
      </c>
      <c r="M25" s="167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7">
        <v>0</v>
      </c>
      <c r="W25" s="167">
        <v>0</v>
      </c>
      <c r="X25" s="167">
        <v>0</v>
      </c>
      <c r="Y25" s="167">
        <v>0</v>
      </c>
      <c r="Z25" s="167">
        <v>0</v>
      </c>
      <c r="AA25" s="167">
        <v>0</v>
      </c>
      <c r="AB25" s="167">
        <v>0</v>
      </c>
      <c r="AC25" s="167">
        <v>0</v>
      </c>
      <c r="AD25" s="167">
        <v>0</v>
      </c>
      <c r="AE25" s="167">
        <v>0</v>
      </c>
      <c r="AF25" s="167">
        <v>0</v>
      </c>
      <c r="AG25" s="167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06"/>
      <c r="E26" s="110"/>
      <c r="F26" s="110"/>
      <c r="G26" s="206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3"/>
      <c r="E27"/>
      <c r="G27" s="205" t="s">
        <v>40</v>
      </c>
      <c r="H27"/>
      <c r="I27" s="166">
        <v>0</v>
      </c>
      <c r="J27" s="166">
        <v>0</v>
      </c>
      <c r="K27" s="166">
        <v>0</v>
      </c>
      <c r="L27" s="166">
        <v>0</v>
      </c>
      <c r="M27" s="166">
        <v>0</v>
      </c>
      <c r="N27" s="166">
        <v>0</v>
      </c>
      <c r="O27" s="166">
        <v>0</v>
      </c>
      <c r="P27" s="166">
        <v>0</v>
      </c>
      <c r="Q27" s="166">
        <v>0</v>
      </c>
      <c r="R27" s="166">
        <v>0</v>
      </c>
      <c r="S27" s="166">
        <v>0</v>
      </c>
      <c r="T27" s="166">
        <v>0</v>
      </c>
      <c r="U27" s="166">
        <v>0</v>
      </c>
      <c r="V27" s="166">
        <v>0</v>
      </c>
      <c r="W27" s="166">
        <v>0</v>
      </c>
      <c r="X27" s="166">
        <v>0</v>
      </c>
      <c r="Y27" s="166">
        <v>0</v>
      </c>
      <c r="Z27" s="166">
        <v>0</v>
      </c>
      <c r="AA27" s="166">
        <v>0</v>
      </c>
      <c r="AB27" s="166">
        <v>0</v>
      </c>
      <c r="AC27" s="166">
        <v>0</v>
      </c>
      <c r="AD27" s="166">
        <v>0</v>
      </c>
      <c r="AE27" s="166">
        <v>0</v>
      </c>
      <c r="AF27" s="166">
        <v>0</v>
      </c>
      <c r="AG27" s="166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3" t="s">
        <v>63</v>
      </c>
      <c r="E28" s="112">
        <f>Assumptions!H41*vcr_esc</f>
        <v>32343.394611205291</v>
      </c>
      <c r="F28" s="236" t="str">
        <f>IF(AND(SUM(I27:AG27)&lt;&gt;0, E28=0), "!", "")</f>
        <v/>
      </c>
      <c r="G28" s="205">
        <f>input_dollars</f>
        <v>45291</v>
      </c>
      <c r="H28"/>
      <c r="I28" s="118">
        <f>Workings_risks!E76</f>
        <v>222256.96867206943</v>
      </c>
      <c r="J28" s="118">
        <f>Workings_risks!F76</f>
        <v>230621.38648150995</v>
      </c>
      <c r="K28" s="118">
        <f>Workings_risks!G76</f>
        <v>237173.73337002922</v>
      </c>
      <c r="L28" s="118">
        <f>Workings_risks!H76</f>
        <v>243325.46087427897</v>
      </c>
      <c r="M28" s="118">
        <f>Workings_risks!I76</f>
        <v>248675.96646300823</v>
      </c>
      <c r="N28" s="118">
        <f>Workings_risks!J76</f>
        <v>256237.84674314313</v>
      </c>
      <c r="O28" s="118">
        <f>Workings_risks!K76</f>
        <v>265871.69217535295</v>
      </c>
      <c r="P28" s="118">
        <f>Workings_risks!L76</f>
        <v>34283.71235647428</v>
      </c>
      <c r="Q28" s="118">
        <f>Workings_risks!M76</f>
        <v>35828.263017780293</v>
      </c>
      <c r="R28" s="118">
        <f>Workings_risks!N76</f>
        <v>36846.942569332467</v>
      </c>
      <c r="S28" s="118">
        <f>Workings_risks!O76</f>
        <v>38083.098589233865</v>
      </c>
      <c r="T28" s="118">
        <f>Workings_risks!P76</f>
        <v>39417.156894265667</v>
      </c>
      <c r="U28" s="118">
        <f>Workings_risks!Q76</f>
        <v>40880.196889810781</v>
      </c>
      <c r="V28" s="118">
        <f>Workings_risks!R76</f>
        <v>42403.580867473254</v>
      </c>
      <c r="W28" s="118">
        <f>Workings_risks!S76</f>
        <v>44049.183202667191</v>
      </c>
      <c r="X28" s="118">
        <f>Workings_risks!T76</f>
        <v>45812.483291082957</v>
      </c>
      <c r="Y28" s="118">
        <f>Workings_risks!U76</f>
        <v>47687.998073431816</v>
      </c>
      <c r="Z28" s="118">
        <f>Workings_risks!V76</f>
        <v>49669.203702955376</v>
      </c>
      <c r="AA28" s="118">
        <f>Workings_risks!W76</f>
        <v>51748.465512881055</v>
      </c>
      <c r="AB28" s="118">
        <f>Workings_risks!X76</f>
        <v>53916.978714835044</v>
      </c>
      <c r="AC28" s="118">
        <f>Workings_risks!Y76</f>
        <v>56164.72246184176</v>
      </c>
      <c r="AD28" s="118">
        <f>Workings_risks!Z76</f>
        <v>58480.430054593118</v>
      </c>
      <c r="AE28" s="118">
        <f>Workings_risks!AA76</f>
        <v>60851.578139357633</v>
      </c>
      <c r="AF28" s="118">
        <f>Workings_risks!AB76</f>
        <v>63264.397722203728</v>
      </c>
      <c r="AG28" s="118">
        <f>Workings_risks!AC76</f>
        <v>65703.909689932392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4"/>
      <c r="E29"/>
      <c r="G29" s="205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361" t="str">
        <f>Workings_risks!D52</f>
        <v>Safety risk</v>
      </c>
      <c r="D30" s="203" t="s">
        <v>208</v>
      </c>
      <c r="G30" s="205">
        <f>input_dollars</f>
        <v>45291</v>
      </c>
      <c r="H30" s="147"/>
      <c r="I30" s="32">
        <f>Workings_risks!E77</f>
        <v>449.8280408554495</v>
      </c>
      <c r="J30" s="32">
        <f>Workings_risks!F77</f>
        <v>495.02330532000599</v>
      </c>
      <c r="K30" s="32">
        <f>Workings_risks!G77</f>
        <v>304.73857542856217</v>
      </c>
      <c r="L30" s="32">
        <f>Workings_risks!H77</f>
        <v>313.81500237029184</v>
      </c>
      <c r="M30" s="32">
        <f>Workings_risks!I77</f>
        <v>328.93917904976564</v>
      </c>
      <c r="N30" s="32">
        <f>Workings_risks!J77</f>
        <v>350.10168893369229</v>
      </c>
      <c r="O30" s="32">
        <f>Workings_risks!K77</f>
        <v>377.28305546883325</v>
      </c>
      <c r="P30" s="32">
        <f>Workings_risks!L77</f>
        <v>144.23270996893541</v>
      </c>
      <c r="Q30" s="32">
        <f>Workings_risks!M77</f>
        <v>183.33465435734803</v>
      </c>
      <c r="R30" s="32">
        <f>Workings_risks!N77</f>
        <v>228.2998745636632</v>
      </c>
      <c r="S30" s="32">
        <f>Workings_risks!O77</f>
        <v>279.03216116177413</v>
      </c>
      <c r="T30" s="32">
        <f>Workings_risks!P77</f>
        <v>335.40740514004858</v>
      </c>
      <c r="U30" s="32">
        <f>Workings_risks!Q77</f>
        <v>397.27039905372686</v>
      </c>
      <c r="V30" s="32">
        <f>Workings_risks!R77</f>
        <v>464.43185999842194</v>
      </c>
      <c r="W30" s="32">
        <f>Workings_risks!S77</f>
        <v>536.6657266184917</v>
      </c>
      <c r="X30" s="32">
        <f>Workings_risks!T77</f>
        <v>613.70678609304139</v>
      </c>
      <c r="Y30" s="32">
        <f>Workings_risks!U77</f>
        <v>695.24868983316821</v>
      </c>
      <c r="Z30" s="32">
        <f>Workings_risks!V77</f>
        <v>780.9424183037205</v>
      </c>
      <c r="AA30" s="32">
        <f>Workings_risks!W77</f>
        <v>870.39525577766346</v>
      </c>
      <c r="AB30" s="32">
        <f>Workings_risks!X77</f>
        <v>963.1703347728577</v>
      </c>
      <c r="AC30" s="32">
        <f>Workings_risks!Y77</f>
        <v>1058.7868072538315</v>
      </c>
      <c r="AD30" s="32">
        <f>Workings_risks!Z77</f>
        <v>1156.7206952687559</v>
      </c>
      <c r="AE30" s="32">
        <f>Workings_risks!AA77</f>
        <v>1256.4064674260833</v>
      </c>
      <c r="AF30" s="32">
        <f>Workings_risks!AB77</f>
        <v>1357.2393794238894</v>
      </c>
      <c r="AG30" s="32">
        <f>Workings_risks!AC77</f>
        <v>1458.578606700137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361" t="str">
        <f>Workings_risks!D53</f>
        <v>Unplanned replacement</v>
      </c>
      <c r="D31" s="204"/>
      <c r="E31"/>
      <c r="G31" s="205">
        <f>input_dollars</f>
        <v>45291</v>
      </c>
      <c r="H31" s="147"/>
      <c r="I31" s="32">
        <f>Workings_risks!E78</f>
        <v>14021.537377661332</v>
      </c>
      <c r="J31" s="32">
        <f>Workings_risks!F78</f>
        <v>14320.793152048565</v>
      </c>
      <c r="K31" s="32">
        <f>Workings_risks!G78</f>
        <v>13048.822253361765</v>
      </c>
      <c r="L31" s="32">
        <f>Workings_risks!H78</f>
        <v>13072.86170267395</v>
      </c>
      <c r="M31" s="32">
        <f>Workings_risks!I78</f>
        <v>13112.918972016712</v>
      </c>
      <c r="N31" s="32">
        <f>Workings_risks!J78</f>
        <v>13168.969121149115</v>
      </c>
      <c r="O31" s="32">
        <f>Workings_risks!K78</f>
        <v>13240.960565277126</v>
      </c>
      <c r="P31" s="32">
        <f>Workings_risks!L78</f>
        <v>1822.2092958618416</v>
      </c>
      <c r="Q31" s="32">
        <f>Workings_risks!M78</f>
        <v>1925.7730898710795</v>
      </c>
      <c r="R31" s="32">
        <f>Workings_risks!N78</f>
        <v>2044.8661139102328</v>
      </c>
      <c r="S31" s="32">
        <f>Workings_risks!O78</f>
        <v>2179.2335516691937</v>
      </c>
      <c r="T31" s="32">
        <f>Workings_risks!P78</f>
        <v>2328.5466931485907</v>
      </c>
      <c r="U31" s="32">
        <f>Workings_risks!Q78</f>
        <v>2492.3944623242205</v>
      </c>
      <c r="V31" s="32">
        <f>Workings_risks!R78</f>
        <v>2670.275532317688</v>
      </c>
      <c r="W31" s="32">
        <f>Workings_risks!S78</f>
        <v>2861.5911663644833</v>
      </c>
      <c r="X31" s="32">
        <f>Workings_risks!T78</f>
        <v>3065.6389327471729</v>
      </c>
      <c r="Y31" s="32">
        <f>Workings_risks!U78</f>
        <v>3281.6074492531234</v>
      </c>
      <c r="Z31" s="32">
        <f>Workings_risks!V78</f>
        <v>3508.5723171648524</v>
      </c>
      <c r="AA31" s="32">
        <f>Workings_risks!W78</f>
        <v>3745.4934058368167</v>
      </c>
      <c r="AB31" s="32">
        <f>Workings_risks!X78</f>
        <v>3991.2136461094801</v>
      </c>
      <c r="AC31" s="32">
        <f>Workings_risks!Y78</f>
        <v>4244.4594837472632</v>
      </c>
      <c r="AD31" s="32">
        <f>Workings_risks!Z78</f>
        <v>4503.8431324004741</v>
      </c>
      <c r="AE31" s="32">
        <f>Workings_risks!AA78</f>
        <v>4767.8667489961917</v>
      </c>
      <c r="AF31" s="32">
        <f>Workings_risks!AB78</f>
        <v>5034.9286327675518</v>
      </c>
      <c r="AG31" s="32">
        <f>Workings_risks!AC78</f>
        <v>5303.331522261783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361" t="str">
        <f>Workings_risks!D54</f>
        <v>Unplanned fault</v>
      </c>
      <c r="D32" s="203"/>
      <c r="E32"/>
      <c r="G32" s="205">
        <f>input_dollars</f>
        <v>45291</v>
      </c>
      <c r="H32"/>
      <c r="I32" s="32">
        <f>Workings_risks!E79</f>
        <v>504.05</v>
      </c>
      <c r="J32" s="32">
        <f>Workings_risks!F79</f>
        <v>504.05</v>
      </c>
      <c r="K32" s="32">
        <f>Workings_risks!G79</f>
        <v>504.05</v>
      </c>
      <c r="L32" s="32">
        <f>Workings_risks!H79</f>
        <v>504.05</v>
      </c>
      <c r="M32" s="32">
        <f>Workings_risks!I79</f>
        <v>504.05</v>
      </c>
      <c r="N32" s="32">
        <f>Workings_risks!J79</f>
        <v>504.05</v>
      </c>
      <c r="O32" s="32">
        <f>Workings_risks!K79</f>
        <v>504.05</v>
      </c>
      <c r="P32" s="32">
        <f>Workings_risks!L79</f>
        <v>59.29999999999999</v>
      </c>
      <c r="Q32" s="32">
        <f>Workings_risks!M79</f>
        <v>59.29999999999999</v>
      </c>
      <c r="R32" s="32">
        <f>Workings_risks!N79</f>
        <v>59.29999999999999</v>
      </c>
      <c r="S32" s="32">
        <f>Workings_risks!O79</f>
        <v>59.29999999999999</v>
      </c>
      <c r="T32" s="32">
        <f>Workings_risks!P79</f>
        <v>59.29999999999999</v>
      </c>
      <c r="U32" s="32">
        <f>Workings_risks!Q79</f>
        <v>59.29999999999999</v>
      </c>
      <c r="V32" s="32">
        <f>Workings_risks!R79</f>
        <v>59.29999999999999</v>
      </c>
      <c r="W32" s="32">
        <f>Workings_risks!S79</f>
        <v>59.29999999999999</v>
      </c>
      <c r="X32" s="32">
        <f>Workings_risks!T79</f>
        <v>59.29999999999999</v>
      </c>
      <c r="Y32" s="32">
        <f>Workings_risks!U79</f>
        <v>59.29999999999999</v>
      </c>
      <c r="Z32" s="32">
        <f>Workings_risks!V79</f>
        <v>59.29999999999999</v>
      </c>
      <c r="AA32" s="32">
        <f>Workings_risks!W79</f>
        <v>59.29999999999999</v>
      </c>
      <c r="AB32" s="32">
        <f>Workings_risks!X79</f>
        <v>59.29999999999999</v>
      </c>
      <c r="AC32" s="32">
        <f>Workings_risks!Y79</f>
        <v>59.29999999999999</v>
      </c>
      <c r="AD32" s="32">
        <f>Workings_risks!Z79</f>
        <v>59.29999999999999</v>
      </c>
      <c r="AE32" s="32">
        <f>Workings_risks!AA79</f>
        <v>59.29999999999999</v>
      </c>
      <c r="AF32" s="32">
        <f>Workings_risks!AB79</f>
        <v>59.29999999999999</v>
      </c>
      <c r="AG32" s="32">
        <f>Workings_risks!AC79</f>
        <v>59.29999999999999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2" t="s">
        <v>173</v>
      </c>
      <c r="D33" s="217"/>
      <c r="E33"/>
      <c r="G33" s="205">
        <f>input_dollars</f>
        <v>45291</v>
      </c>
      <c r="H33"/>
      <c r="I33" s="363">
        <v>0</v>
      </c>
      <c r="J33" s="363">
        <v>0</v>
      </c>
      <c r="K33" s="363">
        <v>0</v>
      </c>
      <c r="L33" s="363">
        <v>0</v>
      </c>
      <c r="M33" s="363">
        <v>0</v>
      </c>
      <c r="N33" s="363">
        <v>0</v>
      </c>
      <c r="O33" s="363">
        <v>0</v>
      </c>
      <c r="P33" s="363">
        <v>0</v>
      </c>
      <c r="Q33" s="363">
        <v>0</v>
      </c>
      <c r="R33" s="363">
        <v>0</v>
      </c>
      <c r="S33" s="363">
        <v>0</v>
      </c>
      <c r="T33" s="363">
        <v>0</v>
      </c>
      <c r="U33" s="363">
        <v>0</v>
      </c>
      <c r="V33" s="363">
        <v>0</v>
      </c>
      <c r="W33" s="363">
        <v>0</v>
      </c>
      <c r="X33" s="363">
        <v>0</v>
      </c>
      <c r="Y33" s="363">
        <v>0</v>
      </c>
      <c r="Z33" s="363">
        <v>0</v>
      </c>
      <c r="AA33" s="363">
        <v>0</v>
      </c>
      <c r="AB33" s="363">
        <v>0</v>
      </c>
      <c r="AC33" s="363">
        <v>0</v>
      </c>
      <c r="AD33" s="363">
        <v>0</v>
      </c>
      <c r="AE33" s="363">
        <v>0</v>
      </c>
      <c r="AF33" s="363">
        <v>0</v>
      </c>
      <c r="AG33" s="363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2" t="s">
        <v>173</v>
      </c>
      <c r="D34" s="204"/>
      <c r="E34"/>
      <c r="G34" s="205">
        <f>input_dollars</f>
        <v>45291</v>
      </c>
      <c r="H34"/>
      <c r="I34" s="363">
        <v>0</v>
      </c>
      <c r="J34" s="363">
        <v>0</v>
      </c>
      <c r="K34" s="363">
        <v>0</v>
      </c>
      <c r="L34" s="363">
        <v>0</v>
      </c>
      <c r="M34" s="363">
        <v>0</v>
      </c>
      <c r="N34" s="363">
        <v>0</v>
      </c>
      <c r="O34" s="363">
        <v>0</v>
      </c>
      <c r="P34" s="363">
        <v>0</v>
      </c>
      <c r="Q34" s="363">
        <v>0</v>
      </c>
      <c r="R34" s="363">
        <v>0</v>
      </c>
      <c r="S34" s="363">
        <v>0</v>
      </c>
      <c r="T34" s="363">
        <v>0</v>
      </c>
      <c r="U34" s="363">
        <v>0</v>
      </c>
      <c r="V34" s="363">
        <v>0</v>
      </c>
      <c r="W34" s="363">
        <v>0</v>
      </c>
      <c r="X34" s="363">
        <v>0</v>
      </c>
      <c r="Y34" s="363">
        <v>0</v>
      </c>
      <c r="Z34" s="363">
        <v>0</v>
      </c>
      <c r="AA34" s="363">
        <v>0</v>
      </c>
      <c r="AB34" s="363">
        <v>0</v>
      </c>
      <c r="AC34" s="363">
        <v>0</v>
      </c>
      <c r="AD34" s="363">
        <v>0</v>
      </c>
      <c r="AE34" s="363">
        <v>0</v>
      </c>
      <c r="AF34" s="363">
        <v>0</v>
      </c>
      <c r="AG34" s="363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4"/>
      <c r="E35"/>
      <c r="G35" s="20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6"/>
      <c r="E36" s="106"/>
      <c r="F36" s="3"/>
      <c r="G36" s="207"/>
      <c r="H36" s="106"/>
      <c r="I36" s="168">
        <f>SUM(I28:I34)</f>
        <v>237232.38409058619</v>
      </c>
      <c r="J36" s="168">
        <f t="shared" ref="J36:AB36" si="2">SUM(J28:J34)</f>
        <v>245941.25293887852</v>
      </c>
      <c r="K36" s="168">
        <f t="shared" si="2"/>
        <v>251031.34419881951</v>
      </c>
      <c r="L36" s="168">
        <f t="shared" si="2"/>
        <v>257216.18757932322</v>
      </c>
      <c r="M36" s="168">
        <f t="shared" si="2"/>
        <v>262621.87461407471</v>
      </c>
      <c r="N36" s="168">
        <f t="shared" si="2"/>
        <v>270260.96755322593</v>
      </c>
      <c r="O36" s="168">
        <f t="shared" si="2"/>
        <v>279993.98579609889</v>
      </c>
      <c r="P36" s="168">
        <f t="shared" si="2"/>
        <v>36309.454362305063</v>
      </c>
      <c r="Q36" s="168">
        <f t="shared" si="2"/>
        <v>37996.670762008725</v>
      </c>
      <c r="R36" s="168">
        <f t="shared" si="2"/>
        <v>39179.408557806368</v>
      </c>
      <c r="S36" s="168">
        <f t="shared" si="2"/>
        <v>40600.664302064841</v>
      </c>
      <c r="T36" s="168">
        <f t="shared" si="2"/>
        <v>42140.410992554309</v>
      </c>
      <c r="U36" s="168">
        <f t="shared" si="2"/>
        <v>43829.161751188731</v>
      </c>
      <c r="V36" s="168">
        <f t="shared" si="2"/>
        <v>45597.588259789372</v>
      </c>
      <c r="W36" s="168">
        <f t="shared" si="2"/>
        <v>47506.740095650166</v>
      </c>
      <c r="X36" s="168">
        <f t="shared" si="2"/>
        <v>49551.12900992317</v>
      </c>
      <c r="Y36" s="168">
        <f t="shared" si="2"/>
        <v>51724.154212518115</v>
      </c>
      <c r="Z36" s="168">
        <f t="shared" si="2"/>
        <v>54018.018438423947</v>
      </c>
      <c r="AA36" s="168">
        <f t="shared" si="2"/>
        <v>56423.654174495539</v>
      </c>
      <c r="AB36" s="168">
        <f t="shared" si="2"/>
        <v>58930.662695717379</v>
      </c>
      <c r="AC36" s="168">
        <f>SUM(AC28:AC34)</f>
        <v>61527.268752842858</v>
      </c>
      <c r="AD36" s="168">
        <f>SUM(AD28:AD34)</f>
        <v>64200.293882262355</v>
      </c>
      <c r="AE36" s="168">
        <f>SUM(AE28:AE34)</f>
        <v>66935.151355779904</v>
      </c>
      <c r="AF36" s="168">
        <f>SUM(AF28:AF34)</f>
        <v>69715.865734395178</v>
      </c>
      <c r="AG36" s="168">
        <f>SUM(AG28:AG34)</f>
        <v>72525.119818894309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5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2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5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5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3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3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  <c r="AH42"/>
    </row>
    <row r="43" spans="1:16372" x14ac:dyDescent="0.2">
      <c r="D43"/>
      <c r="E43"/>
      <c r="G43" s="205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4"/>
      <c r="E44"/>
      <c r="G44" s="205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3" t="s">
        <v>63</v>
      </c>
      <c r="E45" s="112">
        <f>Assumptions!G94</f>
        <v>0</v>
      </c>
      <c r="G45" s="205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3" t="s">
        <v>63</v>
      </c>
      <c r="E46" s="112">
        <f>Assumptions!G95</f>
        <v>38560</v>
      </c>
      <c r="G46" s="205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3" t="s">
        <v>63</v>
      </c>
      <c r="E47" s="111">
        <f>Assumptions!G96</f>
        <v>862.60284529259377</v>
      </c>
      <c r="G47" s="205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3" t="s">
        <v>126</v>
      </c>
      <c r="E48" s="111">
        <f>Assumptions!G97</f>
        <v>0</v>
      </c>
      <c r="G48" s="205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203</v>
      </c>
      <c r="D49" s="203" t="s">
        <v>206</v>
      </c>
      <c r="E49" s="111">
        <f>Assumptions!G98</f>
        <v>0.34750851315331577</v>
      </c>
      <c r="G49" s="205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204</v>
      </c>
      <c r="D50" s="203" t="s">
        <v>206</v>
      </c>
      <c r="E50" s="111">
        <f>Assumptions!G99</f>
        <v>0.34750851315331577</v>
      </c>
      <c r="G50" s="205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3" t="s">
        <v>126</v>
      </c>
      <c r="E51" s="111">
        <f>Assumptions!G100</f>
        <v>0</v>
      </c>
      <c r="G51" s="205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3" t="s">
        <v>126</v>
      </c>
      <c r="E52" s="111">
        <f>Assumptions!G101</f>
        <v>0</v>
      </c>
      <c r="G52" s="205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3"/>
      <c r="G53" s="205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311</v>
      </c>
      <c r="D54" s="203"/>
      <c r="G54" s="205">
        <f>input_dollars</f>
        <v>45291</v>
      </c>
      <c r="I54" s="363">
        <f>Workings_costs!E47</f>
        <v>0</v>
      </c>
      <c r="J54" s="363">
        <f>Workings_costs!F47</f>
        <v>0</v>
      </c>
      <c r="K54" s="363">
        <f>Workings_costs!G47</f>
        <v>0</v>
      </c>
      <c r="L54" s="363">
        <f>Workings_costs!H47</f>
        <v>0</v>
      </c>
      <c r="M54" s="363">
        <f>Workings_costs!I47</f>
        <v>0</v>
      </c>
      <c r="N54" s="363">
        <f>Workings_costs!J47</f>
        <v>0</v>
      </c>
      <c r="O54" s="363">
        <f>Workings_costs!K47</f>
        <v>0</v>
      </c>
      <c r="P54" s="363">
        <f>Workings_costs!L47</f>
        <v>50000</v>
      </c>
      <c r="Q54" s="363">
        <f>Workings_costs!M47</f>
        <v>50000</v>
      </c>
      <c r="R54" s="363">
        <f>Workings_costs!N47</f>
        <v>50000</v>
      </c>
      <c r="S54" s="363">
        <f>Workings_costs!O47</f>
        <v>50000</v>
      </c>
      <c r="T54" s="363">
        <f>Workings_costs!P47</f>
        <v>50000</v>
      </c>
      <c r="U54" s="363">
        <f>Workings_costs!Q47</f>
        <v>50000</v>
      </c>
      <c r="V54" s="363">
        <f>Workings_costs!R47</f>
        <v>50000</v>
      </c>
      <c r="W54" s="363">
        <f>Workings_costs!S47</f>
        <v>50000</v>
      </c>
      <c r="X54" s="363">
        <f>Workings_costs!T47</f>
        <v>50000</v>
      </c>
      <c r="Y54" s="363">
        <f>Workings_costs!U47</f>
        <v>50000</v>
      </c>
      <c r="Z54" s="363">
        <f>Workings_costs!V47</f>
        <v>50000</v>
      </c>
      <c r="AA54" s="363">
        <f>Workings_costs!W47</f>
        <v>50000</v>
      </c>
      <c r="AB54" s="363">
        <f>Workings_costs!X47</f>
        <v>50000</v>
      </c>
      <c r="AC54" s="363">
        <f>Workings_costs!Y47</f>
        <v>50000</v>
      </c>
      <c r="AD54" s="363">
        <f>Workings_costs!Z47</f>
        <v>50000</v>
      </c>
      <c r="AE54" s="363">
        <f>Workings_costs!AA47</f>
        <v>50000</v>
      </c>
      <c r="AF54" s="363">
        <f>Workings_costs!AB47</f>
        <v>50000</v>
      </c>
      <c r="AG54" s="363">
        <f>Workings_costs!AC47</f>
        <v>50000</v>
      </c>
      <c r="AH54"/>
    </row>
    <row r="55" spans="1:43" x14ac:dyDescent="0.2">
      <c r="C55" s="1" t="s">
        <v>118</v>
      </c>
      <c r="D55" s="203"/>
      <c r="G55" s="205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3"/>
      <c r="G56" s="203"/>
      <c r="AH56"/>
    </row>
    <row r="57" spans="1:43" x14ac:dyDescent="0.2">
      <c r="C57" s="3" t="s">
        <v>125</v>
      </c>
      <c r="D57" s="216"/>
      <c r="E57" s="106"/>
      <c r="F57" s="3"/>
      <c r="G57" s="208">
        <f>input_dollars</f>
        <v>45291</v>
      </c>
      <c r="H57" s="106"/>
      <c r="I57" s="168" cm="1">
        <f t="array" ref="I57">SUMPRODUCT((I$45:I$52)*($E$45:$E$52))+SUM(I54:I55)+I42</f>
        <v>0</v>
      </c>
      <c r="J57" s="168" cm="1">
        <f t="array" ref="J57">SUMPRODUCT((J$45:J$52)*($E$45:$E$52))+SUM(J54:J55)+J42</f>
        <v>0</v>
      </c>
      <c r="K57" s="168" cm="1">
        <f t="array" ref="K57">SUMPRODUCT((K$45:K$52)*($E$45:$E$52))+SUM(K54:K55)+K42</f>
        <v>0</v>
      </c>
      <c r="L57" s="168" cm="1">
        <f t="array" ref="L57">SUMPRODUCT((L$45:L$52)*($E$45:$E$52))+SUM(L54:L55)+L42</f>
        <v>0</v>
      </c>
      <c r="M57" s="168" cm="1">
        <f t="array" ref="M57">SUMPRODUCT((M$45:M$52)*($E$45:$E$52))+SUM(M54:M55)+M42</f>
        <v>0</v>
      </c>
      <c r="N57" s="168" cm="1">
        <f t="array" ref="N57">SUMPRODUCT((N$45:N$52)*($E$45:$E$52))+SUM(N54:N55)+N42</f>
        <v>0</v>
      </c>
      <c r="O57" s="168" cm="1">
        <f t="array" ref="O57">SUMPRODUCT((O$45:O$52)*($E$45:$E$52))+SUM(O54:O55)+O42</f>
        <v>0</v>
      </c>
      <c r="P57" s="168" cm="1">
        <f t="array" ref="P57">SUMPRODUCT((P$45:P$52)*($E$45:$E$52))+SUM(P54:P55)+P42</f>
        <v>50000</v>
      </c>
      <c r="Q57" s="168" cm="1">
        <f t="array" ref="Q57">SUMPRODUCT((Q$45:Q$52)*($E$45:$E$52))+SUM(Q54:Q55)+Q42</f>
        <v>50000</v>
      </c>
      <c r="R57" s="168" cm="1">
        <f t="array" ref="R57">SUMPRODUCT((R$45:R$52)*($E$45:$E$52))+SUM(R54:R55)+R42</f>
        <v>50000</v>
      </c>
      <c r="S57" s="168" cm="1">
        <f t="array" ref="S57">SUMPRODUCT((S$45:S$52)*($E$45:$E$52))+SUM(S54:S55)+S42</f>
        <v>50000</v>
      </c>
      <c r="T57" s="168" cm="1">
        <f t="array" ref="T57">SUMPRODUCT((T$45:T$52)*($E$45:$E$52))+SUM(T54:T55)+T42</f>
        <v>50000</v>
      </c>
      <c r="U57" s="168" cm="1">
        <f t="array" ref="U57">SUMPRODUCT((U$45:U$52)*($E$45:$E$52))+SUM(U54:U55)+U42</f>
        <v>50000</v>
      </c>
      <c r="V57" s="168" cm="1">
        <f t="array" ref="V57">SUMPRODUCT((V$45:V$52)*($E$45:$E$52))+SUM(V54:V55)+V42</f>
        <v>50000</v>
      </c>
      <c r="W57" s="168" cm="1">
        <f t="array" ref="W57">SUMPRODUCT((W$45:W$52)*($E$45:$E$52))+SUM(W54:W55)+W42</f>
        <v>50000</v>
      </c>
      <c r="X57" s="168" cm="1">
        <f t="array" ref="X57">SUMPRODUCT((X$45:X$52)*($E$45:$E$52))+SUM(X54:X55)+X42</f>
        <v>50000</v>
      </c>
      <c r="Y57" s="168" cm="1">
        <f t="array" ref="Y57">SUMPRODUCT((Y$45:Y$52)*($E$45:$E$52))+SUM(Y54:Y55)+Y42</f>
        <v>50000</v>
      </c>
      <c r="Z57" s="168" cm="1">
        <f t="array" ref="Z57">SUMPRODUCT((Z$45:Z$52)*($E$45:$E$52))+SUM(Z54:Z55)+Z42</f>
        <v>50000</v>
      </c>
      <c r="AA57" s="168" cm="1">
        <f t="array" ref="AA57">SUMPRODUCT((AA$45:AA$52)*($E$45:$E$52))+SUM(AA54:AA55)+AA42</f>
        <v>50000</v>
      </c>
      <c r="AB57" s="168" cm="1">
        <f t="array" ref="AB57">SUMPRODUCT((AB$45:AB$52)*($E$45:$E$52))+SUM(AB54:AB55)+AB42</f>
        <v>50000</v>
      </c>
      <c r="AC57" s="168" cm="1">
        <f t="array" ref="AC57">SUMPRODUCT((AC$45:AC$52)*($E$45:$E$52))+SUM(AC54:AC55)+AC42</f>
        <v>50000</v>
      </c>
      <c r="AD57" s="168" cm="1">
        <f t="array" ref="AD57">SUMPRODUCT((AD$45:AD$52)*($E$45:$E$52))+SUM(AD54:AD55)+AD42</f>
        <v>50000</v>
      </c>
      <c r="AE57" s="168" cm="1">
        <f t="array" ref="AE57">SUMPRODUCT((AE$45:AE$52)*($E$45:$E$52))+SUM(AE54:AE55)+AE42</f>
        <v>50000</v>
      </c>
      <c r="AF57" s="168" cm="1">
        <f t="array" ref="AF57">SUMPRODUCT((AF$45:AF$52)*($E$45:$E$52))+SUM(AF54:AF55)+AF42</f>
        <v>50000</v>
      </c>
      <c r="AG57" s="168" cm="1">
        <f t="array" ref="AG57">SUMPRODUCT((AG$45:AG$52)*($E$45:$E$52))+SUM(AG54:AG55)+AG42</f>
        <v>50000</v>
      </c>
      <c r="AH57"/>
    </row>
    <row r="58" spans="1:43" x14ac:dyDescent="0.2">
      <c r="D58" s="203"/>
      <c r="G58" s="203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3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2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06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09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0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/>
    </row>
    <row r="64" spans="1:43" x14ac:dyDescent="0.2">
      <c r="C64" s="4" t="str">
        <f>'Option1 (base case)'!C64</f>
        <v>Risks mitigated vs base case</v>
      </c>
      <c r="G64" s="208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5972.4687817524828</v>
      </c>
      <c r="L64" s="131">
        <f>(1-INDEX(Data!$C$9:$C$13, MATCH($A$3, options,0)))*('Option1 (base case)'!L36-L36)</f>
        <v>7276.7527990069066</v>
      </c>
      <c r="M64" s="131">
        <f>(1-INDEX(Data!$C$9:$C$13, MATCH($A$3, options,0)))*('Option1 (base case)'!M36-M36)</f>
        <v>8614.593597456289</v>
      </c>
      <c r="N64" s="131">
        <f>(1-INDEX(Data!$C$9:$C$13, MATCH($A$3, options,0)))*('Option1 (base case)'!N36-N36)</f>
        <v>9980.3836537197349</v>
      </c>
      <c r="O64" s="131">
        <f>(1-INDEX(Data!$C$9:$C$13, MATCH($A$3, options,0)))*('Option1 (base case)'!O36-O36)</f>
        <v>11430.047866141365</v>
      </c>
      <c r="P64" s="131">
        <f>(1-INDEX(Data!$C$9:$C$13, MATCH($A$3, options,0)))*('Option1 (base case)'!P36-P36)</f>
        <v>267476.84263071819</v>
      </c>
      <c r="Q64" s="131">
        <f>(1-INDEX(Data!$C$9:$C$13, MATCH($A$3, options,0)))*('Option1 (base case)'!Q36-Q36)</f>
        <v>274231.86799787392</v>
      </c>
      <c r="R64" s="131">
        <f>(1-INDEX(Data!$C$9:$C$13, MATCH($A$3, options,0)))*('Option1 (base case)'!R36-R36)</f>
        <v>275630.15454925632</v>
      </c>
      <c r="S64" s="131">
        <f>(1-INDEX(Data!$C$9:$C$13, MATCH($A$3, options,0)))*('Option1 (base case)'!S36-S36)</f>
        <v>276799.29957913893</v>
      </c>
      <c r="T64" s="131">
        <f>(1-INDEX(Data!$C$9:$C$13, MATCH($A$3, options,0)))*('Option1 (base case)'!T36-T36)</f>
        <v>277981.74249332893</v>
      </c>
      <c r="U64" s="131">
        <f>(1-INDEX(Data!$C$9:$C$13, MATCH($A$3, options,0)))*('Option1 (base case)'!U36-U36)</f>
        <v>279140.53245841619</v>
      </c>
      <c r="V64" s="131">
        <f>(1-INDEX(Data!$C$9:$C$13, MATCH($A$3, options,0)))*('Option1 (base case)'!V36-V36)</f>
        <v>280337.79191722366</v>
      </c>
      <c r="W64" s="131">
        <f>(1-INDEX(Data!$C$9:$C$13, MATCH($A$3, options,0)))*('Option1 (base case)'!W36-W36)</f>
        <v>281504.47291826981</v>
      </c>
      <c r="X64" s="131">
        <f>(1-INDEX(Data!$C$9:$C$13, MATCH($A$3, options,0)))*('Option1 (base case)'!X36-X36)</f>
        <v>282637.25436092296</v>
      </c>
      <c r="Y64" s="131">
        <f>(1-INDEX(Data!$C$9:$C$13, MATCH($A$3, options,0)))*('Option1 (base case)'!Y36-Y36)</f>
        <v>283733.1048017373</v>
      </c>
      <c r="Z64" s="131">
        <f>(1-INDEX(Data!$C$9:$C$13, MATCH($A$3, options,0)))*('Option1 (base case)'!Z36-Z36)</f>
        <v>284789.3617582834</v>
      </c>
      <c r="AA64" s="131">
        <f>(1-INDEX(Data!$C$9:$C$13, MATCH($A$3, options,0)))*('Option1 (base case)'!AA36-AA36)</f>
        <v>285803.80883145815</v>
      </c>
      <c r="AB64" s="131">
        <f>(1-INDEX(Data!$C$9:$C$13, MATCH($A$3, options,0)))*('Option1 (base case)'!AB36-AB36)</f>
        <v>286774.74867119465</v>
      </c>
      <c r="AC64" s="131">
        <f>(1-INDEX(Data!$C$9:$C$13, MATCH($A$3, options,0)))*('Option1 (base case)'!AC36-AC36)</f>
        <v>287701.06957502913</v>
      </c>
      <c r="AD64" s="131">
        <f>(1-INDEX(Data!$C$9:$C$13, MATCH($A$3, options,0)))*('Option1 (base case)'!AD36-AD36)</f>
        <v>288582.30331960891</v>
      </c>
      <c r="AE64" s="131">
        <f>(1-INDEX(Data!$C$9:$C$13, MATCH($A$3, options,0)))*('Option1 (base case)'!AE36-AE36)</f>
        <v>289418.67169899633</v>
      </c>
      <c r="AF64" s="131">
        <f>(1-INDEX(Data!$C$9:$C$13, MATCH($A$3, options,0)))*('Option1 (base case)'!AF36-AF36)</f>
        <v>290211.11919806583</v>
      </c>
      <c r="AG64" s="131">
        <f>(1-INDEX(Data!$C$9:$C$13, MATCH($A$3, options,0)))*('Option1 (base case)'!AG36-AG36)</f>
        <v>290961.32928134117</v>
      </c>
      <c r="AH64"/>
    </row>
    <row r="65" spans="1:34" x14ac:dyDescent="0.2">
      <c r="G65" s="210"/>
      <c r="AH65"/>
    </row>
    <row r="66" spans="1:34" x14ac:dyDescent="0.2">
      <c r="A66" s="8"/>
      <c r="B66" s="8"/>
      <c r="C66" s="145" t="s">
        <v>30</v>
      </c>
      <c r="D66" s="38"/>
      <c r="F66" s="96"/>
      <c r="G66" s="21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Switchboard</v>
      </c>
      <c r="D67" s="38"/>
      <c r="F67" s="96"/>
      <c r="G67" s="208">
        <f>input_dollars</f>
        <v>45291</v>
      </c>
      <c r="H67" s="31"/>
      <c r="I67" s="118">
        <f t="shared" ref="I67:AG67" si="4">-I14</f>
        <v>0</v>
      </c>
      <c r="J67" s="118">
        <f t="shared" si="4"/>
        <v>0</v>
      </c>
      <c r="K67" s="118">
        <f t="shared" si="4"/>
        <v>0</v>
      </c>
      <c r="L67" s="118">
        <f t="shared" si="4"/>
        <v>0</v>
      </c>
      <c r="M67" s="118">
        <f t="shared" si="4"/>
        <v>0</v>
      </c>
      <c r="N67" s="118">
        <f t="shared" si="4"/>
        <v>-2727489.4168426665</v>
      </c>
      <c r="O67" s="118">
        <f t="shared" si="4"/>
        <v>-1363744.7084213332</v>
      </c>
      <c r="P67" s="118">
        <f t="shared" si="4"/>
        <v>0</v>
      </c>
      <c r="Q67" s="118">
        <f t="shared" si="4"/>
        <v>0</v>
      </c>
      <c r="R67" s="118">
        <f t="shared" si="4"/>
        <v>0</v>
      </c>
      <c r="S67" s="118">
        <f t="shared" si="4"/>
        <v>0</v>
      </c>
      <c r="T67" s="118">
        <f t="shared" si="4"/>
        <v>0</v>
      </c>
      <c r="U67" s="118">
        <f t="shared" si="4"/>
        <v>0</v>
      </c>
      <c r="V67" s="118">
        <f t="shared" si="4"/>
        <v>0</v>
      </c>
      <c r="W67" s="118">
        <f t="shared" si="4"/>
        <v>0</v>
      </c>
      <c r="X67" s="118">
        <f t="shared" si="4"/>
        <v>0</v>
      </c>
      <c r="Y67" s="118">
        <f t="shared" si="4"/>
        <v>0</v>
      </c>
      <c r="Z67" s="118">
        <f t="shared" si="4"/>
        <v>0</v>
      </c>
      <c r="AA67" s="118">
        <f t="shared" si="4"/>
        <v>0</v>
      </c>
      <c r="AB67" s="118">
        <f t="shared" si="4"/>
        <v>0</v>
      </c>
      <c r="AC67" s="118">
        <f t="shared" si="4"/>
        <v>0</v>
      </c>
      <c r="AD67" s="118">
        <f t="shared" si="4"/>
        <v>0</v>
      </c>
      <c r="AE67" s="118">
        <f t="shared" si="4"/>
        <v>0</v>
      </c>
      <c r="AF67" s="118">
        <f t="shared" si="4"/>
        <v>0</v>
      </c>
      <c r="AG67" s="118">
        <f t="shared" si="4"/>
        <v>0</v>
      </c>
      <c r="AH67"/>
    </row>
    <row r="68" spans="1:34" x14ac:dyDescent="0.2">
      <c r="A68" s="8"/>
      <c r="B68" s="8"/>
      <c r="C68" s="4" t="str">
        <f>C15</f>
        <v>Relays</v>
      </c>
      <c r="D68" s="38"/>
      <c r="F68" s="96"/>
      <c r="G68" s="208">
        <f>input_dollars</f>
        <v>45291</v>
      </c>
      <c r="H68" s="31"/>
      <c r="I68" s="118">
        <f t="shared" ref="I68:AG68" si="5">-I15</f>
        <v>-1363744.7084213332</v>
      </c>
      <c r="J68" s="118">
        <f t="shared" si="5"/>
        <v>-681872.35421066661</v>
      </c>
      <c r="K68" s="118">
        <f t="shared" si="5"/>
        <v>0</v>
      </c>
      <c r="L68" s="118">
        <f t="shared" si="5"/>
        <v>0</v>
      </c>
      <c r="M68" s="118">
        <f t="shared" si="5"/>
        <v>0</v>
      </c>
      <c r="N68" s="118">
        <f t="shared" si="5"/>
        <v>0</v>
      </c>
      <c r="O68" s="118">
        <f t="shared" si="5"/>
        <v>0</v>
      </c>
      <c r="P68" s="118">
        <f t="shared" si="5"/>
        <v>0</v>
      </c>
      <c r="Q68" s="118">
        <f t="shared" si="5"/>
        <v>0</v>
      </c>
      <c r="R68" s="118">
        <f t="shared" si="5"/>
        <v>0</v>
      </c>
      <c r="S68" s="118">
        <f t="shared" si="5"/>
        <v>0</v>
      </c>
      <c r="T68" s="118">
        <f t="shared" si="5"/>
        <v>0</v>
      </c>
      <c r="U68" s="118">
        <f t="shared" si="5"/>
        <v>0</v>
      </c>
      <c r="V68" s="118">
        <f t="shared" si="5"/>
        <v>0</v>
      </c>
      <c r="W68" s="118">
        <f t="shared" si="5"/>
        <v>0</v>
      </c>
      <c r="X68" s="118">
        <f t="shared" si="5"/>
        <v>0</v>
      </c>
      <c r="Y68" s="118">
        <f t="shared" si="5"/>
        <v>0</v>
      </c>
      <c r="Z68" s="118">
        <f t="shared" si="5"/>
        <v>0</v>
      </c>
      <c r="AA68" s="118">
        <f t="shared" si="5"/>
        <v>0</v>
      </c>
      <c r="AB68" s="118">
        <f t="shared" si="5"/>
        <v>0</v>
      </c>
      <c r="AC68" s="118">
        <f t="shared" si="5"/>
        <v>0</v>
      </c>
      <c r="AD68" s="118">
        <f t="shared" si="5"/>
        <v>0</v>
      </c>
      <c r="AE68" s="118">
        <f t="shared" si="5"/>
        <v>0</v>
      </c>
      <c r="AF68" s="118">
        <f t="shared" si="5"/>
        <v>0</v>
      </c>
      <c r="AG68" s="118">
        <f t="shared" si="5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6"/>
      <c r="G69" s="208">
        <f>input_dollars</f>
        <v>45291</v>
      </c>
      <c r="H69" s="31"/>
      <c r="I69" s="118">
        <f t="shared" ref="I69:AG69" si="6">-I16</f>
        <v>0</v>
      </c>
      <c r="J69" s="118">
        <f t="shared" si="6"/>
        <v>0</v>
      </c>
      <c r="K69" s="118">
        <f t="shared" si="6"/>
        <v>0</v>
      </c>
      <c r="L69" s="118">
        <f t="shared" si="6"/>
        <v>0</v>
      </c>
      <c r="M69" s="118">
        <f t="shared" si="6"/>
        <v>0</v>
      </c>
      <c r="N69" s="118">
        <f t="shared" si="6"/>
        <v>0</v>
      </c>
      <c r="O69" s="118">
        <f t="shared" si="6"/>
        <v>0</v>
      </c>
      <c r="P69" s="118">
        <f t="shared" si="6"/>
        <v>0</v>
      </c>
      <c r="Q69" s="118">
        <f t="shared" si="6"/>
        <v>0</v>
      </c>
      <c r="R69" s="118">
        <f t="shared" si="6"/>
        <v>0</v>
      </c>
      <c r="S69" s="118">
        <f t="shared" si="6"/>
        <v>0</v>
      </c>
      <c r="T69" s="118">
        <f t="shared" si="6"/>
        <v>0</v>
      </c>
      <c r="U69" s="118">
        <f t="shared" si="6"/>
        <v>0</v>
      </c>
      <c r="V69" s="118">
        <f t="shared" si="6"/>
        <v>0</v>
      </c>
      <c r="W69" s="118">
        <f t="shared" si="6"/>
        <v>0</v>
      </c>
      <c r="X69" s="118">
        <f t="shared" si="6"/>
        <v>0</v>
      </c>
      <c r="Y69" s="118">
        <f t="shared" si="6"/>
        <v>0</v>
      </c>
      <c r="Z69" s="118">
        <f t="shared" si="6"/>
        <v>0</v>
      </c>
      <c r="AA69" s="118">
        <f t="shared" si="6"/>
        <v>0</v>
      </c>
      <c r="AB69" s="118">
        <f t="shared" si="6"/>
        <v>0</v>
      </c>
      <c r="AC69" s="118">
        <f t="shared" si="6"/>
        <v>0</v>
      </c>
      <c r="AD69" s="118">
        <f t="shared" si="6"/>
        <v>0</v>
      </c>
      <c r="AE69" s="118">
        <f t="shared" si="6"/>
        <v>0</v>
      </c>
      <c r="AF69" s="118">
        <f t="shared" si="6"/>
        <v>0</v>
      </c>
      <c r="AG69" s="118">
        <f t="shared" si="6"/>
        <v>0</v>
      </c>
      <c r="AH69"/>
    </row>
    <row r="70" spans="1:34" x14ac:dyDescent="0.2">
      <c r="A70" s="8"/>
      <c r="B70" s="8"/>
      <c r="C70" s="4"/>
      <c r="D70" s="38"/>
      <c r="F70" s="96"/>
      <c r="G70" s="212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/>
    </row>
    <row r="71" spans="1:34" x14ac:dyDescent="0.2">
      <c r="A71" s="8"/>
      <c r="B71" s="8"/>
      <c r="C71" s="145" t="s">
        <v>156</v>
      </c>
      <c r="D71" s="38"/>
      <c r="F71" s="96"/>
      <c r="G71" s="211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/>
    </row>
    <row r="72" spans="1:34" x14ac:dyDescent="0.2">
      <c r="A72" s="8"/>
      <c r="B72" s="8"/>
      <c r="C72" s="4" t="str">
        <f>C14</f>
        <v>Switchboard</v>
      </c>
      <c r="D72" s="38"/>
      <c r="F72" s="96"/>
      <c r="G72" s="208">
        <f>input_dollars</f>
        <v>45291</v>
      </c>
      <c r="H72" s="31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0</v>
      </c>
      <c r="M72" s="118" cm="1">
        <f t="array" ref="M72">SUMPRODUCT(($I67:M67))-SUMPRODUCT(($I67:M67)*($I$6:M$6&lt;=(M$6-$E14)))</f>
        <v>0</v>
      </c>
      <c r="N72" s="118" cm="1">
        <f t="array" ref="N72">SUMPRODUCT(($I67:N67))-SUMPRODUCT(($I67:N67)*($I$6:N$6&lt;=(N$6-$E14)))</f>
        <v>-2727489.4168426665</v>
      </c>
      <c r="O72" s="118" cm="1">
        <f t="array" ref="O72">SUMPRODUCT(($I67:O67))-SUMPRODUCT(($I67:O67)*($I$6:O$6&lt;=(O$6-$E14)))</f>
        <v>-4091234.1252639997</v>
      </c>
      <c r="P72" s="118" cm="1">
        <f t="array" ref="P72">SUMPRODUCT(($I67:P67))-SUMPRODUCT(($I67:P67)*($I$6:P$6&lt;=(P$6-$E14)))</f>
        <v>-4091234.1252639997</v>
      </c>
      <c r="Q72" s="118" cm="1">
        <f t="array" ref="Q72">SUMPRODUCT(($I67:Q67))-SUMPRODUCT(($I67:Q67)*($I$6:Q$6&lt;=(Q$6-$E14)))</f>
        <v>-4091234.1252639997</v>
      </c>
      <c r="R72" s="118" cm="1">
        <f t="array" ref="R72">SUMPRODUCT(($I67:R67))-SUMPRODUCT(($I67:R67)*($I$6:R$6&lt;=(R$6-$E14)))</f>
        <v>-4091234.1252639997</v>
      </c>
      <c r="S72" s="118" cm="1">
        <f t="array" ref="S72">SUMPRODUCT(($I67:S67))-SUMPRODUCT(($I67:S67)*($I$6:S$6&lt;=(S$6-$E14)))</f>
        <v>-4091234.1252639997</v>
      </c>
      <c r="T72" s="118" cm="1">
        <f t="array" ref="T72">SUMPRODUCT(($I67:T67))-SUMPRODUCT(($I67:T67)*($I$6:T$6&lt;=(T$6-$E14)))</f>
        <v>-4091234.1252639997</v>
      </c>
      <c r="U72" s="118" cm="1">
        <f t="array" ref="U72">SUMPRODUCT(($I67:U67))-SUMPRODUCT(($I67:U67)*($I$6:U$6&lt;=(U$6-$E14)))</f>
        <v>-4091234.1252639997</v>
      </c>
      <c r="V72" s="118" cm="1">
        <f t="array" ref="V72">SUMPRODUCT(($I67:V67))-SUMPRODUCT(($I67:V67)*($I$6:V$6&lt;=(V$6-$E14)))</f>
        <v>-4091234.1252639997</v>
      </c>
      <c r="W72" s="118" cm="1">
        <f t="array" ref="W72">SUMPRODUCT(($I67:W67))-SUMPRODUCT(($I67:W67)*($I$6:W$6&lt;=(W$6-$E14)))</f>
        <v>-4091234.1252639997</v>
      </c>
      <c r="X72" s="118" cm="1">
        <f t="array" ref="X72">SUMPRODUCT(($I67:X67))-SUMPRODUCT(($I67:X67)*($I$6:X$6&lt;=(X$6-$E14)))</f>
        <v>-4091234.1252639997</v>
      </c>
      <c r="Y72" s="118" cm="1">
        <f t="array" ref="Y72">SUMPRODUCT(($I67:Y67))-SUMPRODUCT(($I67:Y67)*($I$6:Y$6&lt;=(Y$6-$E14)))</f>
        <v>-4091234.1252639997</v>
      </c>
      <c r="Z72" s="118" cm="1">
        <f t="array" ref="Z72">SUMPRODUCT(($I67:Z67))-SUMPRODUCT(($I67:Z67)*($I$6:Z$6&lt;=(Z$6-$E14)))</f>
        <v>-4091234.1252639997</v>
      </c>
      <c r="AA72" s="118" cm="1">
        <f t="array" ref="AA72">SUMPRODUCT(($I67:AA67))-SUMPRODUCT(($I67:AA67)*($I$6:AA$6&lt;=(AA$6-$E14)))</f>
        <v>-4091234.1252639997</v>
      </c>
      <c r="AB72" s="118" cm="1">
        <f t="array" ref="AB72">SUMPRODUCT(($I67:AB67))-SUMPRODUCT(($I67:AB67)*($I$6:AB$6&lt;=(AB$6-$E14)))</f>
        <v>-4091234.1252639997</v>
      </c>
      <c r="AC72" s="118" cm="1">
        <f t="array" ref="AC72">SUMPRODUCT(($I67:AC67))-SUMPRODUCT(($I67:AC67)*($I$6:AC$6&lt;=(AC$6-$E14)))</f>
        <v>-4091234.1252639997</v>
      </c>
      <c r="AD72" s="118" cm="1">
        <f t="array" ref="AD72">SUMPRODUCT(($I67:AD67))-SUMPRODUCT(($I67:AD67)*($I$6:AD$6&lt;=(AD$6-$E14)))</f>
        <v>-4091234.1252639997</v>
      </c>
      <c r="AE72" s="118" cm="1">
        <f t="array" ref="AE72">SUMPRODUCT(($I67:AE67))-SUMPRODUCT(($I67:AE67)*($I$6:AE$6&lt;=(AE$6-$E14)))</f>
        <v>-4091234.1252639997</v>
      </c>
      <c r="AF72" s="118" cm="1">
        <f t="array" ref="AF72">SUMPRODUCT(($I67:AF67))-SUMPRODUCT(($I67:AF67)*($I$6:AF$6&lt;=(AF$6-$E14)))</f>
        <v>-4091234.1252639997</v>
      </c>
      <c r="AG72" s="118" cm="1">
        <f t="array" ref="AG72">SUMPRODUCT(($I67:AG67))-SUMPRODUCT(($I67:AG67)*($I$6:AG$6&lt;=(AG$6-$E14)))</f>
        <v>-4091234.1252639997</v>
      </c>
      <c r="AH72"/>
    </row>
    <row r="73" spans="1:34" x14ac:dyDescent="0.2">
      <c r="A73" s="8"/>
      <c r="B73" s="8"/>
      <c r="C73" s="4" t="str">
        <f>C15</f>
        <v>Relays</v>
      </c>
      <c r="D73" s="38"/>
      <c r="F73" s="96"/>
      <c r="G73" s="208">
        <f>input_dollars</f>
        <v>45291</v>
      </c>
      <c r="H73" s="31"/>
      <c r="I73" s="118" cm="1">
        <f t="array" ref="I73">SUMPRODUCT(($I68:I68))-SUMPRODUCT(($I68:I68)*($I$6:I$6&lt;=(I$6-$E15)))</f>
        <v>-1363744.7084213332</v>
      </c>
      <c r="J73" s="118" cm="1">
        <f t="array" ref="J73">SUMPRODUCT(($I68:J68))-SUMPRODUCT(($I68:J68)*($I$6:J$6&lt;=(J$6-$E15)))</f>
        <v>-2045617.0626319998</v>
      </c>
      <c r="K73" s="118" cm="1">
        <f t="array" ref="K73">SUMPRODUCT(($I68:K68))-SUMPRODUCT(($I68:K68)*($I$6:K$6&lt;=(K$6-$E15)))</f>
        <v>-2045617.0626319998</v>
      </c>
      <c r="L73" s="118" cm="1">
        <f t="array" ref="L73">SUMPRODUCT(($I68:L68))-SUMPRODUCT(($I68:L68)*($I$6:L$6&lt;=(L$6-$E15)))</f>
        <v>-2045617.0626319998</v>
      </c>
      <c r="M73" s="118" cm="1">
        <f t="array" ref="M73">SUMPRODUCT(($I68:M68))-SUMPRODUCT(($I68:M68)*($I$6:M$6&lt;=(M$6-$E15)))</f>
        <v>-2045617.0626319998</v>
      </c>
      <c r="N73" s="118" cm="1">
        <f t="array" ref="N73">SUMPRODUCT(($I68:N68))-SUMPRODUCT(($I68:N68)*($I$6:N$6&lt;=(N$6-$E15)))</f>
        <v>-2045617.0626319998</v>
      </c>
      <c r="O73" s="118" cm="1">
        <f t="array" ref="O73">SUMPRODUCT(($I68:O68))-SUMPRODUCT(($I68:O68)*($I$6:O$6&lt;=(O$6-$E15)))</f>
        <v>-2045617.0626319998</v>
      </c>
      <c r="P73" s="118" cm="1">
        <f t="array" ref="P73">SUMPRODUCT(($I68:P68))-SUMPRODUCT(($I68:P68)*($I$6:P$6&lt;=(P$6-$E15)))</f>
        <v>-2045617.0626319998</v>
      </c>
      <c r="Q73" s="118" cm="1">
        <f t="array" ref="Q73">SUMPRODUCT(($I68:Q68))-SUMPRODUCT(($I68:Q68)*($I$6:Q$6&lt;=(Q$6-$E15)))</f>
        <v>-2045617.0626319998</v>
      </c>
      <c r="R73" s="118" cm="1">
        <f t="array" ref="R73">SUMPRODUCT(($I68:R68))-SUMPRODUCT(($I68:R68)*($I$6:R$6&lt;=(R$6-$E15)))</f>
        <v>-2045617.0626319998</v>
      </c>
      <c r="S73" s="118" cm="1">
        <f t="array" ref="S73">SUMPRODUCT(($I68:S68))-SUMPRODUCT(($I68:S68)*($I$6:S$6&lt;=(S$6-$E15)))</f>
        <v>-2045617.0626319998</v>
      </c>
      <c r="T73" s="118" cm="1">
        <f t="array" ref="T73">SUMPRODUCT(($I68:T68))-SUMPRODUCT(($I68:T68)*($I$6:T$6&lt;=(T$6-$E15)))</f>
        <v>-2045617.0626319998</v>
      </c>
      <c r="U73" s="118" cm="1">
        <f t="array" ref="U73">SUMPRODUCT(($I68:U68))-SUMPRODUCT(($I68:U68)*($I$6:U$6&lt;=(U$6-$E15)))</f>
        <v>-2045617.0626319998</v>
      </c>
      <c r="V73" s="118" cm="1">
        <f t="array" ref="V73">SUMPRODUCT(($I68:V68))-SUMPRODUCT(($I68:V68)*($I$6:V$6&lt;=(V$6-$E15)))</f>
        <v>-2045617.0626319998</v>
      </c>
      <c r="W73" s="118" cm="1">
        <f t="array" ref="W73">SUMPRODUCT(($I68:W68))-SUMPRODUCT(($I68:W68)*($I$6:W$6&lt;=(W$6-$E15)))</f>
        <v>-2045617.0626319998</v>
      </c>
      <c r="X73" s="118" cm="1">
        <f t="array" ref="X73">SUMPRODUCT(($I68:X68))-SUMPRODUCT(($I68:X68)*($I$6:X$6&lt;=(X$6-$E15)))</f>
        <v>-2045617.0626319998</v>
      </c>
      <c r="Y73" s="118" cm="1">
        <f t="array" ref="Y73">SUMPRODUCT(($I68:Y68))-SUMPRODUCT(($I68:Y68)*($I$6:Y$6&lt;=(Y$6-$E15)))</f>
        <v>-2045617.0626319998</v>
      </c>
      <c r="Z73" s="118" cm="1">
        <f t="array" ref="Z73">SUMPRODUCT(($I68:Z68))-SUMPRODUCT(($I68:Z68)*($I$6:Z$6&lt;=(Z$6-$E15)))</f>
        <v>-2045617.0626319998</v>
      </c>
      <c r="AA73" s="118" cm="1">
        <f t="array" ref="AA73">SUMPRODUCT(($I68:AA68))-SUMPRODUCT(($I68:AA68)*($I$6:AA$6&lt;=(AA$6-$E15)))</f>
        <v>-2045617.0626319998</v>
      </c>
      <c r="AB73" s="118" cm="1">
        <f t="array" ref="AB73">SUMPRODUCT(($I68:AB68))-SUMPRODUCT(($I68:AB68)*($I$6:AB$6&lt;=(AB$6-$E15)))</f>
        <v>-2045617.0626319998</v>
      </c>
      <c r="AC73" s="118" cm="1">
        <f t="array" ref="AC73">SUMPRODUCT(($I68:AC68))-SUMPRODUCT(($I68:AC68)*($I$6:AC$6&lt;=(AC$6-$E15)))</f>
        <v>-2045617.0626319998</v>
      </c>
      <c r="AD73" s="118" cm="1">
        <f t="array" ref="AD73">SUMPRODUCT(($I68:AD68))-SUMPRODUCT(($I68:AD68)*($I$6:AD$6&lt;=(AD$6-$E15)))</f>
        <v>-2045617.0626319998</v>
      </c>
      <c r="AE73" s="118" cm="1">
        <f t="array" ref="AE73">SUMPRODUCT(($I68:AE68))-SUMPRODUCT(($I68:AE68)*($I$6:AE$6&lt;=(AE$6-$E15)))</f>
        <v>-2045617.0626319998</v>
      </c>
      <c r="AF73" s="118" cm="1">
        <f t="array" ref="AF73">SUMPRODUCT(($I68:AF68))-SUMPRODUCT(($I68:AF68)*($I$6:AF$6&lt;=(AF$6-$E15)))</f>
        <v>-2045617.0626319998</v>
      </c>
      <c r="AG73" s="118" cm="1">
        <f t="array" ref="AG73">SUMPRODUCT(($I68:AG68))-SUMPRODUCT(($I68:AG68)*($I$6:AG$6&lt;=(AG$6-$E15)))</f>
        <v>-2045617.0626319998</v>
      </c>
      <c r="AH73"/>
    </row>
    <row r="74" spans="1:34" x14ac:dyDescent="0.2">
      <c r="A74" s="8"/>
      <c r="B74" s="8"/>
      <c r="C74" s="4">
        <f>C16</f>
        <v>0</v>
      </c>
      <c r="D74" s="38"/>
      <c r="F74" s="96"/>
      <c r="G74" s="208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6"/>
      <c r="G75" s="212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/>
    </row>
    <row r="76" spans="1:34" x14ac:dyDescent="0.2">
      <c r="A76" s="8"/>
      <c r="B76" s="8"/>
      <c r="C76" s="145" t="s">
        <v>91</v>
      </c>
      <c r="D76" s="38"/>
      <c r="G76" s="211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/>
    </row>
    <row r="77" spans="1:34" x14ac:dyDescent="0.2">
      <c r="A77" s="8"/>
      <c r="B77" s="8"/>
      <c r="C77" s="4" t="str">
        <f>$C$76&amp;" - "&amp;C14</f>
        <v>Annualised capex - Switchboard</v>
      </c>
      <c r="D77" s="38"/>
      <c r="G77" s="208">
        <f>input_dollars</f>
        <v>45291</v>
      </c>
      <c r="H77" s="31"/>
      <c r="I77" s="118">
        <f t="shared" ref="I77:AG77" si="7">IF($E14=0,0,-PMT(real_disc, $E14,H72,))</f>
        <v>0</v>
      </c>
      <c r="J77" s="118">
        <f t="shared" si="7"/>
        <v>0</v>
      </c>
      <c r="K77" s="118">
        <f t="shared" si="7"/>
        <v>0</v>
      </c>
      <c r="L77" s="118">
        <f t="shared" si="7"/>
        <v>0</v>
      </c>
      <c r="M77" s="118">
        <f t="shared" si="7"/>
        <v>0</v>
      </c>
      <c r="N77" s="118">
        <f t="shared" si="7"/>
        <v>0</v>
      </c>
      <c r="O77" s="118">
        <f t="shared" si="7"/>
        <v>-116282.99164350357</v>
      </c>
      <c r="P77" s="118">
        <f t="shared" si="7"/>
        <v>-174424.48746525534</v>
      </c>
      <c r="Q77" s="118">
        <f t="shared" si="7"/>
        <v>-174424.48746525534</v>
      </c>
      <c r="R77" s="118">
        <f t="shared" si="7"/>
        <v>-174424.48746525534</v>
      </c>
      <c r="S77" s="118">
        <f t="shared" si="7"/>
        <v>-174424.48746525534</v>
      </c>
      <c r="T77" s="118">
        <f t="shared" si="7"/>
        <v>-174424.48746525534</v>
      </c>
      <c r="U77" s="118">
        <f t="shared" si="7"/>
        <v>-174424.48746525534</v>
      </c>
      <c r="V77" s="118">
        <f t="shared" si="7"/>
        <v>-174424.48746525534</v>
      </c>
      <c r="W77" s="118">
        <f t="shared" si="7"/>
        <v>-174424.48746525534</v>
      </c>
      <c r="X77" s="118">
        <f t="shared" si="7"/>
        <v>-174424.48746525534</v>
      </c>
      <c r="Y77" s="118">
        <f t="shared" si="7"/>
        <v>-174424.48746525534</v>
      </c>
      <c r="Z77" s="118">
        <f t="shared" si="7"/>
        <v>-174424.48746525534</v>
      </c>
      <c r="AA77" s="118">
        <f t="shared" si="7"/>
        <v>-174424.48746525534</v>
      </c>
      <c r="AB77" s="118">
        <f t="shared" si="7"/>
        <v>-174424.48746525534</v>
      </c>
      <c r="AC77" s="118">
        <f t="shared" si="7"/>
        <v>-174424.48746525534</v>
      </c>
      <c r="AD77" s="118">
        <f t="shared" si="7"/>
        <v>-174424.48746525534</v>
      </c>
      <c r="AE77" s="118">
        <f t="shared" si="7"/>
        <v>-174424.48746525534</v>
      </c>
      <c r="AF77" s="118">
        <f t="shared" si="7"/>
        <v>-174424.48746525534</v>
      </c>
      <c r="AG77" s="118">
        <f t="shared" si="7"/>
        <v>-174424.48746525534</v>
      </c>
      <c r="AH77"/>
    </row>
    <row r="78" spans="1:34" x14ac:dyDescent="0.2">
      <c r="A78" s="8"/>
      <c r="B78" s="8"/>
      <c r="C78" s="4" t="str">
        <f>$C$76&amp;" - "&amp;C15</f>
        <v>Annualised capex - Relays</v>
      </c>
      <c r="D78" s="38"/>
      <c r="G78" s="208">
        <f>input_dollars</f>
        <v>45291</v>
      </c>
      <c r="H78" s="31"/>
      <c r="I78" s="118">
        <f t="shared" ref="I78:AG78" si="8">IF($E15=0,0,-PMT(real_disc, $E15,H73,))</f>
        <v>0</v>
      </c>
      <c r="J78" s="118">
        <f t="shared" si="8"/>
        <v>-82743.894730379616</v>
      </c>
      <c r="K78" s="118">
        <f t="shared" si="8"/>
        <v>-124115.84209556945</v>
      </c>
      <c r="L78" s="118">
        <f t="shared" si="8"/>
        <v>-124115.84209556945</v>
      </c>
      <c r="M78" s="118">
        <f t="shared" si="8"/>
        <v>-124115.84209556945</v>
      </c>
      <c r="N78" s="118">
        <f t="shared" si="8"/>
        <v>-124115.84209556945</v>
      </c>
      <c r="O78" s="118">
        <f t="shared" si="8"/>
        <v>-124115.84209556945</v>
      </c>
      <c r="P78" s="118">
        <f t="shared" si="8"/>
        <v>-124115.84209556945</v>
      </c>
      <c r="Q78" s="118">
        <f t="shared" si="8"/>
        <v>-124115.84209556945</v>
      </c>
      <c r="R78" s="118">
        <f t="shared" si="8"/>
        <v>-124115.84209556945</v>
      </c>
      <c r="S78" s="118">
        <f t="shared" si="8"/>
        <v>-124115.84209556945</v>
      </c>
      <c r="T78" s="118">
        <f t="shared" si="8"/>
        <v>-124115.84209556945</v>
      </c>
      <c r="U78" s="118">
        <f t="shared" si="8"/>
        <v>-124115.84209556945</v>
      </c>
      <c r="V78" s="118">
        <f t="shared" si="8"/>
        <v>-124115.84209556945</v>
      </c>
      <c r="W78" s="118">
        <f t="shared" si="8"/>
        <v>-124115.84209556945</v>
      </c>
      <c r="X78" s="118">
        <f t="shared" si="8"/>
        <v>-124115.84209556945</v>
      </c>
      <c r="Y78" s="118">
        <f t="shared" si="8"/>
        <v>-124115.84209556945</v>
      </c>
      <c r="Z78" s="118">
        <f t="shared" si="8"/>
        <v>-124115.84209556945</v>
      </c>
      <c r="AA78" s="118">
        <f t="shared" si="8"/>
        <v>-124115.84209556945</v>
      </c>
      <c r="AB78" s="118">
        <f t="shared" si="8"/>
        <v>-124115.84209556945</v>
      </c>
      <c r="AC78" s="118">
        <f t="shared" si="8"/>
        <v>-124115.84209556945</v>
      </c>
      <c r="AD78" s="118">
        <f t="shared" si="8"/>
        <v>-124115.84209556945</v>
      </c>
      <c r="AE78" s="118">
        <f t="shared" si="8"/>
        <v>-124115.84209556945</v>
      </c>
      <c r="AF78" s="118">
        <f t="shared" si="8"/>
        <v>-124115.84209556945</v>
      </c>
      <c r="AG78" s="118">
        <f t="shared" si="8"/>
        <v>-124115.84209556945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08">
        <f>input_dollars</f>
        <v>45291</v>
      </c>
      <c r="H79" s="31"/>
      <c r="I79" s="118">
        <f t="shared" ref="I79:AG79" si="9">IF($E16=0,0,-PMT(real_disc, $E16,H74,))</f>
        <v>0</v>
      </c>
      <c r="J79" s="118">
        <f t="shared" si="9"/>
        <v>0</v>
      </c>
      <c r="K79" s="118">
        <f t="shared" si="9"/>
        <v>0</v>
      </c>
      <c r="L79" s="118">
        <f t="shared" si="9"/>
        <v>0</v>
      </c>
      <c r="M79" s="118">
        <f t="shared" si="9"/>
        <v>0</v>
      </c>
      <c r="N79" s="118">
        <f t="shared" si="9"/>
        <v>0</v>
      </c>
      <c r="O79" s="118">
        <f t="shared" si="9"/>
        <v>0</v>
      </c>
      <c r="P79" s="118">
        <f t="shared" si="9"/>
        <v>0</v>
      </c>
      <c r="Q79" s="118">
        <f t="shared" si="9"/>
        <v>0</v>
      </c>
      <c r="R79" s="118">
        <f t="shared" si="9"/>
        <v>0</v>
      </c>
      <c r="S79" s="118">
        <f t="shared" si="9"/>
        <v>0</v>
      </c>
      <c r="T79" s="118">
        <f t="shared" si="9"/>
        <v>0</v>
      </c>
      <c r="U79" s="118">
        <f t="shared" si="9"/>
        <v>0</v>
      </c>
      <c r="V79" s="118">
        <f t="shared" si="9"/>
        <v>0</v>
      </c>
      <c r="W79" s="118">
        <f t="shared" si="9"/>
        <v>0</v>
      </c>
      <c r="X79" s="118">
        <f t="shared" si="9"/>
        <v>0</v>
      </c>
      <c r="Y79" s="118">
        <f t="shared" si="9"/>
        <v>0</v>
      </c>
      <c r="Z79" s="118">
        <f t="shared" si="9"/>
        <v>0</v>
      </c>
      <c r="AA79" s="118">
        <f t="shared" si="9"/>
        <v>0</v>
      </c>
      <c r="AB79" s="118">
        <f t="shared" si="9"/>
        <v>0</v>
      </c>
      <c r="AC79" s="118">
        <f t="shared" si="9"/>
        <v>0</v>
      </c>
      <c r="AD79" s="118">
        <f t="shared" si="9"/>
        <v>0</v>
      </c>
      <c r="AE79" s="118">
        <f t="shared" si="9"/>
        <v>0</v>
      </c>
      <c r="AF79" s="118">
        <f t="shared" si="9"/>
        <v>0</v>
      </c>
      <c r="AG79" s="118">
        <f t="shared" si="9"/>
        <v>0</v>
      </c>
      <c r="AH79"/>
    </row>
    <row r="80" spans="1:34" x14ac:dyDescent="0.2">
      <c r="A80" s="8"/>
      <c r="B80" s="8"/>
      <c r="C80" s="170" t="s">
        <v>157</v>
      </c>
      <c r="D80" s="170"/>
      <c r="E80" s="171"/>
      <c r="F80" s="172"/>
      <c r="G80" s="213">
        <f>input_dollars</f>
        <v>45291</v>
      </c>
      <c r="H80" s="173"/>
      <c r="I80" s="174">
        <f>SUM(I77:I79)</f>
        <v>0</v>
      </c>
      <c r="J80" s="174">
        <f t="shared" ref="J80:AB80" si="10">SUM(J77:J79)</f>
        <v>-82743.894730379616</v>
      </c>
      <c r="K80" s="174">
        <f t="shared" si="10"/>
        <v>-124115.84209556945</v>
      </c>
      <c r="L80" s="174">
        <f t="shared" si="10"/>
        <v>-124115.84209556945</v>
      </c>
      <c r="M80" s="174">
        <f t="shared" si="10"/>
        <v>-124115.84209556945</v>
      </c>
      <c r="N80" s="174">
        <f t="shared" si="10"/>
        <v>-124115.84209556945</v>
      </c>
      <c r="O80" s="174">
        <f t="shared" si="10"/>
        <v>-240398.83373907302</v>
      </c>
      <c r="P80" s="174">
        <f t="shared" si="10"/>
        <v>-298540.32956082479</v>
      </c>
      <c r="Q80" s="174">
        <f t="shared" si="10"/>
        <v>-298540.32956082479</v>
      </c>
      <c r="R80" s="174">
        <f t="shared" si="10"/>
        <v>-298540.32956082479</v>
      </c>
      <c r="S80" s="174">
        <f t="shared" si="10"/>
        <v>-298540.32956082479</v>
      </c>
      <c r="T80" s="174">
        <f t="shared" si="10"/>
        <v>-298540.32956082479</v>
      </c>
      <c r="U80" s="174">
        <f t="shared" si="10"/>
        <v>-298540.32956082479</v>
      </c>
      <c r="V80" s="174">
        <f t="shared" si="10"/>
        <v>-298540.32956082479</v>
      </c>
      <c r="W80" s="174">
        <f t="shared" si="10"/>
        <v>-298540.32956082479</v>
      </c>
      <c r="X80" s="174">
        <f t="shared" si="10"/>
        <v>-298540.32956082479</v>
      </c>
      <c r="Y80" s="174">
        <f t="shared" si="10"/>
        <v>-298540.32956082479</v>
      </c>
      <c r="Z80" s="174">
        <f t="shared" si="10"/>
        <v>-298540.32956082479</v>
      </c>
      <c r="AA80" s="174">
        <f t="shared" si="10"/>
        <v>-298540.32956082479</v>
      </c>
      <c r="AB80" s="174">
        <f t="shared" si="10"/>
        <v>-298540.32956082479</v>
      </c>
      <c r="AC80" s="174">
        <f>SUM(AC77:AC79)</f>
        <v>-298540.32956082479</v>
      </c>
      <c r="AD80" s="174">
        <f>SUM(AD77:AD79)</f>
        <v>-298540.32956082479</v>
      </c>
      <c r="AE80" s="174">
        <f>SUM(AE77:AE79)</f>
        <v>-298540.32956082479</v>
      </c>
      <c r="AF80" s="174">
        <f>SUM(AF77:AF79)</f>
        <v>-298540.32956082479</v>
      </c>
      <c r="AG80" s="174">
        <f>SUM(AG77:AG79)</f>
        <v>-298540.32956082479</v>
      </c>
      <c r="AH80"/>
    </row>
    <row r="81" spans="1:34" x14ac:dyDescent="0.2">
      <c r="A81" s="8"/>
      <c r="B81" s="8"/>
      <c r="C81" s="75"/>
      <c r="D81" s="38"/>
      <c r="F81"/>
      <c r="G81" s="214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6"/>
      <c r="G82" s="208">
        <f t="shared" ref="G82:G87" si="11">input_dollars</f>
        <v>45291</v>
      </c>
      <c r="H82" s="31"/>
      <c r="I82" s="118">
        <f>I80</f>
        <v>0</v>
      </c>
      <c r="J82" s="118">
        <f t="shared" ref="J82:AB82" si="12">J80</f>
        <v>-82743.894730379616</v>
      </c>
      <c r="K82" s="118">
        <f t="shared" si="12"/>
        <v>-124115.84209556945</v>
      </c>
      <c r="L82" s="118">
        <f t="shared" si="12"/>
        <v>-124115.84209556945</v>
      </c>
      <c r="M82" s="118">
        <f t="shared" si="12"/>
        <v>-124115.84209556945</v>
      </c>
      <c r="N82" s="118">
        <f t="shared" si="12"/>
        <v>-124115.84209556945</v>
      </c>
      <c r="O82" s="118">
        <f t="shared" si="12"/>
        <v>-240398.83373907302</v>
      </c>
      <c r="P82" s="118">
        <f t="shared" si="12"/>
        <v>-298540.32956082479</v>
      </c>
      <c r="Q82" s="118">
        <f t="shared" si="12"/>
        <v>-298540.32956082479</v>
      </c>
      <c r="R82" s="118">
        <f t="shared" si="12"/>
        <v>-298540.32956082479</v>
      </c>
      <c r="S82" s="118">
        <f t="shared" si="12"/>
        <v>-298540.32956082479</v>
      </c>
      <c r="T82" s="118">
        <f t="shared" si="12"/>
        <v>-298540.32956082479</v>
      </c>
      <c r="U82" s="118">
        <f t="shared" si="12"/>
        <v>-298540.32956082479</v>
      </c>
      <c r="V82" s="118">
        <f t="shared" si="12"/>
        <v>-298540.32956082479</v>
      </c>
      <c r="W82" s="118">
        <f t="shared" si="12"/>
        <v>-298540.32956082479</v>
      </c>
      <c r="X82" s="118">
        <f t="shared" si="12"/>
        <v>-298540.32956082479</v>
      </c>
      <c r="Y82" s="118">
        <f t="shared" si="12"/>
        <v>-298540.32956082479</v>
      </c>
      <c r="Z82" s="118">
        <f t="shared" si="12"/>
        <v>-298540.32956082479</v>
      </c>
      <c r="AA82" s="118">
        <f t="shared" si="12"/>
        <v>-298540.32956082479</v>
      </c>
      <c r="AB82" s="118">
        <f t="shared" si="12"/>
        <v>-298540.32956082479</v>
      </c>
      <c r="AC82" s="118">
        <f>AC80</f>
        <v>-298540.32956082479</v>
      </c>
      <c r="AD82" s="118">
        <f>AD80</f>
        <v>-298540.32956082479</v>
      </c>
      <c r="AE82" s="118">
        <f>AE80</f>
        <v>-298540.32956082479</v>
      </c>
      <c r="AF82" s="118">
        <f>AF80</f>
        <v>-298540.32956082479</v>
      </c>
      <c r="AG82" s="118">
        <f>AG80</f>
        <v>-298540.32956082479</v>
      </c>
      <c r="AH82"/>
    </row>
    <row r="83" spans="1:34" x14ac:dyDescent="0.2">
      <c r="A83" s="8"/>
      <c r="B83" s="8"/>
      <c r="C83" s="4" t="s">
        <v>31</v>
      </c>
      <c r="D83" s="38"/>
      <c r="F83" s="96"/>
      <c r="G83" s="208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  <c r="AH83"/>
    </row>
    <row r="84" spans="1:34" x14ac:dyDescent="0.2">
      <c r="A84" s="8"/>
      <c r="B84" s="8"/>
      <c r="C84" s="4" t="s">
        <v>140</v>
      </c>
      <c r="D84" s="38"/>
      <c r="F84" s="96"/>
      <c r="G84" s="208">
        <f t="shared" si="11"/>
        <v>45291</v>
      </c>
      <c r="H84" s="31"/>
      <c r="I84" s="31">
        <f t="shared" ref="I84:AG84" si="14">I64</f>
        <v>0</v>
      </c>
      <c r="J84" s="31">
        <f t="shared" si="14"/>
        <v>0</v>
      </c>
      <c r="K84" s="31">
        <f t="shared" si="14"/>
        <v>5972.4687817524828</v>
      </c>
      <c r="L84" s="31">
        <f t="shared" si="14"/>
        <v>7276.7527990069066</v>
      </c>
      <c r="M84" s="31">
        <f t="shared" si="14"/>
        <v>8614.593597456289</v>
      </c>
      <c r="N84" s="31">
        <f t="shared" si="14"/>
        <v>9980.3836537197349</v>
      </c>
      <c r="O84" s="31">
        <f t="shared" si="14"/>
        <v>11430.047866141365</v>
      </c>
      <c r="P84" s="31">
        <f t="shared" si="14"/>
        <v>267476.84263071819</v>
      </c>
      <c r="Q84" s="31">
        <f t="shared" si="14"/>
        <v>274231.86799787392</v>
      </c>
      <c r="R84" s="31">
        <f t="shared" si="14"/>
        <v>275630.15454925632</v>
      </c>
      <c r="S84" s="31">
        <f t="shared" si="14"/>
        <v>276799.29957913893</v>
      </c>
      <c r="T84" s="31">
        <f t="shared" si="14"/>
        <v>277981.74249332893</v>
      </c>
      <c r="U84" s="31">
        <f t="shared" si="14"/>
        <v>279140.53245841619</v>
      </c>
      <c r="V84" s="31">
        <f t="shared" si="14"/>
        <v>280337.79191722366</v>
      </c>
      <c r="W84" s="31">
        <f t="shared" si="14"/>
        <v>281504.47291826981</v>
      </c>
      <c r="X84" s="31">
        <f t="shared" si="14"/>
        <v>282637.25436092296</v>
      </c>
      <c r="Y84" s="31">
        <f t="shared" si="14"/>
        <v>283733.1048017373</v>
      </c>
      <c r="Z84" s="31">
        <f t="shared" si="14"/>
        <v>284789.3617582834</v>
      </c>
      <c r="AA84" s="31">
        <f t="shared" si="14"/>
        <v>285803.80883145815</v>
      </c>
      <c r="AB84" s="31">
        <f t="shared" si="14"/>
        <v>286774.74867119465</v>
      </c>
      <c r="AC84" s="31">
        <f t="shared" si="14"/>
        <v>287701.06957502913</v>
      </c>
      <c r="AD84" s="31">
        <f t="shared" si="14"/>
        <v>288582.30331960891</v>
      </c>
      <c r="AE84" s="31">
        <f t="shared" si="14"/>
        <v>289418.67169899633</v>
      </c>
      <c r="AF84" s="31">
        <f t="shared" si="14"/>
        <v>290211.11919806583</v>
      </c>
      <c r="AG84" s="31">
        <f t="shared" si="14"/>
        <v>290961.32928134117</v>
      </c>
      <c r="AH84"/>
    </row>
    <row r="85" spans="1:34" x14ac:dyDescent="0.2">
      <c r="A85" s="8"/>
      <c r="B85" s="8"/>
      <c r="C85" s="4" t="s">
        <v>122</v>
      </c>
      <c r="D85" s="38"/>
      <c r="F85" s="96"/>
      <c r="G85" s="208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50000</v>
      </c>
      <c r="Q85" s="31">
        <f t="shared" si="15"/>
        <v>50000</v>
      </c>
      <c r="R85" s="31">
        <f t="shared" si="15"/>
        <v>50000</v>
      </c>
      <c r="S85" s="31">
        <f t="shared" si="15"/>
        <v>50000</v>
      </c>
      <c r="T85" s="31">
        <f t="shared" si="15"/>
        <v>50000</v>
      </c>
      <c r="U85" s="31">
        <f t="shared" si="15"/>
        <v>50000</v>
      </c>
      <c r="V85" s="31">
        <f t="shared" si="15"/>
        <v>50000</v>
      </c>
      <c r="W85" s="31">
        <f t="shared" si="15"/>
        <v>50000</v>
      </c>
      <c r="X85" s="31">
        <f t="shared" si="15"/>
        <v>50000</v>
      </c>
      <c r="Y85" s="31">
        <f t="shared" si="15"/>
        <v>50000</v>
      </c>
      <c r="Z85" s="31">
        <f t="shared" si="15"/>
        <v>50000</v>
      </c>
      <c r="AA85" s="31">
        <f t="shared" si="15"/>
        <v>50000</v>
      </c>
      <c r="AB85" s="31">
        <f t="shared" si="15"/>
        <v>50000</v>
      </c>
      <c r="AC85" s="31">
        <f t="shared" si="15"/>
        <v>50000</v>
      </c>
      <c r="AD85" s="31">
        <f t="shared" si="15"/>
        <v>50000</v>
      </c>
      <c r="AE85" s="31">
        <f t="shared" si="15"/>
        <v>50000</v>
      </c>
      <c r="AF85" s="31">
        <f t="shared" si="15"/>
        <v>50000</v>
      </c>
      <c r="AG85" s="31">
        <f t="shared" si="15"/>
        <v>50000</v>
      </c>
      <c r="AH85"/>
    </row>
    <row r="86" spans="1:34" x14ac:dyDescent="0.2">
      <c r="A86" s="8"/>
      <c r="B86" s="8"/>
      <c r="C86" s="4"/>
      <c r="D86" s="38"/>
      <c r="F86" s="31"/>
      <c r="G86" s="208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5" t="s">
        <v>188</v>
      </c>
      <c r="D87" s="176"/>
      <c r="E87" s="171"/>
      <c r="F87" s="177"/>
      <c r="G87" s="213">
        <f t="shared" si="11"/>
        <v>45291</v>
      </c>
      <c r="H87" s="177"/>
      <c r="I87" s="177">
        <f t="shared" ref="I87:AB87" si="16">SUM(I82:I86)</f>
        <v>0</v>
      </c>
      <c r="J87" s="177">
        <f t="shared" si="16"/>
        <v>-82743.894730379616</v>
      </c>
      <c r="K87" s="177">
        <f t="shared" si="16"/>
        <v>-118143.37331381696</v>
      </c>
      <c r="L87" s="177">
        <f t="shared" si="16"/>
        <v>-116839.08929656254</v>
      </c>
      <c r="M87" s="177">
        <f t="shared" si="16"/>
        <v>-115501.24849811316</v>
      </c>
      <c r="N87" s="177">
        <f t="shared" si="16"/>
        <v>-114135.45844184971</v>
      </c>
      <c r="O87" s="177">
        <f t="shared" si="16"/>
        <v>-228968.78587293165</v>
      </c>
      <c r="P87" s="177">
        <f t="shared" si="16"/>
        <v>18936.513069893408</v>
      </c>
      <c r="Q87" s="177">
        <f t="shared" si="16"/>
        <v>25691.538437049137</v>
      </c>
      <c r="R87" s="177">
        <f t="shared" si="16"/>
        <v>27089.82498843153</v>
      </c>
      <c r="S87" s="177">
        <f t="shared" si="16"/>
        <v>28258.970018314139</v>
      </c>
      <c r="T87" s="177">
        <f t="shared" si="16"/>
        <v>29441.412932504143</v>
      </c>
      <c r="U87" s="177">
        <f t="shared" si="16"/>
        <v>30600.2028975914</v>
      </c>
      <c r="V87" s="177">
        <f t="shared" si="16"/>
        <v>31797.462356398872</v>
      </c>
      <c r="W87" s="177">
        <f t="shared" si="16"/>
        <v>32964.14335744502</v>
      </c>
      <c r="X87" s="177">
        <f t="shared" si="16"/>
        <v>34096.924800098175</v>
      </c>
      <c r="Y87" s="177">
        <f t="shared" si="16"/>
        <v>35192.77524091251</v>
      </c>
      <c r="Z87" s="177">
        <f t="shared" si="16"/>
        <v>36249.032197458611</v>
      </c>
      <c r="AA87" s="177">
        <f t="shared" si="16"/>
        <v>37263.479270633368</v>
      </c>
      <c r="AB87" s="177">
        <f t="shared" si="16"/>
        <v>38234.419110369869</v>
      </c>
      <c r="AC87" s="177">
        <f>SUM(AC82:AC86)</f>
        <v>39160.740014204348</v>
      </c>
      <c r="AD87" s="177">
        <f>SUM(AD82:AD86)</f>
        <v>40041.973758784123</v>
      </c>
      <c r="AE87" s="177">
        <f>SUM(AE82:AE86)</f>
        <v>40878.342138171545</v>
      </c>
      <c r="AF87" s="177">
        <f>SUM(AF82:AF86)</f>
        <v>41670.789637241047</v>
      </c>
      <c r="AG87" s="177">
        <f>SUM(AG82:AG86)</f>
        <v>42420.999720516382</v>
      </c>
      <c r="AH87"/>
    </row>
    <row r="88" spans="1:34" x14ac:dyDescent="0.2">
      <c r="A88" s="8"/>
      <c r="B88" s="8"/>
      <c r="C88" s="75"/>
      <c r="D88" s="137"/>
      <c r="E88" s="64"/>
      <c r="F88" s="140"/>
      <c r="G88" s="215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/>
    </row>
    <row r="89" spans="1:34" x14ac:dyDescent="0.2">
      <c r="A89" s="8"/>
      <c r="B89" s="8"/>
      <c r="C89" s="75"/>
      <c r="D89" s="137"/>
      <c r="E89" s="64"/>
      <c r="F89" s="140"/>
      <c r="G89" s="215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/>
    </row>
    <row r="90" spans="1:34" x14ac:dyDescent="0.2">
      <c r="A90" s="8"/>
      <c r="B90" s="8"/>
      <c r="C90" s="228" t="s">
        <v>198</v>
      </c>
      <c r="D90" s="82"/>
      <c r="E90" s="229"/>
      <c r="F90" s="230"/>
      <c r="G90" s="231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2"/>
      <c r="E91" s="229"/>
      <c r="F91" s="229"/>
      <c r="G91" s="231"/>
    </row>
    <row r="92" spans="1:34" x14ac:dyDescent="0.2">
      <c r="C92" s="233" t="s">
        <v>193</v>
      </c>
      <c r="D92" s="234"/>
      <c r="E92" s="234"/>
      <c r="F92" s="234"/>
      <c r="G92" s="235">
        <f>IF(_xlfn.MINIFS($G$90:$G$91, $G$90:$G$91, "&gt;"&amp;0)=0, $A$4, _xlfn.MINIFS($G$90:$G$91, $G$90:$G$91, "&gt;"&amp;0))</f>
        <v>1</v>
      </c>
    </row>
    <row r="94" spans="1:34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2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240"/>
    </row>
    <row r="105" spans="1:43" x14ac:dyDescent="0.2"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7">J87</f>
        <v>-82743.894730379616</v>
      </c>
      <c r="K106" s="31">
        <f t="shared" si="17"/>
        <v>-118143.37331381696</v>
      </c>
      <c r="L106" s="31">
        <f t="shared" si="17"/>
        <v>-116839.08929656254</v>
      </c>
      <c r="M106" s="31">
        <f t="shared" si="17"/>
        <v>-115501.24849811316</v>
      </c>
      <c r="N106" s="31">
        <f t="shared" si="17"/>
        <v>-114135.45844184971</v>
      </c>
      <c r="O106" s="31">
        <f t="shared" si="17"/>
        <v>-228968.78587293165</v>
      </c>
      <c r="P106" s="31">
        <f t="shared" si="17"/>
        <v>18936.513069893408</v>
      </c>
      <c r="Q106" s="31">
        <f t="shared" si="17"/>
        <v>25691.538437049137</v>
      </c>
      <c r="R106" s="31">
        <f t="shared" si="17"/>
        <v>27089.82498843153</v>
      </c>
      <c r="S106" s="31">
        <f t="shared" si="17"/>
        <v>28258.970018314139</v>
      </c>
      <c r="T106" s="31">
        <f t="shared" si="17"/>
        <v>29441.412932504143</v>
      </c>
      <c r="U106" s="31">
        <f t="shared" si="17"/>
        <v>30600.2028975914</v>
      </c>
      <c r="V106" s="31">
        <f t="shared" si="17"/>
        <v>31797.462356398872</v>
      </c>
      <c r="W106" s="31">
        <f t="shared" si="17"/>
        <v>32964.14335744502</v>
      </c>
      <c r="X106" s="31">
        <f t="shared" si="17"/>
        <v>34096.924800098175</v>
      </c>
      <c r="Y106" s="31">
        <f t="shared" si="17"/>
        <v>35192.77524091251</v>
      </c>
      <c r="Z106" s="31">
        <f t="shared" si="17"/>
        <v>36249.032197458611</v>
      </c>
      <c r="AA106" s="31">
        <f t="shared" si="17"/>
        <v>37263.479270633368</v>
      </c>
      <c r="AB106" s="31">
        <f t="shared" si="17"/>
        <v>38234.419110369869</v>
      </c>
      <c r="AC106" s="31">
        <f t="shared" si="17"/>
        <v>39160.740014204348</v>
      </c>
      <c r="AD106" s="31">
        <f t="shared" si="17"/>
        <v>40041.973758784123</v>
      </c>
      <c r="AE106" s="31">
        <f t="shared" si="17"/>
        <v>40878.342138171545</v>
      </c>
      <c r="AF106" s="31">
        <f t="shared" si="17"/>
        <v>41670.789637241047</v>
      </c>
      <c r="AG106" s="31">
        <f t="shared" si="17"/>
        <v>42420.999720516382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8">J82</f>
        <v>-82743.894730379616</v>
      </c>
      <c r="K107" s="31">
        <f t="shared" si="18"/>
        <v>-124115.84209556945</v>
      </c>
      <c r="L107" s="31">
        <f t="shared" si="18"/>
        <v>-124115.84209556945</v>
      </c>
      <c r="M107" s="31">
        <f t="shared" si="18"/>
        <v>-124115.84209556945</v>
      </c>
      <c r="N107" s="31">
        <f t="shared" si="18"/>
        <v>-124115.84209556945</v>
      </c>
      <c r="O107" s="31">
        <f t="shared" si="18"/>
        <v>-240398.83373907302</v>
      </c>
      <c r="P107" s="31">
        <f t="shared" si="18"/>
        <v>-298540.32956082479</v>
      </c>
      <c r="Q107" s="31">
        <f t="shared" si="18"/>
        <v>-298540.32956082479</v>
      </c>
      <c r="R107" s="31">
        <f t="shared" si="18"/>
        <v>-298540.32956082479</v>
      </c>
      <c r="S107" s="31">
        <f t="shared" si="18"/>
        <v>-298540.32956082479</v>
      </c>
      <c r="T107" s="31">
        <f t="shared" si="18"/>
        <v>-298540.32956082479</v>
      </c>
      <c r="U107" s="31">
        <f t="shared" si="18"/>
        <v>-298540.32956082479</v>
      </c>
      <c r="V107" s="31">
        <f t="shared" si="18"/>
        <v>-298540.32956082479</v>
      </c>
      <c r="W107" s="31">
        <f t="shared" si="18"/>
        <v>-298540.32956082479</v>
      </c>
      <c r="X107" s="31">
        <f t="shared" si="18"/>
        <v>-298540.32956082479</v>
      </c>
      <c r="Y107" s="31">
        <f t="shared" si="18"/>
        <v>-298540.32956082479</v>
      </c>
      <c r="Z107" s="31">
        <f t="shared" si="18"/>
        <v>-298540.32956082479</v>
      </c>
      <c r="AA107" s="31">
        <f t="shared" si="18"/>
        <v>-298540.32956082479</v>
      </c>
      <c r="AB107" s="31">
        <f t="shared" si="18"/>
        <v>-298540.32956082479</v>
      </c>
      <c r="AC107" s="31">
        <f t="shared" si="18"/>
        <v>-298540.32956082479</v>
      </c>
      <c r="AD107" s="31">
        <f t="shared" si="18"/>
        <v>-298540.32956082479</v>
      </c>
      <c r="AE107" s="31">
        <f t="shared" si="18"/>
        <v>-298540.32956082479</v>
      </c>
      <c r="AF107" s="31">
        <f t="shared" si="18"/>
        <v>-298540.32956082479</v>
      </c>
      <c r="AG107" s="31">
        <f t="shared" si="18"/>
        <v>-298540.32956082479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19">SUM(J84:J85)</f>
        <v>0</v>
      </c>
      <c r="K108" s="31">
        <f t="shared" si="19"/>
        <v>5972.4687817524828</v>
      </c>
      <c r="L108" s="31">
        <f t="shared" si="19"/>
        <v>7276.7527990069066</v>
      </c>
      <c r="M108" s="31">
        <f t="shared" si="19"/>
        <v>8614.593597456289</v>
      </c>
      <c r="N108" s="31">
        <f t="shared" si="19"/>
        <v>9980.3836537197349</v>
      </c>
      <c r="O108" s="31">
        <f t="shared" si="19"/>
        <v>11430.047866141365</v>
      </c>
      <c r="P108" s="31">
        <f t="shared" si="19"/>
        <v>317476.84263071819</v>
      </c>
      <c r="Q108" s="31">
        <f t="shared" si="19"/>
        <v>324231.86799787392</v>
      </c>
      <c r="R108" s="31">
        <f t="shared" si="19"/>
        <v>325630.15454925632</v>
      </c>
      <c r="S108" s="31">
        <f t="shared" si="19"/>
        <v>326799.29957913893</v>
      </c>
      <c r="T108" s="31">
        <f t="shared" si="19"/>
        <v>327981.74249332893</v>
      </c>
      <c r="U108" s="31">
        <f t="shared" si="19"/>
        <v>329140.53245841619</v>
      </c>
      <c r="V108" s="31">
        <f t="shared" si="19"/>
        <v>330337.79191722366</v>
      </c>
      <c r="W108" s="31">
        <f t="shared" si="19"/>
        <v>331504.47291826981</v>
      </c>
      <c r="X108" s="31">
        <f t="shared" si="19"/>
        <v>332637.25436092296</v>
      </c>
      <c r="Y108" s="31">
        <f t="shared" si="19"/>
        <v>333733.1048017373</v>
      </c>
      <c r="Z108" s="31">
        <f t="shared" si="19"/>
        <v>334789.3617582834</v>
      </c>
      <c r="AA108" s="31">
        <f t="shared" si="19"/>
        <v>335803.80883145815</v>
      </c>
      <c r="AB108" s="31">
        <f t="shared" si="19"/>
        <v>336774.74867119465</v>
      </c>
      <c r="AC108" s="31">
        <f t="shared" si="19"/>
        <v>337701.06957502913</v>
      </c>
      <c r="AD108" s="31">
        <f t="shared" si="19"/>
        <v>338582.30331960891</v>
      </c>
      <c r="AE108" s="31">
        <f t="shared" si="19"/>
        <v>339418.67169899633</v>
      </c>
      <c r="AF108" s="31">
        <f t="shared" si="19"/>
        <v>340211.11919806583</v>
      </c>
      <c r="AG108" s="31">
        <f t="shared" si="19"/>
        <v>340961.32928134117</v>
      </c>
    </row>
    <row r="109" spans="1:43" x14ac:dyDescent="0.2">
      <c r="D109" s="299" t="str">
        <f>Assumptions!G110</f>
        <v>Capex</v>
      </c>
      <c r="E109" s="299" t="str">
        <f>Assumptions!H110</f>
        <v>Total benefits</v>
      </c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</row>
    <row r="110" spans="1:43" x14ac:dyDescent="0.2">
      <c r="A110" s="1" t="str">
        <f>"sens"&amp;Assumptions!B111</f>
        <v>sens1</v>
      </c>
      <c r="C110" s="298" t="str">
        <f>Assumptions!C111</f>
        <v>Capex 10% higher</v>
      </c>
      <c r="D110" s="299">
        <f>Assumptions!G111</f>
        <v>0.1</v>
      </c>
      <c r="E110" s="299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-91018.28420341757</v>
      </c>
      <c r="K110" s="31" cm="1">
        <f t="array" ref="K110">K$106+IF($C110&lt;&gt;0,SUMPRODUCT((K$107:K$108)*TRANSPOSE(($D110:$E110))),0)</f>
        <v>-130554.95752337392</v>
      </c>
      <c r="L110" s="31" cm="1">
        <f t="array" ref="L110">L$106+IF($C110&lt;&gt;0,SUMPRODUCT((L$107:L$108)*TRANSPOSE(($D110:$E110))),0)</f>
        <v>-129250.67350611949</v>
      </c>
      <c r="M110" s="31" cm="1">
        <f t="array" ref="M110">M$106+IF($C110&lt;&gt;0,SUMPRODUCT((M$107:M$108)*TRANSPOSE(($D110:$E110))),0)</f>
        <v>-127912.83270767011</v>
      </c>
      <c r="N110" s="31" cm="1">
        <f t="array" ref="N110">N$106+IF($C110&lt;&gt;0,SUMPRODUCT((N$107:N$108)*TRANSPOSE(($D110:$E110))),0)</f>
        <v>-126547.04265140666</v>
      </c>
      <c r="O110" s="31" cm="1">
        <f t="array" ref="O110">O$106+IF($C110&lt;&gt;0,SUMPRODUCT((O$107:O$108)*TRANSPOSE(($D110:$E110))),0)</f>
        <v>-253008.66924683895</v>
      </c>
      <c r="P110" s="31" cm="1">
        <f t="array" ref="P110">P$106+IF($C110&lt;&gt;0,SUMPRODUCT((P$107:P$108)*TRANSPOSE(($D110:$E110))),0)</f>
        <v>-10917.519886189071</v>
      </c>
      <c r="Q110" s="31" cm="1">
        <f t="array" ref="Q110">Q$106+IF($C110&lt;&gt;0,SUMPRODUCT((Q$107:Q$108)*TRANSPOSE(($D110:$E110))),0)</f>
        <v>-4162.4945190333419</v>
      </c>
      <c r="R110" s="31" cm="1">
        <f t="array" ref="R110">R$106+IF($C110&lt;&gt;0,SUMPRODUCT((R$107:R$108)*TRANSPOSE(($D110:$E110))),0)</f>
        <v>-2764.2079676509493</v>
      </c>
      <c r="S110" s="31" cm="1">
        <f t="array" ref="S110">S$106+IF($C110&lt;&gt;0,SUMPRODUCT((S$107:S$108)*TRANSPOSE(($D110:$E110))),0)</f>
        <v>-1595.0629377683399</v>
      </c>
      <c r="T110" s="31" cm="1">
        <f t="array" ref="T110">T$106+IF($C110&lt;&gt;0,SUMPRODUCT((T$107:T$108)*TRANSPOSE(($D110:$E110))),0)</f>
        <v>-412.62002357833626</v>
      </c>
      <c r="U110" s="31" cm="1">
        <f t="array" ref="U110">U$106+IF($C110&lt;&gt;0,SUMPRODUCT((U$107:U$108)*TRANSPOSE(($D110:$E110))),0)</f>
        <v>746.1699415089206</v>
      </c>
      <c r="V110" s="31" cm="1">
        <f t="array" ref="V110">V$106+IF($C110&lt;&gt;0,SUMPRODUCT((V$107:V$108)*TRANSPOSE(($D110:$E110))),0)</f>
        <v>1943.4294003163923</v>
      </c>
      <c r="W110" s="31" cm="1">
        <f t="array" ref="W110">W$106+IF($C110&lt;&gt;0,SUMPRODUCT((W$107:W$108)*TRANSPOSE(($D110:$E110))),0)</f>
        <v>3110.1104013625409</v>
      </c>
      <c r="X110" s="31" cm="1">
        <f t="array" ref="X110">X$106+IF($C110&lt;&gt;0,SUMPRODUCT((X$107:X$108)*TRANSPOSE(($D110:$E110))),0)</f>
        <v>4242.8918440156958</v>
      </c>
      <c r="Y110" s="31" cm="1">
        <f t="array" ref="Y110">Y$106+IF($C110&lt;&gt;0,SUMPRODUCT((Y$107:Y$108)*TRANSPOSE(($D110:$E110))),0)</f>
        <v>5338.7422848300303</v>
      </c>
      <c r="Z110" s="31" cm="1">
        <f t="array" ref="Z110">Z$106+IF($C110&lt;&gt;0,SUMPRODUCT((Z$107:Z$108)*TRANSPOSE(($D110:$E110))),0)</f>
        <v>6394.999241376132</v>
      </c>
      <c r="AA110" s="31" cm="1">
        <f t="array" ref="AA110">AA$106+IF($C110&lt;&gt;0,SUMPRODUCT((AA$107:AA$108)*TRANSPOSE(($D110:$E110))),0)</f>
        <v>7409.4463145508889</v>
      </c>
      <c r="AB110" s="31" cm="1">
        <f t="array" ref="AB110">AB$106+IF($C110&lt;&gt;0,SUMPRODUCT((AB$107:AB$108)*TRANSPOSE(($D110:$E110))),0)</f>
        <v>8380.3861542873892</v>
      </c>
      <c r="AC110" s="31" cm="1">
        <f t="array" ref="AC110">AC$106+IF($C110&lt;&gt;0,SUMPRODUCT((AC$107:AC$108)*TRANSPOSE(($D110:$E110))),0)</f>
        <v>9306.7070581218686</v>
      </c>
      <c r="AD110" s="31" cm="1">
        <f t="array" ref="AD110">AD$106+IF($C110&lt;&gt;0,SUMPRODUCT((AD$107:AD$108)*TRANSPOSE(($D110:$E110))),0)</f>
        <v>10187.940802701643</v>
      </c>
      <c r="AE110" s="31" cm="1">
        <f t="array" ref="AE110">AE$106+IF($C110&lt;&gt;0,SUMPRODUCT((AE$107:AE$108)*TRANSPOSE(($D110:$E110))),0)</f>
        <v>11024.309182089066</v>
      </c>
      <c r="AF110" s="31" cm="1">
        <f t="array" ref="AF110">AF$106+IF($C110&lt;&gt;0,SUMPRODUCT((AF$107:AF$108)*TRANSPOSE(($D110:$E110))),0)</f>
        <v>11816.756681158568</v>
      </c>
      <c r="AG110" s="31" cm="1">
        <f t="array" ref="AG110">AG$106+IF($C110&lt;&gt;0,SUMPRODUCT((AG$107:AG$108)*TRANSPOSE(($D110:$E110))),0)</f>
        <v>12566.966764433902</v>
      </c>
    </row>
    <row r="111" spans="1:43" x14ac:dyDescent="0.2">
      <c r="A111" s="1" t="str">
        <f>"sens"&amp;Assumptions!B112</f>
        <v>sens2</v>
      </c>
      <c r="C111" s="298" t="str">
        <f>Assumptions!C112</f>
        <v>Capex 10% lower</v>
      </c>
      <c r="D111" s="299">
        <f>Assumptions!G112</f>
        <v>-0.1</v>
      </c>
      <c r="E111" s="299">
        <f>Assumptions!H112</f>
        <v>0</v>
      </c>
      <c r="G111" s="38" t="str">
        <f t="shared" ref="G111:G117" si="20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-74469.505257341661</v>
      </c>
      <c r="K111" s="31" cm="1">
        <f t="array" ref="K111">K$106+IF($C111&lt;&gt;0,SUMPRODUCT((K$107:K$108)*TRANSPOSE(($D111:$E111))),0)</f>
        <v>-105731.78910426001</v>
      </c>
      <c r="L111" s="31" cm="1">
        <f t="array" ref="L111">L$106+IF($C111&lt;&gt;0,SUMPRODUCT((L$107:L$108)*TRANSPOSE(($D111:$E111))),0)</f>
        <v>-104427.50508700559</v>
      </c>
      <c r="M111" s="31" cm="1">
        <f t="array" ref="M111">M$106+IF($C111&lt;&gt;0,SUMPRODUCT((M$107:M$108)*TRANSPOSE(($D111:$E111))),0)</f>
        <v>-103089.6642885562</v>
      </c>
      <c r="N111" s="31" cm="1">
        <f t="array" ref="N111">N$106+IF($C111&lt;&gt;0,SUMPRODUCT((N$107:N$108)*TRANSPOSE(($D111:$E111))),0)</f>
        <v>-101723.87423229276</v>
      </c>
      <c r="O111" s="31" cm="1">
        <f t="array" ref="O111">O$106+IF($C111&lt;&gt;0,SUMPRODUCT((O$107:O$108)*TRANSPOSE(($D111:$E111))),0)</f>
        <v>-204928.90249902435</v>
      </c>
      <c r="P111" s="31" cm="1">
        <f t="array" ref="P111">P$106+IF($C111&lt;&gt;0,SUMPRODUCT((P$107:P$108)*TRANSPOSE(($D111:$E111))),0)</f>
        <v>48790.546025975884</v>
      </c>
      <c r="Q111" s="31" cm="1">
        <f t="array" ref="Q111">Q$106+IF($C111&lt;&gt;0,SUMPRODUCT((Q$107:Q$108)*TRANSPOSE(($D111:$E111))),0)</f>
        <v>55545.571393131613</v>
      </c>
      <c r="R111" s="31" cm="1">
        <f t="array" ref="R111">R$106+IF($C111&lt;&gt;0,SUMPRODUCT((R$107:R$108)*TRANSPOSE(($D111:$E111))),0)</f>
        <v>56943.857944514006</v>
      </c>
      <c r="S111" s="31" cm="1">
        <f t="array" ref="S111">S$106+IF($C111&lt;&gt;0,SUMPRODUCT((S$107:S$108)*TRANSPOSE(($D111:$E111))),0)</f>
        <v>58113.002974396615</v>
      </c>
      <c r="T111" s="31" cm="1">
        <f t="array" ref="T111">T$106+IF($C111&lt;&gt;0,SUMPRODUCT((T$107:T$108)*TRANSPOSE(($D111:$E111))),0)</f>
        <v>59295.445888586619</v>
      </c>
      <c r="U111" s="31" cm="1">
        <f t="array" ref="U111">U$106+IF($C111&lt;&gt;0,SUMPRODUCT((U$107:U$108)*TRANSPOSE(($D111:$E111))),0)</f>
        <v>60454.235853673876</v>
      </c>
      <c r="V111" s="31" cm="1">
        <f t="array" ref="V111">V$106+IF($C111&lt;&gt;0,SUMPRODUCT((V$107:V$108)*TRANSPOSE(($D111:$E111))),0)</f>
        <v>61651.495312481347</v>
      </c>
      <c r="W111" s="31" cm="1">
        <f t="array" ref="W111">W$106+IF($C111&lt;&gt;0,SUMPRODUCT((W$107:W$108)*TRANSPOSE(($D111:$E111))),0)</f>
        <v>62818.176313527496</v>
      </c>
      <c r="X111" s="31" cm="1">
        <f t="array" ref="X111">X$106+IF($C111&lt;&gt;0,SUMPRODUCT((X$107:X$108)*TRANSPOSE(($D111:$E111))),0)</f>
        <v>63950.957756180651</v>
      </c>
      <c r="Y111" s="31" cm="1">
        <f t="array" ref="Y111">Y$106+IF($C111&lt;&gt;0,SUMPRODUCT((Y$107:Y$108)*TRANSPOSE(($D111:$E111))),0)</f>
        <v>65046.808196994985</v>
      </c>
      <c r="Z111" s="31" cm="1">
        <f t="array" ref="Z111">Z$106+IF($C111&lt;&gt;0,SUMPRODUCT((Z$107:Z$108)*TRANSPOSE(($D111:$E111))),0)</f>
        <v>66103.065153541087</v>
      </c>
      <c r="AA111" s="31" cm="1">
        <f t="array" ref="AA111">AA$106+IF($C111&lt;&gt;0,SUMPRODUCT((AA$107:AA$108)*TRANSPOSE(($D111:$E111))),0)</f>
        <v>67117.512226715844</v>
      </c>
      <c r="AB111" s="31" cm="1">
        <f t="array" ref="AB111">AB$106+IF($C111&lt;&gt;0,SUMPRODUCT((AB$107:AB$108)*TRANSPOSE(($D111:$E111))),0)</f>
        <v>68088.452066452344</v>
      </c>
      <c r="AC111" s="31" cm="1">
        <f t="array" ref="AC111">AC$106+IF($C111&lt;&gt;0,SUMPRODUCT((AC$107:AC$108)*TRANSPOSE(($D111:$E111))),0)</f>
        <v>69014.772970286824</v>
      </c>
      <c r="AD111" s="31" cm="1">
        <f t="array" ref="AD111">AD$106+IF($C111&lt;&gt;0,SUMPRODUCT((AD$107:AD$108)*TRANSPOSE(($D111:$E111))),0)</f>
        <v>69896.006714866598</v>
      </c>
      <c r="AE111" s="31" cm="1">
        <f t="array" ref="AE111">AE$106+IF($C111&lt;&gt;0,SUMPRODUCT((AE$107:AE$108)*TRANSPOSE(($D111:$E111))),0)</f>
        <v>70732.375094254021</v>
      </c>
      <c r="AF111" s="31" cm="1">
        <f t="array" ref="AF111">AF$106+IF($C111&lt;&gt;0,SUMPRODUCT((AF$107:AF$108)*TRANSPOSE(($D111:$E111))),0)</f>
        <v>71524.822593323523</v>
      </c>
      <c r="AG111" s="31" cm="1">
        <f t="array" ref="AG111">AG$106+IF($C111&lt;&gt;0,SUMPRODUCT((AG$107:AG$108)*TRANSPOSE(($D111:$E111))),0)</f>
        <v>72275.032676598858</v>
      </c>
    </row>
    <row r="112" spans="1:43" x14ac:dyDescent="0.2">
      <c r="A112" s="1" t="str">
        <f>"sens"&amp;Assumptions!B113</f>
        <v>sens3</v>
      </c>
      <c r="C112" s="298" t="str">
        <f>Assumptions!C113</f>
        <v>Total benefits 10% higher</v>
      </c>
      <c r="D112" s="299">
        <f>Assumptions!G113</f>
        <v>0</v>
      </c>
      <c r="E112" s="299">
        <f>Assumptions!H113</f>
        <v>0.1</v>
      </c>
      <c r="G112" s="38" t="str">
        <f t="shared" si="20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-82743.894730379616</v>
      </c>
      <c r="K112" s="31" cm="1">
        <f t="array" ref="K112">K$106+IF($C112&lt;&gt;0,SUMPRODUCT((K$107:K$108)*TRANSPOSE(($D112:$E112))),0)</f>
        <v>-117546.12643564171</v>
      </c>
      <c r="L112" s="31" cm="1">
        <f t="array" ref="L112">L$106+IF($C112&lt;&gt;0,SUMPRODUCT((L$107:L$108)*TRANSPOSE(($D112:$E112))),0)</f>
        <v>-116111.41401666185</v>
      </c>
      <c r="M112" s="31" cm="1">
        <f t="array" ref="M112">M$106+IF($C112&lt;&gt;0,SUMPRODUCT((M$107:M$108)*TRANSPOSE(($D112:$E112))),0)</f>
        <v>-114639.78913836753</v>
      </c>
      <c r="N112" s="31" cm="1">
        <f t="array" ref="N112">N$106+IF($C112&lt;&gt;0,SUMPRODUCT((N$107:N$108)*TRANSPOSE(($D112:$E112))),0)</f>
        <v>-113137.42007647773</v>
      </c>
      <c r="O112" s="31" cm="1">
        <f t="array" ref="O112">O$106+IF($C112&lt;&gt;0,SUMPRODUCT((O$107:O$108)*TRANSPOSE(($D112:$E112))),0)</f>
        <v>-227825.78108631753</v>
      </c>
      <c r="P112" s="31" cm="1">
        <f t="array" ref="P112">P$106+IF($C112&lt;&gt;0,SUMPRODUCT((P$107:P$108)*TRANSPOSE(($D112:$E112))),0)</f>
        <v>50684.197332965225</v>
      </c>
      <c r="Q112" s="31" cm="1">
        <f t="array" ref="Q112">Q$106+IF($C112&lt;&gt;0,SUMPRODUCT((Q$107:Q$108)*TRANSPOSE(($D112:$E112))),0)</f>
        <v>58114.72523683653</v>
      </c>
      <c r="R112" s="31" cm="1">
        <f t="array" ref="R112">R$106+IF($C112&lt;&gt;0,SUMPRODUCT((R$107:R$108)*TRANSPOSE(($D112:$E112))),0)</f>
        <v>59652.840443357163</v>
      </c>
      <c r="S112" s="31" cm="1">
        <f t="array" ref="S112">S$106+IF($C112&lt;&gt;0,SUMPRODUCT((S$107:S$108)*TRANSPOSE(($D112:$E112))),0)</f>
        <v>60938.899976228029</v>
      </c>
      <c r="T112" s="31" cm="1">
        <f t="array" ref="T112">T$106+IF($C112&lt;&gt;0,SUMPRODUCT((T$107:T$108)*TRANSPOSE(($D112:$E112))),0)</f>
        <v>62239.587181837036</v>
      </c>
      <c r="U112" s="31" cm="1">
        <f t="array" ref="U112">U$106+IF($C112&lt;&gt;0,SUMPRODUCT((U$107:U$108)*TRANSPOSE(($D112:$E112))),0)</f>
        <v>63514.25614343302</v>
      </c>
      <c r="V112" s="31" cm="1">
        <f t="array" ref="V112">V$106+IF($C112&lt;&gt;0,SUMPRODUCT((V$107:V$108)*TRANSPOSE(($D112:$E112))),0)</f>
        <v>64831.241548121237</v>
      </c>
      <c r="W112" s="31" cm="1">
        <f t="array" ref="W112">W$106+IF($C112&lt;&gt;0,SUMPRODUCT((W$107:W$108)*TRANSPOSE(($D112:$E112))),0)</f>
        <v>66114.590649271995</v>
      </c>
      <c r="X112" s="31" cm="1">
        <f t="array" ref="X112">X$106+IF($C112&lt;&gt;0,SUMPRODUCT((X$107:X$108)*TRANSPOSE(($D112:$E112))),0)</f>
        <v>67360.650236190471</v>
      </c>
      <c r="Y112" s="31" cm="1">
        <f t="array" ref="Y112">Y$106+IF($C112&lt;&gt;0,SUMPRODUCT((Y$107:Y$108)*TRANSPOSE(($D112:$E112))),0)</f>
        <v>68566.085721086245</v>
      </c>
      <c r="Z112" s="31" cm="1">
        <f t="array" ref="Z112">Z$106+IF($C112&lt;&gt;0,SUMPRODUCT((Z$107:Z$108)*TRANSPOSE(($D112:$E112))),0)</f>
        <v>69727.968373286945</v>
      </c>
      <c r="AA112" s="31" cm="1">
        <f t="array" ref="AA112">AA$106+IF($C112&lt;&gt;0,SUMPRODUCT((AA$107:AA$108)*TRANSPOSE(($D112:$E112))),0)</f>
        <v>70843.860153779184</v>
      </c>
      <c r="AB112" s="31" cm="1">
        <f t="array" ref="AB112">AB$106+IF($C112&lt;&gt;0,SUMPRODUCT((AB$107:AB$108)*TRANSPOSE(($D112:$E112))),0)</f>
        <v>71911.893977489337</v>
      </c>
      <c r="AC112" s="31" cm="1">
        <f t="array" ref="AC112">AC$106+IF($C112&lt;&gt;0,SUMPRODUCT((AC$107:AC$108)*TRANSPOSE(($D112:$E112))),0)</f>
        <v>72930.846971707273</v>
      </c>
      <c r="AD112" s="31" cm="1">
        <f t="array" ref="AD112">AD$106+IF($C112&lt;&gt;0,SUMPRODUCT((AD$107:AD$108)*TRANSPOSE(($D112:$E112))),0)</f>
        <v>73900.204090745014</v>
      </c>
      <c r="AE112" s="31" cm="1">
        <f t="array" ref="AE112">AE$106+IF($C112&lt;&gt;0,SUMPRODUCT((AE$107:AE$108)*TRANSPOSE(($D112:$E112))),0)</f>
        <v>74820.209308071178</v>
      </c>
      <c r="AF112" s="31" cm="1">
        <f t="array" ref="AF112">AF$106+IF($C112&lt;&gt;0,SUMPRODUCT((AF$107:AF$108)*TRANSPOSE(($D112:$E112))),0)</f>
        <v>75691.901557047633</v>
      </c>
      <c r="AG112" s="31" cm="1">
        <f t="array" ref="AG112">AG$106+IF($C112&lt;&gt;0,SUMPRODUCT((AG$107:AG$108)*TRANSPOSE(($D112:$E112))),0)</f>
        <v>76517.132648650499</v>
      </c>
    </row>
    <row r="113" spans="1:33" x14ac:dyDescent="0.2">
      <c r="A113" s="1" t="str">
        <f>"sens"&amp;Assumptions!B114</f>
        <v>sens4</v>
      </c>
      <c r="C113" s="298" t="str">
        <f>Assumptions!C114</f>
        <v>Total benefits 10% lower</v>
      </c>
      <c r="D113" s="299">
        <f>Assumptions!G114</f>
        <v>0</v>
      </c>
      <c r="E113" s="299">
        <f>Assumptions!H114</f>
        <v>-0.1</v>
      </c>
      <c r="G113" s="38" t="str">
        <f t="shared" si="20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-82743.894730379616</v>
      </c>
      <c r="K113" s="31" cm="1">
        <f t="array" ref="K113">K$106+IF($C113&lt;&gt;0,SUMPRODUCT((K$107:K$108)*TRANSPOSE(($D113:$E113))),0)</f>
        <v>-118740.62019199222</v>
      </c>
      <c r="L113" s="31" cm="1">
        <f t="array" ref="L113">L$106+IF($C113&lt;&gt;0,SUMPRODUCT((L$107:L$108)*TRANSPOSE(($D113:$E113))),0)</f>
        <v>-117566.76457646323</v>
      </c>
      <c r="M113" s="31" cm="1">
        <f t="array" ref="M113">M$106+IF($C113&lt;&gt;0,SUMPRODUCT((M$107:M$108)*TRANSPOSE(($D113:$E113))),0)</f>
        <v>-116362.70785785878</v>
      </c>
      <c r="N113" s="31" cm="1">
        <f t="array" ref="N113">N$106+IF($C113&lt;&gt;0,SUMPRODUCT((N$107:N$108)*TRANSPOSE(($D113:$E113))),0)</f>
        <v>-115133.49680722169</v>
      </c>
      <c r="O113" s="31" cm="1">
        <f t="array" ref="O113">O$106+IF($C113&lt;&gt;0,SUMPRODUCT((O$107:O$108)*TRANSPOSE(($D113:$E113))),0)</f>
        <v>-230111.79065954578</v>
      </c>
      <c r="P113" s="31" cm="1">
        <f t="array" ref="P113">P$106+IF($C113&lt;&gt;0,SUMPRODUCT((P$107:P$108)*TRANSPOSE(($D113:$E113))),0)</f>
        <v>-12811.171193178412</v>
      </c>
      <c r="Q113" s="31" cm="1">
        <f t="array" ref="Q113">Q$106+IF($C113&lt;&gt;0,SUMPRODUCT((Q$107:Q$108)*TRANSPOSE(($D113:$E113))),0)</f>
        <v>-6731.6483627382549</v>
      </c>
      <c r="R113" s="31" cm="1">
        <f t="array" ref="R113">R$106+IF($C113&lt;&gt;0,SUMPRODUCT((R$107:R$108)*TRANSPOSE(($D113:$E113))),0)</f>
        <v>-5473.190466494103</v>
      </c>
      <c r="S113" s="31" cm="1">
        <f t="array" ref="S113">S$106+IF($C113&lt;&gt;0,SUMPRODUCT((S$107:S$108)*TRANSPOSE(($D113:$E113))),0)</f>
        <v>-4420.9599395997539</v>
      </c>
      <c r="T113" s="31" cm="1">
        <f t="array" ref="T113">T$106+IF($C113&lt;&gt;0,SUMPRODUCT((T$107:T$108)*TRANSPOSE(($D113:$E113))),0)</f>
        <v>-3356.7613168287498</v>
      </c>
      <c r="U113" s="31" cm="1">
        <f t="array" ref="U113">U$106+IF($C113&lt;&gt;0,SUMPRODUCT((U$107:U$108)*TRANSPOSE(($D113:$E113))),0)</f>
        <v>-2313.8503482502201</v>
      </c>
      <c r="V113" s="31" cm="1">
        <f t="array" ref="V113">V$106+IF($C113&lt;&gt;0,SUMPRODUCT((V$107:V$108)*TRANSPOSE(($D113:$E113))),0)</f>
        <v>-1236.3168353234942</v>
      </c>
      <c r="W113" s="31" cm="1">
        <f t="array" ref="W113">W$106+IF($C113&lt;&gt;0,SUMPRODUCT((W$107:W$108)*TRANSPOSE(($D113:$E113))),0)</f>
        <v>-186.30393438196188</v>
      </c>
      <c r="X113" s="31" cm="1">
        <f t="array" ref="X113">X$106+IF($C113&lt;&gt;0,SUMPRODUCT((X$107:X$108)*TRANSPOSE(($D113:$E113))),0)</f>
        <v>833.19936400587903</v>
      </c>
      <c r="Y113" s="31" cm="1">
        <f t="array" ref="Y113">Y$106+IF($C113&lt;&gt;0,SUMPRODUCT((Y$107:Y$108)*TRANSPOSE(($D113:$E113))),0)</f>
        <v>1819.4647607387815</v>
      </c>
      <c r="Z113" s="31" cm="1">
        <f t="array" ref="Z113">Z$106+IF($C113&lt;&gt;0,SUMPRODUCT((Z$107:Z$108)*TRANSPOSE(($D113:$E113))),0)</f>
        <v>2770.0960216302701</v>
      </c>
      <c r="AA113" s="31" cm="1">
        <f t="array" ref="AA113">AA$106+IF($C113&lt;&gt;0,SUMPRODUCT((AA$107:AA$108)*TRANSPOSE(($D113:$E113))),0)</f>
        <v>3683.0983874875528</v>
      </c>
      <c r="AB113" s="31" cm="1">
        <f t="array" ref="AB113">AB$106+IF($C113&lt;&gt;0,SUMPRODUCT((AB$107:AB$108)*TRANSPOSE(($D113:$E113))),0)</f>
        <v>4556.9442432504002</v>
      </c>
      <c r="AC113" s="31" cm="1">
        <f t="array" ref="AC113">AC$106+IF($C113&lt;&gt;0,SUMPRODUCT((AC$107:AC$108)*TRANSPOSE(($D113:$E113))),0)</f>
        <v>5390.6330567014302</v>
      </c>
      <c r="AD113" s="31" cm="1">
        <f t="array" ref="AD113">AD$106+IF($C113&lt;&gt;0,SUMPRODUCT((AD$107:AD$108)*TRANSPOSE(($D113:$E113))),0)</f>
        <v>6183.7434268232319</v>
      </c>
      <c r="AE113" s="31" cm="1">
        <f t="array" ref="AE113">AE$106+IF($C113&lt;&gt;0,SUMPRODUCT((AE$107:AE$108)*TRANSPOSE(($D113:$E113))),0)</f>
        <v>6936.4749682719121</v>
      </c>
      <c r="AF113" s="31" cm="1">
        <f t="array" ref="AF113">AF$106+IF($C113&lt;&gt;0,SUMPRODUCT((AF$107:AF$108)*TRANSPOSE(($D113:$E113))),0)</f>
        <v>7649.6777174344606</v>
      </c>
      <c r="AG113" s="31" cm="1">
        <f t="array" ref="AG113">AG$106+IF($C113&lt;&gt;0,SUMPRODUCT((AG$107:AG$108)*TRANSPOSE(($D113:$E113))),0)</f>
        <v>8324.866792382265</v>
      </c>
    </row>
    <row r="114" spans="1:33" x14ac:dyDescent="0.2">
      <c r="A114" s="1" t="str">
        <f>"sens"&amp;Assumptions!B115</f>
        <v>sens5</v>
      </c>
      <c r="C114" s="298" t="str">
        <f>Assumptions!C115</f>
        <v>Capex 10% higher &amp; Total benefits 10% lower</v>
      </c>
      <c r="D114" s="299">
        <f>Assumptions!G115</f>
        <v>0.1</v>
      </c>
      <c r="E114" s="299">
        <f>Assumptions!H115</f>
        <v>-0.1</v>
      </c>
      <c r="G114" s="38" t="str">
        <f t="shared" si="20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-91018.28420341757</v>
      </c>
      <c r="K114" s="31" cm="1">
        <f t="array" ref="K114">K$106+IF($C114&lt;&gt;0,SUMPRODUCT((K$107:K$108)*TRANSPOSE(($D114:$E114))),0)</f>
        <v>-131152.20440154916</v>
      </c>
      <c r="L114" s="31" cm="1">
        <f t="array" ref="L114">L$106+IF($C114&lt;&gt;0,SUMPRODUCT((L$107:L$108)*TRANSPOSE(($D114:$E114))),0)</f>
        <v>-129978.34878602017</v>
      </c>
      <c r="M114" s="31" cm="1">
        <f t="array" ref="M114">M$106+IF($C114&lt;&gt;0,SUMPRODUCT((M$107:M$108)*TRANSPOSE(($D114:$E114))),0)</f>
        <v>-128774.29206741574</v>
      </c>
      <c r="N114" s="31" cm="1">
        <f t="array" ref="N114">N$106+IF($C114&lt;&gt;0,SUMPRODUCT((N$107:N$108)*TRANSPOSE(($D114:$E114))),0)</f>
        <v>-127545.08101677863</v>
      </c>
      <c r="O114" s="31" cm="1">
        <f t="array" ref="O114">O$106+IF($C114&lt;&gt;0,SUMPRODUCT((O$107:O$108)*TRANSPOSE(($D114:$E114))),0)</f>
        <v>-254151.67403345308</v>
      </c>
      <c r="P114" s="31" cm="1">
        <f t="array" ref="P114">P$106+IF($C114&lt;&gt;0,SUMPRODUCT((P$107:P$108)*TRANSPOSE(($D114:$E114))),0)</f>
        <v>-42665.204149260891</v>
      </c>
      <c r="Q114" s="31" cm="1">
        <f t="array" ref="Q114">Q$106+IF($C114&lt;&gt;0,SUMPRODUCT((Q$107:Q$108)*TRANSPOSE(($D114:$E114))),0)</f>
        <v>-36585.681318820731</v>
      </c>
      <c r="R114" s="31" cm="1">
        <f t="array" ref="R114">R$106+IF($C114&lt;&gt;0,SUMPRODUCT((R$107:R$108)*TRANSPOSE(($D114:$E114))),0)</f>
        <v>-35327.223422576586</v>
      </c>
      <c r="S114" s="31" cm="1">
        <f t="array" ref="S114">S$106+IF($C114&lt;&gt;0,SUMPRODUCT((S$107:S$108)*TRANSPOSE(($D114:$E114))),0)</f>
        <v>-34274.992895682233</v>
      </c>
      <c r="T114" s="31" cm="1">
        <f t="array" ref="T114">T$106+IF($C114&lt;&gt;0,SUMPRODUCT((T$107:T$108)*TRANSPOSE(($D114:$E114))),0)</f>
        <v>-33210.794272911226</v>
      </c>
      <c r="U114" s="31" cm="1">
        <f t="array" ref="U114">U$106+IF($C114&lt;&gt;0,SUMPRODUCT((U$107:U$108)*TRANSPOSE(($D114:$E114))),0)</f>
        <v>-32167.883304332703</v>
      </c>
      <c r="V114" s="31" cm="1">
        <f t="array" ref="V114">V$106+IF($C114&lt;&gt;0,SUMPRODUCT((V$107:V$108)*TRANSPOSE(($D114:$E114))),0)</f>
        <v>-31090.34979140597</v>
      </c>
      <c r="W114" s="31" cm="1">
        <f t="array" ref="W114">W$106+IF($C114&lt;&gt;0,SUMPRODUCT((W$107:W$108)*TRANSPOSE(($D114:$E114))),0)</f>
        <v>-30040.336890464445</v>
      </c>
      <c r="X114" s="31" cm="1">
        <f t="array" ref="X114">X$106+IF($C114&lt;&gt;0,SUMPRODUCT((X$107:X$108)*TRANSPOSE(($D114:$E114))),0)</f>
        <v>-29020.833592076597</v>
      </c>
      <c r="Y114" s="31" cm="1">
        <f t="array" ref="Y114">Y$106+IF($C114&lt;&gt;0,SUMPRODUCT((Y$107:Y$108)*TRANSPOSE(($D114:$E114))),0)</f>
        <v>-28034.568195343702</v>
      </c>
      <c r="Z114" s="31" cm="1">
        <f t="array" ref="Z114">Z$106+IF($C114&lt;&gt;0,SUMPRODUCT((Z$107:Z$108)*TRANSPOSE(($D114:$E114))),0)</f>
        <v>-27083.936934452213</v>
      </c>
      <c r="AA114" s="31" cm="1">
        <f t="array" ref="AA114">AA$106+IF($C114&lt;&gt;0,SUMPRODUCT((AA$107:AA$108)*TRANSPOSE(($D114:$E114))),0)</f>
        <v>-26170.934568594923</v>
      </c>
      <c r="AB114" s="31" cm="1">
        <f t="array" ref="AB114">AB$106+IF($C114&lt;&gt;0,SUMPRODUCT((AB$107:AB$108)*TRANSPOSE(($D114:$E114))),0)</f>
        <v>-25297.088712832076</v>
      </c>
      <c r="AC114" s="31" cm="1">
        <f t="array" ref="AC114">AC$106+IF($C114&lt;&gt;0,SUMPRODUCT((AC$107:AC$108)*TRANSPOSE(($D114:$E114))),0)</f>
        <v>-24463.399899381053</v>
      </c>
      <c r="AD114" s="31" cm="1">
        <f t="array" ref="AD114">AD$106+IF($C114&lt;&gt;0,SUMPRODUCT((AD$107:AD$108)*TRANSPOSE(($D114:$E114))),0)</f>
        <v>-23670.289529259244</v>
      </c>
      <c r="AE114" s="31" cm="1">
        <f t="array" ref="AE114">AE$106+IF($C114&lt;&gt;0,SUMPRODUCT((AE$107:AE$108)*TRANSPOSE(($D114:$E114))),0)</f>
        <v>-22917.557987810564</v>
      </c>
      <c r="AF114" s="31" cm="1">
        <f t="array" ref="AF114">AF$106+IF($C114&lt;&gt;0,SUMPRODUCT((AF$107:AF$108)*TRANSPOSE(($D114:$E114))),0)</f>
        <v>-22204.355238648015</v>
      </c>
      <c r="AG114" s="31" cm="1">
        <f t="array" ref="AG114">AG$106+IF($C114&lt;&gt;0,SUMPRODUCT((AG$107:AG$108)*TRANSPOSE(($D114:$E114))),0)</f>
        <v>-21529.166163700211</v>
      </c>
    </row>
    <row r="115" spans="1:33" x14ac:dyDescent="0.2">
      <c r="A115" s="1" t="str">
        <f>"sens"&amp;Assumptions!B116</f>
        <v>sens</v>
      </c>
      <c r="C115" s="298">
        <f>Assumptions!C116</f>
        <v>0</v>
      </c>
      <c r="D115" s="299">
        <f>Assumptions!G116</f>
        <v>0</v>
      </c>
      <c r="E115" s="299">
        <f>Assumptions!H116</f>
        <v>0</v>
      </c>
      <c r="G115" s="38" t="str">
        <f t="shared" si="20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-82743.894730379616</v>
      </c>
      <c r="K115" s="31" cm="1">
        <f t="array" ref="K115">K$106+IF($C115&lt;&gt;0,SUMPRODUCT((K$107:K$108)*TRANSPOSE(($D115:$E115))),0)</f>
        <v>-118143.37331381696</v>
      </c>
      <c r="L115" s="31" cm="1">
        <f t="array" ref="L115">L$106+IF($C115&lt;&gt;0,SUMPRODUCT((L$107:L$108)*TRANSPOSE(($D115:$E115))),0)</f>
        <v>-116839.08929656254</v>
      </c>
      <c r="M115" s="31" cm="1">
        <f t="array" ref="M115">M$106+IF($C115&lt;&gt;0,SUMPRODUCT((M$107:M$108)*TRANSPOSE(($D115:$E115))),0)</f>
        <v>-115501.24849811316</v>
      </c>
      <c r="N115" s="31" cm="1">
        <f t="array" ref="N115">N$106+IF($C115&lt;&gt;0,SUMPRODUCT((N$107:N$108)*TRANSPOSE(($D115:$E115))),0)</f>
        <v>-114135.45844184971</v>
      </c>
      <c r="O115" s="31" cm="1">
        <f t="array" ref="O115">O$106+IF($C115&lt;&gt;0,SUMPRODUCT((O$107:O$108)*TRANSPOSE(($D115:$E115))),0)</f>
        <v>-228968.78587293165</v>
      </c>
      <c r="P115" s="31" cm="1">
        <f t="array" ref="P115">P$106+IF($C115&lt;&gt;0,SUMPRODUCT((P$107:P$108)*TRANSPOSE(($D115:$E115))),0)</f>
        <v>18936.513069893408</v>
      </c>
      <c r="Q115" s="31" cm="1">
        <f t="array" ref="Q115">Q$106+IF($C115&lt;&gt;0,SUMPRODUCT((Q$107:Q$108)*TRANSPOSE(($D115:$E115))),0)</f>
        <v>25691.538437049137</v>
      </c>
      <c r="R115" s="31" cm="1">
        <f t="array" ref="R115">R$106+IF($C115&lt;&gt;0,SUMPRODUCT((R$107:R$108)*TRANSPOSE(($D115:$E115))),0)</f>
        <v>27089.82498843153</v>
      </c>
      <c r="S115" s="31" cm="1">
        <f t="array" ref="S115">S$106+IF($C115&lt;&gt;0,SUMPRODUCT((S$107:S$108)*TRANSPOSE(($D115:$E115))),0)</f>
        <v>28258.970018314139</v>
      </c>
      <c r="T115" s="31" cm="1">
        <f t="array" ref="T115">T$106+IF($C115&lt;&gt;0,SUMPRODUCT((T$107:T$108)*TRANSPOSE(($D115:$E115))),0)</f>
        <v>29441.412932504143</v>
      </c>
      <c r="U115" s="31" cm="1">
        <f t="array" ref="U115">U$106+IF($C115&lt;&gt;0,SUMPRODUCT((U$107:U$108)*TRANSPOSE(($D115:$E115))),0)</f>
        <v>30600.2028975914</v>
      </c>
      <c r="V115" s="31" cm="1">
        <f t="array" ref="V115">V$106+IF($C115&lt;&gt;0,SUMPRODUCT((V$107:V$108)*TRANSPOSE(($D115:$E115))),0)</f>
        <v>31797.462356398872</v>
      </c>
      <c r="W115" s="31" cm="1">
        <f t="array" ref="W115">W$106+IF($C115&lt;&gt;0,SUMPRODUCT((W$107:W$108)*TRANSPOSE(($D115:$E115))),0)</f>
        <v>32964.14335744502</v>
      </c>
      <c r="X115" s="31" cm="1">
        <f t="array" ref="X115">X$106+IF($C115&lt;&gt;0,SUMPRODUCT((X$107:X$108)*TRANSPOSE(($D115:$E115))),0)</f>
        <v>34096.924800098175</v>
      </c>
      <c r="Y115" s="31" cm="1">
        <f t="array" ref="Y115">Y$106+IF($C115&lt;&gt;0,SUMPRODUCT((Y$107:Y$108)*TRANSPOSE(($D115:$E115))),0)</f>
        <v>35192.77524091251</v>
      </c>
      <c r="Z115" s="31" cm="1">
        <f t="array" ref="Z115">Z$106+IF($C115&lt;&gt;0,SUMPRODUCT((Z$107:Z$108)*TRANSPOSE(($D115:$E115))),0)</f>
        <v>36249.032197458611</v>
      </c>
      <c r="AA115" s="31" cm="1">
        <f t="array" ref="AA115">AA$106+IF($C115&lt;&gt;0,SUMPRODUCT((AA$107:AA$108)*TRANSPOSE(($D115:$E115))),0)</f>
        <v>37263.479270633368</v>
      </c>
      <c r="AB115" s="31" cm="1">
        <f t="array" ref="AB115">AB$106+IF($C115&lt;&gt;0,SUMPRODUCT((AB$107:AB$108)*TRANSPOSE(($D115:$E115))),0)</f>
        <v>38234.419110369869</v>
      </c>
      <c r="AC115" s="31" cm="1">
        <f t="array" ref="AC115">AC$106+IF($C115&lt;&gt;0,SUMPRODUCT((AC$107:AC$108)*TRANSPOSE(($D115:$E115))),0)</f>
        <v>39160.740014204348</v>
      </c>
      <c r="AD115" s="31" cm="1">
        <f t="array" ref="AD115">AD$106+IF($C115&lt;&gt;0,SUMPRODUCT((AD$107:AD$108)*TRANSPOSE(($D115:$E115))),0)</f>
        <v>40041.973758784123</v>
      </c>
      <c r="AE115" s="31" cm="1">
        <f t="array" ref="AE115">AE$106+IF($C115&lt;&gt;0,SUMPRODUCT((AE$107:AE$108)*TRANSPOSE(($D115:$E115))),0)</f>
        <v>40878.342138171545</v>
      </c>
      <c r="AF115" s="31" cm="1">
        <f t="array" ref="AF115">AF$106+IF($C115&lt;&gt;0,SUMPRODUCT((AF$107:AF$108)*TRANSPOSE(($D115:$E115))),0)</f>
        <v>41670.789637241047</v>
      </c>
      <c r="AG115" s="31" cm="1">
        <f t="array" ref="AG115">AG$106+IF($C115&lt;&gt;0,SUMPRODUCT((AG$107:AG$108)*TRANSPOSE(($D115:$E115))),0)</f>
        <v>42420.999720516382</v>
      </c>
    </row>
    <row r="116" spans="1:33" x14ac:dyDescent="0.2">
      <c r="A116" s="1" t="str">
        <f>"sens"&amp;Assumptions!B117</f>
        <v>sens</v>
      </c>
      <c r="C116" s="298">
        <f>Assumptions!C117</f>
        <v>0</v>
      </c>
      <c r="D116" s="299">
        <f>Assumptions!G117</f>
        <v>0</v>
      </c>
      <c r="E116" s="299">
        <f>Assumptions!H117</f>
        <v>0</v>
      </c>
      <c r="G116" s="38" t="str">
        <f t="shared" si="20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-82743.894730379616</v>
      </c>
      <c r="K116" s="31" cm="1">
        <f t="array" ref="K116">K$106+IF($C116&lt;&gt;0,SUMPRODUCT((K$107:K$108)*TRANSPOSE(($D116:$E116))),0)</f>
        <v>-118143.37331381696</v>
      </c>
      <c r="L116" s="31" cm="1">
        <f t="array" ref="L116">L$106+IF($C116&lt;&gt;0,SUMPRODUCT((L$107:L$108)*TRANSPOSE(($D116:$E116))),0)</f>
        <v>-116839.08929656254</v>
      </c>
      <c r="M116" s="31" cm="1">
        <f t="array" ref="M116">M$106+IF($C116&lt;&gt;0,SUMPRODUCT((M$107:M$108)*TRANSPOSE(($D116:$E116))),0)</f>
        <v>-115501.24849811316</v>
      </c>
      <c r="N116" s="31" cm="1">
        <f t="array" ref="N116">N$106+IF($C116&lt;&gt;0,SUMPRODUCT((N$107:N$108)*TRANSPOSE(($D116:$E116))),0)</f>
        <v>-114135.45844184971</v>
      </c>
      <c r="O116" s="31" cm="1">
        <f t="array" ref="O116">O$106+IF($C116&lt;&gt;0,SUMPRODUCT((O$107:O$108)*TRANSPOSE(($D116:$E116))),0)</f>
        <v>-228968.78587293165</v>
      </c>
      <c r="P116" s="31" cm="1">
        <f t="array" ref="P116">P$106+IF($C116&lt;&gt;0,SUMPRODUCT((P$107:P$108)*TRANSPOSE(($D116:$E116))),0)</f>
        <v>18936.513069893408</v>
      </c>
      <c r="Q116" s="31" cm="1">
        <f t="array" ref="Q116">Q$106+IF($C116&lt;&gt;0,SUMPRODUCT((Q$107:Q$108)*TRANSPOSE(($D116:$E116))),0)</f>
        <v>25691.538437049137</v>
      </c>
      <c r="R116" s="31" cm="1">
        <f t="array" ref="R116">R$106+IF($C116&lt;&gt;0,SUMPRODUCT((R$107:R$108)*TRANSPOSE(($D116:$E116))),0)</f>
        <v>27089.82498843153</v>
      </c>
      <c r="S116" s="31" cm="1">
        <f t="array" ref="S116">S$106+IF($C116&lt;&gt;0,SUMPRODUCT((S$107:S$108)*TRANSPOSE(($D116:$E116))),0)</f>
        <v>28258.970018314139</v>
      </c>
      <c r="T116" s="31" cm="1">
        <f t="array" ref="T116">T$106+IF($C116&lt;&gt;0,SUMPRODUCT((T$107:T$108)*TRANSPOSE(($D116:$E116))),0)</f>
        <v>29441.412932504143</v>
      </c>
      <c r="U116" s="31" cm="1">
        <f t="array" ref="U116">U$106+IF($C116&lt;&gt;0,SUMPRODUCT((U$107:U$108)*TRANSPOSE(($D116:$E116))),0)</f>
        <v>30600.2028975914</v>
      </c>
      <c r="V116" s="31" cm="1">
        <f t="array" ref="V116">V$106+IF($C116&lt;&gt;0,SUMPRODUCT((V$107:V$108)*TRANSPOSE(($D116:$E116))),0)</f>
        <v>31797.462356398872</v>
      </c>
      <c r="W116" s="31" cm="1">
        <f t="array" ref="W116">W$106+IF($C116&lt;&gt;0,SUMPRODUCT((W$107:W$108)*TRANSPOSE(($D116:$E116))),0)</f>
        <v>32964.14335744502</v>
      </c>
      <c r="X116" s="31" cm="1">
        <f t="array" ref="X116">X$106+IF($C116&lt;&gt;0,SUMPRODUCT((X$107:X$108)*TRANSPOSE(($D116:$E116))),0)</f>
        <v>34096.924800098175</v>
      </c>
      <c r="Y116" s="31" cm="1">
        <f t="array" ref="Y116">Y$106+IF($C116&lt;&gt;0,SUMPRODUCT((Y$107:Y$108)*TRANSPOSE(($D116:$E116))),0)</f>
        <v>35192.77524091251</v>
      </c>
      <c r="Z116" s="31" cm="1">
        <f t="array" ref="Z116">Z$106+IF($C116&lt;&gt;0,SUMPRODUCT((Z$107:Z$108)*TRANSPOSE(($D116:$E116))),0)</f>
        <v>36249.032197458611</v>
      </c>
      <c r="AA116" s="31" cm="1">
        <f t="array" ref="AA116">AA$106+IF($C116&lt;&gt;0,SUMPRODUCT((AA$107:AA$108)*TRANSPOSE(($D116:$E116))),0)</f>
        <v>37263.479270633368</v>
      </c>
      <c r="AB116" s="31" cm="1">
        <f t="array" ref="AB116">AB$106+IF($C116&lt;&gt;0,SUMPRODUCT((AB$107:AB$108)*TRANSPOSE(($D116:$E116))),0)</f>
        <v>38234.419110369869</v>
      </c>
      <c r="AC116" s="31" cm="1">
        <f t="array" ref="AC116">AC$106+IF($C116&lt;&gt;0,SUMPRODUCT((AC$107:AC$108)*TRANSPOSE(($D116:$E116))),0)</f>
        <v>39160.740014204348</v>
      </c>
      <c r="AD116" s="31" cm="1">
        <f t="array" ref="AD116">AD$106+IF($C116&lt;&gt;0,SUMPRODUCT((AD$107:AD$108)*TRANSPOSE(($D116:$E116))),0)</f>
        <v>40041.973758784123</v>
      </c>
      <c r="AE116" s="31" cm="1">
        <f t="array" ref="AE116">AE$106+IF($C116&lt;&gt;0,SUMPRODUCT((AE$107:AE$108)*TRANSPOSE(($D116:$E116))),0)</f>
        <v>40878.342138171545</v>
      </c>
      <c r="AF116" s="31" cm="1">
        <f t="array" ref="AF116">AF$106+IF($C116&lt;&gt;0,SUMPRODUCT((AF$107:AF$108)*TRANSPOSE(($D116:$E116))),0)</f>
        <v>41670.789637241047</v>
      </c>
      <c r="AG116" s="31" cm="1">
        <f t="array" ref="AG116">AG$106+IF($C116&lt;&gt;0,SUMPRODUCT((AG$107:AG$108)*TRANSPOSE(($D116:$E116))),0)</f>
        <v>42420.999720516382</v>
      </c>
    </row>
    <row r="117" spans="1:33" x14ac:dyDescent="0.2">
      <c r="A117" s="1" t="str">
        <f>"sens"&amp;Assumptions!B118</f>
        <v>sens</v>
      </c>
      <c r="C117" s="298">
        <f>Assumptions!C118</f>
        <v>0</v>
      </c>
      <c r="D117" s="299">
        <f>Assumptions!G118</f>
        <v>0</v>
      </c>
      <c r="E117" s="299">
        <f>Assumptions!H118</f>
        <v>0</v>
      </c>
      <c r="G117" s="38" t="str">
        <f t="shared" si="20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-82743.894730379616</v>
      </c>
      <c r="K117" s="31" cm="1">
        <f t="array" ref="K117">K$106+IF($C117&lt;&gt;0,SUMPRODUCT((K$107:K$108)*TRANSPOSE(($D117:$E117))),0)</f>
        <v>-118143.37331381696</v>
      </c>
      <c r="L117" s="31" cm="1">
        <f t="array" ref="L117">L$106+IF($C117&lt;&gt;0,SUMPRODUCT((L$107:L$108)*TRANSPOSE(($D117:$E117))),0)</f>
        <v>-116839.08929656254</v>
      </c>
      <c r="M117" s="31" cm="1">
        <f t="array" ref="M117">M$106+IF($C117&lt;&gt;0,SUMPRODUCT((M$107:M$108)*TRANSPOSE(($D117:$E117))),0)</f>
        <v>-115501.24849811316</v>
      </c>
      <c r="N117" s="31" cm="1">
        <f t="array" ref="N117">N$106+IF($C117&lt;&gt;0,SUMPRODUCT((N$107:N$108)*TRANSPOSE(($D117:$E117))),0)</f>
        <v>-114135.45844184971</v>
      </c>
      <c r="O117" s="31" cm="1">
        <f t="array" ref="O117">O$106+IF($C117&lt;&gt;0,SUMPRODUCT((O$107:O$108)*TRANSPOSE(($D117:$E117))),0)</f>
        <v>-228968.78587293165</v>
      </c>
      <c r="P117" s="31" cm="1">
        <f t="array" ref="P117">P$106+IF($C117&lt;&gt;0,SUMPRODUCT((P$107:P$108)*TRANSPOSE(($D117:$E117))),0)</f>
        <v>18936.513069893408</v>
      </c>
      <c r="Q117" s="31" cm="1">
        <f t="array" ref="Q117">Q$106+IF($C117&lt;&gt;0,SUMPRODUCT((Q$107:Q$108)*TRANSPOSE(($D117:$E117))),0)</f>
        <v>25691.538437049137</v>
      </c>
      <c r="R117" s="31" cm="1">
        <f t="array" ref="R117">R$106+IF($C117&lt;&gt;0,SUMPRODUCT((R$107:R$108)*TRANSPOSE(($D117:$E117))),0)</f>
        <v>27089.82498843153</v>
      </c>
      <c r="S117" s="31" cm="1">
        <f t="array" ref="S117">S$106+IF($C117&lt;&gt;0,SUMPRODUCT((S$107:S$108)*TRANSPOSE(($D117:$E117))),0)</f>
        <v>28258.970018314139</v>
      </c>
      <c r="T117" s="31" cm="1">
        <f t="array" ref="T117">T$106+IF($C117&lt;&gt;0,SUMPRODUCT((T$107:T$108)*TRANSPOSE(($D117:$E117))),0)</f>
        <v>29441.412932504143</v>
      </c>
      <c r="U117" s="31" cm="1">
        <f t="array" ref="U117">U$106+IF($C117&lt;&gt;0,SUMPRODUCT((U$107:U$108)*TRANSPOSE(($D117:$E117))),0)</f>
        <v>30600.2028975914</v>
      </c>
      <c r="V117" s="31" cm="1">
        <f t="array" ref="V117">V$106+IF($C117&lt;&gt;0,SUMPRODUCT((V$107:V$108)*TRANSPOSE(($D117:$E117))),0)</f>
        <v>31797.462356398872</v>
      </c>
      <c r="W117" s="31" cm="1">
        <f t="array" ref="W117">W$106+IF($C117&lt;&gt;0,SUMPRODUCT((W$107:W$108)*TRANSPOSE(($D117:$E117))),0)</f>
        <v>32964.14335744502</v>
      </c>
      <c r="X117" s="31" cm="1">
        <f t="array" ref="X117">X$106+IF($C117&lt;&gt;0,SUMPRODUCT((X$107:X$108)*TRANSPOSE(($D117:$E117))),0)</f>
        <v>34096.924800098175</v>
      </c>
      <c r="Y117" s="31" cm="1">
        <f t="array" ref="Y117">Y$106+IF($C117&lt;&gt;0,SUMPRODUCT((Y$107:Y$108)*TRANSPOSE(($D117:$E117))),0)</f>
        <v>35192.77524091251</v>
      </c>
      <c r="Z117" s="31" cm="1">
        <f t="array" ref="Z117">Z$106+IF($C117&lt;&gt;0,SUMPRODUCT((Z$107:Z$108)*TRANSPOSE(($D117:$E117))),0)</f>
        <v>36249.032197458611</v>
      </c>
      <c r="AA117" s="31" cm="1">
        <f t="array" ref="AA117">AA$106+IF($C117&lt;&gt;0,SUMPRODUCT((AA$107:AA$108)*TRANSPOSE(($D117:$E117))),0)</f>
        <v>37263.479270633368</v>
      </c>
      <c r="AB117" s="31" cm="1">
        <f t="array" ref="AB117">AB$106+IF($C117&lt;&gt;0,SUMPRODUCT((AB$107:AB$108)*TRANSPOSE(($D117:$E117))),0)</f>
        <v>38234.419110369869</v>
      </c>
      <c r="AC117" s="31" cm="1">
        <f t="array" ref="AC117">AC$106+IF($C117&lt;&gt;0,SUMPRODUCT((AC$107:AC$108)*TRANSPOSE(($D117:$E117))),0)</f>
        <v>39160.740014204348</v>
      </c>
      <c r="AD117" s="31" cm="1">
        <f t="array" ref="AD117">AD$106+IF($C117&lt;&gt;0,SUMPRODUCT((AD$107:AD$108)*TRANSPOSE(($D117:$E117))),0)</f>
        <v>40041.973758784123</v>
      </c>
      <c r="AE117" s="31" cm="1">
        <f t="array" ref="AE117">AE$106+IF($C117&lt;&gt;0,SUMPRODUCT((AE$107:AE$108)*TRANSPOSE(($D117:$E117))),0)</f>
        <v>40878.342138171545</v>
      </c>
      <c r="AF117" s="31" cm="1">
        <f t="array" ref="AF117">AF$106+IF($C117&lt;&gt;0,SUMPRODUCT((AF$107:AF$108)*TRANSPOSE(($D117:$E117))),0)</f>
        <v>41670.789637241047</v>
      </c>
      <c r="AG117" s="31" cm="1">
        <f t="array" ref="AG117">AG$106+IF($C117&lt;&gt;0,SUMPRODUCT((AG$107:AG$108)*TRANSPOSE(($D117:$E117))),0)</f>
        <v>42420.999720516382</v>
      </c>
    </row>
  </sheetData>
  <conditionalFormatting sqref="E28">
    <cfRule type="expression" dxfId="8" priority="5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43" ht="18.75" x14ac:dyDescent="0.3">
      <c r="A2" s="56" t="str">
        <f>proj</f>
        <v>EW switchboard and relay replacement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43" ht="15.75" x14ac:dyDescent="0.25">
      <c r="A3" s="201" t="s">
        <v>134</v>
      </c>
      <c r="B3" s="5"/>
      <c r="C3" s="198">
        <f>INDEX(Assumptions!$E$14:$E$18, MATCH(A3,_xlfn.ANCHORARRAY( Assumptions!$C$14),0))</f>
        <v>0</v>
      </c>
    </row>
    <row r="4" spans="1:43" x14ac:dyDescent="0.2">
      <c r="A4" s="199" t="str">
        <f>(INDEX(Data!$D$9:$D$13, MATCH(A3, options,0)))</f>
        <v>Not used</v>
      </c>
      <c r="B4" s="185"/>
      <c r="C4" s="236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7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tr">
        <f>'Option1 (base case)'!A6</f>
        <v>Count</v>
      </c>
      <c r="B6" s="97"/>
      <c r="C6" s="98"/>
      <c r="D6" s="97"/>
      <c r="E6" s="99"/>
      <c r="F6" s="99"/>
      <c r="G6" s="97"/>
      <c r="H6" s="100"/>
      <c r="I6" s="100">
        <f>'Option1 (base case)'!I6</f>
        <v>1</v>
      </c>
      <c r="J6" s="100">
        <f>'Option1 (base case)'!J6</f>
        <v>2</v>
      </c>
      <c r="K6" s="100">
        <f>'Option1 (base case)'!K6</f>
        <v>3</v>
      </c>
      <c r="L6" s="100">
        <f>'Option1 (base case)'!L6</f>
        <v>4</v>
      </c>
      <c r="M6" s="100">
        <f>'Option1 (base case)'!M6</f>
        <v>5</v>
      </c>
      <c r="N6" s="100">
        <f>'Option1 (base case)'!N6</f>
        <v>6</v>
      </c>
      <c r="O6" s="100">
        <f>'Option1 (base case)'!O6</f>
        <v>7</v>
      </c>
      <c r="P6" s="100">
        <f>'Option1 (base case)'!P6</f>
        <v>8</v>
      </c>
      <c r="Q6" s="100">
        <f>'Option1 (base case)'!Q6</f>
        <v>9</v>
      </c>
      <c r="R6" s="100">
        <f>'Option1 (base case)'!R6</f>
        <v>10</v>
      </c>
      <c r="S6" s="100">
        <f>'Option1 (base case)'!S6</f>
        <v>11</v>
      </c>
      <c r="T6" s="100">
        <f>'Option1 (base case)'!T6</f>
        <v>12</v>
      </c>
      <c r="U6" s="100">
        <f>'Option1 (base case)'!U6</f>
        <v>13</v>
      </c>
      <c r="V6" s="100">
        <f>'Option1 (base case)'!V6</f>
        <v>14</v>
      </c>
      <c r="W6" s="100">
        <f>'Option1 (base case)'!W6</f>
        <v>15</v>
      </c>
      <c r="X6" s="100">
        <f>'Option1 (base case)'!X6</f>
        <v>16</v>
      </c>
      <c r="Y6" s="100">
        <f>'Option1 (base case)'!Y6</f>
        <v>17</v>
      </c>
      <c r="Z6" s="100">
        <f>'Option1 (base case)'!Z6</f>
        <v>18</v>
      </c>
      <c r="AA6" s="100">
        <f>'Option1 (base case)'!AA6</f>
        <v>19</v>
      </c>
      <c r="AB6" s="100">
        <f>'Option1 (base case)'!AB6</f>
        <v>20</v>
      </c>
      <c r="AC6" s="100">
        <f>'Option1 (base case)'!AC6</f>
        <v>21</v>
      </c>
      <c r="AD6" s="100">
        <f>'Option1 (base case)'!AD6</f>
        <v>22</v>
      </c>
      <c r="AE6" s="100">
        <f>'Option1 (base case)'!AE6</f>
        <v>23</v>
      </c>
      <c r="AF6" s="100">
        <f>'Option1 (base case)'!AF6</f>
        <v>24</v>
      </c>
      <c r="AG6" s="100">
        <f>'Option1 (base case)'!AG6</f>
        <v>25</v>
      </c>
    </row>
    <row r="7" spans="1:43" hidden="1" outlineLevel="1" x14ac:dyDescent="0.2">
      <c r="A7" s="97" t="str">
        <f>'Option1 (base case)'!A7</f>
        <v>Value of CO2 reductions</v>
      </c>
      <c r="B7" s="97"/>
      <c r="G7" s="158" t="s">
        <v>63</v>
      </c>
      <c r="I7" s="98">
        <f>'Option1 (base case)'!I7</f>
        <v>24.730486797759085</v>
      </c>
      <c r="J7" s="98">
        <f>'Option1 (base case)'!J7</f>
        <v>22.340740091772258</v>
      </c>
      <c r="K7" s="98">
        <f>'Option1 (base case)'!K7</f>
        <v>20.196329122153124</v>
      </c>
      <c r="L7" s="98">
        <f>'Option1 (base case)'!L7</f>
        <v>18.06294207659629</v>
      </c>
      <c r="M7" s="98">
        <f>'Option1 (base case)'!M7</f>
        <v>15.913397615084225</v>
      </c>
      <c r="N7" s="98">
        <f>'Option1 (base case)'!N7</f>
        <v>13.715069432539002</v>
      </c>
      <c r="O7" s="98">
        <f>'Option1 (base case)'!O7</f>
        <v>13.715069432539002</v>
      </c>
      <c r="P7" s="98">
        <f>'Option1 (base case)'!P7</f>
        <v>13.715069432539002</v>
      </c>
      <c r="Q7" s="98">
        <f>'Option1 (base case)'!Q7</f>
        <v>13.715069432539002</v>
      </c>
      <c r="R7" s="98">
        <f>'Option1 (base case)'!R7</f>
        <v>13.715069432539002</v>
      </c>
      <c r="S7" s="98">
        <f>'Option1 (base case)'!S7</f>
        <v>13.715069432539002</v>
      </c>
      <c r="T7" s="98">
        <f>'Option1 (base case)'!T7</f>
        <v>13.715069432539002</v>
      </c>
      <c r="U7" s="98">
        <f>'Option1 (base case)'!U7</f>
        <v>13.715069432539002</v>
      </c>
      <c r="V7" s="98">
        <f>'Option1 (base case)'!V7</f>
        <v>13.715069432539002</v>
      </c>
      <c r="W7" s="98">
        <f>'Option1 (base case)'!W7</f>
        <v>13.715069432539002</v>
      </c>
      <c r="X7" s="98">
        <f>'Option1 (base case)'!X7</f>
        <v>13.715069432539002</v>
      </c>
      <c r="Y7" s="98">
        <f>'Option1 (base case)'!Y7</f>
        <v>13.715069432539002</v>
      </c>
      <c r="Z7" s="98">
        <f>'Option1 (base case)'!Z7</f>
        <v>13.715069432539002</v>
      </c>
      <c r="AA7" s="98">
        <f>'Option1 (base case)'!AA7</f>
        <v>13.715069432539002</v>
      </c>
      <c r="AB7" s="98">
        <f>'Option1 (base case)'!AB7</f>
        <v>13.715069432539002</v>
      </c>
      <c r="AC7" s="98">
        <f>'Option1 (base case)'!AC7</f>
        <v>13.715069432539002</v>
      </c>
      <c r="AD7" s="98">
        <f>'Option1 (base case)'!AD7</f>
        <v>13.715069432539002</v>
      </c>
      <c r="AE7" s="98">
        <f>'Option1 (base case)'!AE7</f>
        <v>13.715069432539002</v>
      </c>
      <c r="AF7" s="98">
        <f>'Option1 (base case)'!AF7</f>
        <v>13.715069432539002</v>
      </c>
      <c r="AG7" s="98">
        <f>'Option1 (base case)'!AG7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8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2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3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5" t="s">
        <v>69</v>
      </c>
      <c r="G13" s="204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6">
        <v>0</v>
      </c>
      <c r="G14" s="205">
        <f>input_dollars</f>
        <v>45291</v>
      </c>
      <c r="H14" s="147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6">
        <v>0</v>
      </c>
      <c r="G15" s="205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6">
        <v>0</v>
      </c>
      <c r="G16" s="205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5">
        <f>input_dollars</f>
        <v>45291</v>
      </c>
      <c r="H17" s="106"/>
      <c r="I17" s="105">
        <f t="shared" ref="I17:Q17" si="0">SUM(I14:I16)</f>
        <v>0</v>
      </c>
      <c r="J17" s="105">
        <f t="shared" si="0"/>
        <v>0</v>
      </c>
      <c r="K17" s="105">
        <f t="shared" si="0"/>
        <v>0</v>
      </c>
      <c r="L17" s="105">
        <f t="shared" si="0"/>
        <v>0</v>
      </c>
      <c r="M17" s="105">
        <f t="shared" si="0"/>
        <v>0</v>
      </c>
      <c r="N17" s="105">
        <f t="shared" si="0"/>
        <v>0</v>
      </c>
      <c r="O17" s="105">
        <f t="shared" si="0"/>
        <v>0</v>
      </c>
      <c r="P17" s="105">
        <f t="shared" si="0"/>
        <v>0</v>
      </c>
      <c r="Q17" s="105">
        <f t="shared" si="0"/>
        <v>0</v>
      </c>
      <c r="R17" s="105">
        <f t="shared" ref="R17:AG17" si="1">SUM(R14:R16)</f>
        <v>0</v>
      </c>
      <c r="S17" s="105">
        <f t="shared" si="1"/>
        <v>0</v>
      </c>
      <c r="T17" s="105">
        <f t="shared" si="1"/>
        <v>0</v>
      </c>
      <c r="U17" s="105">
        <f t="shared" si="1"/>
        <v>0</v>
      </c>
      <c r="V17" s="105">
        <f t="shared" si="1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 t="shared" si="1"/>
        <v>0</v>
      </c>
      <c r="AD17" s="105">
        <f t="shared" si="1"/>
        <v>0</v>
      </c>
      <c r="AE17" s="105">
        <f t="shared" si="1"/>
        <v>0</v>
      </c>
      <c r="AF17" s="105">
        <f t="shared" si="1"/>
        <v>0</v>
      </c>
      <c r="AG17" s="105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4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05">
        <f>input_dollars</f>
        <v>45291</v>
      </c>
      <c r="H19" s="106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/>
      <c r="AI19"/>
      <c r="AJ19"/>
      <c r="AK19"/>
      <c r="AL19"/>
      <c r="AM19"/>
    </row>
    <row r="20" spans="1:43" x14ac:dyDescent="0.2">
      <c r="G20" s="203"/>
      <c r="AH20"/>
      <c r="AI20"/>
      <c r="AJ20"/>
      <c r="AK20"/>
      <c r="AL20"/>
      <c r="AM20"/>
    </row>
    <row r="21" spans="1:43" x14ac:dyDescent="0.2">
      <c r="C21"/>
      <c r="D21"/>
      <c r="E21"/>
      <c r="G21" s="204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2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06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151</v>
      </c>
      <c r="D24" s="110"/>
      <c r="E24" s="110"/>
      <c r="F24" s="110"/>
      <c r="G24" s="206"/>
      <c r="H24" s="110"/>
      <c r="I24" s="166">
        <v>0</v>
      </c>
      <c r="J24" s="166">
        <v>0</v>
      </c>
      <c r="K24" s="166">
        <v>0</v>
      </c>
      <c r="L24" s="166">
        <v>0</v>
      </c>
      <c r="M24" s="166">
        <v>0</v>
      </c>
      <c r="N24" s="166">
        <v>0</v>
      </c>
      <c r="O24" s="166">
        <v>0</v>
      </c>
      <c r="P24" s="166">
        <v>0</v>
      </c>
      <c r="Q24" s="166">
        <v>0</v>
      </c>
      <c r="R24" s="166">
        <v>0</v>
      </c>
      <c r="S24" s="166">
        <v>0</v>
      </c>
      <c r="T24" s="166">
        <v>0</v>
      </c>
      <c r="U24" s="167">
        <v>0</v>
      </c>
      <c r="V24" s="167">
        <v>0</v>
      </c>
      <c r="W24" s="167">
        <v>0</v>
      </c>
      <c r="X24" s="167">
        <v>0</v>
      </c>
      <c r="Y24" s="167">
        <v>0</v>
      </c>
      <c r="Z24" s="167">
        <v>0</v>
      </c>
      <c r="AA24" s="167">
        <v>0</v>
      </c>
      <c r="AB24" s="167">
        <v>0</v>
      </c>
      <c r="AC24" s="167">
        <v>0</v>
      </c>
      <c r="AD24" s="167">
        <v>0</v>
      </c>
      <c r="AE24" s="167">
        <v>0</v>
      </c>
      <c r="AF24" s="167">
        <v>0</v>
      </c>
      <c r="AG24" s="167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152</v>
      </c>
      <c r="D25" s="206"/>
      <c r="E25" s="110"/>
      <c r="F25" s="110"/>
      <c r="G25" s="206"/>
      <c r="H25" s="110"/>
      <c r="I25" s="167">
        <v>0</v>
      </c>
      <c r="J25" s="167">
        <v>0</v>
      </c>
      <c r="K25" s="167">
        <v>0</v>
      </c>
      <c r="L25" s="167">
        <v>0</v>
      </c>
      <c r="M25" s="167">
        <v>0</v>
      </c>
      <c r="N25" s="166">
        <v>0</v>
      </c>
      <c r="O25" s="166">
        <v>0</v>
      </c>
      <c r="P25" s="166">
        <v>0</v>
      </c>
      <c r="Q25" s="166">
        <v>0</v>
      </c>
      <c r="R25" s="166">
        <v>0</v>
      </c>
      <c r="S25" s="166">
        <v>0</v>
      </c>
      <c r="T25" s="166">
        <v>0</v>
      </c>
      <c r="U25" s="167">
        <v>0</v>
      </c>
      <c r="V25" s="167">
        <v>0</v>
      </c>
      <c r="W25" s="167">
        <v>0</v>
      </c>
      <c r="X25" s="167">
        <v>0</v>
      </c>
      <c r="Y25" s="167">
        <v>0</v>
      </c>
      <c r="Z25" s="167">
        <v>0</v>
      </c>
      <c r="AA25" s="167">
        <v>0</v>
      </c>
      <c r="AB25" s="167">
        <v>0</v>
      </c>
      <c r="AC25" s="167">
        <v>0</v>
      </c>
      <c r="AD25" s="167">
        <v>0</v>
      </c>
      <c r="AE25" s="167">
        <v>0</v>
      </c>
      <c r="AF25" s="167">
        <v>0</v>
      </c>
      <c r="AG25" s="167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06"/>
      <c r="E26" s="110"/>
      <c r="F26" s="110"/>
      <c r="G26" s="206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3"/>
      <c r="E27"/>
      <c r="G27" s="205" t="s">
        <v>40</v>
      </c>
      <c r="H27"/>
      <c r="I27" s="166">
        <v>0</v>
      </c>
      <c r="J27" s="166">
        <v>0</v>
      </c>
      <c r="K27" s="166">
        <v>0</v>
      </c>
      <c r="L27" s="166">
        <v>0</v>
      </c>
      <c r="M27" s="166">
        <v>0</v>
      </c>
      <c r="N27" s="166">
        <v>0</v>
      </c>
      <c r="O27" s="166">
        <v>0</v>
      </c>
      <c r="P27" s="166">
        <v>0</v>
      </c>
      <c r="Q27" s="166">
        <v>0</v>
      </c>
      <c r="R27" s="166">
        <v>0</v>
      </c>
      <c r="S27" s="166">
        <v>0</v>
      </c>
      <c r="T27" s="166">
        <v>0</v>
      </c>
      <c r="U27" s="166">
        <v>0</v>
      </c>
      <c r="V27" s="166">
        <v>0</v>
      </c>
      <c r="W27" s="166">
        <v>0</v>
      </c>
      <c r="X27" s="166">
        <v>0</v>
      </c>
      <c r="Y27" s="166">
        <v>0</v>
      </c>
      <c r="Z27" s="166">
        <v>0</v>
      </c>
      <c r="AA27" s="166">
        <v>0</v>
      </c>
      <c r="AB27" s="166">
        <v>0</v>
      </c>
      <c r="AC27" s="166">
        <v>0</v>
      </c>
      <c r="AD27" s="166">
        <v>0</v>
      </c>
      <c r="AE27" s="166">
        <v>0</v>
      </c>
      <c r="AF27" s="166">
        <v>0</v>
      </c>
      <c r="AG27" s="166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3" t="s">
        <v>63</v>
      </c>
      <c r="E28" s="112">
        <f>Assumptions!H41*vcr_esc</f>
        <v>32343.394611205291</v>
      </c>
      <c r="F28" s="236" t="str">
        <f>IF(AND(SUM(I27:AG27)&lt;&gt;0, E28=0), "!", "")</f>
        <v/>
      </c>
      <c r="G28" s="205">
        <f>input_dollars</f>
        <v>45291</v>
      </c>
      <c r="H28"/>
      <c r="I28" s="118">
        <f>I27*$E$28</f>
        <v>0</v>
      </c>
      <c r="J28" s="118">
        <f t="shared" ref="J28:AG28" si="2">J27*$E$28</f>
        <v>0</v>
      </c>
      <c r="K28" s="118">
        <f t="shared" si="2"/>
        <v>0</v>
      </c>
      <c r="L28" s="118">
        <f t="shared" si="2"/>
        <v>0</v>
      </c>
      <c r="M28" s="118">
        <f t="shared" si="2"/>
        <v>0</v>
      </c>
      <c r="N28" s="118">
        <f t="shared" si="2"/>
        <v>0</v>
      </c>
      <c r="O28" s="118">
        <f t="shared" si="2"/>
        <v>0</v>
      </c>
      <c r="P28" s="118">
        <f t="shared" si="2"/>
        <v>0</v>
      </c>
      <c r="Q28" s="118">
        <f t="shared" si="2"/>
        <v>0</v>
      </c>
      <c r="R28" s="118">
        <f t="shared" si="2"/>
        <v>0</v>
      </c>
      <c r="S28" s="118">
        <f t="shared" si="2"/>
        <v>0</v>
      </c>
      <c r="T28" s="118">
        <f t="shared" si="2"/>
        <v>0</v>
      </c>
      <c r="U28" s="118">
        <f t="shared" si="2"/>
        <v>0</v>
      </c>
      <c r="V28" s="118">
        <f t="shared" si="2"/>
        <v>0</v>
      </c>
      <c r="W28" s="118">
        <f t="shared" si="2"/>
        <v>0</v>
      </c>
      <c r="X28" s="118">
        <f t="shared" si="2"/>
        <v>0</v>
      </c>
      <c r="Y28" s="118">
        <f t="shared" si="2"/>
        <v>0</v>
      </c>
      <c r="Z28" s="118">
        <f t="shared" si="2"/>
        <v>0</v>
      </c>
      <c r="AA28" s="118">
        <f t="shared" si="2"/>
        <v>0</v>
      </c>
      <c r="AB28" s="118">
        <f t="shared" si="2"/>
        <v>0</v>
      </c>
      <c r="AC28" s="118">
        <f t="shared" si="2"/>
        <v>0</v>
      </c>
      <c r="AD28" s="118">
        <f t="shared" si="2"/>
        <v>0</v>
      </c>
      <c r="AE28" s="118">
        <f t="shared" si="2"/>
        <v>0</v>
      </c>
      <c r="AF28" s="118">
        <f t="shared" si="2"/>
        <v>0</v>
      </c>
      <c r="AG28" s="11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4"/>
      <c r="E29"/>
      <c r="G29" s="205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3" t="s">
        <v>208</v>
      </c>
      <c r="G30" s="205">
        <f>input_dollars</f>
        <v>45291</v>
      </c>
      <c r="H30" s="147"/>
      <c r="I30" s="168" cm="1">
        <f t="array" ref="I30">SUMPRODUCT((Assumptions!$H$70:$H$71)*(Assumptions!$G$70:$G$71)*(Assumptions!$I$70:$I$71)*(I$24:I$25))</f>
        <v>0</v>
      </c>
      <c r="J30" s="168" cm="1">
        <f t="array" ref="J30">SUMPRODUCT((Assumptions!$H$70:$H$71)*(Assumptions!$G$70:$G$71)*(Assumptions!$I$70:$I$71)*(J$24:J$25))</f>
        <v>0</v>
      </c>
      <c r="K30" s="168" cm="1">
        <f t="array" ref="K30">SUMPRODUCT((Assumptions!$H$70:$H$71)*(Assumptions!$G$70:$G$71)*(Assumptions!$I$70:$I$71)*(K$24:K$25))</f>
        <v>0</v>
      </c>
      <c r="L30" s="168" cm="1">
        <f t="array" ref="L30">SUMPRODUCT((Assumptions!$H$70:$H$71)*(Assumptions!$G$70:$G$71)*(Assumptions!$I$70:$I$71)*(L$24:L$25))</f>
        <v>0</v>
      </c>
      <c r="M30" s="168" cm="1">
        <f t="array" ref="M30">SUMPRODUCT((Assumptions!$H$70:$H$71)*(Assumptions!$G$70:$G$71)*(Assumptions!$I$70:$I$71)*(M$24:M$25))</f>
        <v>0</v>
      </c>
      <c r="N30" s="168" cm="1">
        <f t="array" ref="N30">SUMPRODUCT((Assumptions!$H$70:$H$71)*(Assumptions!$G$70:$G$71)*(Assumptions!$I$70:$I$71)*(N$24:N$25))</f>
        <v>0</v>
      </c>
      <c r="O30" s="168" cm="1">
        <f t="array" ref="O30">SUMPRODUCT((Assumptions!$H$70:$H$71)*(Assumptions!$G$70:$G$71)*(Assumptions!$I$70:$I$71)*(O$24:O$25))</f>
        <v>0</v>
      </c>
      <c r="P30" s="168" cm="1">
        <f t="array" ref="P30">SUMPRODUCT((Assumptions!$H$70:$H$71)*(Assumptions!$G$70:$G$71)*(Assumptions!$I$70:$I$71)*(P$24:P$25))</f>
        <v>0</v>
      </c>
      <c r="Q30" s="168" cm="1">
        <f t="array" ref="Q30">SUMPRODUCT((Assumptions!$H$70:$H$71)*(Assumptions!$G$70:$G$71)*(Assumptions!$I$70:$I$71)*(Q$24:Q$25))</f>
        <v>0</v>
      </c>
      <c r="R30" s="168" cm="1">
        <f t="array" ref="R30">SUMPRODUCT((Assumptions!$H$70:$H$71)*(Assumptions!$G$70:$G$71)*(Assumptions!$I$70:$I$71)*(R$24:R$25))</f>
        <v>0</v>
      </c>
      <c r="S30" s="168" cm="1">
        <f t="array" ref="S30">SUMPRODUCT((Assumptions!$H$70:$H$71)*(Assumptions!$G$70:$G$71)*(Assumptions!$I$70:$I$71)*(S$24:S$25))</f>
        <v>0</v>
      </c>
      <c r="T30" s="168" cm="1">
        <f t="array" ref="T30">SUMPRODUCT((Assumptions!$H$70:$H$71)*(Assumptions!$G$70:$G$71)*(Assumptions!$I$70:$I$71)*(T$24:T$25))</f>
        <v>0</v>
      </c>
      <c r="U30" s="168" cm="1">
        <f t="array" ref="U30">SUMPRODUCT((Assumptions!$H$70:$H$71)*(Assumptions!$G$70:$G$71)*(Assumptions!$I$70:$I$71)*(U$24:U$25))</f>
        <v>0</v>
      </c>
      <c r="V30" s="168" cm="1">
        <f t="array" ref="V30">SUMPRODUCT((Assumptions!$H$70:$H$71)*(Assumptions!$G$70:$G$71)*(Assumptions!$I$70:$I$71)*(V$24:V$25))</f>
        <v>0</v>
      </c>
      <c r="W30" s="168" cm="1">
        <f t="array" ref="W30">SUMPRODUCT((Assumptions!$H$70:$H$71)*(Assumptions!$G$70:$G$71)*(Assumptions!$I$70:$I$71)*(W$24:W$25))</f>
        <v>0</v>
      </c>
      <c r="X30" s="168" cm="1">
        <f t="array" ref="X30">SUMPRODUCT((Assumptions!$H$70:$H$71)*(Assumptions!$G$70:$G$71)*(Assumptions!$I$70:$I$71)*(X$24:X$25))</f>
        <v>0</v>
      </c>
      <c r="Y30" s="168" cm="1">
        <f t="array" ref="Y30">SUMPRODUCT((Assumptions!$H$70:$H$71)*(Assumptions!$G$70:$G$71)*(Assumptions!$I$70:$I$71)*(Y$24:Y$25))</f>
        <v>0</v>
      </c>
      <c r="Z30" s="168" cm="1">
        <f t="array" ref="Z30">SUMPRODUCT((Assumptions!$H$70:$H$71)*(Assumptions!$G$70:$G$71)*(Assumptions!$I$70:$I$71)*(Z$24:Z$25))</f>
        <v>0</v>
      </c>
      <c r="AA30" s="168" cm="1">
        <f t="array" ref="AA30">SUMPRODUCT((Assumptions!$H$70:$H$71)*(Assumptions!$G$70:$G$71)*(Assumptions!$I$70:$I$71)*(AA$24:AA$25))</f>
        <v>0</v>
      </c>
      <c r="AB30" s="168" cm="1">
        <f t="array" ref="AB30">SUMPRODUCT((Assumptions!$H$70:$H$71)*(Assumptions!$G$70:$G$71)*(Assumptions!$I$70:$I$71)*(AB$24:AB$25))</f>
        <v>0</v>
      </c>
      <c r="AC30" s="168" cm="1">
        <f t="array" ref="AC30">SUMPRODUCT((Assumptions!$H$70:$H$71)*(Assumptions!$G$70:$G$71)*(Assumptions!$I$70:$I$71)*(AC$24:AC$25))</f>
        <v>0</v>
      </c>
      <c r="AD30" s="168" cm="1">
        <f t="array" ref="AD30">SUMPRODUCT((Assumptions!$H$70:$H$71)*(Assumptions!$G$70:$G$71)*(Assumptions!$I$70:$I$71)*(AD$24:AD$25))</f>
        <v>0</v>
      </c>
      <c r="AE30" s="168" cm="1">
        <f t="array" ref="AE30">SUMPRODUCT((Assumptions!$H$70:$H$71)*(Assumptions!$G$70:$G$71)*(Assumptions!$I$70:$I$71)*(AE$24:AE$25))</f>
        <v>0</v>
      </c>
      <c r="AF30" s="168" cm="1">
        <f t="array" ref="AF30">SUMPRODUCT((Assumptions!$H$70:$H$71)*(Assumptions!$G$70:$G$71)*(Assumptions!$I$70:$I$71)*(AF$24:AF$25))</f>
        <v>0</v>
      </c>
      <c r="AG30" s="168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4"/>
      <c r="E31"/>
      <c r="G31" s="205">
        <f>input_dollars</f>
        <v>45291</v>
      </c>
      <c r="H31" s="147"/>
      <c r="I31" s="168" cm="1">
        <f t="array" ref="I31">(1+Assumptions!$G$81)*SUMPRODUCT((Assumptions!$G$78:$G$79)*(I$24:I$25))</f>
        <v>0</v>
      </c>
      <c r="J31" s="168" cm="1">
        <f t="array" ref="J31">(1+Assumptions!$G$81)*SUMPRODUCT((Assumptions!$G$78:$G$79)*(J$24:J$25))</f>
        <v>0</v>
      </c>
      <c r="K31" s="168" cm="1">
        <f t="array" ref="K31">(1+Assumptions!$G$81)*SUMPRODUCT((Assumptions!$G$78:$G$79)*(K$24:K$25))</f>
        <v>0</v>
      </c>
      <c r="L31" s="168" cm="1">
        <f t="array" ref="L31">(1+Assumptions!$G$81)*SUMPRODUCT((Assumptions!$G$78:$G$79)*(L$24:L$25))</f>
        <v>0</v>
      </c>
      <c r="M31" s="168" cm="1">
        <f t="array" ref="M31">(1+Assumptions!$G$81)*SUMPRODUCT((Assumptions!$G$78:$G$79)*(M$24:M$25))</f>
        <v>0</v>
      </c>
      <c r="N31" s="168" cm="1">
        <f t="array" ref="N31">(1+Assumptions!$G$81)*SUMPRODUCT((Assumptions!$G$78:$G$79)*(N$24:N$25))</f>
        <v>0</v>
      </c>
      <c r="O31" s="168" cm="1">
        <f t="array" ref="O31">(1+Assumptions!$G$81)*SUMPRODUCT((Assumptions!$G$78:$G$79)*(O$24:O$25))</f>
        <v>0</v>
      </c>
      <c r="P31" s="168" cm="1">
        <f t="array" ref="P31">(1+Assumptions!$G$81)*SUMPRODUCT((Assumptions!$G$78:$G$79)*(P$24:P$25))</f>
        <v>0</v>
      </c>
      <c r="Q31" s="168" cm="1">
        <f t="array" ref="Q31">(1+Assumptions!$G$81)*SUMPRODUCT((Assumptions!$G$78:$G$79)*(Q$24:Q$25))</f>
        <v>0</v>
      </c>
      <c r="R31" s="168" cm="1">
        <f t="array" ref="R31">(1+Assumptions!$G$81)*SUMPRODUCT((Assumptions!$G$78:$G$79)*(R$24:R$25))</f>
        <v>0</v>
      </c>
      <c r="S31" s="168" cm="1">
        <f t="array" ref="S31">(1+Assumptions!$G$81)*SUMPRODUCT((Assumptions!$G$78:$G$79)*(S$24:S$25))</f>
        <v>0</v>
      </c>
      <c r="T31" s="168" cm="1">
        <f t="array" ref="T31">(1+Assumptions!$G$81)*SUMPRODUCT((Assumptions!$G$78:$G$79)*(T$24:T$25))</f>
        <v>0</v>
      </c>
      <c r="U31" s="168" cm="1">
        <f t="array" ref="U31">(1+Assumptions!$G$81)*SUMPRODUCT((Assumptions!$G$78:$G$79)*(U$24:U$25))</f>
        <v>0</v>
      </c>
      <c r="V31" s="168" cm="1">
        <f t="array" ref="V31">(1+Assumptions!$G$81)*SUMPRODUCT((Assumptions!$G$78:$G$79)*(V$24:V$25))</f>
        <v>0</v>
      </c>
      <c r="W31" s="168" cm="1">
        <f t="array" ref="W31">(1+Assumptions!$G$81)*SUMPRODUCT((Assumptions!$G$78:$G$79)*(W$24:W$25))</f>
        <v>0</v>
      </c>
      <c r="X31" s="168" cm="1">
        <f t="array" ref="X31">(1+Assumptions!$G$81)*SUMPRODUCT((Assumptions!$G$78:$G$79)*(X$24:X$25))</f>
        <v>0</v>
      </c>
      <c r="Y31" s="168" cm="1">
        <f t="array" ref="Y31">(1+Assumptions!$G$81)*SUMPRODUCT((Assumptions!$G$78:$G$79)*(Y$24:Y$25))</f>
        <v>0</v>
      </c>
      <c r="Z31" s="168" cm="1">
        <f t="array" ref="Z31">(1+Assumptions!$G$81)*SUMPRODUCT((Assumptions!$G$78:$G$79)*(Z$24:Z$25))</f>
        <v>0</v>
      </c>
      <c r="AA31" s="168" cm="1">
        <f t="array" ref="AA31">(1+Assumptions!$G$81)*SUMPRODUCT((Assumptions!$G$78:$G$79)*(AA$24:AA$25))</f>
        <v>0</v>
      </c>
      <c r="AB31" s="168" cm="1">
        <f t="array" ref="AB31">(1+Assumptions!$G$81)*SUMPRODUCT((Assumptions!$G$78:$G$79)*(AB$24:AB$25))</f>
        <v>0</v>
      </c>
      <c r="AC31" s="168" cm="1">
        <f t="array" ref="AC31">(1+Assumptions!$G$81)*SUMPRODUCT((Assumptions!$G$78:$G$79)*(AC$24:AC$25))</f>
        <v>0</v>
      </c>
      <c r="AD31" s="168" cm="1">
        <f t="array" ref="AD31">(1+Assumptions!$G$81)*SUMPRODUCT((Assumptions!$G$78:$G$79)*(AD$24:AD$25))</f>
        <v>0</v>
      </c>
      <c r="AE31" s="168" cm="1">
        <f t="array" ref="AE31">(1+Assumptions!$G$81)*SUMPRODUCT((Assumptions!$G$78:$G$79)*(AE$24:AE$25))</f>
        <v>0</v>
      </c>
      <c r="AF31" s="168" cm="1">
        <f t="array" ref="AF31">(1+Assumptions!$G$81)*SUMPRODUCT((Assumptions!$G$78:$G$79)*(AF$24:AF$25))</f>
        <v>0</v>
      </c>
      <c r="AG31" s="168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3" t="s">
        <v>208</v>
      </c>
      <c r="E32"/>
      <c r="G32" s="205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5">
        <v>0</v>
      </c>
      <c r="S32" s="135">
        <v>0</v>
      </c>
      <c r="T32" s="135">
        <v>0</v>
      </c>
      <c r="U32" s="135">
        <v>0</v>
      </c>
      <c r="V32" s="135">
        <v>0</v>
      </c>
      <c r="W32" s="135">
        <v>0</v>
      </c>
      <c r="X32" s="135">
        <v>0</v>
      </c>
      <c r="Y32" s="135">
        <v>0</v>
      </c>
      <c r="Z32" s="135">
        <v>0</v>
      </c>
      <c r="AA32" s="135">
        <v>0</v>
      </c>
      <c r="AB32" s="135">
        <v>0</v>
      </c>
      <c r="AC32" s="135">
        <v>0</v>
      </c>
      <c r="AD32" s="135">
        <v>0</v>
      </c>
      <c r="AE32" s="135">
        <v>0</v>
      </c>
      <c r="AF32" s="135">
        <v>0</v>
      </c>
      <c r="AG32" s="135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2" t="s">
        <v>173</v>
      </c>
      <c r="D33" s="217"/>
      <c r="E33"/>
      <c r="G33" s="205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2" t="s">
        <v>173</v>
      </c>
      <c r="D34" s="204"/>
      <c r="E34"/>
      <c r="G34" s="205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4"/>
      <c r="E35"/>
      <c r="G35" s="20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6"/>
      <c r="E36" s="106"/>
      <c r="F36" s="3"/>
      <c r="G36" s="207"/>
      <c r="H36" s="106"/>
      <c r="I36" s="168">
        <f>SUM(I28:I34)</f>
        <v>0</v>
      </c>
      <c r="J36" s="168">
        <f t="shared" ref="J36:AG36" si="3">SUM(J28:J34)</f>
        <v>0</v>
      </c>
      <c r="K36" s="168">
        <f t="shared" si="3"/>
        <v>0</v>
      </c>
      <c r="L36" s="168">
        <f t="shared" si="3"/>
        <v>0</v>
      </c>
      <c r="M36" s="168">
        <f t="shared" si="3"/>
        <v>0</v>
      </c>
      <c r="N36" s="168">
        <f t="shared" si="3"/>
        <v>0</v>
      </c>
      <c r="O36" s="168">
        <f t="shared" si="3"/>
        <v>0</v>
      </c>
      <c r="P36" s="168">
        <f t="shared" si="3"/>
        <v>0</v>
      </c>
      <c r="Q36" s="168">
        <f t="shared" si="3"/>
        <v>0</v>
      </c>
      <c r="R36" s="168">
        <f t="shared" si="3"/>
        <v>0</v>
      </c>
      <c r="S36" s="168">
        <f t="shared" si="3"/>
        <v>0</v>
      </c>
      <c r="T36" s="168">
        <f t="shared" si="3"/>
        <v>0</v>
      </c>
      <c r="U36" s="168">
        <f t="shared" si="3"/>
        <v>0</v>
      </c>
      <c r="V36" s="168">
        <f t="shared" si="3"/>
        <v>0</v>
      </c>
      <c r="W36" s="168">
        <f t="shared" si="3"/>
        <v>0</v>
      </c>
      <c r="X36" s="168">
        <f t="shared" si="3"/>
        <v>0</v>
      </c>
      <c r="Y36" s="168">
        <f t="shared" si="3"/>
        <v>0</v>
      </c>
      <c r="Z36" s="168">
        <f t="shared" si="3"/>
        <v>0</v>
      </c>
      <c r="AA36" s="168">
        <f t="shared" si="3"/>
        <v>0</v>
      </c>
      <c r="AB36" s="168">
        <f t="shared" si="3"/>
        <v>0</v>
      </c>
      <c r="AC36" s="168">
        <f t="shared" si="3"/>
        <v>0</v>
      </c>
      <c r="AD36" s="168">
        <f t="shared" si="3"/>
        <v>0</v>
      </c>
      <c r="AE36" s="168">
        <f t="shared" si="3"/>
        <v>0</v>
      </c>
      <c r="AF36" s="168">
        <f t="shared" si="3"/>
        <v>0</v>
      </c>
      <c r="AG36" s="168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5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2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5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5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3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3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5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4"/>
      <c r="E44"/>
      <c r="G44" s="205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3" t="s">
        <v>63</v>
      </c>
      <c r="E45" s="112">
        <f>Assumptions!G94</f>
        <v>0</v>
      </c>
      <c r="G45" s="205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3" t="s">
        <v>63</v>
      </c>
      <c r="E46" s="112">
        <f>Assumptions!G95</f>
        <v>38560</v>
      </c>
      <c r="G46" s="205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3" t="s">
        <v>63</v>
      </c>
      <c r="E47" s="111">
        <f>Assumptions!G96</f>
        <v>862.60284529259377</v>
      </c>
      <c r="G47" s="205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3" t="s">
        <v>126</v>
      </c>
      <c r="E48" s="111">
        <f>Assumptions!G97</f>
        <v>0</v>
      </c>
      <c r="G48" s="205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3" t="s">
        <v>206</v>
      </c>
      <c r="E49" s="111">
        <f>Assumptions!G98</f>
        <v>0.34750851315331577</v>
      </c>
      <c r="G49" s="205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3" t="s">
        <v>206</v>
      </c>
      <c r="E50" s="111">
        <f>Assumptions!G99</f>
        <v>0.34750851315331577</v>
      </c>
      <c r="G50" s="205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3" t="s">
        <v>126</v>
      </c>
      <c r="E51" s="111">
        <f>Assumptions!G100</f>
        <v>0</v>
      </c>
      <c r="G51" s="205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3" t="s">
        <v>126</v>
      </c>
      <c r="E52" s="111">
        <f>Assumptions!G101</f>
        <v>0</v>
      </c>
      <c r="G52" s="205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3"/>
      <c r="G53" s="205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3"/>
      <c r="G54" s="205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3"/>
      <c r="G55" s="205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3"/>
      <c r="G56" s="203"/>
    </row>
    <row r="57" spans="1:43" x14ac:dyDescent="0.2">
      <c r="C57" s="3" t="s">
        <v>125</v>
      </c>
      <c r="D57" s="216"/>
      <c r="E57" s="106"/>
      <c r="F57" s="3"/>
      <c r="G57" s="205">
        <f>input_dollars</f>
        <v>45291</v>
      </c>
      <c r="H57" s="106"/>
      <c r="I57" s="168" cm="1">
        <f t="array" ref="I57">SUMPRODUCT((I$45:I$52)*($E$45:$E$52))+SUM(I54:I55)+I42</f>
        <v>0</v>
      </c>
      <c r="J57" s="168" cm="1">
        <f t="array" ref="J57">SUMPRODUCT((J$45:J$52)*($E$45:$E$52))+SUM(J54:J55)+J42</f>
        <v>0</v>
      </c>
      <c r="K57" s="168" cm="1">
        <f t="array" ref="K57">SUMPRODUCT((K$45:K$52)*($E$45:$E$52))+SUM(K54:K55)+K42</f>
        <v>0</v>
      </c>
      <c r="L57" s="168" cm="1">
        <f t="array" ref="L57">SUMPRODUCT((L$45:L$52)*($E$45:$E$52))+SUM(L54:L55)+L42</f>
        <v>0</v>
      </c>
      <c r="M57" s="168" cm="1">
        <f t="array" ref="M57">SUMPRODUCT((M$45:M$52)*($E$45:$E$52))+SUM(M54:M55)+M42</f>
        <v>0</v>
      </c>
      <c r="N57" s="168" cm="1">
        <f t="array" ref="N57">SUMPRODUCT((N$45:N$52)*($E$45:$E$52))+SUM(N54:N55)+N42</f>
        <v>0</v>
      </c>
      <c r="O57" s="168" cm="1">
        <f t="array" ref="O57">SUMPRODUCT((O$45:O$52)*($E$45:$E$52))+SUM(O54:O55)+O42</f>
        <v>0</v>
      </c>
      <c r="P57" s="168" cm="1">
        <f t="array" ref="P57">SUMPRODUCT((P$45:P$52)*($E$45:$E$52))+SUM(P54:P55)+P42</f>
        <v>0</v>
      </c>
      <c r="Q57" s="168" cm="1">
        <f t="array" ref="Q57">SUMPRODUCT((Q$45:Q$52)*($E$45:$E$52))+SUM(Q54:Q55)+Q42</f>
        <v>0</v>
      </c>
      <c r="R57" s="168" cm="1">
        <f t="array" ref="R57">SUMPRODUCT((R$45:R$52)*($E$45:$E$52))+SUM(R54:R55)+R42</f>
        <v>0</v>
      </c>
      <c r="S57" s="168" cm="1">
        <f t="array" ref="S57">SUMPRODUCT((S$45:S$52)*($E$45:$E$52))+SUM(S54:S55)+S42</f>
        <v>0</v>
      </c>
      <c r="T57" s="168" cm="1">
        <f t="array" ref="T57">SUMPRODUCT((T$45:T$52)*($E$45:$E$52))+SUM(T54:T55)+T42</f>
        <v>0</v>
      </c>
      <c r="U57" s="168" cm="1">
        <f t="array" ref="U57">SUMPRODUCT((U$45:U$52)*($E$45:$E$52))+SUM(U54:U55)+U42</f>
        <v>0</v>
      </c>
      <c r="V57" s="168" cm="1">
        <f t="array" ref="V57">SUMPRODUCT((V$45:V$52)*($E$45:$E$52))+SUM(V54:V55)+V42</f>
        <v>0</v>
      </c>
      <c r="W57" s="168" cm="1">
        <f t="array" ref="W57">SUMPRODUCT((W$45:W$52)*($E$45:$E$52))+SUM(W54:W55)+W42</f>
        <v>0</v>
      </c>
      <c r="X57" s="168" cm="1">
        <f t="array" ref="X57">SUMPRODUCT((X$45:X$52)*($E$45:$E$52))+SUM(X54:X55)+X42</f>
        <v>0</v>
      </c>
      <c r="Y57" s="168" cm="1">
        <f t="array" ref="Y57">SUMPRODUCT((Y$45:Y$52)*($E$45:$E$52))+SUM(Y54:Y55)+Y42</f>
        <v>0</v>
      </c>
      <c r="Z57" s="168" cm="1">
        <f t="array" ref="Z57">SUMPRODUCT((Z$45:Z$52)*($E$45:$E$52))+SUM(Z54:Z55)+Z42</f>
        <v>0</v>
      </c>
      <c r="AA57" s="168" cm="1">
        <f t="array" ref="AA57">SUMPRODUCT((AA$45:AA$52)*($E$45:$E$52))+SUM(AA54:AA55)+AA42</f>
        <v>0</v>
      </c>
      <c r="AB57" s="168" cm="1">
        <f t="array" ref="AB57">SUMPRODUCT((AB$45:AB$52)*($E$45:$E$52))+SUM(AB54:AB55)+AB42</f>
        <v>0</v>
      </c>
      <c r="AC57" s="168" cm="1">
        <f t="array" ref="AC57">SUMPRODUCT((AC$45:AC$52)*($E$45:$E$52))+SUM(AC54:AC55)+AC42</f>
        <v>0</v>
      </c>
      <c r="AD57" s="168" cm="1">
        <f t="array" ref="AD57">SUMPRODUCT((AD$45:AD$52)*($E$45:$E$52))+SUM(AD54:AD55)+AD42</f>
        <v>0</v>
      </c>
      <c r="AE57" s="168" cm="1">
        <f t="array" ref="AE57">SUMPRODUCT((AE$45:AE$52)*($E$45:$E$52))+SUM(AE54:AE55)+AE42</f>
        <v>0</v>
      </c>
      <c r="AF57" s="168" cm="1">
        <f t="array" ref="AF57">SUMPRODUCT((AF$45:AF$52)*($E$45:$E$52))+SUM(AF54:AF55)+AF42</f>
        <v>0</v>
      </c>
      <c r="AG57" s="168" cm="1">
        <f t="array" ref="AG57">SUMPRODUCT((AG$45:AG$52)*($E$45:$E$52))+SUM(AG54:AG55)+AG42</f>
        <v>0</v>
      </c>
    </row>
    <row r="58" spans="1:43" x14ac:dyDescent="0.2">
      <c r="D58" s="203"/>
      <c r="G58" s="203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3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2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06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09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0"/>
    </row>
    <row r="64" spans="1:43" x14ac:dyDescent="0.2">
      <c r="C64" s="4" t="str">
        <f>'Option1 (base case)'!C64</f>
        <v>Risks mitigated vs base case</v>
      </c>
      <c r="G64" s="208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0</v>
      </c>
      <c r="L64" s="131">
        <f>(1-INDEX(Data!$C$9:$C$13, MATCH($A$3, options,0)))*('Option1 (base case)'!L36-L36)</f>
        <v>0</v>
      </c>
      <c r="M64" s="131">
        <f>(1-INDEX(Data!$C$9:$C$13, MATCH($A$3, options,0)))*('Option1 (base case)'!M36-M36)</f>
        <v>0</v>
      </c>
      <c r="N64" s="131">
        <f>(1-INDEX(Data!$C$9:$C$13, MATCH($A$3, options,0)))*('Option1 (base case)'!N36-N36)</f>
        <v>0</v>
      </c>
      <c r="O64" s="131">
        <f>(1-INDEX(Data!$C$9:$C$13, MATCH($A$3, options,0)))*('Option1 (base case)'!O36-O36)</f>
        <v>0</v>
      </c>
      <c r="P64" s="131">
        <f>(1-INDEX(Data!$C$9:$C$13, MATCH($A$3, options,0)))*('Option1 (base case)'!P36-P36)</f>
        <v>0</v>
      </c>
      <c r="Q64" s="131">
        <f>(1-INDEX(Data!$C$9:$C$13, MATCH($A$3, options,0)))*('Option1 (base case)'!Q36-Q36)</f>
        <v>0</v>
      </c>
      <c r="R64" s="131">
        <f>(1-INDEX(Data!$C$9:$C$13, MATCH($A$3, options,0)))*('Option1 (base case)'!R36-R36)</f>
        <v>0</v>
      </c>
      <c r="S64" s="131">
        <f>(1-INDEX(Data!$C$9:$C$13, MATCH($A$3, options,0)))*('Option1 (base case)'!S36-S36)</f>
        <v>0</v>
      </c>
      <c r="T64" s="131">
        <f>(1-INDEX(Data!$C$9:$C$13, MATCH($A$3, options,0)))*('Option1 (base case)'!T36-T36)</f>
        <v>0</v>
      </c>
      <c r="U64" s="131">
        <f>(1-INDEX(Data!$C$9:$C$13, MATCH($A$3, options,0)))*('Option1 (base case)'!U36-U36)</f>
        <v>0</v>
      </c>
      <c r="V64" s="131">
        <f>(1-INDEX(Data!$C$9:$C$13, MATCH($A$3, options,0)))*('Option1 (base case)'!V36-V36)</f>
        <v>0</v>
      </c>
      <c r="W64" s="131">
        <f>(1-INDEX(Data!$C$9:$C$13, MATCH($A$3, options,0)))*('Option1 (base case)'!W36-W36)</f>
        <v>0</v>
      </c>
      <c r="X64" s="131">
        <f>(1-INDEX(Data!$C$9:$C$13, MATCH($A$3, options,0)))*('Option1 (base case)'!X36-X36)</f>
        <v>0</v>
      </c>
      <c r="Y64" s="131">
        <f>(1-INDEX(Data!$C$9:$C$13, MATCH($A$3, options,0)))*('Option1 (base case)'!Y36-Y36)</f>
        <v>0</v>
      </c>
      <c r="Z64" s="131">
        <f>(1-INDEX(Data!$C$9:$C$13, MATCH($A$3, options,0)))*('Option1 (base case)'!Z36-Z36)</f>
        <v>0</v>
      </c>
      <c r="AA64" s="131">
        <f>(1-INDEX(Data!$C$9:$C$13, MATCH($A$3, options,0)))*('Option1 (base case)'!AA36-AA36)</f>
        <v>0</v>
      </c>
      <c r="AB64" s="131">
        <f>(1-INDEX(Data!$C$9:$C$13, MATCH($A$3, options,0)))*('Option1 (base case)'!AB36-AB36)</f>
        <v>0</v>
      </c>
      <c r="AC64" s="131">
        <f>(1-INDEX(Data!$C$9:$C$13, MATCH($A$3, options,0)))*('Option1 (base case)'!AC36-AC36)</f>
        <v>0</v>
      </c>
      <c r="AD64" s="131">
        <f>(1-INDEX(Data!$C$9:$C$13, MATCH($A$3, options,0)))*('Option1 (base case)'!AD36-AD36)</f>
        <v>0</v>
      </c>
      <c r="AE64" s="131">
        <f>(1-INDEX(Data!$C$9:$C$13, MATCH($A$3, options,0)))*('Option1 (base case)'!AE36-AE36)</f>
        <v>0</v>
      </c>
      <c r="AF64" s="131">
        <f>(1-INDEX(Data!$C$9:$C$13, MATCH($A$3, options,0)))*('Option1 (base case)'!AF36-AF36)</f>
        <v>0</v>
      </c>
      <c r="AG64" s="131">
        <f>(1-INDEX(Data!$C$9:$C$13, MATCH($A$3, options,0)))*('Option1 (base case)'!AG36-AG36)</f>
        <v>0</v>
      </c>
    </row>
    <row r="65" spans="1:33" x14ac:dyDescent="0.2">
      <c r="G65" s="210"/>
    </row>
    <row r="66" spans="1:33" x14ac:dyDescent="0.2">
      <c r="A66" s="8"/>
      <c r="B66" s="8"/>
      <c r="C66" s="145" t="s">
        <v>30</v>
      </c>
      <c r="D66" s="38"/>
      <c r="F66" s="96"/>
      <c r="G66" s="21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6"/>
      <c r="G67" s="208">
        <f>input_dollars</f>
        <v>45291</v>
      </c>
      <c r="H67" s="31"/>
      <c r="I67" s="118">
        <f t="shared" ref="I67:AG67" si="5">-I14</f>
        <v>0</v>
      </c>
      <c r="J67" s="118">
        <f t="shared" si="5"/>
        <v>0</v>
      </c>
      <c r="K67" s="118">
        <f t="shared" si="5"/>
        <v>0</v>
      </c>
      <c r="L67" s="118">
        <f t="shared" si="5"/>
        <v>0</v>
      </c>
      <c r="M67" s="118">
        <f t="shared" si="5"/>
        <v>0</v>
      </c>
      <c r="N67" s="118">
        <f t="shared" si="5"/>
        <v>0</v>
      </c>
      <c r="O67" s="118">
        <f t="shared" si="5"/>
        <v>0</v>
      </c>
      <c r="P67" s="118">
        <f t="shared" si="5"/>
        <v>0</v>
      </c>
      <c r="Q67" s="118">
        <f t="shared" si="5"/>
        <v>0</v>
      </c>
      <c r="R67" s="118">
        <f t="shared" si="5"/>
        <v>0</v>
      </c>
      <c r="S67" s="118">
        <f t="shared" si="5"/>
        <v>0</v>
      </c>
      <c r="T67" s="118">
        <f t="shared" si="5"/>
        <v>0</v>
      </c>
      <c r="U67" s="118">
        <f t="shared" si="5"/>
        <v>0</v>
      </c>
      <c r="V67" s="118">
        <f t="shared" si="5"/>
        <v>0</v>
      </c>
      <c r="W67" s="118">
        <f t="shared" si="5"/>
        <v>0</v>
      </c>
      <c r="X67" s="118">
        <f t="shared" si="5"/>
        <v>0</v>
      </c>
      <c r="Y67" s="118">
        <f t="shared" si="5"/>
        <v>0</v>
      </c>
      <c r="Z67" s="118">
        <f t="shared" si="5"/>
        <v>0</v>
      </c>
      <c r="AA67" s="118">
        <f t="shared" si="5"/>
        <v>0</v>
      </c>
      <c r="AB67" s="118">
        <f t="shared" si="5"/>
        <v>0</v>
      </c>
      <c r="AC67" s="118">
        <f t="shared" si="5"/>
        <v>0</v>
      </c>
      <c r="AD67" s="118">
        <f t="shared" si="5"/>
        <v>0</v>
      </c>
      <c r="AE67" s="118">
        <f t="shared" si="5"/>
        <v>0</v>
      </c>
      <c r="AF67" s="118">
        <f t="shared" si="5"/>
        <v>0</v>
      </c>
      <c r="AG67" s="118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6"/>
      <c r="G68" s="208">
        <f>input_dollars</f>
        <v>45291</v>
      </c>
      <c r="H68" s="31"/>
      <c r="I68" s="118">
        <f t="shared" ref="I68:AG68" si="6">-I15</f>
        <v>0</v>
      </c>
      <c r="J68" s="118">
        <f t="shared" si="6"/>
        <v>0</v>
      </c>
      <c r="K68" s="118">
        <f t="shared" si="6"/>
        <v>0</v>
      </c>
      <c r="L68" s="118">
        <f t="shared" si="6"/>
        <v>0</v>
      </c>
      <c r="M68" s="118">
        <f t="shared" si="6"/>
        <v>0</v>
      </c>
      <c r="N68" s="118">
        <f t="shared" si="6"/>
        <v>0</v>
      </c>
      <c r="O68" s="118">
        <f t="shared" si="6"/>
        <v>0</v>
      </c>
      <c r="P68" s="118">
        <f t="shared" si="6"/>
        <v>0</v>
      </c>
      <c r="Q68" s="118">
        <f t="shared" si="6"/>
        <v>0</v>
      </c>
      <c r="R68" s="118">
        <f t="shared" si="6"/>
        <v>0</v>
      </c>
      <c r="S68" s="118">
        <f t="shared" si="6"/>
        <v>0</v>
      </c>
      <c r="T68" s="118">
        <f t="shared" si="6"/>
        <v>0</v>
      </c>
      <c r="U68" s="118">
        <f t="shared" si="6"/>
        <v>0</v>
      </c>
      <c r="V68" s="118">
        <f t="shared" si="6"/>
        <v>0</v>
      </c>
      <c r="W68" s="118">
        <f t="shared" si="6"/>
        <v>0</v>
      </c>
      <c r="X68" s="118">
        <f t="shared" si="6"/>
        <v>0</v>
      </c>
      <c r="Y68" s="118">
        <f t="shared" si="6"/>
        <v>0</v>
      </c>
      <c r="Z68" s="118">
        <f t="shared" si="6"/>
        <v>0</v>
      </c>
      <c r="AA68" s="118">
        <f t="shared" si="6"/>
        <v>0</v>
      </c>
      <c r="AB68" s="118">
        <f t="shared" si="6"/>
        <v>0</v>
      </c>
      <c r="AC68" s="118">
        <f t="shared" si="6"/>
        <v>0</v>
      </c>
      <c r="AD68" s="118">
        <f t="shared" si="6"/>
        <v>0</v>
      </c>
      <c r="AE68" s="118">
        <f t="shared" si="6"/>
        <v>0</v>
      </c>
      <c r="AF68" s="118">
        <f t="shared" si="6"/>
        <v>0</v>
      </c>
      <c r="AG68" s="118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6"/>
      <c r="G69" s="208">
        <f>input_dollars</f>
        <v>45291</v>
      </c>
      <c r="H69" s="31"/>
      <c r="I69" s="118">
        <f t="shared" ref="I69:AG69" si="7">-I16</f>
        <v>0</v>
      </c>
      <c r="J69" s="118">
        <f t="shared" si="7"/>
        <v>0</v>
      </c>
      <c r="K69" s="118">
        <f t="shared" si="7"/>
        <v>0</v>
      </c>
      <c r="L69" s="118">
        <f t="shared" si="7"/>
        <v>0</v>
      </c>
      <c r="M69" s="118">
        <f t="shared" si="7"/>
        <v>0</v>
      </c>
      <c r="N69" s="118">
        <f t="shared" si="7"/>
        <v>0</v>
      </c>
      <c r="O69" s="118">
        <f t="shared" si="7"/>
        <v>0</v>
      </c>
      <c r="P69" s="118">
        <f t="shared" si="7"/>
        <v>0</v>
      </c>
      <c r="Q69" s="118">
        <f t="shared" si="7"/>
        <v>0</v>
      </c>
      <c r="R69" s="118">
        <f t="shared" si="7"/>
        <v>0</v>
      </c>
      <c r="S69" s="118">
        <f t="shared" si="7"/>
        <v>0</v>
      </c>
      <c r="T69" s="118">
        <f t="shared" si="7"/>
        <v>0</v>
      </c>
      <c r="U69" s="118">
        <f t="shared" si="7"/>
        <v>0</v>
      </c>
      <c r="V69" s="118">
        <f t="shared" si="7"/>
        <v>0</v>
      </c>
      <c r="W69" s="118">
        <f t="shared" si="7"/>
        <v>0</v>
      </c>
      <c r="X69" s="118">
        <f t="shared" si="7"/>
        <v>0</v>
      </c>
      <c r="Y69" s="118">
        <f t="shared" si="7"/>
        <v>0</v>
      </c>
      <c r="Z69" s="118">
        <f t="shared" si="7"/>
        <v>0</v>
      </c>
      <c r="AA69" s="118">
        <f t="shared" si="7"/>
        <v>0</v>
      </c>
      <c r="AB69" s="118">
        <f t="shared" si="7"/>
        <v>0</v>
      </c>
      <c r="AC69" s="118">
        <f t="shared" si="7"/>
        <v>0</v>
      </c>
      <c r="AD69" s="118">
        <f t="shared" si="7"/>
        <v>0</v>
      </c>
      <c r="AE69" s="118">
        <f t="shared" si="7"/>
        <v>0</v>
      </c>
      <c r="AF69" s="118">
        <f t="shared" si="7"/>
        <v>0</v>
      </c>
      <c r="AG69" s="118">
        <f t="shared" si="7"/>
        <v>0</v>
      </c>
    </row>
    <row r="70" spans="1:33" x14ac:dyDescent="0.2">
      <c r="A70" s="8"/>
      <c r="B70" s="8"/>
      <c r="C70" s="4"/>
      <c r="D70" s="38"/>
      <c r="F70" s="96"/>
      <c r="G70" s="212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">
      <c r="A71" s="8"/>
      <c r="B71" s="8"/>
      <c r="C71" s="145" t="s">
        <v>156</v>
      </c>
      <c r="D71" s="38"/>
      <c r="F71" s="96"/>
      <c r="G71" s="211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">
      <c r="A72" s="8"/>
      <c r="B72" s="8"/>
      <c r="C72" s="4" t="str">
        <f>C14</f>
        <v>&lt; Enter description &gt;</v>
      </c>
      <c r="D72" s="38"/>
      <c r="F72" s="96"/>
      <c r="G72" s="208">
        <f>input_dollars</f>
        <v>45291</v>
      </c>
      <c r="H72" s="31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0</v>
      </c>
      <c r="M72" s="118" cm="1">
        <f t="array" ref="M72">SUMPRODUCT(($I67:M67))-SUMPRODUCT(($I67:M67)*($I$6:M$6&lt;=(M$6-$E14)))</f>
        <v>0</v>
      </c>
      <c r="N72" s="118" cm="1">
        <f t="array" ref="N72">SUMPRODUCT(($I67:N67))-SUMPRODUCT(($I67:N67)*($I$6:N$6&lt;=(N$6-$E14)))</f>
        <v>0</v>
      </c>
      <c r="O72" s="118" cm="1">
        <f t="array" ref="O72">SUMPRODUCT(($I67:O67))-SUMPRODUCT(($I67:O67)*($I$6:O$6&lt;=(O$6-$E14)))</f>
        <v>0</v>
      </c>
      <c r="P72" s="118" cm="1">
        <f t="array" ref="P72">SUMPRODUCT(($I67:P67))-SUMPRODUCT(($I67:P67)*($I$6:P$6&lt;=(P$6-$E14)))</f>
        <v>0</v>
      </c>
      <c r="Q72" s="118" cm="1">
        <f t="array" ref="Q72">SUMPRODUCT(($I67:Q67))-SUMPRODUCT(($I67:Q67)*($I$6:Q$6&lt;=(Q$6-$E14)))</f>
        <v>0</v>
      </c>
      <c r="R72" s="118" cm="1">
        <f t="array" ref="R72">SUMPRODUCT(($I67:R67))-SUMPRODUCT(($I67:R67)*($I$6:R$6&lt;=(R$6-$E14)))</f>
        <v>0</v>
      </c>
      <c r="S72" s="118" cm="1">
        <f t="array" ref="S72">SUMPRODUCT(($I67:S67))-SUMPRODUCT(($I67:S67)*($I$6:S$6&lt;=(S$6-$E14)))</f>
        <v>0</v>
      </c>
      <c r="T72" s="118" cm="1">
        <f t="array" ref="T72">SUMPRODUCT(($I67:T67))-SUMPRODUCT(($I67:T67)*($I$6:T$6&lt;=(T$6-$E14)))</f>
        <v>0</v>
      </c>
      <c r="U72" s="118" cm="1">
        <f t="array" ref="U72">SUMPRODUCT(($I67:U67))-SUMPRODUCT(($I67:U67)*($I$6:U$6&lt;=(U$6-$E14)))</f>
        <v>0</v>
      </c>
      <c r="V72" s="118" cm="1">
        <f t="array" ref="V72">SUMPRODUCT(($I67:V67))-SUMPRODUCT(($I67:V67)*($I$6:V$6&lt;=(V$6-$E14)))</f>
        <v>0</v>
      </c>
      <c r="W72" s="118" cm="1">
        <f t="array" ref="W72">SUMPRODUCT(($I67:W67))-SUMPRODUCT(($I67:W67)*($I$6:W$6&lt;=(W$6-$E14)))</f>
        <v>0</v>
      </c>
      <c r="X72" s="118" cm="1">
        <f t="array" ref="X72">SUMPRODUCT(($I67:X67))-SUMPRODUCT(($I67:X67)*($I$6:X$6&lt;=(X$6-$E14)))</f>
        <v>0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6"/>
      <c r="G73" s="208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6"/>
      <c r="G74" s="208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6"/>
      <c r="G75" s="212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2">
      <c r="A76" s="8"/>
      <c r="B76" s="8"/>
      <c r="C76" s="145" t="s">
        <v>91</v>
      </c>
      <c r="D76" s="38"/>
      <c r="F76" s="96"/>
      <c r="G76" s="211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6"/>
      <c r="G77" s="208">
        <f>input_dollars</f>
        <v>45291</v>
      </c>
      <c r="H77" s="31"/>
      <c r="I77" s="118">
        <f t="shared" ref="I77:AG77" si="8">IF($E14=0,0,-PMT(real_disc, $E14,H72,))</f>
        <v>0</v>
      </c>
      <c r="J77" s="118">
        <f t="shared" si="8"/>
        <v>0</v>
      </c>
      <c r="K77" s="118">
        <f t="shared" si="8"/>
        <v>0</v>
      </c>
      <c r="L77" s="118">
        <f t="shared" si="8"/>
        <v>0</v>
      </c>
      <c r="M77" s="118">
        <f t="shared" si="8"/>
        <v>0</v>
      </c>
      <c r="N77" s="118">
        <f t="shared" si="8"/>
        <v>0</v>
      </c>
      <c r="O77" s="118">
        <f t="shared" si="8"/>
        <v>0</v>
      </c>
      <c r="P77" s="118">
        <f t="shared" si="8"/>
        <v>0</v>
      </c>
      <c r="Q77" s="118">
        <f t="shared" si="8"/>
        <v>0</v>
      </c>
      <c r="R77" s="118">
        <f t="shared" si="8"/>
        <v>0</v>
      </c>
      <c r="S77" s="118">
        <f t="shared" si="8"/>
        <v>0</v>
      </c>
      <c r="T77" s="118">
        <f t="shared" si="8"/>
        <v>0</v>
      </c>
      <c r="U77" s="118">
        <f t="shared" si="8"/>
        <v>0</v>
      </c>
      <c r="V77" s="118">
        <f t="shared" si="8"/>
        <v>0</v>
      </c>
      <c r="W77" s="118">
        <f t="shared" si="8"/>
        <v>0</v>
      </c>
      <c r="X77" s="118">
        <f t="shared" si="8"/>
        <v>0</v>
      </c>
      <c r="Y77" s="118">
        <f t="shared" si="8"/>
        <v>0</v>
      </c>
      <c r="Z77" s="118">
        <f t="shared" si="8"/>
        <v>0</v>
      </c>
      <c r="AA77" s="118">
        <f t="shared" si="8"/>
        <v>0</v>
      </c>
      <c r="AB77" s="118">
        <f t="shared" si="8"/>
        <v>0</v>
      </c>
      <c r="AC77" s="118">
        <f t="shared" si="8"/>
        <v>0</v>
      </c>
      <c r="AD77" s="118">
        <f t="shared" si="8"/>
        <v>0</v>
      </c>
      <c r="AE77" s="118">
        <f t="shared" si="8"/>
        <v>0</v>
      </c>
      <c r="AF77" s="118">
        <f t="shared" si="8"/>
        <v>0</v>
      </c>
      <c r="AG77" s="118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6"/>
      <c r="G78" s="208">
        <f>input_dollars</f>
        <v>45291</v>
      </c>
      <c r="H78" s="31"/>
      <c r="I78" s="118">
        <f t="shared" ref="I78:AG78" si="9">IF($E15=0,0,-PMT(real_disc, $E15,H73,))</f>
        <v>0</v>
      </c>
      <c r="J78" s="118">
        <f t="shared" si="9"/>
        <v>0</v>
      </c>
      <c r="K78" s="118">
        <f t="shared" si="9"/>
        <v>0</v>
      </c>
      <c r="L78" s="118">
        <f t="shared" si="9"/>
        <v>0</v>
      </c>
      <c r="M78" s="118">
        <f t="shared" si="9"/>
        <v>0</v>
      </c>
      <c r="N78" s="118">
        <f t="shared" si="9"/>
        <v>0</v>
      </c>
      <c r="O78" s="118">
        <f t="shared" si="9"/>
        <v>0</v>
      </c>
      <c r="P78" s="118">
        <f t="shared" si="9"/>
        <v>0</v>
      </c>
      <c r="Q78" s="118">
        <f t="shared" si="9"/>
        <v>0</v>
      </c>
      <c r="R78" s="118">
        <f t="shared" si="9"/>
        <v>0</v>
      </c>
      <c r="S78" s="118">
        <f t="shared" si="9"/>
        <v>0</v>
      </c>
      <c r="T78" s="118">
        <f t="shared" si="9"/>
        <v>0</v>
      </c>
      <c r="U78" s="118">
        <f t="shared" si="9"/>
        <v>0</v>
      </c>
      <c r="V78" s="118">
        <f t="shared" si="9"/>
        <v>0</v>
      </c>
      <c r="W78" s="118">
        <f t="shared" si="9"/>
        <v>0</v>
      </c>
      <c r="X78" s="118">
        <f t="shared" si="9"/>
        <v>0</v>
      </c>
      <c r="Y78" s="118">
        <f t="shared" si="9"/>
        <v>0</v>
      </c>
      <c r="Z78" s="118">
        <f t="shared" si="9"/>
        <v>0</v>
      </c>
      <c r="AA78" s="118">
        <f t="shared" si="9"/>
        <v>0</v>
      </c>
      <c r="AB78" s="118">
        <f t="shared" si="9"/>
        <v>0</v>
      </c>
      <c r="AC78" s="118">
        <f t="shared" si="9"/>
        <v>0</v>
      </c>
      <c r="AD78" s="118">
        <f t="shared" si="9"/>
        <v>0</v>
      </c>
      <c r="AE78" s="118">
        <f t="shared" si="9"/>
        <v>0</v>
      </c>
      <c r="AF78" s="118">
        <f t="shared" si="9"/>
        <v>0</v>
      </c>
      <c r="AG78" s="118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6"/>
      <c r="G79" s="208">
        <f>input_dollars</f>
        <v>45291</v>
      </c>
      <c r="H79" s="31"/>
      <c r="I79" s="118">
        <f t="shared" ref="I79:AG79" si="10">IF($E16=0,0,-PMT(real_disc, $E16,H74,))</f>
        <v>0</v>
      </c>
      <c r="J79" s="118">
        <f t="shared" si="10"/>
        <v>0</v>
      </c>
      <c r="K79" s="118">
        <f t="shared" si="10"/>
        <v>0</v>
      </c>
      <c r="L79" s="118">
        <f t="shared" si="10"/>
        <v>0</v>
      </c>
      <c r="M79" s="118">
        <f t="shared" si="10"/>
        <v>0</v>
      </c>
      <c r="N79" s="118">
        <f t="shared" si="10"/>
        <v>0</v>
      </c>
      <c r="O79" s="118">
        <f t="shared" si="10"/>
        <v>0</v>
      </c>
      <c r="P79" s="118">
        <f t="shared" si="10"/>
        <v>0</v>
      </c>
      <c r="Q79" s="118">
        <f t="shared" si="10"/>
        <v>0</v>
      </c>
      <c r="R79" s="118">
        <f t="shared" si="10"/>
        <v>0</v>
      </c>
      <c r="S79" s="118">
        <f t="shared" si="10"/>
        <v>0</v>
      </c>
      <c r="T79" s="118">
        <f t="shared" si="10"/>
        <v>0</v>
      </c>
      <c r="U79" s="118">
        <f t="shared" si="10"/>
        <v>0</v>
      </c>
      <c r="V79" s="118">
        <f t="shared" si="10"/>
        <v>0</v>
      </c>
      <c r="W79" s="118">
        <f t="shared" si="10"/>
        <v>0</v>
      </c>
      <c r="X79" s="118">
        <f t="shared" si="10"/>
        <v>0</v>
      </c>
      <c r="Y79" s="118">
        <f t="shared" si="10"/>
        <v>0</v>
      </c>
      <c r="Z79" s="118">
        <f t="shared" si="10"/>
        <v>0</v>
      </c>
      <c r="AA79" s="118">
        <f t="shared" si="10"/>
        <v>0</v>
      </c>
      <c r="AB79" s="118">
        <f t="shared" si="10"/>
        <v>0</v>
      </c>
      <c r="AC79" s="118">
        <f t="shared" si="10"/>
        <v>0</v>
      </c>
      <c r="AD79" s="118">
        <f t="shared" si="10"/>
        <v>0</v>
      </c>
      <c r="AE79" s="118">
        <f t="shared" si="10"/>
        <v>0</v>
      </c>
      <c r="AF79" s="118">
        <f t="shared" si="10"/>
        <v>0</v>
      </c>
      <c r="AG79" s="118">
        <f t="shared" si="10"/>
        <v>0</v>
      </c>
    </row>
    <row r="80" spans="1:33" x14ac:dyDescent="0.2">
      <c r="A80" s="8"/>
      <c r="B80" s="8"/>
      <c r="C80" s="170" t="s">
        <v>157</v>
      </c>
      <c r="D80" s="170"/>
      <c r="E80" s="171"/>
      <c r="F80" s="172"/>
      <c r="G80" s="213">
        <f>input_dollars</f>
        <v>45291</v>
      </c>
      <c r="H80" s="173"/>
      <c r="I80" s="174">
        <f>SUM(I77:I79)</f>
        <v>0</v>
      </c>
      <c r="J80" s="174">
        <f t="shared" ref="J80:AB80" si="11">SUM(J77:J79)</f>
        <v>0</v>
      </c>
      <c r="K80" s="174">
        <f t="shared" si="11"/>
        <v>0</v>
      </c>
      <c r="L80" s="174">
        <f t="shared" si="11"/>
        <v>0</v>
      </c>
      <c r="M80" s="174">
        <f t="shared" si="11"/>
        <v>0</v>
      </c>
      <c r="N80" s="174">
        <f t="shared" si="11"/>
        <v>0</v>
      </c>
      <c r="O80" s="174">
        <f t="shared" si="11"/>
        <v>0</v>
      </c>
      <c r="P80" s="174">
        <f t="shared" si="11"/>
        <v>0</v>
      </c>
      <c r="Q80" s="174">
        <f t="shared" si="11"/>
        <v>0</v>
      </c>
      <c r="R80" s="174">
        <f t="shared" si="11"/>
        <v>0</v>
      </c>
      <c r="S80" s="174">
        <f t="shared" si="11"/>
        <v>0</v>
      </c>
      <c r="T80" s="174">
        <f t="shared" si="11"/>
        <v>0</v>
      </c>
      <c r="U80" s="174">
        <f t="shared" si="11"/>
        <v>0</v>
      </c>
      <c r="V80" s="174">
        <f t="shared" si="11"/>
        <v>0</v>
      </c>
      <c r="W80" s="174">
        <f t="shared" si="11"/>
        <v>0</v>
      </c>
      <c r="X80" s="174">
        <f t="shared" si="11"/>
        <v>0</v>
      </c>
      <c r="Y80" s="174">
        <f t="shared" si="11"/>
        <v>0</v>
      </c>
      <c r="Z80" s="174">
        <f t="shared" si="11"/>
        <v>0</v>
      </c>
      <c r="AA80" s="174">
        <f t="shared" si="11"/>
        <v>0</v>
      </c>
      <c r="AB80" s="174">
        <f t="shared" si="11"/>
        <v>0</v>
      </c>
      <c r="AC80" s="174">
        <f>SUM(AC77:AC79)</f>
        <v>0</v>
      </c>
      <c r="AD80" s="174">
        <f>SUM(AD77:AD79)</f>
        <v>0</v>
      </c>
      <c r="AE80" s="174">
        <f>SUM(AE77:AE79)</f>
        <v>0</v>
      </c>
      <c r="AF80" s="174">
        <f>SUM(AF77:AF79)</f>
        <v>0</v>
      </c>
      <c r="AG80" s="174">
        <f>SUM(AG77:AG79)</f>
        <v>0</v>
      </c>
    </row>
    <row r="81" spans="1:33" x14ac:dyDescent="0.2">
      <c r="A81" s="8"/>
      <c r="B81" s="8"/>
      <c r="C81" s="75"/>
      <c r="D81" s="38"/>
      <c r="F81"/>
      <c r="G81" s="214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6"/>
      <c r="G82" s="208">
        <f t="shared" ref="G82:G87" si="12">input_dollars</f>
        <v>45291</v>
      </c>
      <c r="H82" s="31"/>
      <c r="I82" s="118">
        <f>I80</f>
        <v>0</v>
      </c>
      <c r="J82" s="118">
        <f t="shared" ref="J82:AB82" si="13">J80</f>
        <v>0</v>
      </c>
      <c r="K82" s="118">
        <f t="shared" si="13"/>
        <v>0</v>
      </c>
      <c r="L82" s="118">
        <f t="shared" si="13"/>
        <v>0</v>
      </c>
      <c r="M82" s="118">
        <f t="shared" si="13"/>
        <v>0</v>
      </c>
      <c r="N82" s="118">
        <f t="shared" si="13"/>
        <v>0</v>
      </c>
      <c r="O82" s="118">
        <f t="shared" si="13"/>
        <v>0</v>
      </c>
      <c r="P82" s="118">
        <f t="shared" si="13"/>
        <v>0</v>
      </c>
      <c r="Q82" s="118">
        <f t="shared" si="13"/>
        <v>0</v>
      </c>
      <c r="R82" s="118">
        <f t="shared" si="13"/>
        <v>0</v>
      </c>
      <c r="S82" s="118">
        <f t="shared" si="13"/>
        <v>0</v>
      </c>
      <c r="T82" s="118">
        <f t="shared" si="13"/>
        <v>0</v>
      </c>
      <c r="U82" s="118">
        <f t="shared" si="13"/>
        <v>0</v>
      </c>
      <c r="V82" s="118">
        <f t="shared" si="13"/>
        <v>0</v>
      </c>
      <c r="W82" s="118">
        <f t="shared" si="13"/>
        <v>0</v>
      </c>
      <c r="X82" s="118">
        <f t="shared" si="13"/>
        <v>0</v>
      </c>
      <c r="Y82" s="118">
        <f t="shared" si="13"/>
        <v>0</v>
      </c>
      <c r="Z82" s="118">
        <f t="shared" si="13"/>
        <v>0</v>
      </c>
      <c r="AA82" s="118">
        <f t="shared" si="13"/>
        <v>0</v>
      </c>
      <c r="AB82" s="118">
        <f t="shared" si="13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</row>
    <row r="83" spans="1:33" x14ac:dyDescent="0.2">
      <c r="A83" s="8"/>
      <c r="B83" s="8"/>
      <c r="C83" s="4" t="s">
        <v>31</v>
      </c>
      <c r="D83" s="38"/>
      <c r="F83" s="96"/>
      <c r="G83" s="208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6"/>
      <c r="G84" s="208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6"/>
      <c r="G85" s="208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08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5" t="s">
        <v>188</v>
      </c>
      <c r="D87" s="176"/>
      <c r="E87" s="171"/>
      <c r="F87" s="177"/>
      <c r="G87" s="213">
        <f t="shared" si="12"/>
        <v>45291</v>
      </c>
      <c r="H87" s="177"/>
      <c r="I87" s="177">
        <f t="shared" ref="I87:AB87" si="17">SUM(I82:I86)</f>
        <v>0</v>
      </c>
      <c r="J87" s="177">
        <f t="shared" si="17"/>
        <v>0</v>
      </c>
      <c r="K87" s="177">
        <f t="shared" si="17"/>
        <v>0</v>
      </c>
      <c r="L87" s="177">
        <f t="shared" si="17"/>
        <v>0</v>
      </c>
      <c r="M87" s="177">
        <f t="shared" si="17"/>
        <v>0</v>
      </c>
      <c r="N87" s="177">
        <f t="shared" si="17"/>
        <v>0</v>
      </c>
      <c r="O87" s="177">
        <f t="shared" si="17"/>
        <v>0</v>
      </c>
      <c r="P87" s="177">
        <f t="shared" si="17"/>
        <v>0</v>
      </c>
      <c r="Q87" s="177">
        <f t="shared" si="17"/>
        <v>0</v>
      </c>
      <c r="R87" s="177">
        <f t="shared" si="17"/>
        <v>0</v>
      </c>
      <c r="S87" s="177">
        <f t="shared" si="17"/>
        <v>0</v>
      </c>
      <c r="T87" s="177">
        <f t="shared" si="17"/>
        <v>0</v>
      </c>
      <c r="U87" s="177">
        <f t="shared" si="17"/>
        <v>0</v>
      </c>
      <c r="V87" s="177">
        <f t="shared" si="17"/>
        <v>0</v>
      </c>
      <c r="W87" s="177">
        <f t="shared" si="17"/>
        <v>0</v>
      </c>
      <c r="X87" s="177">
        <f t="shared" si="17"/>
        <v>0</v>
      </c>
      <c r="Y87" s="177">
        <f t="shared" si="17"/>
        <v>0</v>
      </c>
      <c r="Z87" s="177">
        <f t="shared" si="17"/>
        <v>0</v>
      </c>
      <c r="AA87" s="177">
        <f t="shared" si="17"/>
        <v>0</v>
      </c>
      <c r="AB87" s="177">
        <f t="shared" si="17"/>
        <v>0</v>
      </c>
      <c r="AC87" s="177">
        <f>SUM(AC82:AC86)</f>
        <v>0</v>
      </c>
      <c r="AD87" s="177">
        <f>SUM(AD82:AD86)</f>
        <v>0</v>
      </c>
      <c r="AE87" s="177">
        <f>SUM(AE82:AE86)</f>
        <v>0</v>
      </c>
      <c r="AF87" s="177">
        <f>SUM(AF82:AF86)</f>
        <v>0</v>
      </c>
      <c r="AG87" s="177">
        <f>SUM(AG82:AG86)</f>
        <v>0</v>
      </c>
    </row>
    <row r="88" spans="1:33" x14ac:dyDescent="0.2">
      <c r="A88" s="8"/>
      <c r="B88" s="8"/>
      <c r="C88" s="75"/>
      <c r="D88" s="137"/>
      <c r="E88" s="64"/>
      <c r="F88" s="140"/>
      <c r="G88" s="215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</row>
    <row r="89" spans="1:33" x14ac:dyDescent="0.2">
      <c r="A89" s="8"/>
      <c r="B89" s="8"/>
      <c r="C89" s="75"/>
      <c r="D89" s="137"/>
      <c r="E89" s="64"/>
      <c r="F89" s="140"/>
      <c r="G89" s="215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</row>
    <row r="90" spans="1:33" x14ac:dyDescent="0.2">
      <c r="A90" s="8"/>
      <c r="B90" s="8"/>
      <c r="C90" s="228" t="s">
        <v>198</v>
      </c>
      <c r="D90" s="82"/>
      <c r="E90" s="229"/>
      <c r="F90" s="230"/>
      <c r="G90" s="231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2"/>
      <c r="E91" s="229"/>
      <c r="F91" s="229"/>
      <c r="G91" s="231"/>
    </row>
    <row r="92" spans="1:33" x14ac:dyDescent="0.2">
      <c r="C92" s="233" t="s">
        <v>193</v>
      </c>
      <c r="D92" s="234"/>
      <c r="E92" s="234"/>
      <c r="F92" s="234"/>
      <c r="G92" s="235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2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240"/>
    </row>
    <row r="105" spans="1:43" x14ac:dyDescent="0.2"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299" t="str">
        <f>Assumptions!G110</f>
        <v>Capex</v>
      </c>
      <c r="E109" s="299" t="str">
        <f>Assumptions!H110</f>
        <v>Total benefits</v>
      </c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</row>
    <row r="110" spans="1:43" x14ac:dyDescent="0.2">
      <c r="A110" s="1" t="str">
        <f>"sens"&amp;Assumptions!B111</f>
        <v>sens1</v>
      </c>
      <c r="C110" s="298" t="str">
        <f>Assumptions!C111</f>
        <v>Capex 10% higher</v>
      </c>
      <c r="D110" s="299">
        <f>Assumptions!G111</f>
        <v>0.1</v>
      </c>
      <c r="E110" s="299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98" t="str">
        <f>Assumptions!C112</f>
        <v>Capex 10% lower</v>
      </c>
      <c r="D111" s="299">
        <f>Assumptions!G112</f>
        <v>-0.1</v>
      </c>
      <c r="E111" s="299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98" t="str">
        <f>Assumptions!C113</f>
        <v>Total benefits 10% higher</v>
      </c>
      <c r="D112" s="299">
        <f>Assumptions!G113</f>
        <v>0</v>
      </c>
      <c r="E112" s="299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98" t="str">
        <f>Assumptions!C114</f>
        <v>Total benefits 10% lower</v>
      </c>
      <c r="D113" s="299">
        <f>Assumptions!G114</f>
        <v>0</v>
      </c>
      <c r="E113" s="299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98" t="str">
        <f>Assumptions!C115</f>
        <v>Capex 10% higher &amp; Total benefits 10% lower</v>
      </c>
      <c r="D114" s="299">
        <f>Assumptions!G115</f>
        <v>0.1</v>
      </c>
      <c r="E114" s="299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98">
        <f>Assumptions!C116</f>
        <v>0</v>
      </c>
      <c r="D115" s="299">
        <f>Assumptions!G116</f>
        <v>0</v>
      </c>
      <c r="E115" s="299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98">
        <f>Assumptions!C117</f>
        <v>0</v>
      </c>
      <c r="D116" s="299">
        <f>Assumptions!G117</f>
        <v>0</v>
      </c>
      <c r="E116" s="299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98">
        <f>Assumptions!C118</f>
        <v>0</v>
      </c>
      <c r="D117" s="299">
        <f>Assumptions!G118</f>
        <v>0</v>
      </c>
      <c r="E117" s="299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43" ht="18.75" x14ac:dyDescent="0.3">
      <c r="A2" s="56" t="str">
        <f>proj</f>
        <v>EW switchboard and relay replacement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43" ht="15.75" x14ac:dyDescent="0.25">
      <c r="A3" s="201" t="s">
        <v>185</v>
      </c>
      <c r="B3" s="5"/>
      <c r="C3" s="198">
        <f>INDEX(Assumptions!$E$14:$E$18, MATCH(A3,_xlfn.ANCHORARRAY( Assumptions!$C$14),0))</f>
        <v>0</v>
      </c>
    </row>
    <row r="4" spans="1:43" x14ac:dyDescent="0.2">
      <c r="A4" s="199" t="str">
        <f>(INDEX(Data!$D$9:$D$13, MATCH(A3, options,0)))</f>
        <v>Not used</v>
      </c>
      <c r="B4" s="185"/>
      <c r="C4" s="236" t="str">
        <f>IF(INDEX(Misc_calcs!$D$49:$D$67, MATCH(A3, Misc_calcs!$B$49:$B$67,0)), Misc_calcs!$B$70, "")</f>
        <v/>
      </c>
    </row>
    <row r="5" spans="1:43" hidden="1" outlineLevel="1" x14ac:dyDescent="0.2">
      <c r="C5" s="98"/>
      <c r="D5" s="97"/>
      <c r="E5" s="99"/>
      <c r="F5" s="99"/>
      <c r="G5" s="97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43" hidden="1" outlineLevel="1" x14ac:dyDescent="0.2">
      <c r="A6" s="97" t="str">
        <f>'Option1 (base case)'!A6</f>
        <v>Count</v>
      </c>
      <c r="B6" s="97"/>
      <c r="C6" s="98"/>
      <c r="D6" s="97"/>
      <c r="E6" s="99"/>
      <c r="F6" s="99"/>
      <c r="G6" s="97"/>
      <c r="H6" s="100"/>
      <c r="I6" s="100">
        <f>'Option1 (base case)'!I6</f>
        <v>1</v>
      </c>
      <c r="J6" s="100">
        <f>'Option1 (base case)'!J6</f>
        <v>2</v>
      </c>
      <c r="K6" s="100">
        <f>'Option1 (base case)'!K6</f>
        <v>3</v>
      </c>
      <c r="L6" s="100">
        <f>'Option1 (base case)'!L6</f>
        <v>4</v>
      </c>
      <c r="M6" s="100">
        <f>'Option1 (base case)'!M6</f>
        <v>5</v>
      </c>
      <c r="N6" s="100">
        <f>'Option1 (base case)'!N6</f>
        <v>6</v>
      </c>
      <c r="O6" s="100">
        <f>'Option1 (base case)'!O6</f>
        <v>7</v>
      </c>
      <c r="P6" s="100">
        <f>'Option1 (base case)'!P6</f>
        <v>8</v>
      </c>
      <c r="Q6" s="100">
        <f>'Option1 (base case)'!Q6</f>
        <v>9</v>
      </c>
      <c r="R6" s="100">
        <f>'Option1 (base case)'!R6</f>
        <v>10</v>
      </c>
      <c r="S6" s="100">
        <f>'Option1 (base case)'!S6</f>
        <v>11</v>
      </c>
      <c r="T6" s="100">
        <f>'Option1 (base case)'!T6</f>
        <v>12</v>
      </c>
      <c r="U6" s="100">
        <f>'Option1 (base case)'!U6</f>
        <v>13</v>
      </c>
      <c r="V6" s="100">
        <f>'Option1 (base case)'!V6</f>
        <v>14</v>
      </c>
      <c r="W6" s="100">
        <f>'Option1 (base case)'!W6</f>
        <v>15</v>
      </c>
      <c r="X6" s="100">
        <f>'Option1 (base case)'!X6</f>
        <v>16</v>
      </c>
      <c r="Y6" s="100">
        <f>'Option1 (base case)'!Y6</f>
        <v>17</v>
      </c>
      <c r="Z6" s="100">
        <f>'Option1 (base case)'!Z6</f>
        <v>18</v>
      </c>
      <c r="AA6" s="100">
        <f>'Option1 (base case)'!AA6</f>
        <v>19</v>
      </c>
      <c r="AB6" s="100">
        <f>'Option1 (base case)'!AB6</f>
        <v>20</v>
      </c>
      <c r="AC6" s="100">
        <f>'Option1 (base case)'!AC6</f>
        <v>21</v>
      </c>
      <c r="AD6" s="100">
        <f>'Option1 (base case)'!AD6</f>
        <v>22</v>
      </c>
      <c r="AE6" s="100">
        <f>'Option1 (base case)'!AE6</f>
        <v>23</v>
      </c>
      <c r="AF6" s="100">
        <f>'Option1 (base case)'!AF6</f>
        <v>24</v>
      </c>
      <c r="AG6" s="100">
        <f>'Option1 (base case)'!AG6</f>
        <v>25</v>
      </c>
    </row>
    <row r="7" spans="1:43" hidden="1" outlineLevel="1" x14ac:dyDescent="0.2">
      <c r="A7" s="97" t="str">
        <f>'Option1 (base case)'!A7</f>
        <v>Value of CO2 reductions</v>
      </c>
      <c r="B7" s="97"/>
      <c r="G7" s="158" t="s">
        <v>63</v>
      </c>
      <c r="I7" s="98">
        <f>'Option1 (base case)'!I7</f>
        <v>24.730486797759085</v>
      </c>
      <c r="J7" s="98">
        <f>'Option1 (base case)'!J7</f>
        <v>22.340740091772258</v>
      </c>
      <c r="K7" s="98">
        <f>'Option1 (base case)'!K7</f>
        <v>20.196329122153124</v>
      </c>
      <c r="L7" s="98">
        <f>'Option1 (base case)'!L7</f>
        <v>18.06294207659629</v>
      </c>
      <c r="M7" s="98">
        <f>'Option1 (base case)'!M7</f>
        <v>15.913397615084225</v>
      </c>
      <c r="N7" s="98">
        <f>'Option1 (base case)'!N7</f>
        <v>13.715069432539002</v>
      </c>
      <c r="O7" s="98">
        <f>'Option1 (base case)'!O7</f>
        <v>13.715069432539002</v>
      </c>
      <c r="P7" s="98">
        <f>'Option1 (base case)'!P7</f>
        <v>13.715069432539002</v>
      </c>
      <c r="Q7" s="98">
        <f>'Option1 (base case)'!Q7</f>
        <v>13.715069432539002</v>
      </c>
      <c r="R7" s="98">
        <f>'Option1 (base case)'!R7</f>
        <v>13.715069432539002</v>
      </c>
      <c r="S7" s="98">
        <f>'Option1 (base case)'!S7</f>
        <v>13.715069432539002</v>
      </c>
      <c r="T7" s="98">
        <f>'Option1 (base case)'!T7</f>
        <v>13.715069432539002</v>
      </c>
      <c r="U7" s="98">
        <f>'Option1 (base case)'!U7</f>
        <v>13.715069432539002</v>
      </c>
      <c r="V7" s="98">
        <f>'Option1 (base case)'!V7</f>
        <v>13.715069432539002</v>
      </c>
      <c r="W7" s="98">
        <f>'Option1 (base case)'!W7</f>
        <v>13.715069432539002</v>
      </c>
      <c r="X7" s="98">
        <f>'Option1 (base case)'!X7</f>
        <v>13.715069432539002</v>
      </c>
      <c r="Y7" s="98">
        <f>'Option1 (base case)'!Y7</f>
        <v>13.715069432539002</v>
      </c>
      <c r="Z7" s="98">
        <f>'Option1 (base case)'!Z7</f>
        <v>13.715069432539002</v>
      </c>
      <c r="AA7" s="98">
        <f>'Option1 (base case)'!AA7</f>
        <v>13.715069432539002</v>
      </c>
      <c r="AB7" s="98">
        <f>'Option1 (base case)'!AB7</f>
        <v>13.715069432539002</v>
      </c>
      <c r="AC7" s="98">
        <f>'Option1 (base case)'!AC7</f>
        <v>13.715069432539002</v>
      </c>
      <c r="AD7" s="98">
        <f>'Option1 (base case)'!AD7</f>
        <v>13.715069432539002</v>
      </c>
      <c r="AE7" s="98">
        <f>'Option1 (base case)'!AE7</f>
        <v>13.715069432539002</v>
      </c>
      <c r="AF7" s="98">
        <f>'Option1 (base case)'!AF7</f>
        <v>13.715069432539002</v>
      </c>
      <c r="AG7" s="98">
        <f>'Option1 (base case)'!AG7</f>
        <v>13.715069432539002</v>
      </c>
    </row>
    <row r="8" spans="1:43" ht="6.75" customHeight="1" collapsed="1" x14ac:dyDescent="0.2">
      <c r="C8" s="98"/>
      <c r="D8" s="97"/>
      <c r="E8" s="99"/>
      <c r="F8" s="99"/>
      <c r="G8" s="97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8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2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</row>
    <row r="12" spans="1:43" x14ac:dyDescent="0.2">
      <c r="A12" s="3"/>
      <c r="B12" s="3"/>
      <c r="C12" s="3"/>
      <c r="D12" s="3"/>
      <c r="G12" s="203"/>
      <c r="AH12"/>
      <c r="AI12"/>
      <c r="AJ12"/>
      <c r="AK12"/>
    </row>
    <row r="13" spans="1:43" x14ac:dyDescent="0.2">
      <c r="C13" s="3" t="s">
        <v>17</v>
      </c>
      <c r="D13"/>
      <c r="E13" s="125" t="s">
        <v>69</v>
      </c>
      <c r="G13" s="204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6">
        <v>0</v>
      </c>
      <c r="G14" s="205">
        <f>input_dollars</f>
        <v>45291</v>
      </c>
      <c r="H14" s="147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6">
        <v>0</v>
      </c>
      <c r="G15" s="205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6">
        <v>0</v>
      </c>
      <c r="G16" s="205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5">
        <f>input_dollars</f>
        <v>45291</v>
      </c>
      <c r="H17" s="106"/>
      <c r="I17" s="105">
        <f t="shared" ref="I17:Q17" si="0">SUM(I14:I16)</f>
        <v>0</v>
      </c>
      <c r="J17" s="105">
        <f t="shared" si="0"/>
        <v>0</v>
      </c>
      <c r="K17" s="105">
        <f>SUM(K14:K16)</f>
        <v>0</v>
      </c>
      <c r="L17" s="105">
        <f t="shared" si="0"/>
        <v>0</v>
      </c>
      <c r="M17" s="105">
        <f t="shared" si="0"/>
        <v>0</v>
      </c>
      <c r="N17" s="105">
        <f t="shared" si="0"/>
        <v>0</v>
      </c>
      <c r="O17" s="105">
        <f t="shared" si="0"/>
        <v>0</v>
      </c>
      <c r="P17" s="105">
        <f t="shared" si="0"/>
        <v>0</v>
      </c>
      <c r="Q17" s="105">
        <f t="shared" si="0"/>
        <v>0</v>
      </c>
      <c r="R17" s="105">
        <f t="shared" ref="R17:AG17" si="1">SUM(R14:R16)</f>
        <v>0</v>
      </c>
      <c r="S17" s="105">
        <f t="shared" si="1"/>
        <v>0</v>
      </c>
      <c r="T17" s="105">
        <f t="shared" si="1"/>
        <v>0</v>
      </c>
      <c r="U17" s="105">
        <f t="shared" si="1"/>
        <v>0</v>
      </c>
      <c r="V17" s="105">
        <f t="shared" si="1"/>
        <v>0</v>
      </c>
      <c r="W17" s="105">
        <f t="shared" si="1"/>
        <v>0</v>
      </c>
      <c r="X17" s="105">
        <f t="shared" si="1"/>
        <v>0</v>
      </c>
      <c r="Y17" s="105">
        <f t="shared" si="1"/>
        <v>0</v>
      </c>
      <c r="Z17" s="105">
        <f t="shared" si="1"/>
        <v>0</v>
      </c>
      <c r="AA17" s="105">
        <f t="shared" si="1"/>
        <v>0</v>
      </c>
      <c r="AB17" s="105">
        <f t="shared" si="1"/>
        <v>0</v>
      </c>
      <c r="AC17" s="105">
        <f t="shared" si="1"/>
        <v>0</v>
      </c>
      <c r="AD17" s="105">
        <f t="shared" si="1"/>
        <v>0</v>
      </c>
      <c r="AE17" s="105">
        <f t="shared" si="1"/>
        <v>0</v>
      </c>
      <c r="AF17" s="105">
        <f t="shared" si="1"/>
        <v>0</v>
      </c>
      <c r="AG17" s="105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4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6"/>
      <c r="G19" s="205">
        <f>input_dollars</f>
        <v>45291</v>
      </c>
      <c r="H19" s="106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/>
      <c r="AI19"/>
      <c r="AJ19"/>
      <c r="AK19"/>
    </row>
    <row r="20" spans="1:43" x14ac:dyDescent="0.2">
      <c r="G20" s="203"/>
      <c r="AH20"/>
      <c r="AI20"/>
      <c r="AJ20"/>
      <c r="AK20"/>
    </row>
    <row r="21" spans="1:43" x14ac:dyDescent="0.2">
      <c r="C21"/>
      <c r="D21"/>
      <c r="E21"/>
      <c r="G21" s="204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2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0"/>
      <c r="B23" s="110"/>
      <c r="C23" s="110"/>
      <c r="D23" s="110"/>
      <c r="E23" s="110"/>
      <c r="F23" s="110"/>
      <c r="G23" s="206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0"/>
      <c r="B24" s="110"/>
      <c r="C24" s="1" t="s">
        <v>151</v>
      </c>
      <c r="D24" s="110"/>
      <c r="E24" s="110"/>
      <c r="F24" s="110"/>
      <c r="G24" s="206"/>
      <c r="H24" s="110"/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7">
        <v>0</v>
      </c>
      <c r="W24" s="167">
        <v>0</v>
      </c>
      <c r="X24" s="167">
        <v>0</v>
      </c>
      <c r="Y24" s="167">
        <v>0</v>
      </c>
      <c r="Z24" s="167">
        <v>0</v>
      </c>
      <c r="AA24" s="167">
        <v>0</v>
      </c>
      <c r="AB24" s="167">
        <v>0</v>
      </c>
      <c r="AC24" s="167">
        <v>0</v>
      </c>
      <c r="AD24" s="167">
        <v>0</v>
      </c>
      <c r="AE24" s="167">
        <v>0</v>
      </c>
      <c r="AF24" s="167">
        <v>0</v>
      </c>
      <c r="AG24" s="167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0"/>
      <c r="B25" s="110"/>
      <c r="C25" s="1" t="s">
        <v>152</v>
      </c>
      <c r="D25" s="206"/>
      <c r="E25" s="110"/>
      <c r="F25" s="110"/>
      <c r="G25" s="206"/>
      <c r="H25" s="110"/>
      <c r="I25" s="167">
        <v>0</v>
      </c>
      <c r="J25" s="167">
        <v>0</v>
      </c>
      <c r="K25" s="167">
        <v>0</v>
      </c>
      <c r="L25" s="167">
        <v>0</v>
      </c>
      <c r="M25" s="167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7">
        <v>0</v>
      </c>
      <c r="W25" s="167">
        <v>0</v>
      </c>
      <c r="X25" s="167">
        <v>0</v>
      </c>
      <c r="Y25" s="167">
        <v>0</v>
      </c>
      <c r="Z25" s="167">
        <v>0</v>
      </c>
      <c r="AA25" s="167">
        <v>0</v>
      </c>
      <c r="AB25" s="167">
        <v>0</v>
      </c>
      <c r="AC25" s="167">
        <v>0</v>
      </c>
      <c r="AD25" s="167">
        <v>0</v>
      </c>
      <c r="AE25" s="167">
        <v>0</v>
      </c>
      <c r="AF25" s="167">
        <v>0</v>
      </c>
      <c r="AG25" s="167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0"/>
      <c r="B26" s="110"/>
      <c r="C26" s="110"/>
      <c r="D26" s="206"/>
      <c r="E26" s="110"/>
      <c r="F26" s="110"/>
      <c r="G26" s="206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3"/>
      <c r="E27"/>
      <c r="G27" s="205" t="s">
        <v>40</v>
      </c>
      <c r="H27"/>
      <c r="I27" s="166">
        <v>0</v>
      </c>
      <c r="J27" s="166">
        <v>0</v>
      </c>
      <c r="K27" s="166">
        <v>0</v>
      </c>
      <c r="L27" s="166">
        <v>0</v>
      </c>
      <c r="M27" s="166">
        <v>0</v>
      </c>
      <c r="N27" s="166">
        <v>0</v>
      </c>
      <c r="O27" s="166">
        <v>0</v>
      </c>
      <c r="P27" s="166">
        <v>0</v>
      </c>
      <c r="Q27" s="166">
        <v>0</v>
      </c>
      <c r="R27" s="166">
        <v>0</v>
      </c>
      <c r="S27" s="166">
        <v>0</v>
      </c>
      <c r="T27" s="166">
        <v>0</v>
      </c>
      <c r="U27" s="166">
        <v>0</v>
      </c>
      <c r="V27" s="166">
        <v>0</v>
      </c>
      <c r="W27" s="166">
        <v>0</v>
      </c>
      <c r="X27" s="166">
        <v>0</v>
      </c>
      <c r="Y27" s="166">
        <v>0</v>
      </c>
      <c r="Z27" s="166">
        <v>0</v>
      </c>
      <c r="AA27" s="166">
        <v>0</v>
      </c>
      <c r="AB27" s="166">
        <v>0</v>
      </c>
      <c r="AC27" s="166">
        <v>0</v>
      </c>
      <c r="AD27" s="166">
        <v>0</v>
      </c>
      <c r="AE27" s="166">
        <v>0</v>
      </c>
      <c r="AF27" s="166">
        <v>0</v>
      </c>
      <c r="AG27" s="166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3" t="s">
        <v>63</v>
      </c>
      <c r="E28" s="112">
        <f>Assumptions!H41*vcr_esc</f>
        <v>32343.394611205291</v>
      </c>
      <c r="F28" s="236" t="str">
        <f>IF(AND(SUM(I27:AG27)&lt;&gt;0, E28=0), "!", "")</f>
        <v/>
      </c>
      <c r="G28" s="205">
        <f>input_dollars</f>
        <v>45291</v>
      </c>
      <c r="H28"/>
      <c r="I28" s="118">
        <f>I27*$E$28</f>
        <v>0</v>
      </c>
      <c r="J28" s="118">
        <f t="shared" ref="J28:AG28" si="2">J27*$E$28</f>
        <v>0</v>
      </c>
      <c r="K28" s="118">
        <f t="shared" si="2"/>
        <v>0</v>
      </c>
      <c r="L28" s="118">
        <f t="shared" si="2"/>
        <v>0</v>
      </c>
      <c r="M28" s="118">
        <f t="shared" si="2"/>
        <v>0</v>
      </c>
      <c r="N28" s="118">
        <f t="shared" si="2"/>
        <v>0</v>
      </c>
      <c r="O28" s="118">
        <f t="shared" si="2"/>
        <v>0</v>
      </c>
      <c r="P28" s="118">
        <f t="shared" si="2"/>
        <v>0</v>
      </c>
      <c r="Q28" s="118">
        <f t="shared" si="2"/>
        <v>0</v>
      </c>
      <c r="R28" s="118">
        <f t="shared" si="2"/>
        <v>0</v>
      </c>
      <c r="S28" s="118">
        <f t="shared" si="2"/>
        <v>0</v>
      </c>
      <c r="T28" s="118">
        <f t="shared" si="2"/>
        <v>0</v>
      </c>
      <c r="U28" s="118">
        <f t="shared" si="2"/>
        <v>0</v>
      </c>
      <c r="V28" s="118">
        <f t="shared" si="2"/>
        <v>0</v>
      </c>
      <c r="W28" s="118">
        <f t="shared" si="2"/>
        <v>0</v>
      </c>
      <c r="X28" s="118">
        <f t="shared" si="2"/>
        <v>0</v>
      </c>
      <c r="Y28" s="118">
        <f t="shared" si="2"/>
        <v>0</v>
      </c>
      <c r="Z28" s="118">
        <f t="shared" si="2"/>
        <v>0</v>
      </c>
      <c r="AA28" s="118">
        <f t="shared" si="2"/>
        <v>0</v>
      </c>
      <c r="AB28" s="118">
        <f t="shared" si="2"/>
        <v>0</v>
      </c>
      <c r="AC28" s="118">
        <f t="shared" si="2"/>
        <v>0</v>
      </c>
      <c r="AD28" s="118">
        <f t="shared" si="2"/>
        <v>0</v>
      </c>
      <c r="AE28" s="118">
        <f t="shared" si="2"/>
        <v>0</v>
      </c>
      <c r="AF28" s="118">
        <f t="shared" si="2"/>
        <v>0</v>
      </c>
      <c r="AG28" s="11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4"/>
      <c r="E29"/>
      <c r="G29" s="205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3" t="s">
        <v>208</v>
      </c>
      <c r="G30" s="205">
        <f>input_dollars</f>
        <v>45291</v>
      </c>
      <c r="H30" s="147"/>
      <c r="I30" s="168" cm="1">
        <f t="array" ref="I30">SUMPRODUCT((Assumptions!$H$70:$H$71)*(Assumptions!$G$70:$G$71)*(Assumptions!$I$70:$I$71)*(I$24:I$25))</f>
        <v>0</v>
      </c>
      <c r="J30" s="168" cm="1">
        <f t="array" ref="J30">SUMPRODUCT((Assumptions!$H$70:$H$71)*(Assumptions!$G$70:$G$71)*(Assumptions!$I$70:$I$71)*(J$24:J$25))</f>
        <v>0</v>
      </c>
      <c r="K30" s="168" cm="1">
        <f t="array" ref="K30">SUMPRODUCT((Assumptions!$H$70:$H$71)*(Assumptions!$G$70:$G$71)*(Assumptions!$I$70:$I$71)*(K$24:K$25))</f>
        <v>0</v>
      </c>
      <c r="L30" s="168" cm="1">
        <f t="array" ref="L30">SUMPRODUCT((Assumptions!$H$70:$H$71)*(Assumptions!$G$70:$G$71)*(Assumptions!$I$70:$I$71)*(L$24:L$25))</f>
        <v>0</v>
      </c>
      <c r="M30" s="168" cm="1">
        <f t="array" ref="M30">SUMPRODUCT((Assumptions!$H$70:$H$71)*(Assumptions!$G$70:$G$71)*(Assumptions!$I$70:$I$71)*(M$24:M$25))</f>
        <v>0</v>
      </c>
      <c r="N30" s="168" cm="1">
        <f t="array" ref="N30">SUMPRODUCT((Assumptions!$H$70:$H$71)*(Assumptions!$G$70:$G$71)*(Assumptions!$I$70:$I$71)*(N$24:N$25))</f>
        <v>0</v>
      </c>
      <c r="O30" s="168" cm="1">
        <f t="array" ref="O30">SUMPRODUCT((Assumptions!$H$70:$H$71)*(Assumptions!$G$70:$G$71)*(Assumptions!$I$70:$I$71)*(O$24:O$25))</f>
        <v>0</v>
      </c>
      <c r="P30" s="168" cm="1">
        <f t="array" ref="P30">SUMPRODUCT((Assumptions!$H$70:$H$71)*(Assumptions!$G$70:$G$71)*(Assumptions!$I$70:$I$71)*(P$24:P$25))</f>
        <v>0</v>
      </c>
      <c r="Q30" s="168" cm="1">
        <f t="array" ref="Q30">SUMPRODUCT((Assumptions!$H$70:$H$71)*(Assumptions!$G$70:$G$71)*(Assumptions!$I$70:$I$71)*(Q$24:Q$25))</f>
        <v>0</v>
      </c>
      <c r="R30" s="168" cm="1">
        <f t="array" ref="R30">SUMPRODUCT((Assumptions!$H$70:$H$71)*(Assumptions!$G$70:$G$71)*(Assumptions!$I$70:$I$71)*(R$24:R$25))</f>
        <v>0</v>
      </c>
      <c r="S30" s="168" cm="1">
        <f t="array" ref="S30">SUMPRODUCT((Assumptions!$H$70:$H$71)*(Assumptions!$G$70:$G$71)*(Assumptions!$I$70:$I$71)*(S$24:S$25))</f>
        <v>0</v>
      </c>
      <c r="T30" s="168" cm="1">
        <f t="array" ref="T30">SUMPRODUCT((Assumptions!$H$70:$H$71)*(Assumptions!$G$70:$G$71)*(Assumptions!$I$70:$I$71)*(T$24:T$25))</f>
        <v>0</v>
      </c>
      <c r="U30" s="168" cm="1">
        <f t="array" ref="U30">SUMPRODUCT((Assumptions!$H$70:$H$71)*(Assumptions!$G$70:$G$71)*(Assumptions!$I$70:$I$71)*(U$24:U$25))</f>
        <v>0</v>
      </c>
      <c r="V30" s="168" cm="1">
        <f t="array" ref="V30">SUMPRODUCT((Assumptions!$H$70:$H$71)*(Assumptions!$G$70:$G$71)*(Assumptions!$I$70:$I$71)*(V$24:V$25))</f>
        <v>0</v>
      </c>
      <c r="W30" s="168" cm="1">
        <f t="array" ref="W30">SUMPRODUCT((Assumptions!$H$70:$H$71)*(Assumptions!$G$70:$G$71)*(Assumptions!$I$70:$I$71)*(W$24:W$25))</f>
        <v>0</v>
      </c>
      <c r="X30" s="168" cm="1">
        <f t="array" ref="X30">SUMPRODUCT((Assumptions!$H$70:$H$71)*(Assumptions!$G$70:$G$71)*(Assumptions!$I$70:$I$71)*(X$24:X$25))</f>
        <v>0</v>
      </c>
      <c r="Y30" s="168" cm="1">
        <f t="array" ref="Y30">SUMPRODUCT((Assumptions!$H$70:$H$71)*(Assumptions!$G$70:$G$71)*(Assumptions!$I$70:$I$71)*(Y$24:Y$25))</f>
        <v>0</v>
      </c>
      <c r="Z30" s="168" cm="1">
        <f t="array" ref="Z30">SUMPRODUCT((Assumptions!$H$70:$H$71)*(Assumptions!$G$70:$G$71)*(Assumptions!$I$70:$I$71)*(Z$24:Z$25))</f>
        <v>0</v>
      </c>
      <c r="AA30" s="168" cm="1">
        <f t="array" ref="AA30">SUMPRODUCT((Assumptions!$H$70:$H$71)*(Assumptions!$G$70:$G$71)*(Assumptions!$I$70:$I$71)*(AA$24:AA$25))</f>
        <v>0</v>
      </c>
      <c r="AB30" s="168" cm="1">
        <f t="array" ref="AB30">SUMPRODUCT((Assumptions!$H$70:$H$71)*(Assumptions!$G$70:$G$71)*(Assumptions!$I$70:$I$71)*(AB$24:AB$25))</f>
        <v>0</v>
      </c>
      <c r="AC30" s="168" cm="1">
        <f t="array" ref="AC30">SUMPRODUCT((Assumptions!$H$70:$H$71)*(Assumptions!$G$70:$G$71)*(Assumptions!$I$70:$I$71)*(AC$24:AC$25))</f>
        <v>0</v>
      </c>
      <c r="AD30" s="168" cm="1">
        <f t="array" ref="AD30">SUMPRODUCT((Assumptions!$H$70:$H$71)*(Assumptions!$G$70:$G$71)*(Assumptions!$I$70:$I$71)*(AD$24:AD$25))</f>
        <v>0</v>
      </c>
      <c r="AE30" s="168" cm="1">
        <f t="array" ref="AE30">SUMPRODUCT((Assumptions!$H$70:$H$71)*(Assumptions!$G$70:$G$71)*(Assumptions!$I$70:$I$71)*(AE$24:AE$25))</f>
        <v>0</v>
      </c>
      <c r="AF30" s="168" cm="1">
        <f t="array" ref="AF30">SUMPRODUCT((Assumptions!$H$70:$H$71)*(Assumptions!$G$70:$G$71)*(Assumptions!$I$70:$I$71)*(AF$24:AF$25))</f>
        <v>0</v>
      </c>
      <c r="AG30" s="168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4"/>
      <c r="E31"/>
      <c r="G31" s="205">
        <f>input_dollars</f>
        <v>45291</v>
      </c>
      <c r="H31" s="147"/>
      <c r="I31" s="168" cm="1">
        <f t="array" ref="I31">(1+Assumptions!$G$81)*SUMPRODUCT((Assumptions!$G$78:$G$79)*(I$24:I$25))</f>
        <v>0</v>
      </c>
      <c r="J31" s="168" cm="1">
        <f t="array" ref="J31">(1+Assumptions!$G$81)*SUMPRODUCT((Assumptions!$G$78:$G$79)*(J$24:J$25))</f>
        <v>0</v>
      </c>
      <c r="K31" s="168" cm="1">
        <f t="array" ref="K31">(1+Assumptions!$G$81)*SUMPRODUCT((Assumptions!$G$78:$G$79)*(K$24:K$25))</f>
        <v>0</v>
      </c>
      <c r="L31" s="168" cm="1">
        <f t="array" ref="L31">(1+Assumptions!$G$81)*SUMPRODUCT((Assumptions!$G$78:$G$79)*(L$24:L$25))</f>
        <v>0</v>
      </c>
      <c r="M31" s="168" cm="1">
        <f t="array" ref="M31">(1+Assumptions!$G$81)*SUMPRODUCT((Assumptions!$G$78:$G$79)*(M$24:M$25))</f>
        <v>0</v>
      </c>
      <c r="N31" s="168" cm="1">
        <f t="array" ref="N31">(1+Assumptions!$G$81)*SUMPRODUCT((Assumptions!$G$78:$G$79)*(N$24:N$25))</f>
        <v>0</v>
      </c>
      <c r="O31" s="168" cm="1">
        <f t="array" ref="O31">(1+Assumptions!$G$81)*SUMPRODUCT((Assumptions!$G$78:$G$79)*(O$24:O$25))</f>
        <v>0</v>
      </c>
      <c r="P31" s="168" cm="1">
        <f t="array" ref="P31">(1+Assumptions!$G$81)*SUMPRODUCT((Assumptions!$G$78:$G$79)*(P$24:P$25))</f>
        <v>0</v>
      </c>
      <c r="Q31" s="168" cm="1">
        <f t="array" ref="Q31">(1+Assumptions!$G$81)*SUMPRODUCT((Assumptions!$G$78:$G$79)*(Q$24:Q$25))</f>
        <v>0</v>
      </c>
      <c r="R31" s="168" cm="1">
        <f t="array" ref="R31">(1+Assumptions!$G$81)*SUMPRODUCT((Assumptions!$G$78:$G$79)*(R$24:R$25))</f>
        <v>0</v>
      </c>
      <c r="S31" s="168" cm="1">
        <f t="array" ref="S31">(1+Assumptions!$G$81)*SUMPRODUCT((Assumptions!$G$78:$G$79)*(S$24:S$25))</f>
        <v>0</v>
      </c>
      <c r="T31" s="168" cm="1">
        <f t="array" ref="T31">(1+Assumptions!$G$81)*SUMPRODUCT((Assumptions!$G$78:$G$79)*(T$24:T$25))</f>
        <v>0</v>
      </c>
      <c r="U31" s="168" cm="1">
        <f t="array" ref="U31">(1+Assumptions!$G$81)*SUMPRODUCT((Assumptions!$G$78:$G$79)*(U$24:U$25))</f>
        <v>0</v>
      </c>
      <c r="V31" s="168" cm="1">
        <f t="array" ref="V31">(1+Assumptions!$G$81)*SUMPRODUCT((Assumptions!$G$78:$G$79)*(V$24:V$25))</f>
        <v>0</v>
      </c>
      <c r="W31" s="168" cm="1">
        <f t="array" ref="W31">(1+Assumptions!$G$81)*SUMPRODUCT((Assumptions!$G$78:$G$79)*(W$24:W$25))</f>
        <v>0</v>
      </c>
      <c r="X31" s="168" cm="1">
        <f t="array" ref="X31">(1+Assumptions!$G$81)*SUMPRODUCT((Assumptions!$G$78:$G$79)*(X$24:X$25))</f>
        <v>0</v>
      </c>
      <c r="Y31" s="168" cm="1">
        <f t="array" ref="Y31">(1+Assumptions!$G$81)*SUMPRODUCT((Assumptions!$G$78:$G$79)*(Y$24:Y$25))</f>
        <v>0</v>
      </c>
      <c r="Z31" s="168" cm="1">
        <f t="array" ref="Z31">(1+Assumptions!$G$81)*SUMPRODUCT((Assumptions!$G$78:$G$79)*(Z$24:Z$25))</f>
        <v>0</v>
      </c>
      <c r="AA31" s="168" cm="1">
        <f t="array" ref="AA31">(1+Assumptions!$G$81)*SUMPRODUCT((Assumptions!$G$78:$G$79)*(AA$24:AA$25))</f>
        <v>0</v>
      </c>
      <c r="AB31" s="168" cm="1">
        <f t="array" ref="AB31">(1+Assumptions!$G$81)*SUMPRODUCT((Assumptions!$G$78:$G$79)*(AB$24:AB$25))</f>
        <v>0</v>
      </c>
      <c r="AC31" s="168" cm="1">
        <f t="array" ref="AC31">(1+Assumptions!$G$81)*SUMPRODUCT((Assumptions!$G$78:$G$79)*(AC$24:AC$25))</f>
        <v>0</v>
      </c>
      <c r="AD31" s="168" cm="1">
        <f t="array" ref="AD31">(1+Assumptions!$G$81)*SUMPRODUCT((Assumptions!$G$78:$G$79)*(AD$24:AD$25))</f>
        <v>0</v>
      </c>
      <c r="AE31" s="168" cm="1">
        <f t="array" ref="AE31">(1+Assumptions!$G$81)*SUMPRODUCT((Assumptions!$G$78:$G$79)*(AE$24:AE$25))</f>
        <v>0</v>
      </c>
      <c r="AF31" s="168" cm="1">
        <f t="array" ref="AF31">(1+Assumptions!$G$81)*SUMPRODUCT((Assumptions!$G$78:$G$79)*(AF$24:AF$25))</f>
        <v>0</v>
      </c>
      <c r="AG31" s="168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3" t="s">
        <v>208</v>
      </c>
      <c r="E32"/>
      <c r="G32" s="205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5">
        <v>0</v>
      </c>
      <c r="S32" s="135">
        <v>0</v>
      </c>
      <c r="T32" s="135">
        <v>0</v>
      </c>
      <c r="U32" s="135">
        <v>0</v>
      </c>
      <c r="V32" s="135">
        <v>0</v>
      </c>
      <c r="W32" s="135">
        <v>0</v>
      </c>
      <c r="X32" s="135">
        <v>0</v>
      </c>
      <c r="Y32" s="135">
        <v>0</v>
      </c>
      <c r="Z32" s="135">
        <v>0</v>
      </c>
      <c r="AA32" s="135">
        <v>0</v>
      </c>
      <c r="AB32" s="135">
        <v>0</v>
      </c>
      <c r="AC32" s="135">
        <v>0</v>
      </c>
      <c r="AD32" s="135">
        <v>0</v>
      </c>
      <c r="AE32" s="135">
        <v>0</v>
      </c>
      <c r="AF32" s="135">
        <v>0</v>
      </c>
      <c r="AG32" s="135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2" t="s">
        <v>173</v>
      </c>
      <c r="D33" s="217"/>
      <c r="E33"/>
      <c r="G33" s="205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2" t="s">
        <v>173</v>
      </c>
      <c r="D34" s="204"/>
      <c r="E34"/>
      <c r="G34" s="205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4"/>
      <c r="E35"/>
      <c r="G35" s="20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6"/>
      <c r="E36" s="106"/>
      <c r="F36" s="3"/>
      <c r="G36" s="207"/>
      <c r="H36" s="106"/>
      <c r="I36" s="168">
        <f>SUM(I28:I34)</f>
        <v>0</v>
      </c>
      <c r="J36" s="168">
        <f t="shared" ref="J36:AG36" si="3">SUM(J28:J34)</f>
        <v>0</v>
      </c>
      <c r="K36" s="168">
        <f t="shared" si="3"/>
        <v>0</v>
      </c>
      <c r="L36" s="168">
        <f t="shared" si="3"/>
        <v>0</v>
      </c>
      <c r="M36" s="168">
        <f t="shared" si="3"/>
        <v>0</v>
      </c>
      <c r="N36" s="168">
        <f t="shared" si="3"/>
        <v>0</v>
      </c>
      <c r="O36" s="168">
        <f t="shared" si="3"/>
        <v>0</v>
      </c>
      <c r="P36" s="168">
        <f t="shared" si="3"/>
        <v>0</v>
      </c>
      <c r="Q36" s="168">
        <f t="shared" si="3"/>
        <v>0</v>
      </c>
      <c r="R36" s="168">
        <f t="shared" si="3"/>
        <v>0</v>
      </c>
      <c r="S36" s="168">
        <f t="shared" si="3"/>
        <v>0</v>
      </c>
      <c r="T36" s="168">
        <f t="shared" si="3"/>
        <v>0</v>
      </c>
      <c r="U36" s="168">
        <f t="shared" si="3"/>
        <v>0</v>
      </c>
      <c r="V36" s="168">
        <f t="shared" si="3"/>
        <v>0</v>
      </c>
      <c r="W36" s="168">
        <f t="shared" si="3"/>
        <v>0</v>
      </c>
      <c r="X36" s="168">
        <f t="shared" si="3"/>
        <v>0</v>
      </c>
      <c r="Y36" s="168">
        <f t="shared" si="3"/>
        <v>0</v>
      </c>
      <c r="Z36" s="168">
        <f t="shared" si="3"/>
        <v>0</v>
      </c>
      <c r="AA36" s="168">
        <f t="shared" si="3"/>
        <v>0</v>
      </c>
      <c r="AB36" s="168">
        <f t="shared" si="3"/>
        <v>0</v>
      </c>
      <c r="AC36" s="168">
        <f t="shared" si="3"/>
        <v>0</v>
      </c>
      <c r="AD36" s="168">
        <f t="shared" si="3"/>
        <v>0</v>
      </c>
      <c r="AE36" s="168">
        <f t="shared" si="3"/>
        <v>0</v>
      </c>
      <c r="AF36" s="168">
        <f t="shared" si="3"/>
        <v>0</v>
      </c>
      <c r="AG36" s="168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5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2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5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5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3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3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5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4"/>
      <c r="E44"/>
      <c r="G44" s="205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3" t="s">
        <v>63</v>
      </c>
      <c r="E45" s="112">
        <f>Assumptions!G94</f>
        <v>0</v>
      </c>
      <c r="G45" s="205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3" t="s">
        <v>63</v>
      </c>
      <c r="E46" s="112">
        <f>Assumptions!G95</f>
        <v>38560</v>
      </c>
      <c r="G46" s="205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3" t="s">
        <v>63</v>
      </c>
      <c r="E47" s="111">
        <f>Assumptions!G96</f>
        <v>862.60284529259377</v>
      </c>
      <c r="G47" s="205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3" t="s">
        <v>126</v>
      </c>
      <c r="E48" s="111">
        <f>Assumptions!G97</f>
        <v>0</v>
      </c>
      <c r="G48" s="205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3" t="s">
        <v>206</v>
      </c>
      <c r="E49" s="111">
        <f>Assumptions!G98</f>
        <v>0.34750851315331577</v>
      </c>
      <c r="G49" s="205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3" t="s">
        <v>206</v>
      </c>
      <c r="E50" s="111">
        <f>Assumptions!G99</f>
        <v>0.34750851315331577</v>
      </c>
      <c r="G50" s="205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3" t="s">
        <v>126</v>
      </c>
      <c r="E51" s="111">
        <f>Assumptions!G100</f>
        <v>0</v>
      </c>
      <c r="G51" s="205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3" t="s">
        <v>126</v>
      </c>
      <c r="E52" s="111">
        <f>Assumptions!G101</f>
        <v>0</v>
      </c>
      <c r="G52" s="205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3"/>
      <c r="G53" s="205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3"/>
      <c r="G54" s="205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3"/>
      <c r="G55" s="205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3"/>
      <c r="G56" s="203"/>
    </row>
    <row r="57" spans="1:43" x14ac:dyDescent="0.2">
      <c r="C57" s="3" t="s">
        <v>125</v>
      </c>
      <c r="D57" s="216"/>
      <c r="E57" s="106"/>
      <c r="F57" s="3"/>
      <c r="G57" s="208">
        <f>input_dollars</f>
        <v>45291</v>
      </c>
      <c r="H57" s="106"/>
      <c r="I57" s="168" cm="1">
        <f t="array" ref="I57">SUMPRODUCT((I$45:I$52)*($E$45:$E$52))+SUM(I54:I55)+I42</f>
        <v>0</v>
      </c>
      <c r="J57" s="168" cm="1">
        <f t="array" ref="J57">SUMPRODUCT((J$45:J$52)*($E$45:$E$52))+SUM(J54:J55)+J42</f>
        <v>0</v>
      </c>
      <c r="K57" s="168" cm="1">
        <f t="array" ref="K57">SUMPRODUCT((K$45:K$52)*($E$45:$E$52))+SUM(K54:K55)+K42</f>
        <v>0</v>
      </c>
      <c r="L57" s="168" cm="1">
        <f t="array" ref="L57">SUMPRODUCT((L$45:L$52)*($E$45:$E$52))+SUM(L54:L55)+L42</f>
        <v>0</v>
      </c>
      <c r="M57" s="168" cm="1">
        <f t="array" ref="M57">SUMPRODUCT((M$45:M$52)*($E$45:$E$52))+SUM(M54:M55)+M42</f>
        <v>0</v>
      </c>
      <c r="N57" s="168" cm="1">
        <f t="array" ref="N57">SUMPRODUCT((N$45:N$52)*($E$45:$E$52))+SUM(N54:N55)+N42</f>
        <v>0</v>
      </c>
      <c r="O57" s="168" cm="1">
        <f t="array" ref="O57">SUMPRODUCT((O$45:O$52)*($E$45:$E$52))+SUM(O54:O55)+O42</f>
        <v>0</v>
      </c>
      <c r="P57" s="168" cm="1">
        <f t="array" ref="P57">SUMPRODUCT((P$45:P$52)*($E$45:$E$52))+SUM(P54:P55)+P42</f>
        <v>0</v>
      </c>
      <c r="Q57" s="168" cm="1">
        <f t="array" ref="Q57">SUMPRODUCT((Q$45:Q$52)*($E$45:$E$52))+SUM(Q54:Q55)+Q42</f>
        <v>0</v>
      </c>
      <c r="R57" s="168" cm="1">
        <f t="array" ref="R57">SUMPRODUCT((R$45:R$52)*($E$45:$E$52))+SUM(R54:R55)+R42</f>
        <v>0</v>
      </c>
      <c r="S57" s="168" cm="1">
        <f t="array" ref="S57">SUMPRODUCT((S$45:S$52)*($E$45:$E$52))+SUM(S54:S55)+S42</f>
        <v>0</v>
      </c>
      <c r="T57" s="168" cm="1">
        <f t="array" ref="T57">SUMPRODUCT((T$45:T$52)*($E$45:$E$52))+SUM(T54:T55)+T42</f>
        <v>0</v>
      </c>
      <c r="U57" s="168" cm="1">
        <f t="array" ref="U57">SUMPRODUCT((U$45:U$52)*($E$45:$E$52))+SUM(U54:U55)+U42</f>
        <v>0</v>
      </c>
      <c r="V57" s="168" cm="1">
        <f t="array" ref="V57">SUMPRODUCT((V$45:V$52)*($E$45:$E$52))+SUM(V54:V55)+V42</f>
        <v>0</v>
      </c>
      <c r="W57" s="168" cm="1">
        <f t="array" ref="W57">SUMPRODUCT((W$45:W$52)*($E$45:$E$52))+SUM(W54:W55)+W42</f>
        <v>0</v>
      </c>
      <c r="X57" s="168" cm="1">
        <f t="array" ref="X57">SUMPRODUCT((X$45:X$52)*($E$45:$E$52))+SUM(X54:X55)+X42</f>
        <v>0</v>
      </c>
      <c r="Y57" s="168" cm="1">
        <f t="array" ref="Y57">SUMPRODUCT((Y$45:Y$52)*($E$45:$E$52))+SUM(Y54:Y55)+Y42</f>
        <v>0</v>
      </c>
      <c r="Z57" s="168" cm="1">
        <f t="array" ref="Z57">SUMPRODUCT((Z$45:Z$52)*($E$45:$E$52))+SUM(Z54:Z55)+Z42</f>
        <v>0</v>
      </c>
      <c r="AA57" s="168" cm="1">
        <f t="array" ref="AA57">SUMPRODUCT((AA$45:AA$52)*($E$45:$E$52))+SUM(AA54:AA55)+AA42</f>
        <v>0</v>
      </c>
      <c r="AB57" s="168" cm="1">
        <f t="array" ref="AB57">SUMPRODUCT((AB$45:AB$52)*($E$45:$E$52))+SUM(AB54:AB55)+AB42</f>
        <v>0</v>
      </c>
      <c r="AC57" s="168" cm="1">
        <f t="array" ref="AC57">SUMPRODUCT((AC$45:AC$52)*($E$45:$E$52))+SUM(AC54:AC55)+AC42</f>
        <v>0</v>
      </c>
      <c r="AD57" s="168" cm="1">
        <f t="array" ref="AD57">SUMPRODUCT((AD$45:AD$52)*($E$45:$E$52))+SUM(AD54:AD55)+AD42</f>
        <v>0</v>
      </c>
      <c r="AE57" s="168" cm="1">
        <f t="array" ref="AE57">SUMPRODUCT((AE$45:AE$52)*($E$45:$E$52))+SUM(AE54:AE55)+AE42</f>
        <v>0</v>
      </c>
      <c r="AF57" s="168" cm="1">
        <f t="array" ref="AF57">SUMPRODUCT((AF$45:AF$52)*($E$45:$E$52))+SUM(AF54:AF55)+AF42</f>
        <v>0</v>
      </c>
      <c r="AG57" s="168" cm="1">
        <f t="array" ref="AG57">SUMPRODUCT((AG$45:AG$52)*($E$45:$E$52))+SUM(AG54:AG55)+AG42</f>
        <v>0</v>
      </c>
    </row>
    <row r="58" spans="1:43" x14ac:dyDescent="0.2">
      <c r="D58" s="203"/>
      <c r="G58" s="203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3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2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0"/>
      <c r="B61" s="110"/>
      <c r="C61" s="110"/>
      <c r="D61" s="110"/>
      <c r="E61" s="110"/>
      <c r="F61" s="110"/>
      <c r="G61" s="206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0"/>
      <c r="B62" s="110"/>
      <c r="C62" s="110"/>
      <c r="D62" s="110"/>
      <c r="E62" s="110"/>
      <c r="F62"/>
      <c r="G62" s="209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0"/>
    </row>
    <row r="64" spans="1:43" x14ac:dyDescent="0.2">
      <c r="C64" s="4" t="str">
        <f>'Option1 (base case)'!C64</f>
        <v>Risks mitigated vs base case</v>
      </c>
      <c r="G64" s="208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0</v>
      </c>
      <c r="L64" s="131">
        <f>(1-INDEX(Data!$C$9:$C$13, MATCH($A$3, options,0)))*('Option1 (base case)'!L36-L36)</f>
        <v>0</v>
      </c>
      <c r="M64" s="131">
        <f>(1-INDEX(Data!$C$9:$C$13, MATCH($A$3, options,0)))*('Option1 (base case)'!M36-M36)</f>
        <v>0</v>
      </c>
      <c r="N64" s="131">
        <f>(1-INDEX(Data!$C$9:$C$13, MATCH($A$3, options,0)))*('Option1 (base case)'!N36-N36)</f>
        <v>0</v>
      </c>
      <c r="O64" s="131">
        <f>(1-INDEX(Data!$C$9:$C$13, MATCH($A$3, options,0)))*('Option1 (base case)'!O36-O36)</f>
        <v>0</v>
      </c>
      <c r="P64" s="131">
        <f>(1-INDEX(Data!$C$9:$C$13, MATCH($A$3, options,0)))*('Option1 (base case)'!P36-P36)</f>
        <v>0</v>
      </c>
      <c r="Q64" s="131">
        <f>(1-INDEX(Data!$C$9:$C$13, MATCH($A$3, options,0)))*('Option1 (base case)'!Q36-Q36)</f>
        <v>0</v>
      </c>
      <c r="R64" s="131">
        <f>(1-INDEX(Data!$C$9:$C$13, MATCH($A$3, options,0)))*('Option1 (base case)'!R36-R36)</f>
        <v>0</v>
      </c>
      <c r="S64" s="131">
        <f>(1-INDEX(Data!$C$9:$C$13, MATCH($A$3, options,0)))*('Option1 (base case)'!S36-S36)</f>
        <v>0</v>
      </c>
      <c r="T64" s="131">
        <f>(1-INDEX(Data!$C$9:$C$13, MATCH($A$3, options,0)))*('Option1 (base case)'!T36-T36)</f>
        <v>0</v>
      </c>
      <c r="U64" s="131">
        <f>(1-INDEX(Data!$C$9:$C$13, MATCH($A$3, options,0)))*('Option1 (base case)'!U36-U36)</f>
        <v>0</v>
      </c>
      <c r="V64" s="131">
        <f>(1-INDEX(Data!$C$9:$C$13, MATCH($A$3, options,0)))*('Option1 (base case)'!V36-V36)</f>
        <v>0</v>
      </c>
      <c r="W64" s="131">
        <f>(1-INDEX(Data!$C$9:$C$13, MATCH($A$3, options,0)))*('Option1 (base case)'!W36-W36)</f>
        <v>0</v>
      </c>
      <c r="X64" s="131">
        <f>(1-INDEX(Data!$C$9:$C$13, MATCH($A$3, options,0)))*('Option1 (base case)'!X36-X36)</f>
        <v>0</v>
      </c>
      <c r="Y64" s="131">
        <f>(1-INDEX(Data!$C$9:$C$13, MATCH($A$3, options,0)))*('Option1 (base case)'!Y36-Y36)</f>
        <v>0</v>
      </c>
      <c r="Z64" s="131">
        <f>(1-INDEX(Data!$C$9:$C$13, MATCH($A$3, options,0)))*('Option1 (base case)'!Z36-Z36)</f>
        <v>0</v>
      </c>
      <c r="AA64" s="131">
        <f>(1-INDEX(Data!$C$9:$C$13, MATCH($A$3, options,0)))*('Option1 (base case)'!AA36-AA36)</f>
        <v>0</v>
      </c>
      <c r="AB64" s="131">
        <f>(1-INDEX(Data!$C$9:$C$13, MATCH($A$3, options,0)))*('Option1 (base case)'!AB36-AB36)</f>
        <v>0</v>
      </c>
      <c r="AC64" s="131">
        <f>(1-INDEX(Data!$C$9:$C$13, MATCH($A$3, options,0)))*('Option1 (base case)'!AC36-AC36)</f>
        <v>0</v>
      </c>
      <c r="AD64" s="131">
        <f>(1-INDEX(Data!$C$9:$C$13, MATCH($A$3, options,0)))*('Option1 (base case)'!AD36-AD36)</f>
        <v>0</v>
      </c>
      <c r="AE64" s="131">
        <f>(1-INDEX(Data!$C$9:$C$13, MATCH($A$3, options,0)))*('Option1 (base case)'!AE36-AE36)</f>
        <v>0</v>
      </c>
      <c r="AF64" s="131">
        <f>(1-INDEX(Data!$C$9:$C$13, MATCH($A$3, options,0)))*('Option1 (base case)'!AF36-AF36)</f>
        <v>0</v>
      </c>
      <c r="AG64" s="131">
        <f>(1-INDEX(Data!$C$9:$C$13, MATCH($A$3, options,0)))*('Option1 (base case)'!AG36-AG36)</f>
        <v>0</v>
      </c>
    </row>
    <row r="65" spans="1:33" x14ac:dyDescent="0.2">
      <c r="G65" s="210"/>
    </row>
    <row r="66" spans="1:33" x14ac:dyDescent="0.2">
      <c r="A66" s="8"/>
      <c r="B66" s="8"/>
      <c r="C66" s="145" t="s">
        <v>30</v>
      </c>
      <c r="D66" s="38"/>
      <c r="F66" s="96"/>
      <c r="G66" s="21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6"/>
      <c r="G67" s="208">
        <f>input_dollars</f>
        <v>45291</v>
      </c>
      <c r="H67" s="31"/>
      <c r="I67" s="118">
        <f t="shared" ref="I67:AG67" si="5">-I14</f>
        <v>0</v>
      </c>
      <c r="J67" s="118">
        <f t="shared" si="5"/>
        <v>0</v>
      </c>
      <c r="K67" s="118">
        <f t="shared" si="5"/>
        <v>0</v>
      </c>
      <c r="L67" s="118">
        <f t="shared" si="5"/>
        <v>0</v>
      </c>
      <c r="M67" s="118">
        <f t="shared" si="5"/>
        <v>0</v>
      </c>
      <c r="N67" s="118">
        <f t="shared" si="5"/>
        <v>0</v>
      </c>
      <c r="O67" s="118">
        <f t="shared" si="5"/>
        <v>0</v>
      </c>
      <c r="P67" s="118">
        <f t="shared" si="5"/>
        <v>0</v>
      </c>
      <c r="Q67" s="118">
        <f t="shared" si="5"/>
        <v>0</v>
      </c>
      <c r="R67" s="118">
        <f t="shared" si="5"/>
        <v>0</v>
      </c>
      <c r="S67" s="118">
        <f t="shared" si="5"/>
        <v>0</v>
      </c>
      <c r="T67" s="118">
        <f t="shared" si="5"/>
        <v>0</v>
      </c>
      <c r="U67" s="118">
        <f t="shared" si="5"/>
        <v>0</v>
      </c>
      <c r="V67" s="118">
        <f t="shared" si="5"/>
        <v>0</v>
      </c>
      <c r="W67" s="118">
        <f t="shared" si="5"/>
        <v>0</v>
      </c>
      <c r="X67" s="118">
        <f t="shared" si="5"/>
        <v>0</v>
      </c>
      <c r="Y67" s="118">
        <f t="shared" si="5"/>
        <v>0</v>
      </c>
      <c r="Z67" s="118">
        <f t="shared" si="5"/>
        <v>0</v>
      </c>
      <c r="AA67" s="118">
        <f t="shared" si="5"/>
        <v>0</v>
      </c>
      <c r="AB67" s="118">
        <f t="shared" si="5"/>
        <v>0</v>
      </c>
      <c r="AC67" s="118">
        <f t="shared" si="5"/>
        <v>0</v>
      </c>
      <c r="AD67" s="118">
        <f t="shared" si="5"/>
        <v>0</v>
      </c>
      <c r="AE67" s="118">
        <f t="shared" si="5"/>
        <v>0</v>
      </c>
      <c r="AF67" s="118">
        <f t="shared" si="5"/>
        <v>0</v>
      </c>
      <c r="AG67" s="118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6"/>
      <c r="G68" s="208">
        <f>input_dollars</f>
        <v>45291</v>
      </c>
      <c r="H68" s="31"/>
      <c r="I68" s="118">
        <f t="shared" ref="I68:AG68" si="6">-I15</f>
        <v>0</v>
      </c>
      <c r="J68" s="118">
        <f t="shared" si="6"/>
        <v>0</v>
      </c>
      <c r="K68" s="118">
        <f t="shared" si="6"/>
        <v>0</v>
      </c>
      <c r="L68" s="118">
        <f t="shared" si="6"/>
        <v>0</v>
      </c>
      <c r="M68" s="118">
        <f t="shared" si="6"/>
        <v>0</v>
      </c>
      <c r="N68" s="118">
        <f t="shared" si="6"/>
        <v>0</v>
      </c>
      <c r="O68" s="118">
        <f t="shared" si="6"/>
        <v>0</v>
      </c>
      <c r="P68" s="118">
        <f t="shared" si="6"/>
        <v>0</v>
      </c>
      <c r="Q68" s="118">
        <f t="shared" si="6"/>
        <v>0</v>
      </c>
      <c r="R68" s="118">
        <f t="shared" si="6"/>
        <v>0</v>
      </c>
      <c r="S68" s="118">
        <f t="shared" si="6"/>
        <v>0</v>
      </c>
      <c r="T68" s="118">
        <f t="shared" si="6"/>
        <v>0</v>
      </c>
      <c r="U68" s="118">
        <f t="shared" si="6"/>
        <v>0</v>
      </c>
      <c r="V68" s="118">
        <f t="shared" si="6"/>
        <v>0</v>
      </c>
      <c r="W68" s="118">
        <f t="shared" si="6"/>
        <v>0</v>
      </c>
      <c r="X68" s="118">
        <f t="shared" si="6"/>
        <v>0</v>
      </c>
      <c r="Y68" s="118">
        <f t="shared" si="6"/>
        <v>0</v>
      </c>
      <c r="Z68" s="118">
        <f t="shared" si="6"/>
        <v>0</v>
      </c>
      <c r="AA68" s="118">
        <f t="shared" si="6"/>
        <v>0</v>
      </c>
      <c r="AB68" s="118">
        <f t="shared" si="6"/>
        <v>0</v>
      </c>
      <c r="AC68" s="118">
        <f t="shared" si="6"/>
        <v>0</v>
      </c>
      <c r="AD68" s="118">
        <f t="shared" si="6"/>
        <v>0</v>
      </c>
      <c r="AE68" s="118">
        <f t="shared" si="6"/>
        <v>0</v>
      </c>
      <c r="AF68" s="118">
        <f t="shared" si="6"/>
        <v>0</v>
      </c>
      <c r="AG68" s="118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6"/>
      <c r="G69" s="208">
        <f>input_dollars</f>
        <v>45291</v>
      </c>
      <c r="H69" s="31"/>
      <c r="I69" s="118">
        <f t="shared" ref="I69:AG69" si="7">-I16</f>
        <v>0</v>
      </c>
      <c r="J69" s="118">
        <f t="shared" si="7"/>
        <v>0</v>
      </c>
      <c r="K69" s="118">
        <f t="shared" si="7"/>
        <v>0</v>
      </c>
      <c r="L69" s="118">
        <f t="shared" si="7"/>
        <v>0</v>
      </c>
      <c r="M69" s="118">
        <f t="shared" si="7"/>
        <v>0</v>
      </c>
      <c r="N69" s="118">
        <f t="shared" si="7"/>
        <v>0</v>
      </c>
      <c r="O69" s="118">
        <f t="shared" si="7"/>
        <v>0</v>
      </c>
      <c r="P69" s="118">
        <f t="shared" si="7"/>
        <v>0</v>
      </c>
      <c r="Q69" s="118">
        <f t="shared" si="7"/>
        <v>0</v>
      </c>
      <c r="R69" s="118">
        <f t="shared" si="7"/>
        <v>0</v>
      </c>
      <c r="S69" s="118">
        <f t="shared" si="7"/>
        <v>0</v>
      </c>
      <c r="T69" s="118">
        <f t="shared" si="7"/>
        <v>0</v>
      </c>
      <c r="U69" s="118">
        <f t="shared" si="7"/>
        <v>0</v>
      </c>
      <c r="V69" s="118">
        <f t="shared" si="7"/>
        <v>0</v>
      </c>
      <c r="W69" s="118">
        <f t="shared" si="7"/>
        <v>0</v>
      </c>
      <c r="X69" s="118">
        <f t="shared" si="7"/>
        <v>0</v>
      </c>
      <c r="Y69" s="118">
        <f t="shared" si="7"/>
        <v>0</v>
      </c>
      <c r="Z69" s="118">
        <f t="shared" si="7"/>
        <v>0</v>
      </c>
      <c r="AA69" s="118">
        <f t="shared" si="7"/>
        <v>0</v>
      </c>
      <c r="AB69" s="118">
        <f t="shared" si="7"/>
        <v>0</v>
      </c>
      <c r="AC69" s="118">
        <f t="shared" si="7"/>
        <v>0</v>
      </c>
      <c r="AD69" s="118">
        <f t="shared" si="7"/>
        <v>0</v>
      </c>
      <c r="AE69" s="118">
        <f t="shared" si="7"/>
        <v>0</v>
      </c>
      <c r="AF69" s="118">
        <f t="shared" si="7"/>
        <v>0</v>
      </c>
      <c r="AG69" s="118">
        <f t="shared" si="7"/>
        <v>0</v>
      </c>
    </row>
    <row r="70" spans="1:33" x14ac:dyDescent="0.2">
      <c r="A70" s="8"/>
      <c r="B70" s="8"/>
      <c r="C70" s="4"/>
      <c r="D70" s="38"/>
      <c r="F70" s="96"/>
      <c r="G70" s="212"/>
      <c r="H70" s="31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x14ac:dyDescent="0.2">
      <c r="A71" s="8"/>
      <c r="B71" s="8"/>
      <c r="C71" s="145" t="s">
        <v>156</v>
      </c>
      <c r="D71" s="38"/>
      <c r="F71" s="96"/>
      <c r="G71" s="211"/>
      <c r="H71" s="31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x14ac:dyDescent="0.2">
      <c r="A72" s="8"/>
      <c r="B72" s="8"/>
      <c r="C72" s="4" t="str">
        <f>C14</f>
        <v>&lt; Enter description &gt;</v>
      </c>
      <c r="D72" s="38"/>
      <c r="F72" s="96"/>
      <c r="G72" s="208">
        <f>input_dollars</f>
        <v>45291</v>
      </c>
      <c r="H72" s="31"/>
      <c r="I72" s="118" cm="1">
        <f t="array" ref="I72">SUMPRODUCT(($I67:I67))-SUMPRODUCT(($I67:I67)*($I$6:I$6&lt;=(I$6-$E14)))</f>
        <v>0</v>
      </c>
      <c r="J72" s="118" cm="1">
        <f t="array" ref="J72">SUMPRODUCT(($I67:J67))-SUMPRODUCT(($I67:J67)*($I$6:J$6&lt;=(J$6-$E14)))</f>
        <v>0</v>
      </c>
      <c r="K72" s="118" cm="1">
        <f t="array" ref="K72">SUMPRODUCT(($I67:K67))-SUMPRODUCT(($I67:K67)*($I$6:K$6&lt;=(K$6-$E14)))</f>
        <v>0</v>
      </c>
      <c r="L72" s="118" cm="1">
        <f t="array" ref="L72">SUMPRODUCT(($I67:L67))-SUMPRODUCT(($I67:L67)*($I$6:L$6&lt;=(L$6-$E14)))</f>
        <v>0</v>
      </c>
      <c r="M72" s="118" cm="1">
        <f t="array" ref="M72">SUMPRODUCT(($I67:M67))-SUMPRODUCT(($I67:M67)*($I$6:M$6&lt;=(M$6-$E14)))</f>
        <v>0</v>
      </c>
      <c r="N72" s="118" cm="1">
        <f t="array" ref="N72">SUMPRODUCT(($I67:N67))-SUMPRODUCT(($I67:N67)*($I$6:N$6&lt;=(N$6-$E14)))</f>
        <v>0</v>
      </c>
      <c r="O72" s="118" cm="1">
        <f t="array" ref="O72">SUMPRODUCT(($I67:O67))-SUMPRODUCT(($I67:O67)*($I$6:O$6&lt;=(O$6-$E14)))</f>
        <v>0</v>
      </c>
      <c r="P72" s="118" cm="1">
        <f t="array" ref="P72">SUMPRODUCT(($I67:P67))-SUMPRODUCT(($I67:P67)*($I$6:P$6&lt;=(P$6-$E14)))</f>
        <v>0</v>
      </c>
      <c r="Q72" s="118" cm="1">
        <f t="array" ref="Q72">SUMPRODUCT(($I67:Q67))-SUMPRODUCT(($I67:Q67)*($I$6:Q$6&lt;=(Q$6-$E14)))</f>
        <v>0</v>
      </c>
      <c r="R72" s="118" cm="1">
        <f t="array" ref="R72">SUMPRODUCT(($I67:R67))-SUMPRODUCT(($I67:R67)*($I$6:R$6&lt;=(R$6-$E14)))</f>
        <v>0</v>
      </c>
      <c r="S72" s="118" cm="1">
        <f t="array" ref="S72">SUMPRODUCT(($I67:S67))-SUMPRODUCT(($I67:S67)*($I$6:S$6&lt;=(S$6-$E14)))</f>
        <v>0</v>
      </c>
      <c r="T72" s="118" cm="1">
        <f t="array" ref="T72">SUMPRODUCT(($I67:T67))-SUMPRODUCT(($I67:T67)*($I$6:T$6&lt;=(T$6-$E14)))</f>
        <v>0</v>
      </c>
      <c r="U72" s="118" cm="1">
        <f t="array" ref="U72">SUMPRODUCT(($I67:U67))-SUMPRODUCT(($I67:U67)*($I$6:U$6&lt;=(U$6-$E14)))</f>
        <v>0</v>
      </c>
      <c r="V72" s="118" cm="1">
        <f t="array" ref="V72">SUMPRODUCT(($I67:V67))-SUMPRODUCT(($I67:V67)*($I$6:V$6&lt;=(V$6-$E14)))</f>
        <v>0</v>
      </c>
      <c r="W72" s="118" cm="1">
        <f t="array" ref="W72">SUMPRODUCT(($I67:W67))-SUMPRODUCT(($I67:W67)*($I$6:W$6&lt;=(W$6-$E14)))</f>
        <v>0</v>
      </c>
      <c r="X72" s="118" cm="1">
        <f t="array" ref="X72">SUMPRODUCT(($I67:X67))-SUMPRODUCT(($I67:X67)*($I$6:X$6&lt;=(X$6-$E14)))</f>
        <v>0</v>
      </c>
      <c r="Y72" s="118" cm="1">
        <f t="array" ref="Y72">SUMPRODUCT(($I67:Y67))-SUMPRODUCT(($I67:Y67)*($I$6:Y$6&lt;=(Y$6-$E14)))</f>
        <v>0</v>
      </c>
      <c r="Z72" s="118" cm="1">
        <f t="array" ref="Z72">SUMPRODUCT(($I67:Z67))-SUMPRODUCT(($I67:Z67)*($I$6:Z$6&lt;=(Z$6-$E14)))</f>
        <v>0</v>
      </c>
      <c r="AA72" s="118" cm="1">
        <f t="array" ref="AA72">SUMPRODUCT(($I67:AA67))-SUMPRODUCT(($I67:AA67)*($I$6:AA$6&lt;=(AA$6-$E14)))</f>
        <v>0</v>
      </c>
      <c r="AB72" s="118" cm="1">
        <f t="array" ref="AB72">SUMPRODUCT(($I67:AB67))-SUMPRODUCT(($I67:AB67)*($I$6:AB$6&lt;=(AB$6-$E14)))</f>
        <v>0</v>
      </c>
      <c r="AC72" s="118" cm="1">
        <f t="array" ref="AC72">SUMPRODUCT(($I67:AC67))-SUMPRODUCT(($I67:AC67)*($I$6:AC$6&lt;=(AC$6-$E14)))</f>
        <v>0</v>
      </c>
      <c r="AD72" s="118" cm="1">
        <f t="array" ref="AD72">SUMPRODUCT(($I67:AD67))-SUMPRODUCT(($I67:AD67)*($I$6:AD$6&lt;=(AD$6-$E14)))</f>
        <v>0</v>
      </c>
      <c r="AE72" s="118" cm="1">
        <f t="array" ref="AE72">SUMPRODUCT(($I67:AE67))-SUMPRODUCT(($I67:AE67)*($I$6:AE$6&lt;=(AE$6-$E14)))</f>
        <v>0</v>
      </c>
      <c r="AF72" s="118" cm="1">
        <f t="array" ref="AF72">SUMPRODUCT(($I67:AF67))-SUMPRODUCT(($I67:AF67)*($I$6:AF$6&lt;=(AF$6-$E14)))</f>
        <v>0</v>
      </c>
      <c r="AG72" s="118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6"/>
      <c r="G73" s="208">
        <f>input_dollars</f>
        <v>45291</v>
      </c>
      <c r="H73" s="31"/>
      <c r="I73" s="118" cm="1">
        <f t="array" ref="I73">SUMPRODUCT(($I68:I68))-SUMPRODUCT(($I68:I68)*($I$6:I$6&lt;=(I$6-$E15)))</f>
        <v>0</v>
      </c>
      <c r="J73" s="118" cm="1">
        <f t="array" ref="J73">SUMPRODUCT(($I68:J68))-SUMPRODUCT(($I68:J68)*($I$6:J$6&lt;=(J$6-$E15)))</f>
        <v>0</v>
      </c>
      <c r="K73" s="118" cm="1">
        <f t="array" ref="K73">SUMPRODUCT(($I68:K68))-SUMPRODUCT(($I68:K68)*($I$6:K$6&lt;=(K$6-$E15)))</f>
        <v>0</v>
      </c>
      <c r="L73" s="118" cm="1">
        <f t="array" ref="L73">SUMPRODUCT(($I68:L68))-SUMPRODUCT(($I68:L68)*($I$6:L$6&lt;=(L$6-$E15)))</f>
        <v>0</v>
      </c>
      <c r="M73" s="118" cm="1">
        <f t="array" ref="M73">SUMPRODUCT(($I68:M68))-SUMPRODUCT(($I68:M68)*($I$6:M$6&lt;=(M$6-$E15)))</f>
        <v>0</v>
      </c>
      <c r="N73" s="118" cm="1">
        <f t="array" ref="N73">SUMPRODUCT(($I68:N68))-SUMPRODUCT(($I68:N68)*($I$6:N$6&lt;=(N$6-$E15)))</f>
        <v>0</v>
      </c>
      <c r="O73" s="118" cm="1">
        <f t="array" ref="O73">SUMPRODUCT(($I68:O68))-SUMPRODUCT(($I68:O68)*($I$6:O$6&lt;=(O$6-$E15)))</f>
        <v>0</v>
      </c>
      <c r="P73" s="118" cm="1">
        <f t="array" ref="P73">SUMPRODUCT(($I68:P68))-SUMPRODUCT(($I68:P68)*($I$6:P$6&lt;=(P$6-$E15)))</f>
        <v>0</v>
      </c>
      <c r="Q73" s="118" cm="1">
        <f t="array" ref="Q73">SUMPRODUCT(($I68:Q68))-SUMPRODUCT(($I68:Q68)*($I$6:Q$6&lt;=(Q$6-$E15)))</f>
        <v>0</v>
      </c>
      <c r="R73" s="118" cm="1">
        <f t="array" ref="R73">SUMPRODUCT(($I68:R68))-SUMPRODUCT(($I68:R68)*($I$6:R$6&lt;=(R$6-$E15)))</f>
        <v>0</v>
      </c>
      <c r="S73" s="118" cm="1">
        <f t="array" ref="S73">SUMPRODUCT(($I68:S68))-SUMPRODUCT(($I68:S68)*($I$6:S$6&lt;=(S$6-$E15)))</f>
        <v>0</v>
      </c>
      <c r="T73" s="118" cm="1">
        <f t="array" ref="T73">SUMPRODUCT(($I68:T68))-SUMPRODUCT(($I68:T68)*($I$6:T$6&lt;=(T$6-$E15)))</f>
        <v>0</v>
      </c>
      <c r="U73" s="118" cm="1">
        <f t="array" ref="U73">SUMPRODUCT(($I68:U68))-SUMPRODUCT(($I68:U68)*($I$6:U$6&lt;=(U$6-$E15)))</f>
        <v>0</v>
      </c>
      <c r="V73" s="118" cm="1">
        <f t="array" ref="V73">SUMPRODUCT(($I68:V68))-SUMPRODUCT(($I68:V68)*($I$6:V$6&lt;=(V$6-$E15)))</f>
        <v>0</v>
      </c>
      <c r="W73" s="118" cm="1">
        <f t="array" ref="W73">SUMPRODUCT(($I68:W68))-SUMPRODUCT(($I68:W68)*($I$6:W$6&lt;=(W$6-$E15)))</f>
        <v>0</v>
      </c>
      <c r="X73" s="118" cm="1">
        <f t="array" ref="X73">SUMPRODUCT(($I68:X68))-SUMPRODUCT(($I68:X68)*($I$6:X$6&lt;=(X$6-$E15)))</f>
        <v>0</v>
      </c>
      <c r="Y73" s="118" cm="1">
        <f t="array" ref="Y73">SUMPRODUCT(($I68:Y68))-SUMPRODUCT(($I68:Y68)*($I$6:Y$6&lt;=(Y$6-$E15)))</f>
        <v>0</v>
      </c>
      <c r="Z73" s="118" cm="1">
        <f t="array" ref="Z73">SUMPRODUCT(($I68:Z68))-SUMPRODUCT(($I68:Z68)*($I$6:Z$6&lt;=(Z$6-$E15)))</f>
        <v>0</v>
      </c>
      <c r="AA73" s="118" cm="1">
        <f t="array" ref="AA73">SUMPRODUCT(($I68:AA68))-SUMPRODUCT(($I68:AA68)*($I$6:AA$6&lt;=(AA$6-$E15)))</f>
        <v>0</v>
      </c>
      <c r="AB73" s="118" cm="1">
        <f t="array" ref="AB73">SUMPRODUCT(($I68:AB68))-SUMPRODUCT(($I68:AB68)*($I$6:AB$6&lt;=(AB$6-$E15)))</f>
        <v>0</v>
      </c>
      <c r="AC73" s="118" cm="1">
        <f t="array" ref="AC73">SUMPRODUCT(($I68:AC68))-SUMPRODUCT(($I68:AC68)*($I$6:AC$6&lt;=(AC$6-$E15)))</f>
        <v>0</v>
      </c>
      <c r="AD73" s="118" cm="1">
        <f t="array" ref="AD73">SUMPRODUCT(($I68:AD68))-SUMPRODUCT(($I68:AD68)*($I$6:AD$6&lt;=(AD$6-$E15)))</f>
        <v>0</v>
      </c>
      <c r="AE73" s="118" cm="1">
        <f t="array" ref="AE73">SUMPRODUCT(($I68:AE68))-SUMPRODUCT(($I68:AE68)*($I$6:AE$6&lt;=(AE$6-$E15)))</f>
        <v>0</v>
      </c>
      <c r="AF73" s="118" cm="1">
        <f t="array" ref="AF73">SUMPRODUCT(($I68:AF68))-SUMPRODUCT(($I68:AF68)*($I$6:AF$6&lt;=(AF$6-$E15)))</f>
        <v>0</v>
      </c>
      <c r="AG73" s="118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6"/>
      <c r="G74" s="208">
        <f>input_dollars</f>
        <v>45291</v>
      </c>
      <c r="H74" s="31"/>
      <c r="I74" s="118" cm="1">
        <f t="array" ref="I74">SUMPRODUCT(($I69:I69))-SUMPRODUCT(($I69:I69)*($I$6:I$6&lt;=(I$6-$E16)))</f>
        <v>0</v>
      </c>
      <c r="J74" s="118" cm="1">
        <f t="array" ref="J74">SUMPRODUCT(($I69:J69))-SUMPRODUCT(($I69:J69)*($I$6:J$6&lt;=(J$6-$E16)))</f>
        <v>0</v>
      </c>
      <c r="K74" s="118" cm="1">
        <f t="array" ref="K74">SUMPRODUCT(($I69:K69))-SUMPRODUCT(($I69:K69)*($I$6:K$6&lt;=(K$6-$E16)))</f>
        <v>0</v>
      </c>
      <c r="L74" s="118" cm="1">
        <f t="array" ref="L74">SUMPRODUCT(($I69:L69))-SUMPRODUCT(($I69:L69)*($I$6:L$6&lt;=(L$6-$E16)))</f>
        <v>0</v>
      </c>
      <c r="M74" s="118" cm="1">
        <f t="array" ref="M74">SUMPRODUCT(($I69:M69))-SUMPRODUCT(($I69:M69)*($I$6:M$6&lt;=(M$6-$E16)))</f>
        <v>0</v>
      </c>
      <c r="N74" s="118" cm="1">
        <f t="array" ref="N74">SUMPRODUCT(($I69:N69))-SUMPRODUCT(($I69:N69)*($I$6:N$6&lt;=(N$6-$E16)))</f>
        <v>0</v>
      </c>
      <c r="O74" s="118" cm="1">
        <f t="array" ref="O74">SUMPRODUCT(($I69:O69))-SUMPRODUCT(($I69:O69)*($I$6:O$6&lt;=(O$6-$E16)))</f>
        <v>0</v>
      </c>
      <c r="P74" s="118" cm="1">
        <f t="array" ref="P74">SUMPRODUCT(($I69:P69))-SUMPRODUCT(($I69:P69)*($I$6:P$6&lt;=(P$6-$E16)))</f>
        <v>0</v>
      </c>
      <c r="Q74" s="118" cm="1">
        <f t="array" ref="Q74">SUMPRODUCT(($I69:Q69))-SUMPRODUCT(($I69:Q69)*($I$6:Q$6&lt;=(Q$6-$E16)))</f>
        <v>0</v>
      </c>
      <c r="R74" s="118" cm="1">
        <f t="array" ref="R74">SUMPRODUCT(($I69:R69))-SUMPRODUCT(($I69:R69)*($I$6:R$6&lt;=(R$6-$E16)))</f>
        <v>0</v>
      </c>
      <c r="S74" s="118" cm="1">
        <f t="array" ref="S74">SUMPRODUCT(($I69:S69))-SUMPRODUCT(($I69:S69)*($I$6:S$6&lt;=(S$6-$E16)))</f>
        <v>0</v>
      </c>
      <c r="T74" s="118" cm="1">
        <f t="array" ref="T74">SUMPRODUCT(($I69:T69))-SUMPRODUCT(($I69:T69)*($I$6:T$6&lt;=(T$6-$E16)))</f>
        <v>0</v>
      </c>
      <c r="U74" s="118" cm="1">
        <f t="array" ref="U74">SUMPRODUCT(($I69:U69))-SUMPRODUCT(($I69:U69)*($I$6:U$6&lt;=(U$6-$E16)))</f>
        <v>0</v>
      </c>
      <c r="V74" s="118" cm="1">
        <f t="array" ref="V74">SUMPRODUCT(($I69:V69))-SUMPRODUCT(($I69:V69)*($I$6:V$6&lt;=(V$6-$E16)))</f>
        <v>0</v>
      </c>
      <c r="W74" s="118" cm="1">
        <f t="array" ref="W74">SUMPRODUCT(($I69:W69))-SUMPRODUCT(($I69:W69)*($I$6:W$6&lt;=(W$6-$E16)))</f>
        <v>0</v>
      </c>
      <c r="X74" s="118" cm="1">
        <f t="array" ref="X74">SUMPRODUCT(($I69:X69))-SUMPRODUCT(($I69:X69)*($I$6:X$6&lt;=(X$6-$E16)))</f>
        <v>0</v>
      </c>
      <c r="Y74" s="118" cm="1">
        <f t="array" ref="Y74">SUMPRODUCT(($I69:Y69))-SUMPRODUCT(($I69:Y69)*($I$6:Y$6&lt;=(Y$6-$E16)))</f>
        <v>0</v>
      </c>
      <c r="Z74" s="118" cm="1">
        <f t="array" ref="Z74">SUMPRODUCT(($I69:Z69))-SUMPRODUCT(($I69:Z69)*($I$6:Z$6&lt;=(Z$6-$E16)))</f>
        <v>0</v>
      </c>
      <c r="AA74" s="118" cm="1">
        <f t="array" ref="AA74">SUMPRODUCT(($I69:AA69))-SUMPRODUCT(($I69:AA69)*($I$6:AA$6&lt;=(AA$6-$E16)))</f>
        <v>0</v>
      </c>
      <c r="AB74" s="118" cm="1">
        <f t="array" ref="AB74">SUMPRODUCT(($I69:AB69))-SUMPRODUCT(($I69:AB69)*($I$6:AB$6&lt;=(AB$6-$E16)))</f>
        <v>0</v>
      </c>
      <c r="AC74" s="118" cm="1">
        <f t="array" ref="AC74">SUMPRODUCT(($I69:AC69))-SUMPRODUCT(($I69:AC69)*($I$6:AC$6&lt;=(AC$6-$E16)))</f>
        <v>0</v>
      </c>
      <c r="AD74" s="118" cm="1">
        <f t="array" ref="AD74">SUMPRODUCT(($I69:AD69))-SUMPRODUCT(($I69:AD69)*($I$6:AD$6&lt;=(AD$6-$E16)))</f>
        <v>0</v>
      </c>
      <c r="AE74" s="118" cm="1">
        <f t="array" ref="AE74">SUMPRODUCT(($I69:AE69))-SUMPRODUCT(($I69:AE69)*($I$6:AE$6&lt;=(AE$6-$E16)))</f>
        <v>0</v>
      </c>
      <c r="AF74" s="118" cm="1">
        <f t="array" ref="AF74">SUMPRODUCT(($I69:AF69))-SUMPRODUCT(($I69:AF69)*($I$6:AF$6&lt;=(AF$6-$E16)))</f>
        <v>0</v>
      </c>
      <c r="AG74" s="118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6"/>
      <c r="G75" s="212"/>
      <c r="H75" s="31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x14ac:dyDescent="0.2">
      <c r="A76" s="8"/>
      <c r="B76" s="8"/>
      <c r="C76" s="145" t="s">
        <v>91</v>
      </c>
      <c r="D76" s="38"/>
      <c r="F76" s="96"/>
      <c r="G76" s="211"/>
      <c r="H76" s="31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6"/>
      <c r="G77" s="208">
        <f>input_dollars</f>
        <v>45291</v>
      </c>
      <c r="H77" s="31"/>
      <c r="I77" s="118">
        <f t="shared" ref="I77:AG77" si="8">IF($E14=0,0,-PMT(real_disc, $E14,H72,))</f>
        <v>0</v>
      </c>
      <c r="J77" s="118">
        <f t="shared" si="8"/>
        <v>0</v>
      </c>
      <c r="K77" s="118">
        <f t="shared" si="8"/>
        <v>0</v>
      </c>
      <c r="L77" s="118">
        <f t="shared" si="8"/>
        <v>0</v>
      </c>
      <c r="M77" s="118">
        <f t="shared" si="8"/>
        <v>0</v>
      </c>
      <c r="N77" s="118">
        <f t="shared" si="8"/>
        <v>0</v>
      </c>
      <c r="O77" s="118">
        <f t="shared" si="8"/>
        <v>0</v>
      </c>
      <c r="P77" s="118">
        <f t="shared" si="8"/>
        <v>0</v>
      </c>
      <c r="Q77" s="118">
        <f t="shared" si="8"/>
        <v>0</v>
      </c>
      <c r="R77" s="118">
        <f t="shared" si="8"/>
        <v>0</v>
      </c>
      <c r="S77" s="118">
        <f t="shared" si="8"/>
        <v>0</v>
      </c>
      <c r="T77" s="118">
        <f t="shared" si="8"/>
        <v>0</v>
      </c>
      <c r="U77" s="118">
        <f t="shared" si="8"/>
        <v>0</v>
      </c>
      <c r="V77" s="118">
        <f t="shared" si="8"/>
        <v>0</v>
      </c>
      <c r="W77" s="118">
        <f t="shared" si="8"/>
        <v>0</v>
      </c>
      <c r="X77" s="118">
        <f t="shared" si="8"/>
        <v>0</v>
      </c>
      <c r="Y77" s="118">
        <f t="shared" si="8"/>
        <v>0</v>
      </c>
      <c r="Z77" s="118">
        <f t="shared" si="8"/>
        <v>0</v>
      </c>
      <c r="AA77" s="118">
        <f t="shared" si="8"/>
        <v>0</v>
      </c>
      <c r="AB77" s="118">
        <f t="shared" si="8"/>
        <v>0</v>
      </c>
      <c r="AC77" s="118">
        <f t="shared" si="8"/>
        <v>0</v>
      </c>
      <c r="AD77" s="118">
        <f t="shared" si="8"/>
        <v>0</v>
      </c>
      <c r="AE77" s="118">
        <f t="shared" si="8"/>
        <v>0</v>
      </c>
      <c r="AF77" s="118">
        <f t="shared" si="8"/>
        <v>0</v>
      </c>
      <c r="AG77" s="118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6"/>
      <c r="G78" s="208">
        <f>input_dollars</f>
        <v>45291</v>
      </c>
      <c r="H78" s="31"/>
      <c r="I78" s="118">
        <f t="shared" ref="I78:AG78" si="9">IF($E15=0,0,-PMT(real_disc, $E15,H73,))</f>
        <v>0</v>
      </c>
      <c r="J78" s="118">
        <f t="shared" si="9"/>
        <v>0</v>
      </c>
      <c r="K78" s="118">
        <f t="shared" si="9"/>
        <v>0</v>
      </c>
      <c r="L78" s="118">
        <f t="shared" si="9"/>
        <v>0</v>
      </c>
      <c r="M78" s="118">
        <f t="shared" si="9"/>
        <v>0</v>
      </c>
      <c r="N78" s="118">
        <f t="shared" si="9"/>
        <v>0</v>
      </c>
      <c r="O78" s="118">
        <f t="shared" si="9"/>
        <v>0</v>
      </c>
      <c r="P78" s="118">
        <f t="shared" si="9"/>
        <v>0</v>
      </c>
      <c r="Q78" s="118">
        <f t="shared" si="9"/>
        <v>0</v>
      </c>
      <c r="R78" s="118">
        <f t="shared" si="9"/>
        <v>0</v>
      </c>
      <c r="S78" s="118">
        <f t="shared" si="9"/>
        <v>0</v>
      </c>
      <c r="T78" s="118">
        <f t="shared" si="9"/>
        <v>0</v>
      </c>
      <c r="U78" s="118">
        <f t="shared" si="9"/>
        <v>0</v>
      </c>
      <c r="V78" s="118">
        <f t="shared" si="9"/>
        <v>0</v>
      </c>
      <c r="W78" s="118">
        <f t="shared" si="9"/>
        <v>0</v>
      </c>
      <c r="X78" s="118">
        <f t="shared" si="9"/>
        <v>0</v>
      </c>
      <c r="Y78" s="118">
        <f t="shared" si="9"/>
        <v>0</v>
      </c>
      <c r="Z78" s="118">
        <f t="shared" si="9"/>
        <v>0</v>
      </c>
      <c r="AA78" s="118">
        <f t="shared" si="9"/>
        <v>0</v>
      </c>
      <c r="AB78" s="118">
        <f t="shared" si="9"/>
        <v>0</v>
      </c>
      <c r="AC78" s="118">
        <f t="shared" si="9"/>
        <v>0</v>
      </c>
      <c r="AD78" s="118">
        <f t="shared" si="9"/>
        <v>0</v>
      </c>
      <c r="AE78" s="118">
        <f t="shared" si="9"/>
        <v>0</v>
      </c>
      <c r="AF78" s="118">
        <f t="shared" si="9"/>
        <v>0</v>
      </c>
      <c r="AG78" s="118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6"/>
      <c r="G79" s="208">
        <f>input_dollars</f>
        <v>45291</v>
      </c>
      <c r="H79" s="31"/>
      <c r="I79" s="118">
        <f t="shared" ref="I79:AG79" si="10">IF($E16=0,0,-PMT(real_disc, $E16,H74,))</f>
        <v>0</v>
      </c>
      <c r="J79" s="118">
        <f t="shared" si="10"/>
        <v>0</v>
      </c>
      <c r="K79" s="118">
        <f t="shared" si="10"/>
        <v>0</v>
      </c>
      <c r="L79" s="118">
        <f t="shared" si="10"/>
        <v>0</v>
      </c>
      <c r="M79" s="118">
        <f t="shared" si="10"/>
        <v>0</v>
      </c>
      <c r="N79" s="118">
        <f t="shared" si="10"/>
        <v>0</v>
      </c>
      <c r="O79" s="118">
        <f t="shared" si="10"/>
        <v>0</v>
      </c>
      <c r="P79" s="118">
        <f t="shared" si="10"/>
        <v>0</v>
      </c>
      <c r="Q79" s="118">
        <f t="shared" si="10"/>
        <v>0</v>
      </c>
      <c r="R79" s="118">
        <f t="shared" si="10"/>
        <v>0</v>
      </c>
      <c r="S79" s="118">
        <f t="shared" si="10"/>
        <v>0</v>
      </c>
      <c r="T79" s="118">
        <f t="shared" si="10"/>
        <v>0</v>
      </c>
      <c r="U79" s="118">
        <f t="shared" si="10"/>
        <v>0</v>
      </c>
      <c r="V79" s="118">
        <f t="shared" si="10"/>
        <v>0</v>
      </c>
      <c r="W79" s="118">
        <f t="shared" si="10"/>
        <v>0</v>
      </c>
      <c r="X79" s="118">
        <f t="shared" si="10"/>
        <v>0</v>
      </c>
      <c r="Y79" s="118">
        <f t="shared" si="10"/>
        <v>0</v>
      </c>
      <c r="Z79" s="118">
        <f t="shared" si="10"/>
        <v>0</v>
      </c>
      <c r="AA79" s="118">
        <f t="shared" si="10"/>
        <v>0</v>
      </c>
      <c r="AB79" s="118">
        <f t="shared" si="10"/>
        <v>0</v>
      </c>
      <c r="AC79" s="118">
        <f t="shared" si="10"/>
        <v>0</v>
      </c>
      <c r="AD79" s="118">
        <f t="shared" si="10"/>
        <v>0</v>
      </c>
      <c r="AE79" s="118">
        <f t="shared" si="10"/>
        <v>0</v>
      </c>
      <c r="AF79" s="118">
        <f t="shared" si="10"/>
        <v>0</v>
      </c>
      <c r="AG79" s="118">
        <f t="shared" si="10"/>
        <v>0</v>
      </c>
    </row>
    <row r="80" spans="1:33" x14ac:dyDescent="0.2">
      <c r="A80" s="8"/>
      <c r="B80" s="8"/>
      <c r="C80" s="170" t="s">
        <v>157</v>
      </c>
      <c r="D80" s="170"/>
      <c r="E80" s="171"/>
      <c r="F80" s="172"/>
      <c r="G80" s="213">
        <f>input_dollars</f>
        <v>45291</v>
      </c>
      <c r="H80" s="173"/>
      <c r="I80" s="174">
        <f>SUM(I77:I79)</f>
        <v>0</v>
      </c>
      <c r="J80" s="174">
        <f t="shared" ref="J80:AB80" si="11">SUM(J77:J79)</f>
        <v>0</v>
      </c>
      <c r="K80" s="174">
        <f t="shared" si="11"/>
        <v>0</v>
      </c>
      <c r="L80" s="174">
        <f t="shared" si="11"/>
        <v>0</v>
      </c>
      <c r="M80" s="174">
        <f t="shared" si="11"/>
        <v>0</v>
      </c>
      <c r="N80" s="174">
        <f t="shared" si="11"/>
        <v>0</v>
      </c>
      <c r="O80" s="174">
        <f t="shared" si="11"/>
        <v>0</v>
      </c>
      <c r="P80" s="174">
        <f t="shared" si="11"/>
        <v>0</v>
      </c>
      <c r="Q80" s="174">
        <f t="shared" si="11"/>
        <v>0</v>
      </c>
      <c r="R80" s="174">
        <f t="shared" si="11"/>
        <v>0</v>
      </c>
      <c r="S80" s="174">
        <f t="shared" si="11"/>
        <v>0</v>
      </c>
      <c r="T80" s="174">
        <f t="shared" si="11"/>
        <v>0</v>
      </c>
      <c r="U80" s="174">
        <f t="shared" si="11"/>
        <v>0</v>
      </c>
      <c r="V80" s="174">
        <f t="shared" si="11"/>
        <v>0</v>
      </c>
      <c r="W80" s="174">
        <f t="shared" si="11"/>
        <v>0</v>
      </c>
      <c r="X80" s="174">
        <f t="shared" si="11"/>
        <v>0</v>
      </c>
      <c r="Y80" s="174">
        <f t="shared" si="11"/>
        <v>0</v>
      </c>
      <c r="Z80" s="174">
        <f t="shared" si="11"/>
        <v>0</v>
      </c>
      <c r="AA80" s="174">
        <f t="shared" si="11"/>
        <v>0</v>
      </c>
      <c r="AB80" s="174">
        <f t="shared" si="11"/>
        <v>0</v>
      </c>
      <c r="AC80" s="174">
        <f>SUM(AC77:AC79)</f>
        <v>0</v>
      </c>
      <c r="AD80" s="174">
        <f>SUM(AD77:AD79)</f>
        <v>0</v>
      </c>
      <c r="AE80" s="174">
        <f>SUM(AE77:AE79)</f>
        <v>0</v>
      </c>
      <c r="AF80" s="174">
        <f>SUM(AF77:AF79)</f>
        <v>0</v>
      </c>
      <c r="AG80" s="174">
        <f>SUM(AG77:AG79)</f>
        <v>0</v>
      </c>
    </row>
    <row r="81" spans="1:33" x14ac:dyDescent="0.2">
      <c r="A81" s="8"/>
      <c r="B81" s="8"/>
      <c r="C81" s="75"/>
      <c r="D81" s="38"/>
      <c r="F81"/>
      <c r="G81" s="214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6"/>
      <c r="G82" s="208">
        <f t="shared" ref="G82:G87" si="12">input_dollars</f>
        <v>45291</v>
      </c>
      <c r="H82" s="31"/>
      <c r="I82" s="118">
        <f>I80</f>
        <v>0</v>
      </c>
      <c r="J82" s="118">
        <f t="shared" ref="J82:AB82" si="13">J80</f>
        <v>0</v>
      </c>
      <c r="K82" s="118">
        <f t="shared" si="13"/>
        <v>0</v>
      </c>
      <c r="L82" s="118">
        <f t="shared" si="13"/>
        <v>0</v>
      </c>
      <c r="M82" s="118">
        <f t="shared" si="13"/>
        <v>0</v>
      </c>
      <c r="N82" s="118">
        <f t="shared" si="13"/>
        <v>0</v>
      </c>
      <c r="O82" s="118">
        <f t="shared" si="13"/>
        <v>0</v>
      </c>
      <c r="P82" s="118">
        <f t="shared" si="13"/>
        <v>0</v>
      </c>
      <c r="Q82" s="118">
        <f t="shared" si="13"/>
        <v>0</v>
      </c>
      <c r="R82" s="118">
        <f t="shared" si="13"/>
        <v>0</v>
      </c>
      <c r="S82" s="118">
        <f t="shared" si="13"/>
        <v>0</v>
      </c>
      <c r="T82" s="118">
        <f t="shared" si="13"/>
        <v>0</v>
      </c>
      <c r="U82" s="118">
        <f t="shared" si="13"/>
        <v>0</v>
      </c>
      <c r="V82" s="118">
        <f t="shared" si="13"/>
        <v>0</v>
      </c>
      <c r="W82" s="118">
        <f t="shared" si="13"/>
        <v>0</v>
      </c>
      <c r="X82" s="118">
        <f t="shared" si="13"/>
        <v>0</v>
      </c>
      <c r="Y82" s="118">
        <f t="shared" si="13"/>
        <v>0</v>
      </c>
      <c r="Z82" s="118">
        <f t="shared" si="13"/>
        <v>0</v>
      </c>
      <c r="AA82" s="118">
        <f t="shared" si="13"/>
        <v>0</v>
      </c>
      <c r="AB82" s="118">
        <f t="shared" si="13"/>
        <v>0</v>
      </c>
      <c r="AC82" s="118">
        <f>AC80</f>
        <v>0</v>
      </c>
      <c r="AD82" s="118">
        <f>AD80</f>
        <v>0</v>
      </c>
      <c r="AE82" s="118">
        <f>AE80</f>
        <v>0</v>
      </c>
      <c r="AF82" s="118">
        <f>AF80</f>
        <v>0</v>
      </c>
      <c r="AG82" s="118">
        <f>AG80</f>
        <v>0</v>
      </c>
    </row>
    <row r="83" spans="1:33" x14ac:dyDescent="0.2">
      <c r="A83" s="8"/>
      <c r="B83" s="8"/>
      <c r="C83" s="4" t="s">
        <v>31</v>
      </c>
      <c r="D83" s="38"/>
      <c r="F83" s="96"/>
      <c r="G83" s="208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6"/>
      <c r="G84" s="208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6"/>
      <c r="G85" s="208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08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5" t="s">
        <v>188</v>
      </c>
      <c r="D87" s="176"/>
      <c r="E87" s="171"/>
      <c r="F87" s="177"/>
      <c r="G87" s="213">
        <f t="shared" si="12"/>
        <v>45291</v>
      </c>
      <c r="H87" s="177"/>
      <c r="I87" s="177">
        <f t="shared" ref="I87:AB87" si="17">SUM(I82:I86)</f>
        <v>0</v>
      </c>
      <c r="J87" s="177">
        <f t="shared" si="17"/>
        <v>0</v>
      </c>
      <c r="K87" s="177">
        <f t="shared" si="17"/>
        <v>0</v>
      </c>
      <c r="L87" s="177">
        <f t="shared" si="17"/>
        <v>0</v>
      </c>
      <c r="M87" s="177">
        <f t="shared" si="17"/>
        <v>0</v>
      </c>
      <c r="N87" s="177">
        <f t="shared" si="17"/>
        <v>0</v>
      </c>
      <c r="O87" s="177">
        <f t="shared" si="17"/>
        <v>0</v>
      </c>
      <c r="P87" s="177">
        <f t="shared" si="17"/>
        <v>0</v>
      </c>
      <c r="Q87" s="177">
        <f t="shared" si="17"/>
        <v>0</v>
      </c>
      <c r="R87" s="177">
        <f t="shared" si="17"/>
        <v>0</v>
      </c>
      <c r="S87" s="177">
        <f t="shared" si="17"/>
        <v>0</v>
      </c>
      <c r="T87" s="177">
        <f t="shared" si="17"/>
        <v>0</v>
      </c>
      <c r="U87" s="177">
        <f t="shared" si="17"/>
        <v>0</v>
      </c>
      <c r="V87" s="177">
        <f t="shared" si="17"/>
        <v>0</v>
      </c>
      <c r="W87" s="177">
        <f t="shared" si="17"/>
        <v>0</v>
      </c>
      <c r="X87" s="177">
        <f t="shared" si="17"/>
        <v>0</v>
      </c>
      <c r="Y87" s="177">
        <f t="shared" si="17"/>
        <v>0</v>
      </c>
      <c r="Z87" s="177">
        <f t="shared" si="17"/>
        <v>0</v>
      </c>
      <c r="AA87" s="177">
        <f t="shared" si="17"/>
        <v>0</v>
      </c>
      <c r="AB87" s="177">
        <f t="shared" si="17"/>
        <v>0</v>
      </c>
      <c r="AC87" s="177">
        <f>SUM(AC82:AC86)</f>
        <v>0</v>
      </c>
      <c r="AD87" s="177">
        <f>SUM(AD82:AD86)</f>
        <v>0</v>
      </c>
      <c r="AE87" s="177">
        <f>SUM(AE82:AE86)</f>
        <v>0</v>
      </c>
      <c r="AF87" s="177">
        <f>SUM(AF82:AF86)</f>
        <v>0</v>
      </c>
      <c r="AG87" s="177">
        <f>SUM(AG82:AG86)</f>
        <v>0</v>
      </c>
    </row>
    <row r="88" spans="1:33" x14ac:dyDescent="0.2">
      <c r="A88" s="8"/>
      <c r="B88" s="8"/>
      <c r="C88" s="75"/>
      <c r="D88" s="137"/>
      <c r="E88" s="64"/>
      <c r="F88" s="140"/>
      <c r="G88" s="215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</row>
    <row r="89" spans="1:33" x14ac:dyDescent="0.2">
      <c r="A89" s="8"/>
      <c r="B89" s="8"/>
      <c r="C89" s="75"/>
      <c r="D89" s="137"/>
      <c r="E89" s="64"/>
      <c r="F89" s="140"/>
      <c r="G89" s="215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</row>
    <row r="90" spans="1:33" x14ac:dyDescent="0.2">
      <c r="A90" s="8"/>
      <c r="B90" s="8"/>
      <c r="C90" s="228" t="s">
        <v>198</v>
      </c>
      <c r="D90" s="82"/>
      <c r="E90" s="229"/>
      <c r="F90" s="230"/>
      <c r="G90" s="231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2"/>
      <c r="E91" s="229"/>
      <c r="F91" s="229"/>
      <c r="G91" s="231"/>
    </row>
    <row r="92" spans="1:33" x14ac:dyDescent="0.2">
      <c r="C92" s="233" t="s">
        <v>193</v>
      </c>
      <c r="D92" s="234"/>
      <c r="E92" s="234"/>
      <c r="F92" s="234"/>
      <c r="G92" s="235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2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240"/>
    </row>
    <row r="105" spans="1:43" x14ac:dyDescent="0.2"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299" t="str">
        <f>Assumptions!G110</f>
        <v>Capex</v>
      </c>
      <c r="E109" s="299" t="str">
        <f>Assumptions!H110</f>
        <v>Total benefits</v>
      </c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</row>
    <row r="110" spans="1:43" x14ac:dyDescent="0.2">
      <c r="A110" s="1" t="str">
        <f>"sens"&amp;Assumptions!B111</f>
        <v>sens1</v>
      </c>
      <c r="C110" s="298" t="str">
        <f>Assumptions!C111</f>
        <v>Capex 10% higher</v>
      </c>
      <c r="D110" s="299">
        <f>Assumptions!G111</f>
        <v>0.1</v>
      </c>
      <c r="E110" s="299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98" t="str">
        <f>Assumptions!C112</f>
        <v>Capex 10% lower</v>
      </c>
      <c r="D111" s="299">
        <f>Assumptions!G112</f>
        <v>-0.1</v>
      </c>
      <c r="E111" s="299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98" t="str">
        <f>Assumptions!C113</f>
        <v>Total benefits 10% higher</v>
      </c>
      <c r="D112" s="299">
        <f>Assumptions!G113</f>
        <v>0</v>
      </c>
      <c r="E112" s="299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98" t="str">
        <f>Assumptions!C114</f>
        <v>Total benefits 10% lower</v>
      </c>
      <c r="D113" s="299">
        <f>Assumptions!G114</f>
        <v>0</v>
      </c>
      <c r="E113" s="299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98" t="str">
        <f>Assumptions!C115</f>
        <v>Capex 10% higher &amp; Total benefits 10% lower</v>
      </c>
      <c r="D114" s="299">
        <f>Assumptions!G115</f>
        <v>0.1</v>
      </c>
      <c r="E114" s="299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98">
        <f>Assumptions!C116</f>
        <v>0</v>
      </c>
      <c r="D115" s="299">
        <f>Assumptions!G116</f>
        <v>0</v>
      </c>
      <c r="E115" s="299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98">
        <f>Assumptions!C117</f>
        <v>0</v>
      </c>
      <c r="D116" s="299">
        <f>Assumptions!G117</f>
        <v>0</v>
      </c>
      <c r="E116" s="299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98">
        <f>Assumptions!C118</f>
        <v>0</v>
      </c>
      <c r="D117" s="299">
        <f>Assumptions!G118</f>
        <v>0</v>
      </c>
      <c r="E117" s="299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A2" sqref="A2"/>
      <selection pane="topRight" activeCell="A2" sqref="A2"/>
      <selection pane="bottomLeft" activeCell="A2" sqref="A2"/>
      <selection pane="bottomRight" activeCell="F32" sqref="F32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EW switchboard and relay replacement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1" t="s">
        <v>90</v>
      </c>
      <c r="B3" s="5"/>
      <c r="C3" s="34"/>
      <c r="D3" s="34"/>
      <c r="E3" s="34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</row>
    <row r="4" spans="1:34" s="2" customFormat="1" ht="10.5" customHeight="1" x14ac:dyDescent="0.2">
      <c r="A4" s="114"/>
      <c r="B4" s="114"/>
      <c r="C4" s="115"/>
      <c r="D4" s="115"/>
      <c r="E4" s="115"/>
      <c r="F4" s="115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</row>
    <row r="5" spans="1:34" s="2" customFormat="1" hidden="1" outlineLevel="1" x14ac:dyDescent="0.2">
      <c r="A5" s="115" t="s">
        <v>194</v>
      </c>
      <c r="B5" s="115"/>
      <c r="C5" s="116"/>
      <c r="D5" s="115"/>
      <c r="E5" s="115"/>
      <c r="F5" s="115"/>
      <c r="G5" s="100"/>
      <c r="H5" s="186">
        <f t="shared" ref="H5:AG5" si="0">IF(H9=start,1/((1+real_disc)^(1/2)),G5/(1+real_disc))</f>
        <v>0</v>
      </c>
      <c r="I5" s="186">
        <f t="shared" si="0"/>
        <v>0.98294637436598087</v>
      </c>
      <c r="J5" s="186">
        <f t="shared" si="0"/>
        <v>0.94970664189949849</v>
      </c>
      <c r="K5" s="186">
        <f t="shared" si="0"/>
        <v>0.91759095835700344</v>
      </c>
      <c r="L5" s="186">
        <f t="shared" si="0"/>
        <v>0.88656131242222558</v>
      </c>
      <c r="M5" s="186">
        <f t="shared" si="0"/>
        <v>0.85658097818572532</v>
      </c>
      <c r="N5" s="186">
        <f t="shared" si="0"/>
        <v>0.8276144716770294</v>
      </c>
      <c r="O5" s="186">
        <f t="shared" si="0"/>
        <v>0.79962750886669509</v>
      </c>
      <c r="P5" s="186">
        <f t="shared" si="0"/>
        <v>0.77258696508859437</v>
      </c>
      <c r="Q5" s="186">
        <f t="shared" si="0"/>
        <v>0.74646083583439071</v>
      </c>
      <c r="R5" s="186">
        <f t="shared" si="0"/>
        <v>0.72121819887380756</v>
      </c>
      <c r="S5" s="186">
        <f t="shared" si="0"/>
        <v>0.69682917765585273</v>
      </c>
      <c r="T5" s="186">
        <f t="shared" si="0"/>
        <v>0.67326490594768384</v>
      </c>
      <c r="U5" s="186">
        <f t="shared" si="0"/>
        <v>0.6504974936692598</v>
      </c>
      <c r="V5" s="186">
        <f t="shared" si="0"/>
        <v>0.62849999388334288</v>
      </c>
      <c r="W5" s="186">
        <f t="shared" si="0"/>
        <v>0.60724637090178057</v>
      </c>
      <c r="X5" s="186">
        <f t="shared" si="0"/>
        <v>0.58671146947031949</v>
      </c>
      <c r="Y5" s="186">
        <f t="shared" si="0"/>
        <v>0.56687098499547783</v>
      </c>
      <c r="Z5" s="186">
        <f t="shared" si="0"/>
        <v>0.54770143477823952</v>
      </c>
      <c r="AA5" s="186">
        <f t="shared" si="0"/>
        <v>0.52918013022052135</v>
      </c>
      <c r="AB5" s="186">
        <f t="shared" si="0"/>
        <v>0.5112851499715183</v>
      </c>
      <c r="AC5" s="186">
        <f t="shared" si="0"/>
        <v>0.4939953139821433</v>
      </c>
      <c r="AD5" s="186">
        <f t="shared" si="0"/>
        <v>0.47729015843685346</v>
      </c>
      <c r="AE5" s="186">
        <f t="shared" si="0"/>
        <v>0.46114991153319179</v>
      </c>
      <c r="AF5" s="186">
        <f t="shared" si="0"/>
        <v>0.4455554700803786</v>
      </c>
      <c r="AG5" s="186">
        <f t="shared" si="0"/>
        <v>0.43048837688925473</v>
      </c>
    </row>
    <row r="6" spans="1:34" s="2" customFormat="1" hidden="1" outlineLevel="1" x14ac:dyDescent="0.2">
      <c r="A6" s="187" t="str">
        <f>'Option1 (base case)'!A6</f>
        <v>Count</v>
      </c>
      <c r="B6" s="115"/>
      <c r="C6" s="116"/>
      <c r="D6" s="115"/>
      <c r="E6" s="115"/>
      <c r="F6" s="115"/>
      <c r="G6" s="100"/>
      <c r="H6" s="187">
        <f>'Option1 (base case)'!H6</f>
        <v>0</v>
      </c>
      <c r="I6" s="187">
        <f>'Option1 (base case)'!I6</f>
        <v>1</v>
      </c>
      <c r="J6" s="187">
        <f>'Option1 (base case)'!J6</f>
        <v>2</v>
      </c>
      <c r="K6" s="187">
        <f>'Option1 (base case)'!K6</f>
        <v>3</v>
      </c>
      <c r="L6" s="187">
        <f>'Option1 (base case)'!L6</f>
        <v>4</v>
      </c>
      <c r="M6" s="187">
        <f>'Option1 (base case)'!M6</f>
        <v>5</v>
      </c>
      <c r="N6" s="187">
        <f>'Option1 (base case)'!N6</f>
        <v>6</v>
      </c>
      <c r="O6" s="187">
        <f>'Option1 (base case)'!O6</f>
        <v>7</v>
      </c>
      <c r="P6" s="187">
        <f>'Option1 (base case)'!P6</f>
        <v>8</v>
      </c>
      <c r="Q6" s="187">
        <f>'Option1 (base case)'!Q6</f>
        <v>9</v>
      </c>
      <c r="R6" s="187">
        <f>'Option1 (base case)'!R6</f>
        <v>10</v>
      </c>
      <c r="S6" s="187">
        <f>'Option1 (base case)'!S6</f>
        <v>11</v>
      </c>
      <c r="T6" s="187">
        <f>'Option1 (base case)'!T6</f>
        <v>12</v>
      </c>
      <c r="U6" s="187">
        <f>'Option1 (base case)'!U6</f>
        <v>13</v>
      </c>
      <c r="V6" s="187">
        <f>'Option1 (base case)'!V6</f>
        <v>14</v>
      </c>
      <c r="W6" s="187">
        <f>'Option1 (base case)'!W6</f>
        <v>15</v>
      </c>
      <c r="X6" s="187">
        <f>'Option1 (base case)'!X6</f>
        <v>16</v>
      </c>
      <c r="Y6" s="187">
        <f>'Option1 (base case)'!Y6</f>
        <v>17</v>
      </c>
      <c r="Z6" s="187">
        <f>'Option1 (base case)'!Z6</f>
        <v>18</v>
      </c>
      <c r="AA6" s="187">
        <f>'Option1 (base case)'!AA6</f>
        <v>19</v>
      </c>
      <c r="AB6" s="187">
        <f>'Option1 (base case)'!AB6</f>
        <v>20</v>
      </c>
      <c r="AC6" s="187">
        <f>'Option1 (base case)'!AC6</f>
        <v>21</v>
      </c>
      <c r="AD6" s="187">
        <f>'Option1 (base case)'!AD6</f>
        <v>22</v>
      </c>
      <c r="AE6" s="187">
        <f>'Option1 (base case)'!AE6</f>
        <v>23</v>
      </c>
      <c r="AF6" s="187">
        <f>'Option1 (base case)'!AF6</f>
        <v>24</v>
      </c>
      <c r="AG6" s="187">
        <f>'Option1 (base case)'!AG6</f>
        <v>25</v>
      </c>
    </row>
    <row r="7" spans="1:34" s="2" customFormat="1" hidden="1" outlineLevel="1" x14ac:dyDescent="0.2">
      <c r="A7" s="115" t="s">
        <v>195</v>
      </c>
      <c r="B7" s="115"/>
      <c r="C7" s="116"/>
      <c r="D7" s="115"/>
      <c r="E7" s="115"/>
      <c r="F7" s="115"/>
      <c r="G7" s="100"/>
      <c r="H7" s="100" t="b">
        <f t="shared" ref="H7:AG7" si="1">H$6&lt;(first_year+years)</f>
        <v>1</v>
      </c>
      <c r="I7" s="100" t="b">
        <f t="shared" si="1"/>
        <v>1</v>
      </c>
      <c r="J7" s="100" t="b">
        <f t="shared" si="1"/>
        <v>1</v>
      </c>
      <c r="K7" s="100" t="b">
        <f t="shared" si="1"/>
        <v>1</v>
      </c>
      <c r="L7" s="100" t="b">
        <f t="shared" si="1"/>
        <v>1</v>
      </c>
      <c r="M7" s="100" t="b">
        <f t="shared" si="1"/>
        <v>1</v>
      </c>
      <c r="N7" s="100" t="b">
        <f t="shared" si="1"/>
        <v>1</v>
      </c>
      <c r="O7" s="100" t="b">
        <f t="shared" si="1"/>
        <v>1</v>
      </c>
      <c r="P7" s="100" t="b">
        <f t="shared" si="1"/>
        <v>1</v>
      </c>
      <c r="Q7" s="100" t="b">
        <f t="shared" si="1"/>
        <v>1</v>
      </c>
      <c r="R7" s="100" t="b">
        <f t="shared" si="1"/>
        <v>1</v>
      </c>
      <c r="S7" s="100" t="b">
        <f t="shared" si="1"/>
        <v>1</v>
      </c>
      <c r="T7" s="100" t="b">
        <f t="shared" si="1"/>
        <v>1</v>
      </c>
      <c r="U7" s="100" t="b">
        <f t="shared" si="1"/>
        <v>1</v>
      </c>
      <c r="V7" s="100" t="b">
        <f t="shared" si="1"/>
        <v>1</v>
      </c>
      <c r="W7" s="100" t="b">
        <f t="shared" si="1"/>
        <v>1</v>
      </c>
      <c r="X7" s="100" t="b">
        <f t="shared" si="1"/>
        <v>1</v>
      </c>
      <c r="Y7" s="100" t="b">
        <f t="shared" si="1"/>
        <v>1</v>
      </c>
      <c r="Z7" s="100" t="b">
        <f t="shared" si="1"/>
        <v>1</v>
      </c>
      <c r="AA7" s="100" t="b">
        <f t="shared" si="1"/>
        <v>1</v>
      </c>
      <c r="AB7" s="100" t="b">
        <f t="shared" si="1"/>
        <v>1</v>
      </c>
      <c r="AC7" s="100" t="b">
        <f t="shared" si="1"/>
        <v>0</v>
      </c>
      <c r="AD7" s="100" t="b">
        <f t="shared" si="1"/>
        <v>0</v>
      </c>
      <c r="AE7" s="100" t="b">
        <f t="shared" si="1"/>
        <v>0</v>
      </c>
      <c r="AF7" s="100" t="b">
        <f t="shared" si="1"/>
        <v>0</v>
      </c>
      <c r="AG7" s="100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7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7"/>
      <c r="D10" s="117"/>
      <c r="F10" s="117"/>
      <c r="G10" s="219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</row>
    <row r="11" spans="1:34" s="2" customFormat="1" ht="15" x14ac:dyDescent="0.2">
      <c r="A11" s="119" t="s">
        <v>39</v>
      </c>
      <c r="B11" s="119"/>
      <c r="C11" s="120"/>
      <c r="D11" s="120"/>
      <c r="E11" s="120"/>
      <c r="F11" s="70" t="s">
        <v>153</v>
      </c>
      <c r="G11" s="220"/>
      <c r="H11" s="121" t="str" cm="1">
        <f t="array" ref="H11">IF(H6=$C$4,UPPER($A$4),IF(H6=end, "END", ""))</f>
        <v/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</row>
    <row r="12" spans="1:34" s="2" customFormat="1" x14ac:dyDescent="0.2">
      <c r="A12" s="117"/>
      <c r="B12" s="117"/>
      <c r="C12" s="117"/>
      <c r="D12" s="117"/>
      <c r="F12" s="117"/>
      <c r="G12" s="222"/>
      <c r="H12" s="117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</row>
    <row r="13" spans="1:34" s="2" customFormat="1" x14ac:dyDescent="0.2">
      <c r="A13" s="122"/>
      <c r="B13" s="122"/>
      <c r="C13" s="122"/>
      <c r="D13" s="117"/>
      <c r="F13" s="117"/>
      <c r="G13" s="219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</row>
    <row r="14" spans="1:34" s="268" customFormat="1" x14ac:dyDescent="0.2">
      <c r="A14" s="266" t="str">
        <f>A15</f>
        <v>Option 1 (base case)</v>
      </c>
      <c r="B14" s="266"/>
      <c r="C14" s="266" t="s">
        <v>124</v>
      </c>
      <c r="D14" s="267" t="str">
        <f t="shared" ref="D14:D25" si="2">A14&amp;C14</f>
        <v>Option 1 (base case)Energy at risk value</v>
      </c>
      <c r="F14" s="96">
        <f>SUMPRODUCT($H14:$AG14, $H$5:$AG$5)</f>
        <v>5312368.8277550992</v>
      </c>
      <c r="G14" s="269">
        <f>output_dollars</f>
        <v>46203</v>
      </c>
      <c r="H14" s="270"/>
      <c r="I14" s="31">
        <f>'Option1 (base case)'!I$28*conv_2026</f>
        <v>247352.59118936345</v>
      </c>
      <c r="J14" s="31">
        <f>'Option1 (base case)'!J$28*conv_2026</f>
        <v>256661.457549402</v>
      </c>
      <c r="K14" s="31">
        <f>'Option1 (base case)'!K$28*conv_2026</f>
        <v>268539.63563536014</v>
      </c>
      <c r="L14" s="31">
        <f>'Option1 (base case)'!L$28*conv_2026</f>
        <v>276391.28453318664</v>
      </c>
      <c r="M14" s="31">
        <f>'Option1 (base case)'!M$28*conv_2026</f>
        <v>283364.20040885813</v>
      </c>
      <c r="N14" s="31">
        <f>'Option1 (base case)'!N$28*conv_2026</f>
        <v>292805.67519883619</v>
      </c>
      <c r="O14" s="31">
        <f>'Option1 (base case)'!O$28*conv_2026</f>
        <v>304623.69534452894</v>
      </c>
      <c r="P14" s="31">
        <f>'Option1 (base case)'!P$28*conv_2026</f>
        <v>317708.48294499115</v>
      </c>
      <c r="Q14" s="31">
        <f>'Option1 (base case)'!Q$28*conv_2026</f>
        <v>326385.96572925267</v>
      </c>
      <c r="R14" s="31">
        <f>'Option1 (base case)'!R$28*conv_2026</f>
        <v>328497.3006873859</v>
      </c>
      <c r="S14" s="31">
        <f>'Option1 (base case)'!S$28*conv_2026</f>
        <v>330577.69287926477</v>
      </c>
      <c r="T14" s="31">
        <f>'Option1 (base case)'!T$28*conv_2026</f>
        <v>332765.3406374476</v>
      </c>
      <c r="U14" s="31">
        <f>'Option1 (base case)'!U$28*conv_2026</f>
        <v>335055.26756990148</v>
      </c>
      <c r="V14" s="31">
        <f>'Option1 (base case)'!V$28*conv_2026</f>
        <v>337441.87205240782</v>
      </c>
      <c r="W14" s="31">
        <f>'Option1 (base case)'!W$28*conv_2026</f>
        <v>339918.90381988761</v>
      </c>
      <c r="X14" s="31">
        <f>'Option1 (base case)'!X$28*conv_2026</f>
        <v>342479.44512554858</v>
      </c>
      <c r="Y14" s="31">
        <f>'Option1 (base case)'!Y$28*conv_2026</f>
        <v>345115.89710654452</v>
      </c>
      <c r="Z14" s="31">
        <f>'Option1 (base case)'!Z$28*conv_2026</f>
        <v>347819.97200657753</v>
      </c>
      <c r="AA14" s="31">
        <f>'Option1 (base case)'!AA$28*conv_2026</f>
        <v>350582.69190600078</v>
      </c>
      <c r="AB14" s="31">
        <f>'Option1 (base case)'!AB$28*conv_2026</f>
        <v>353394.39459670259</v>
      </c>
      <c r="AC14" s="31">
        <f>'Option1 (base case)'!AC$28*conv_2026</f>
        <v>356244.74721071124</v>
      </c>
      <c r="AD14" s="31">
        <f>'Option1 (base case)'!AD$28*conv_2026</f>
        <v>359122.76816650765</v>
      </c>
      <c r="AE14" s="31">
        <f>'Option1 (base case)'!AE$28*conv_2026</f>
        <v>362016.8579341743</v>
      </c>
      <c r="AF14" s="31">
        <f>'Option1 (base case)'!AF$28*conv_2026</f>
        <v>364914.83903876739</v>
      </c>
      <c r="AG14" s="31">
        <f>'Option1 (base case)'!AG$28*conv_2026</f>
        <v>367804.00562009396</v>
      </c>
    </row>
    <row r="15" spans="1:34" s="1" customFormat="1" x14ac:dyDescent="0.2">
      <c r="A15" s="134" t="str">
        <f>Data!B9</f>
        <v>Option 1 (base case)</v>
      </c>
      <c r="B15" s="134"/>
      <c r="C15" s="58" t="str">
        <f>'Option1 (base case)'!C$66</f>
        <v>Capital expenditure</v>
      </c>
      <c r="D15" s="38" t="str">
        <f t="shared" si="2"/>
        <v>Option 1 (base case)Capital expenditure</v>
      </c>
      <c r="F15" s="96">
        <f>SUMPRODUCT($H15:$AG15, $H$5:$AG$5)</f>
        <v>0</v>
      </c>
      <c r="G15" s="223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4" t="str">
        <f t="shared" ref="A16:A25" si="3">A15</f>
        <v>Option 1 (base case)</v>
      </c>
      <c r="B16" s="134"/>
      <c r="C16" s="58" t="str">
        <f>'Option1 (base case)'!C$36</f>
        <v>Total risk cost</v>
      </c>
      <c r="D16" s="38" t="str">
        <f t="shared" si="2"/>
        <v>Option 1 (base case)Total risk cost</v>
      </c>
      <c r="F16" s="107" cm="1">
        <f t="array" ref="F16">SUMPRODUCT(($H16:$AG16)*($H$5:$AG$5)*($H$7:$AG$7))</f>
        <v>4795648.2374796364</v>
      </c>
      <c r="G16" s="223">
        <f>output_dollars</f>
        <v>46203</v>
      </c>
      <c r="H16" s="31"/>
      <c r="I16" s="31">
        <f>'Option1 (base case)'!I$36*conv_2026</f>
        <v>264018.92039397283</v>
      </c>
      <c r="J16" s="31">
        <f>'Option1 (base case)'!J$36*conv_2026</f>
        <v>273711.13067122089</v>
      </c>
      <c r="K16" s="31">
        <f>'Option1 (base case)'!K$36*conv_2026</f>
        <v>286022.79364336451</v>
      </c>
      <c r="L16" s="31">
        <f>'Option1 (base case)'!L$36*conv_2026</f>
        <v>294357.53823495453</v>
      </c>
      <c r="M16" s="31">
        <f>'Option1 (base case)'!M$36*conv_2026</f>
        <v>301862.49564198608</v>
      </c>
      <c r="N16" s="31">
        <f>'Option1 (base case)'!N$36*conv_2026</f>
        <v>311884.14380708482</v>
      </c>
      <c r="O16" s="31">
        <f>'Option1 (base case)'!O$36*conv_2026</f>
        <v>324329.4925324432</v>
      </c>
      <c r="P16" s="31">
        <f>'Option1 (base case)'!P$36*conv_2026</f>
        <v>338087.61173160374</v>
      </c>
      <c r="Q16" s="31">
        <f>'Option1 (base case)'!Q$36*conv_2026</f>
        <v>347483.08935804799</v>
      </c>
      <c r="R16" s="31">
        <f>'Option1 (base case)'!R$36*conv_2026</f>
        <v>350355.54399473383</v>
      </c>
      <c r="S16" s="31">
        <f>'Option1 (base case)'!S$36*conv_2026</f>
        <v>353238.43377556273</v>
      </c>
      <c r="T16" s="31">
        <f>'Option1 (base case)'!T$36*conv_2026</f>
        <v>356267.99301255436</v>
      </c>
      <c r="U16" s="31">
        <f>'Option1 (base case)'!U$36*conv_2026</f>
        <v>359437.05709517043</v>
      </c>
      <c r="V16" s="31">
        <f>'Option1 (base case)'!V$36*conv_2026</f>
        <v>362737.60651359917</v>
      </c>
      <c r="W16" s="31">
        <f>'Option1 (base case)'!W$36*conv_2026</f>
        <v>366160.73977605638</v>
      </c>
      <c r="X16" s="31">
        <f>'Option1 (base case)'!X$36*conv_2026</f>
        <v>369696.65284609934</v>
      </c>
      <c r="Y16" s="31">
        <f>'Option1 (base case)'!Y$36*conv_2026</f>
        <v>373334.62588921277</v>
      </c>
      <c r="Z16" s="31">
        <f>'Option1 (base case)'!Z$36*conv_2026</f>
        <v>377063.01812019164</v>
      </c>
      <c r="AA16" s="31">
        <f>'Option1 (base case)'!AA$36*conv_2026</f>
        <v>380869.27153039392</v>
      </c>
      <c r="AB16" s="31">
        <f>'Option1 (base case)'!AB$36*conv_2026</f>
        <v>384739.9242448883</v>
      </c>
      <c r="AC16" s="31">
        <f>'Option1 (base case)'!AC$36*conv_2026</f>
        <v>388660.63421214261</v>
      </c>
      <c r="AD16" s="31">
        <f>'Option1 (base case)'!AD$36*conv_2026</f>
        <v>392616.21386165486</v>
      </c>
      <c r="AE16" s="31">
        <f>'Option1 (base case)'!AE$36*conv_2026</f>
        <v>396590.67627656268</v>
      </c>
      <c r="AF16" s="31">
        <f>'Option1 (base case)'!AF$36*conv_2026</f>
        <v>400567.29331793176</v>
      </c>
      <c r="AG16" s="31">
        <f>'Option1 (base case)'!AG$36*conv_2026</f>
        <v>404528.66600471467</v>
      </c>
    </row>
    <row r="17" spans="1:33" s="1" customFormat="1" x14ac:dyDescent="0.2">
      <c r="A17" s="134" t="str">
        <f t="shared" si="3"/>
        <v>Option 1 (base case)</v>
      </c>
      <c r="B17" s="134"/>
      <c r="C17" s="75"/>
      <c r="D17" s="38" t="str">
        <f t="shared" si="2"/>
        <v>Option 1 (base case)</v>
      </c>
      <c r="F17"/>
      <c r="G17" s="224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4" t="str">
        <f t="shared" si="3"/>
        <v>Option 1 (base case)</v>
      </c>
      <c r="B18" s="134"/>
      <c r="C18" s="58" t="str">
        <f>'Option1 (base case)'!C$82</f>
        <v>Annualised capex</v>
      </c>
      <c r="D18" s="38" t="str">
        <f t="shared" si="2"/>
        <v>Option 1 (base case)Annualised capex</v>
      </c>
      <c r="F18" s="96">
        <f>SUMPRODUCT($H18:$AG18, $H$5:$AG$5)</f>
        <v>0</v>
      </c>
      <c r="G18" s="223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4" t="str">
        <f t="shared" si="3"/>
        <v>Option 1 (base case)</v>
      </c>
      <c r="B19" s="134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6">
        <f>SUMPRODUCT($H19:$AG19, $H$5:$AG$5)</f>
        <v>0</v>
      </c>
      <c r="G19" s="223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4" t="str">
        <f t="shared" si="3"/>
        <v>Option 1 (base case)</v>
      </c>
      <c r="B20" s="134"/>
      <c r="C20" s="58" t="str">
        <f>'Option1 (base case)'!C$84</f>
        <v>Risk mitigated</v>
      </c>
      <c r="D20" s="38" t="str">
        <f t="shared" si="2"/>
        <v>Option 1 (base case)Risk mitigated</v>
      </c>
      <c r="F20" s="96">
        <f>SUMPRODUCT($H20:$AG20, $H$5:$AG$5)</f>
        <v>0</v>
      </c>
      <c r="G20" s="223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4" t="str">
        <f t="shared" si="3"/>
        <v>Option 1 (base case)</v>
      </c>
      <c r="B21" s="134"/>
      <c r="C21" s="58" t="str">
        <f>'Option1 (base case)'!C$85</f>
        <v>Other benefits value</v>
      </c>
      <c r="D21" s="38" t="str">
        <f t="shared" si="2"/>
        <v>Option 1 (base case)Other benefits value</v>
      </c>
      <c r="F21" s="96">
        <f>SUMPRODUCT($H21:$AG21, $H$5:$AG$5)</f>
        <v>0</v>
      </c>
      <c r="G21" s="223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4" t="str">
        <f t="shared" si="3"/>
        <v>Option 1 (base case)</v>
      </c>
      <c r="B22" s="134"/>
      <c r="C22" s="143" t="str">
        <f>'Option1 (base case)'!C$87</f>
        <v>Net benefits</v>
      </c>
      <c r="D22" s="108" t="str">
        <f t="shared" si="2"/>
        <v>Option 1 (base case)Net benefits</v>
      </c>
      <c r="E22" s="109"/>
      <c r="F22" s="142"/>
      <c r="G22" s="225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4" t="str">
        <f t="shared" si="3"/>
        <v>Option 1 (base case)</v>
      </c>
      <c r="B23" s="134"/>
      <c r="C23" s="8" t="s">
        <v>119</v>
      </c>
      <c r="D23" s="38" t="str">
        <f t="shared" si="2"/>
        <v>Option 1 (base case)NPV</v>
      </c>
      <c r="F23" s="107" cm="1">
        <f t="array" ref="F23">SUMPRODUCT(($H22:$AG22)*($H$5:$AG$5)*($H$7:$AG$7))</f>
        <v>0</v>
      </c>
      <c r="G23" s="223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4" t="str">
        <f t="shared" si="3"/>
        <v>Option 1 (base case)</v>
      </c>
      <c r="B24" s="134"/>
      <c r="C24" s="8" t="s">
        <v>189</v>
      </c>
      <c r="D24" s="38" t="str">
        <f t="shared" si="2"/>
        <v>Option 1 (base case)PV of costs</v>
      </c>
      <c r="F24" s="107">
        <f>SUM(F18:F19)</f>
        <v>0</v>
      </c>
      <c r="G24" s="223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4" t="str">
        <f t="shared" si="3"/>
        <v>Option 1 (base case)</v>
      </c>
      <c r="B25" s="134"/>
      <c r="C25" s="8" t="s">
        <v>190</v>
      </c>
      <c r="D25" s="38" t="str">
        <f t="shared" si="2"/>
        <v>Option 1 (base case)PV of benefits</v>
      </c>
      <c r="F25" s="107">
        <f>SUM(F20:F21)</f>
        <v>0</v>
      </c>
      <c r="G25" s="223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6"/>
    </row>
    <row r="27" spans="1:33" s="2" customFormat="1" x14ac:dyDescent="0.2">
      <c r="A27" s="122"/>
      <c r="B27" s="122"/>
      <c r="C27" s="122"/>
      <c r="D27" s="38" t="str">
        <f t="shared" si="6"/>
        <v/>
      </c>
      <c r="F27" s="117"/>
      <c r="G27" s="219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</row>
    <row r="28" spans="1:33" s="268" customFormat="1" x14ac:dyDescent="0.2">
      <c r="A28" s="266" t="str">
        <f>A29</f>
        <v>Option 2</v>
      </c>
      <c r="B28" s="266"/>
      <c r="C28" s="266" t="s">
        <v>124</v>
      </c>
      <c r="D28" s="267" t="str">
        <f t="shared" si="6"/>
        <v>Option 2Energy at risk value</v>
      </c>
      <c r="F28" s="96">
        <f>SUMPRODUCT($H28:$AG28, $H$5:$AG$5)</f>
        <v>1173288.2545159096</v>
      </c>
      <c r="G28" s="269">
        <f>output_dollars</f>
        <v>46203</v>
      </c>
      <c r="H28" s="270"/>
      <c r="I28" s="31">
        <f>Option2!I$28*conv_2026</f>
        <v>247352.59118936345</v>
      </c>
      <c r="J28" s="31">
        <f>Option2!J$28*conv_2026</f>
        <v>256661.457549402</v>
      </c>
      <c r="K28" s="31">
        <f>Option2!K$28*conv_2026</f>
        <v>30926.522782618678</v>
      </c>
      <c r="L28" s="31">
        <f>Option2!L$28*conv_2026</f>
        <v>31893.952774670564</v>
      </c>
      <c r="M28" s="31">
        <f>Option2!M$28*conv_2026</f>
        <v>32877.432405562024</v>
      </c>
      <c r="N28" s="31">
        <f>Option2!N$28*conv_2026</f>
        <v>34280.285817701762</v>
      </c>
      <c r="O28" s="31">
        <f>Option2!O$28*conv_2026</f>
        <v>36082.853367859425</v>
      </c>
      <c r="P28" s="31">
        <f>Option2!P$28*conv_2026</f>
        <v>38154.777047629155</v>
      </c>
      <c r="Q28" s="31">
        <f>Option2!Q$28*conv_2026</f>
        <v>39873.72701162775</v>
      </c>
      <c r="R28" s="31">
        <f>Option2!R$28*conv_2026</f>
        <v>41007.428367196153</v>
      </c>
      <c r="S28" s="31">
        <f>Option2!S$28*conv_2026</f>
        <v>42383.162034688423</v>
      </c>
      <c r="T28" s="31">
        <f>Option2!T$28*conv_2026</f>
        <v>43867.852393415407</v>
      </c>
      <c r="U28" s="31">
        <f>Option2!U$28*conv_2026</f>
        <v>45496.088106670846</v>
      </c>
      <c r="V28" s="31">
        <f>Option2!V$28*conv_2026</f>
        <v>47191.481400759832</v>
      </c>
      <c r="W28" s="31">
        <f>Option2!W$28*conv_2026</f>
        <v>49022.893050569844</v>
      </c>
      <c r="X28" s="31">
        <f>Option2!X$28*conv_2026</f>
        <v>50985.292018395259</v>
      </c>
      <c r="Y28" s="31">
        <f>Option2!Y$28*conv_2026</f>
        <v>53072.576138212571</v>
      </c>
      <c r="Z28" s="31">
        <f>Option2!Z$28*conv_2026</f>
        <v>55277.484938461101</v>
      </c>
      <c r="AA28" s="31">
        <f>Option2!AA$28*conv_2026</f>
        <v>57591.521701938451</v>
      </c>
      <c r="AB28" s="31">
        <f>Option2!AB$28*conv_2026</f>
        <v>60004.887468314388</v>
      </c>
      <c r="AC28" s="31">
        <f>Option2!AC$28*conv_2026</f>
        <v>62506.429910261992</v>
      </c>
      <c r="AD28" s="31">
        <f>Option2!AD$28*conv_2026</f>
        <v>65083.610175637914</v>
      </c>
      <c r="AE28" s="31">
        <f>Option2!AE$28*conv_2026</f>
        <v>67722.490865698826</v>
      </c>
      <c r="AF28" s="31">
        <f>Option2!AF$28*conv_2026</f>
        <v>70407.748292969874</v>
      </c>
      <c r="AG28" s="31">
        <f>Option2!AG$28*conv_2026</f>
        <v>73122.712012939737</v>
      </c>
    </row>
    <row r="29" spans="1:33" s="2" customFormat="1" x14ac:dyDescent="0.2">
      <c r="A29" s="134" t="str">
        <f>Data!B10</f>
        <v>Option 2</v>
      </c>
      <c r="B29" s="134"/>
      <c r="C29" s="58" t="str">
        <f>Option2!C$66</f>
        <v>Capital expenditure</v>
      </c>
      <c r="D29" s="38" t="str">
        <f t="shared" si="6"/>
        <v>Option 2Capital expenditure</v>
      </c>
      <c r="E29" s="1"/>
      <c r="F29" s="96" cm="1">
        <f t="array" ref="F29">SUMPRODUCT(($H29:$AG29)*($H$5:$AG$5)*($H$7:$AG$7))</f>
        <v>-5531361.2094743792</v>
      </c>
      <c r="G29" s="223">
        <f>output_dollars</f>
        <v>46203</v>
      </c>
      <c r="H29" s="31"/>
      <c r="I29" s="31">
        <f>SUM(Option2!I$67:I$69)*conv_2026*I$7</f>
        <v>-3794321.8312145402</v>
      </c>
      <c r="J29" s="31">
        <f>SUM(Option2!J$67:J$69)*conv_2026*J$7</f>
        <v>-1897160.9156072701</v>
      </c>
      <c r="K29" s="31">
        <f>SUM(Option2!K$67:K$69)*conv_2026*K$7</f>
        <v>0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4" t="str">
        <f t="shared" ref="A30:A39" si="7">A29</f>
        <v>Option 2</v>
      </c>
      <c r="B30" s="134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6" cm="1">
        <f t="array" ref="F30">SUMPRODUCT(($H30:$AG30)*($H$5:$AG$5)*($H$7:$AG$7))</f>
        <v>1087531.4231134378</v>
      </c>
      <c r="G30" s="223">
        <f>output_dollars</f>
        <v>46203</v>
      </c>
      <c r="H30" s="31"/>
      <c r="I30" s="31">
        <f>Option2!I$36*conv_2026*I$7</f>
        <v>264018.92039397283</v>
      </c>
      <c r="J30" s="31">
        <f>Option2!J$36*conv_2026*J$7</f>
        <v>273711.13067122089</v>
      </c>
      <c r="K30" s="31">
        <f>Option2!K$36*conv_2026*K$7</f>
        <v>32751.752408584929</v>
      </c>
      <c r="L30" s="31">
        <f>Option2!L$36*conv_2026*L$7</f>
        <v>33756.037478116967</v>
      </c>
      <c r="M30" s="31">
        <f>Option2!M$36*conv_2026*M$7</f>
        <v>34800.929238134129</v>
      </c>
      <c r="N30" s="31">
        <f>Option2!N$36*conv_2026*N$7</f>
        <v>36289.713594956593</v>
      </c>
      <c r="O30" s="31">
        <f>Option2!O$36*conv_2026*O$7</f>
        <v>38202.65182028195</v>
      </c>
      <c r="P30" s="31">
        <f>Option2!P$36*conv_2026*P$7</f>
        <v>40409.250944295549</v>
      </c>
      <c r="Q30" s="31">
        <f>Option2!Q$36*conv_2026*Q$7</f>
        <v>42286.975412767257</v>
      </c>
      <c r="R30" s="31">
        <f>Option2!R$36*conv_2026*R$7</f>
        <v>43603.259263105349</v>
      </c>
      <c r="S30" s="31">
        <f>Option2!S$36*conv_2026*S$7</f>
        <v>45184.992754682833</v>
      </c>
      <c r="T30" s="31">
        <f>Option2!T$36*conv_2026*T$7</f>
        <v>46898.59631880666</v>
      </c>
      <c r="U30" s="31">
        <f>Option2!U$36*conv_2026*U$7</f>
        <v>48778.028394736531</v>
      </c>
      <c r="V30" s="31">
        <f>Option2!V$36*conv_2026*V$7</f>
        <v>50746.132620416538</v>
      </c>
      <c r="W30" s="31">
        <f>Option2!W$36*conv_2026*W$7</f>
        <v>52870.851842475473</v>
      </c>
      <c r="X30" s="31">
        <f>Option2!X$36*conv_2026*X$7</f>
        <v>55146.078119363796</v>
      </c>
      <c r="Y30" s="31">
        <f>Option2!Y$36*conv_2026*Y$7</f>
        <v>57564.465348313701</v>
      </c>
      <c r="Z30" s="31">
        <f>Option2!Z$36*conv_2026*Z$7</f>
        <v>60117.335854486919</v>
      </c>
      <c r="AA30" s="31">
        <f>Option2!AA$36*conv_2026*AA$7</f>
        <v>62794.59828783269</v>
      </c>
      <c r="AB30" s="31">
        <f>Option2!AB$36*conv_2026*AB$7</f>
        <v>65584.679775774654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4" t="str">
        <f t="shared" si="7"/>
        <v>Option 2</v>
      </c>
      <c r="B31" s="134"/>
      <c r="C31" s="75"/>
      <c r="D31" s="38" t="str">
        <f t="shared" si="6"/>
        <v>Option 2</v>
      </c>
      <c r="E31" s="1"/>
      <c r="F31" s="96"/>
      <c r="G31" s="224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4" t="str">
        <f t="shared" si="7"/>
        <v>Option 2</v>
      </c>
      <c r="B32" s="134"/>
      <c r="C32" s="58" t="str">
        <f>Option2!C$82</f>
        <v>Annualised capex</v>
      </c>
      <c r="D32" s="38" t="str">
        <f t="shared" si="6"/>
        <v>Option 2Annualised capex</v>
      </c>
      <c r="E32" s="1"/>
      <c r="F32" s="96" cm="1">
        <f t="array" ref="F32">SUMPRODUCT(($H32:$AG32)*($H$5:$AG$5)*($H$7:$AG$7))</f>
        <v>-3733597.1920590578</v>
      </c>
      <c r="G32" s="223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-189146.33583161101</v>
      </c>
      <c r="K32" s="31">
        <f>Option2!K$82*conv_2026*K$7</f>
        <v>-283719.50374741649</v>
      </c>
      <c r="L32" s="31">
        <f>Option2!L$82*conv_2026*L$7</f>
        <v>-283719.50374741649</v>
      </c>
      <c r="M32" s="31">
        <f>Option2!M$82*conv_2026*M$7</f>
        <v>-283719.50374741649</v>
      </c>
      <c r="N32" s="31">
        <f>Option2!N$82*conv_2026*N$7</f>
        <v>-283719.50374741649</v>
      </c>
      <c r="O32" s="31">
        <f>Option2!O$82*conv_2026*O$7</f>
        <v>-283719.50374741649</v>
      </c>
      <c r="P32" s="31">
        <f>Option2!P$82*conv_2026*P$7</f>
        <v>-283719.50374741649</v>
      </c>
      <c r="Q32" s="31">
        <f>Option2!Q$82*conv_2026*Q$7</f>
        <v>-283719.50374741649</v>
      </c>
      <c r="R32" s="31">
        <f>Option2!R$82*conv_2026*R$7</f>
        <v>-283719.50374741649</v>
      </c>
      <c r="S32" s="31">
        <f>Option2!S$82*conv_2026*S$7</f>
        <v>-283719.50374741649</v>
      </c>
      <c r="T32" s="31">
        <f>Option2!T$82*conv_2026*T$7</f>
        <v>-283719.50374741649</v>
      </c>
      <c r="U32" s="31">
        <f>Option2!U$82*conv_2026*U$7</f>
        <v>-283719.50374741649</v>
      </c>
      <c r="V32" s="31">
        <f>Option2!V$82*conv_2026*V$7</f>
        <v>-283719.50374741649</v>
      </c>
      <c r="W32" s="31">
        <f>Option2!W$82*conv_2026*W$7</f>
        <v>-283719.50374741649</v>
      </c>
      <c r="X32" s="31">
        <f>Option2!X$82*conv_2026*X$7</f>
        <v>-283719.50374741649</v>
      </c>
      <c r="Y32" s="31">
        <f>Option2!Y$82*conv_2026*Y$7</f>
        <v>-283719.50374741649</v>
      </c>
      <c r="Z32" s="31">
        <f>Option2!Z$82*conv_2026*Z$7</f>
        <v>-283719.50374741649</v>
      </c>
      <c r="AA32" s="31">
        <f>Option2!AA$82*conv_2026*AA$7</f>
        <v>-283719.50374741649</v>
      </c>
      <c r="AB32" s="31">
        <f>Option2!AB$82*conv_2026*AB$7</f>
        <v>-283719.50374741649</v>
      </c>
      <c r="AC32" s="31">
        <f>Option2!AC$82*conv_2026*AC$7</f>
        <v>0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4" t="str">
        <f t="shared" si="7"/>
        <v>Option 2</v>
      </c>
      <c r="B33" s="134"/>
      <c r="C33" s="58" t="str">
        <f>Option2!C$83</f>
        <v>Operating expenditure</v>
      </c>
      <c r="D33" s="38" t="str">
        <f t="shared" si="6"/>
        <v>Option 2Operating expenditure</v>
      </c>
      <c r="E33" s="1"/>
      <c r="F33" s="96" cm="1">
        <f t="array" ref="F33">SUMPRODUCT(($H33:$AG33)*($H$5:$AG$5)*($H$7:$AG$7))</f>
        <v>0</v>
      </c>
      <c r="G33" s="223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4" t="str">
        <f t="shared" si="7"/>
        <v>Option 2</v>
      </c>
      <c r="B34" s="134"/>
      <c r="C34" s="58" t="str">
        <f>Option2!C$84</f>
        <v>Risk mitigated</v>
      </c>
      <c r="D34" s="38" t="str">
        <f t="shared" si="6"/>
        <v>Option 2Risk mitigated</v>
      </c>
      <c r="E34" s="1"/>
      <c r="F34" s="96" cm="1">
        <f t="array" ref="F34">SUMPRODUCT(($H34:$AG34)*($H$5:$AG$5)*($H$7:$AG$7))</f>
        <v>3708116.8143661981</v>
      </c>
      <c r="G34" s="223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253271.04123477955</v>
      </c>
      <c r="L34" s="31">
        <f>Option2!L$84*conv_2026*L$7</f>
        <v>260601.50075683757</v>
      </c>
      <c r="M34" s="31">
        <f>Option2!M$84*conv_2026*M$7</f>
        <v>267061.56640385196</v>
      </c>
      <c r="N34" s="31">
        <f>Option2!N$84*conv_2026*N$7</f>
        <v>275594.43021212827</v>
      </c>
      <c r="O34" s="31">
        <f>Option2!O$84*conv_2026*O$7</f>
        <v>286126.84071216121</v>
      </c>
      <c r="P34" s="31">
        <f>Option2!P$84*conv_2026*P$7</f>
        <v>297678.36078730819</v>
      </c>
      <c r="Q34" s="31">
        <f>Option2!Q$84*conv_2026*Q$7</f>
        <v>305196.11394528073</v>
      </c>
      <c r="R34" s="31">
        <f>Option2!R$84*conv_2026*R$7</f>
        <v>306752.28473162843</v>
      </c>
      <c r="S34" s="31">
        <f>Option2!S$84*conv_2026*S$7</f>
        <v>308053.44102087989</v>
      </c>
      <c r="T34" s="31">
        <f>Option2!T$84*conv_2026*T$7</f>
        <v>309369.39669374767</v>
      </c>
      <c r="U34" s="31">
        <f>Option2!U$84*conv_2026*U$7</f>
        <v>310659.0287004339</v>
      </c>
      <c r="V34" s="31">
        <f>Option2!V$84*conv_2026*V$7</f>
        <v>311991.47389318264</v>
      </c>
      <c r="W34" s="31">
        <f>Option2!W$84*conv_2026*W$7</f>
        <v>313289.88793358085</v>
      </c>
      <c r="X34" s="31">
        <f>Option2!X$84*conv_2026*X$7</f>
        <v>314550.57472673559</v>
      </c>
      <c r="Y34" s="31">
        <f>Option2!Y$84*conv_2026*Y$7</f>
        <v>315770.16054089909</v>
      </c>
      <c r="Z34" s="31">
        <f>Option2!Z$84*conv_2026*Z$7</f>
        <v>316945.68226570473</v>
      </c>
      <c r="AA34" s="31">
        <f>Option2!AA$84*conv_2026*AA$7</f>
        <v>318074.67324256123</v>
      </c>
      <c r="AB34" s="31">
        <f>Option2!AB$84*conv_2026*AB$7</f>
        <v>319155.24446911365</v>
      </c>
      <c r="AC34" s="31">
        <f>Option2!AC$84*conv_2026*AC$7</f>
        <v>0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4" t="str">
        <f t="shared" si="7"/>
        <v>Option 2</v>
      </c>
      <c r="B35" s="134"/>
      <c r="C35" s="58" t="str">
        <f>Option2!C$85</f>
        <v>Other benefits value</v>
      </c>
      <c r="D35" s="38" t="str">
        <f t="shared" si="6"/>
        <v>Option 2Other benefits value</v>
      </c>
      <c r="E35" s="1"/>
      <c r="F35" s="96" cm="1">
        <f t="array" ref="F35">SUMPRODUCT(($H35:$AG35)*($H$5:$AG$5)*($H$7:$AG$7))</f>
        <v>697035.46118211781</v>
      </c>
      <c r="G35" s="223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55645.632320829842</v>
      </c>
      <c r="L35" s="31">
        <f>Option2!L$85*conv_2026*L$7</f>
        <v>55645.632320829842</v>
      </c>
      <c r="M35" s="31">
        <f>Option2!M$85*conv_2026*M$7</f>
        <v>55645.632320829842</v>
      </c>
      <c r="N35" s="31">
        <f>Option2!N$85*conv_2026*N$7</f>
        <v>55645.632320829842</v>
      </c>
      <c r="O35" s="31">
        <f>Option2!O$85*conv_2026*O$7</f>
        <v>55645.632320829842</v>
      </c>
      <c r="P35" s="31">
        <f>Option2!P$85*conv_2026*P$7</f>
        <v>55645.632320829842</v>
      </c>
      <c r="Q35" s="31">
        <f>Option2!Q$85*conv_2026*Q$7</f>
        <v>55645.632320829842</v>
      </c>
      <c r="R35" s="31">
        <f>Option2!R$85*conv_2026*R$7</f>
        <v>55645.632320829842</v>
      </c>
      <c r="S35" s="31">
        <f>Option2!S$85*conv_2026*S$7</f>
        <v>55645.632320829842</v>
      </c>
      <c r="T35" s="31">
        <f>Option2!T$85*conv_2026*T$7</f>
        <v>55645.632320829842</v>
      </c>
      <c r="U35" s="31">
        <f>Option2!U$85*conv_2026*U$7</f>
        <v>55645.632320829842</v>
      </c>
      <c r="V35" s="31">
        <f>Option2!V$85*conv_2026*V$7</f>
        <v>55645.632320829842</v>
      </c>
      <c r="W35" s="31">
        <f>Option2!W$85*conv_2026*W$7</f>
        <v>55645.632320829842</v>
      </c>
      <c r="X35" s="31">
        <f>Option2!X$85*conv_2026*X$7</f>
        <v>55645.632320829842</v>
      </c>
      <c r="Y35" s="31">
        <f>Option2!Y$85*conv_2026*Y$7</f>
        <v>55645.632320829842</v>
      </c>
      <c r="Z35" s="31">
        <f>Option2!Z$85*conv_2026*Z$7</f>
        <v>55645.632320829842</v>
      </c>
      <c r="AA35" s="31">
        <f>Option2!AA$85*conv_2026*AA$7</f>
        <v>55645.632320829842</v>
      </c>
      <c r="AB35" s="31">
        <f>Option2!AB$85*conv_2026*AB$7</f>
        <v>55645.632320829842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4" t="str">
        <f t="shared" si="7"/>
        <v>Option 2</v>
      </c>
      <c r="B36" s="134"/>
      <c r="C36" s="124" t="str">
        <f>Option2!C87</f>
        <v>Net benefits</v>
      </c>
      <c r="D36" s="108" t="str">
        <f t="shared" si="6"/>
        <v>Option 2Net benefits</v>
      </c>
      <c r="E36" s="109"/>
      <c r="F36" s="142"/>
      <c r="G36" s="225">
        <f t="shared" si="8"/>
        <v>46203</v>
      </c>
      <c r="H36" s="52"/>
      <c r="I36" s="52">
        <f>SUM(I32:I35)</f>
        <v>0</v>
      </c>
      <c r="J36" s="52">
        <f t="shared" ref="J36:AG36" si="9">SUM(J32:J35)</f>
        <v>-189146.33583161101</v>
      </c>
      <c r="K36" s="52">
        <f t="shared" si="9"/>
        <v>25197.169808192906</v>
      </c>
      <c r="L36" s="52">
        <f t="shared" si="9"/>
        <v>32527.629330250929</v>
      </c>
      <c r="M36" s="52">
        <f t="shared" si="9"/>
        <v>38987.694977265317</v>
      </c>
      <c r="N36" s="52">
        <f t="shared" si="9"/>
        <v>47520.558785541623</v>
      </c>
      <c r="O36" s="52">
        <f t="shared" si="9"/>
        <v>58052.969285574567</v>
      </c>
      <c r="P36" s="52">
        <f t="shared" si="9"/>
        <v>69604.489360721549</v>
      </c>
      <c r="Q36" s="52">
        <f t="shared" si="9"/>
        <v>77122.242518694082</v>
      </c>
      <c r="R36" s="52">
        <f t="shared" si="9"/>
        <v>78678.413305041788</v>
      </c>
      <c r="S36" s="52">
        <f t="shared" si="9"/>
        <v>79979.569594293251</v>
      </c>
      <c r="T36" s="52">
        <f t="shared" si="9"/>
        <v>81295.525267161021</v>
      </c>
      <c r="U36" s="52">
        <f t="shared" si="9"/>
        <v>82585.157273847261</v>
      </c>
      <c r="V36" s="52">
        <f t="shared" si="9"/>
        <v>83917.602466595999</v>
      </c>
      <c r="W36" s="52">
        <f t="shared" si="9"/>
        <v>85216.016506994201</v>
      </c>
      <c r="X36" s="52">
        <f t="shared" si="9"/>
        <v>86476.703300148947</v>
      </c>
      <c r="Y36" s="52">
        <f t="shared" si="9"/>
        <v>87696.289114312443</v>
      </c>
      <c r="Z36" s="52">
        <f t="shared" si="9"/>
        <v>88871.810839118087</v>
      </c>
      <c r="AA36" s="52">
        <f t="shared" si="9"/>
        <v>90000.801815974584</v>
      </c>
      <c r="AB36" s="52">
        <f t="shared" si="9"/>
        <v>91081.373042527004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4" t="str">
        <f t="shared" si="7"/>
        <v>Option 2</v>
      </c>
      <c r="B37" s="134"/>
      <c r="C37" s="8" t="s">
        <v>119</v>
      </c>
      <c r="D37" s="38" t="str">
        <f t="shared" si="6"/>
        <v>Option 2NPV</v>
      </c>
      <c r="E37" s="1"/>
      <c r="F37" s="107" cm="1">
        <f t="array" ref="F37">SUMPRODUCT(($H36:$AG36)*($H$5:$AG$5)*($H$7:$AG$7))</f>
        <v>671555.08348925808</v>
      </c>
      <c r="G37" s="223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4" t="str">
        <f t="shared" si="7"/>
        <v>Option 2</v>
      </c>
      <c r="B38" s="134"/>
      <c r="C38" s="8" t="s">
        <v>189</v>
      </c>
      <c r="D38" s="38" t="str">
        <f t="shared" si="6"/>
        <v>Option 2PV of costs</v>
      </c>
      <c r="E38" s="1"/>
      <c r="F38" s="107">
        <f>SUM(F32:F33)</f>
        <v>-3733597.1920590578</v>
      </c>
      <c r="G38" s="223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4" t="str">
        <f t="shared" si="7"/>
        <v>Option 2</v>
      </c>
      <c r="B39" s="134"/>
      <c r="C39" s="8" t="s">
        <v>190</v>
      </c>
      <c r="D39" s="38" t="str">
        <f t="shared" si="6"/>
        <v>Option 2PV of benefits</v>
      </c>
      <c r="E39" s="1"/>
      <c r="F39" s="107">
        <f>SUM(F34:F35)</f>
        <v>4405152.2755483156</v>
      </c>
      <c r="G39" s="223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4"/>
      <c r="B40" s="134"/>
      <c r="C40" s="1"/>
      <c r="D40" s="38"/>
      <c r="E40" s="1"/>
      <c r="F40" s="107"/>
      <c r="G40" s="226"/>
      <c r="H40" s="1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</row>
    <row r="41" spans="1:33" s="2" customFormat="1" x14ac:dyDescent="0.2">
      <c r="A41" s="122"/>
      <c r="B41" s="122"/>
      <c r="C41" s="122"/>
      <c r="D41" s="38" t="str">
        <f>A41&amp;C41</f>
        <v/>
      </c>
      <c r="F41" s="117"/>
      <c r="G41" s="219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</row>
    <row r="42" spans="1:33" s="268" customFormat="1" x14ac:dyDescent="0.2">
      <c r="A42" s="266" t="str">
        <f>A43</f>
        <v>Option 3</v>
      </c>
      <c r="B42" s="266"/>
      <c r="C42" s="266" t="s">
        <v>124</v>
      </c>
      <c r="D42" s="267" t="str">
        <f>A42&amp;C42</f>
        <v>Option 3Energy at risk value</v>
      </c>
      <c r="F42" s="96">
        <f>SUMPRODUCT($H42:$AG42, $H$5:$AG$5)</f>
        <v>2223208.0023481175</v>
      </c>
      <c r="G42" s="269">
        <f>output_dollars</f>
        <v>46203</v>
      </c>
      <c r="H42" s="270"/>
      <c r="I42" s="31">
        <f>Option3!I$28*conv_2026</f>
        <v>247352.59118936345</v>
      </c>
      <c r="J42" s="31">
        <f>Option3!J$28*conv_2026</f>
        <v>256661.457549402</v>
      </c>
      <c r="K42" s="31">
        <f>Option3!K$28*conv_2026</f>
        <v>263953.64726534352</v>
      </c>
      <c r="L42" s="31">
        <f>Option3!L$28*conv_2026</f>
        <v>270799.9826021319</v>
      </c>
      <c r="M42" s="31">
        <f>Option3!M$28*conv_2026</f>
        <v>276754.62793655135</v>
      </c>
      <c r="N42" s="31">
        <f>Option3!N$28*conv_2026</f>
        <v>285170.34013100178</v>
      </c>
      <c r="O42" s="31">
        <f>Option3!O$28*conv_2026</f>
        <v>295891.96854613087</v>
      </c>
      <c r="P42" s="31">
        <f>Option3!P$28*conv_2026</f>
        <v>38154.77704762917</v>
      </c>
      <c r="Q42" s="31">
        <f>Option3!Q$28*conv_2026</f>
        <v>39873.72701162775</v>
      </c>
      <c r="R42" s="31">
        <f>Option3!R$28*conv_2026</f>
        <v>41007.428367196153</v>
      </c>
      <c r="S42" s="31">
        <f>Option3!S$28*conv_2026</f>
        <v>42383.162034688423</v>
      </c>
      <c r="T42" s="31">
        <f>Option3!T$28*conv_2026</f>
        <v>43867.852393415407</v>
      </c>
      <c r="U42" s="31">
        <f>Option3!U$28*conv_2026</f>
        <v>45496.088106670846</v>
      </c>
      <c r="V42" s="31">
        <f>Option3!V$28*conv_2026</f>
        <v>47191.481400759832</v>
      </c>
      <c r="W42" s="31">
        <f>Option3!W$28*conv_2026</f>
        <v>49022.893050569844</v>
      </c>
      <c r="X42" s="31">
        <f>Option3!X$28*conv_2026</f>
        <v>50985.292018395259</v>
      </c>
      <c r="Y42" s="31">
        <f>Option3!Y$28*conv_2026</f>
        <v>53072.576138212571</v>
      </c>
      <c r="Z42" s="31">
        <f>Option3!Z$28*conv_2026</f>
        <v>55277.484938461101</v>
      </c>
      <c r="AA42" s="31">
        <f>Option3!AA$28*conv_2026</f>
        <v>57591.521701938451</v>
      </c>
      <c r="AB42" s="31">
        <f>Option3!AB$28*conv_2026</f>
        <v>60004.887468314388</v>
      </c>
      <c r="AC42" s="31">
        <f>Option3!AC$28*conv_2026</f>
        <v>62506.429910261992</v>
      </c>
      <c r="AD42" s="31">
        <f>Option3!AD$28*conv_2026</f>
        <v>65083.610175637914</v>
      </c>
      <c r="AE42" s="31">
        <f>Option3!AE$28*conv_2026</f>
        <v>67722.490865698826</v>
      </c>
      <c r="AF42" s="31">
        <f>Option3!AF$28*conv_2026</f>
        <v>70407.748292969874</v>
      </c>
      <c r="AG42" s="31">
        <f>Option3!AG$28*conv_2026</f>
        <v>73122.712012939737</v>
      </c>
    </row>
    <row r="43" spans="1:33" s="2" customFormat="1" x14ac:dyDescent="0.2">
      <c r="A43" s="134" t="str">
        <f>Data!B11</f>
        <v>Option 3</v>
      </c>
      <c r="B43" s="134"/>
      <c r="C43" s="58" t="str">
        <f>Option3!C$66</f>
        <v>Capital expenditure</v>
      </c>
      <c r="D43" s="38" t="str">
        <f>A43&amp;C43</f>
        <v>Option 3Capital expenditure</v>
      </c>
      <c r="E43" s="1"/>
      <c r="F43" s="96">
        <f>SUMPRODUCT($H43:$AG43, $H$5:$AG$5)</f>
        <v>-5938350.6554533839</v>
      </c>
      <c r="G43" s="223">
        <f>output_dollars</f>
        <v>46203</v>
      </c>
      <c r="H43" s="31"/>
      <c r="I43" s="31">
        <f>SUM(Option3!I$67:I$69)*conv_2026*I$7</f>
        <v>-1517728.7324858161</v>
      </c>
      <c r="J43" s="31">
        <f>SUM(Option3!J$67:J$69)*conv_2026*J$7</f>
        <v>-758864.36624290806</v>
      </c>
      <c r="K43" s="31">
        <f>SUM(Option3!K$67:K$69)*conv_2026*K$7</f>
        <v>0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-3035457.4649716322</v>
      </c>
      <c r="O43" s="31">
        <f>SUM(Option3!O$67:O$69)*conv_2026*O$7</f>
        <v>-1517728.7324858161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4" t="str">
        <f t="shared" ref="A44:A53" si="10">A43</f>
        <v>Option 3</v>
      </c>
      <c r="B44" s="134"/>
      <c r="C44" s="58" t="str">
        <f>'Option1 (base case)'!C$36</f>
        <v>Total risk cost</v>
      </c>
      <c r="D44" s="38" t="str">
        <f>A44&amp;C44</f>
        <v>Option 3Total risk cost</v>
      </c>
      <c r="E44" s="1"/>
      <c r="F44" s="96">
        <f>SUMPRODUCT($H44:$AG44, $H$5:$AG$5)</f>
        <v>2195755.1162431124</v>
      </c>
      <c r="G44" s="223">
        <f>output_dollars</f>
        <v>46203</v>
      </c>
      <c r="H44" s="31"/>
      <c r="I44" s="31">
        <f>Option3!I$36*conv_2026*I$7</f>
        <v>264018.92039397283</v>
      </c>
      <c r="J44" s="31">
        <f>Option3!J$36*conv_2026*J$7</f>
        <v>273711.13067122089</v>
      </c>
      <c r="K44" s="31">
        <f>Option3!K$36*conv_2026*K$7</f>
        <v>279375.95760582382</v>
      </c>
      <c r="L44" s="31">
        <f>Option3!L$36*conv_2026*L$7</f>
        <v>286259.1480200924</v>
      </c>
      <c r="M44" s="31">
        <f>Option3!M$36*conv_2026*M$7</f>
        <v>292275.20548363758</v>
      </c>
      <c r="N44" s="31">
        <f>Option3!N$36*conv_2026*N$7</f>
        <v>300776.84862277069</v>
      </c>
      <c r="O44" s="31">
        <f>Option3!O$36*conv_2026*O$7</f>
        <v>311608.84771306743</v>
      </c>
      <c r="P44" s="31">
        <f>Option3!P$36*conv_2026*P$7</f>
        <v>40409.250944295571</v>
      </c>
      <c r="Q44" s="31">
        <f>Option3!Q$36*conv_2026*Q$7</f>
        <v>42286.975412767257</v>
      </c>
      <c r="R44" s="31">
        <f>Option3!R$36*conv_2026*R$7</f>
        <v>43603.259263105349</v>
      </c>
      <c r="S44" s="31">
        <f>Option3!S$36*conv_2026*S$7</f>
        <v>45184.992754682833</v>
      </c>
      <c r="T44" s="31">
        <f>Option3!T$36*conv_2026*T$7</f>
        <v>46898.59631880666</v>
      </c>
      <c r="U44" s="31">
        <f>Option3!U$36*conv_2026*U$7</f>
        <v>48778.028394736531</v>
      </c>
      <c r="V44" s="31">
        <f>Option3!V$36*conv_2026*V$7</f>
        <v>50746.132620416538</v>
      </c>
      <c r="W44" s="31">
        <f>Option3!W$36*conv_2026*W$7</f>
        <v>52870.851842475473</v>
      </c>
      <c r="X44" s="31">
        <f>Option3!X$36*conv_2026*X$7</f>
        <v>55146.078119363796</v>
      </c>
      <c r="Y44" s="31">
        <f>Option3!Y$36*conv_2026*Y$7</f>
        <v>57564.465348313701</v>
      </c>
      <c r="Z44" s="31">
        <f>Option3!Z$36*conv_2026*Z$7</f>
        <v>60117.335854486919</v>
      </c>
      <c r="AA44" s="31">
        <f>Option3!AA$36*conv_2026*AA$7</f>
        <v>62794.59828783269</v>
      </c>
      <c r="AB44" s="31">
        <f>Option3!AB$36*conv_2026*AB$7</f>
        <v>65584.679775774654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4" t="str">
        <f t="shared" si="10"/>
        <v>Option 3</v>
      </c>
      <c r="B45" s="134"/>
      <c r="C45" s="58"/>
      <c r="D45" s="38"/>
      <c r="E45" s="1"/>
      <c r="F45" s="96"/>
      <c r="G45" s="223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4" t="str">
        <f t="shared" si="10"/>
        <v>Option 3</v>
      </c>
      <c r="B46" s="134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6">
        <f>SUMPRODUCT($H46:$AG46, $H$5:$AG$5)</f>
        <v>-3520422.948393397</v>
      </c>
      <c r="G46" s="223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-92086.726859203074</v>
      </c>
      <c r="K46" s="31">
        <f>Option3!K$82*conv_2026*K$7</f>
        <v>-138130.09028880464</v>
      </c>
      <c r="L46" s="31">
        <f>Option3!L$82*conv_2026*L$7</f>
        <v>-138130.09028880464</v>
      </c>
      <c r="M46" s="31">
        <f>Option3!M$82*conv_2026*M$7</f>
        <v>-138130.09028880464</v>
      </c>
      <c r="N46" s="31">
        <f>Option3!N$82*conv_2026*N$7</f>
        <v>-138130.09028880464</v>
      </c>
      <c r="O46" s="31">
        <f>Option3!O$82*conv_2026*O$7</f>
        <v>-267542.90225201519</v>
      </c>
      <c r="P46" s="31">
        <f>Option3!P$82*conv_2026*P$7</f>
        <v>-332249.30823362048</v>
      </c>
      <c r="Q46" s="31">
        <f>Option3!Q$82*conv_2026*Q$7</f>
        <v>-332249.30823362048</v>
      </c>
      <c r="R46" s="31">
        <f>Option3!R$82*conv_2026*R$7</f>
        <v>-332249.30823362048</v>
      </c>
      <c r="S46" s="31">
        <f>Option3!S$82*conv_2026*S$7</f>
        <v>-332249.30823362048</v>
      </c>
      <c r="T46" s="31">
        <f>Option3!T$82*conv_2026*T$7</f>
        <v>-332249.30823362048</v>
      </c>
      <c r="U46" s="31">
        <f>Option3!U$82*conv_2026*U$7</f>
        <v>-332249.30823362048</v>
      </c>
      <c r="V46" s="31">
        <f>Option3!V$82*conv_2026*V$7</f>
        <v>-332249.30823362048</v>
      </c>
      <c r="W46" s="31">
        <f>Option3!W$82*conv_2026*W$7</f>
        <v>-332249.30823362048</v>
      </c>
      <c r="X46" s="31">
        <f>Option3!X$82*conv_2026*X$7</f>
        <v>-332249.30823362048</v>
      </c>
      <c r="Y46" s="31">
        <f>Option3!Y$82*conv_2026*Y$7</f>
        <v>-332249.30823362048</v>
      </c>
      <c r="Z46" s="31">
        <f>Option3!Z$82*conv_2026*Z$7</f>
        <v>-332249.30823362048</v>
      </c>
      <c r="AA46" s="31">
        <f>Option3!AA$82*conv_2026*AA$7</f>
        <v>-332249.30823362048</v>
      </c>
      <c r="AB46" s="31">
        <f>Option3!AB$82*conv_2026*AB$7</f>
        <v>-332249.30823362048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4" t="str">
        <f t="shared" si="10"/>
        <v>Option 3</v>
      </c>
      <c r="B47" s="134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6">
        <f>SUMPRODUCT($H47:$AG47, $H$5:$AG$5)</f>
        <v>0</v>
      </c>
      <c r="G47" s="223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4" t="str">
        <f t="shared" si="10"/>
        <v>Option 3</v>
      </c>
      <c r="B48" s="134"/>
      <c r="C48" s="58" t="str">
        <f>Option3!C$84</f>
        <v>Risk mitigated</v>
      </c>
      <c r="D48" s="38" t="str">
        <f t="shared" si="11"/>
        <v>Option 3Risk mitigated</v>
      </c>
      <c r="E48" s="1"/>
      <c r="F48" s="96">
        <f>SUMPRODUCT($H48:$AG48, $H$5:$AG$5)</f>
        <v>2599893.1212365231</v>
      </c>
      <c r="G48" s="223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6646.8360375406637</v>
      </c>
      <c r="L48" s="31">
        <f>Option3!L$84*conv_2026*L$7</f>
        <v>8098.3902148621546</v>
      </c>
      <c r="M48" s="31">
        <f>Option3!M$84*conv_2026*M$7</f>
        <v>9587.2901583485491</v>
      </c>
      <c r="N48" s="31">
        <f>Option3!N$84*conv_2026*N$7</f>
        <v>11107.295184314175</v>
      </c>
      <c r="O48" s="31">
        <f>Option3!O$84*conv_2026*O$7</f>
        <v>12720.644819375762</v>
      </c>
      <c r="P48" s="31">
        <f>Option3!P$84*conv_2026*P$7</f>
        <v>297678.36078730819</v>
      </c>
      <c r="Q48" s="31">
        <f>Option3!Q$84*conv_2026*Q$7</f>
        <v>305196.11394528073</v>
      </c>
      <c r="R48" s="31">
        <f>Option3!R$84*conv_2026*R$7</f>
        <v>306752.28473162843</v>
      </c>
      <c r="S48" s="31">
        <f>Option3!S$84*conv_2026*S$7</f>
        <v>308053.44102087989</v>
      </c>
      <c r="T48" s="31">
        <f>Option3!T$84*conv_2026*T$7</f>
        <v>309369.39669374767</v>
      </c>
      <c r="U48" s="31">
        <f>Option3!U$84*conv_2026*U$7</f>
        <v>310659.0287004339</v>
      </c>
      <c r="V48" s="31">
        <f>Option3!V$84*conv_2026*V$7</f>
        <v>311991.47389318264</v>
      </c>
      <c r="W48" s="31">
        <f>Option3!W$84*conv_2026*W$7</f>
        <v>313289.88793358085</v>
      </c>
      <c r="X48" s="31">
        <f>Option3!X$84*conv_2026*X$7</f>
        <v>314550.57472673559</v>
      </c>
      <c r="Y48" s="31">
        <f>Option3!Y$84*conv_2026*Y$7</f>
        <v>315770.16054089909</v>
      </c>
      <c r="Z48" s="31">
        <f>Option3!Z$84*conv_2026*Z$7</f>
        <v>316945.68226570473</v>
      </c>
      <c r="AA48" s="31">
        <f>Option3!AA$84*conv_2026*AA$7</f>
        <v>318074.67324256123</v>
      </c>
      <c r="AB48" s="31">
        <f>Option3!AB$84*conv_2026*AB$7</f>
        <v>319155.24446911365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4" t="str">
        <f t="shared" si="10"/>
        <v>Option 3</v>
      </c>
      <c r="B49" s="134"/>
      <c r="C49" s="58" t="str">
        <f>Option3!C$85</f>
        <v>Other benefits value</v>
      </c>
      <c r="D49" s="38" t="str">
        <f t="shared" si="11"/>
        <v>Option 3Other benefits value</v>
      </c>
      <c r="E49" s="1"/>
      <c r="F49" s="96">
        <f>SUMPRODUCT($H49:$AG49, $H$5:$AG$5)</f>
        <v>458428.36816005182</v>
      </c>
      <c r="G49" s="223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55645.632320829842</v>
      </c>
      <c r="Q49" s="31">
        <f>Option3!Q$85*conv_2026*Q$7</f>
        <v>55645.632320829842</v>
      </c>
      <c r="R49" s="31">
        <f>Option3!R$85*conv_2026*R$7</f>
        <v>55645.632320829842</v>
      </c>
      <c r="S49" s="31">
        <f>Option3!S$85*conv_2026*S$7</f>
        <v>55645.632320829842</v>
      </c>
      <c r="T49" s="31">
        <f>Option3!T$85*conv_2026*T$7</f>
        <v>55645.632320829842</v>
      </c>
      <c r="U49" s="31">
        <f>Option3!U$85*conv_2026*U$7</f>
        <v>55645.632320829842</v>
      </c>
      <c r="V49" s="31">
        <f>Option3!V$85*conv_2026*V$7</f>
        <v>55645.632320829842</v>
      </c>
      <c r="W49" s="31">
        <f>Option3!W$85*conv_2026*W$7</f>
        <v>55645.632320829842</v>
      </c>
      <c r="X49" s="31">
        <f>Option3!X$85*conv_2026*X$7</f>
        <v>55645.632320829842</v>
      </c>
      <c r="Y49" s="31">
        <f>Option3!Y$85*conv_2026*Y$7</f>
        <v>55645.632320829842</v>
      </c>
      <c r="Z49" s="31">
        <f>Option3!Z$85*conv_2026*Z$7</f>
        <v>55645.632320829842</v>
      </c>
      <c r="AA49" s="31">
        <f>Option3!AA$85*conv_2026*AA$7</f>
        <v>55645.632320829842</v>
      </c>
      <c r="AB49" s="31">
        <f>Option3!AB$85*conv_2026*AB$7</f>
        <v>55645.632320829842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4" t="str">
        <f t="shared" si="10"/>
        <v>Option 3</v>
      </c>
      <c r="B50" s="134"/>
      <c r="C50" s="124" t="str">
        <f>Option3!C87</f>
        <v>Net benefits</v>
      </c>
      <c r="D50" s="108" t="str">
        <f t="shared" si="11"/>
        <v>Option 3Net benefits</v>
      </c>
      <c r="E50" s="109"/>
      <c r="F50" s="142"/>
      <c r="G50" s="225">
        <f t="shared" si="12"/>
        <v>46203</v>
      </c>
      <c r="H50" s="52"/>
      <c r="I50" s="52">
        <f t="shared" ref="I50:AB50" si="13">SUM(I46:I49)</f>
        <v>0</v>
      </c>
      <c r="J50" s="52">
        <f t="shared" si="13"/>
        <v>-92086.726859203074</v>
      </c>
      <c r="K50" s="52">
        <f t="shared" si="13"/>
        <v>-131483.25425126398</v>
      </c>
      <c r="L50" s="52">
        <f t="shared" si="13"/>
        <v>-130031.70007394248</v>
      </c>
      <c r="M50" s="52">
        <f t="shared" si="13"/>
        <v>-128542.80013045609</v>
      </c>
      <c r="N50" s="52">
        <f t="shared" si="13"/>
        <v>-127022.79510449046</v>
      </c>
      <c r="O50" s="52">
        <f t="shared" si="13"/>
        <v>-254822.25743263942</v>
      </c>
      <c r="P50" s="52">
        <f t="shared" si="13"/>
        <v>21074.684874517552</v>
      </c>
      <c r="Q50" s="52">
        <f t="shared" si="13"/>
        <v>28592.438032490085</v>
      </c>
      <c r="R50" s="52">
        <f t="shared" si="13"/>
        <v>30148.608818837791</v>
      </c>
      <c r="S50" s="52">
        <f t="shared" si="13"/>
        <v>31449.765108089254</v>
      </c>
      <c r="T50" s="52">
        <f t="shared" si="13"/>
        <v>32765.720780957025</v>
      </c>
      <c r="U50" s="52">
        <f t="shared" si="13"/>
        <v>34055.352787643264</v>
      </c>
      <c r="V50" s="52">
        <f t="shared" si="13"/>
        <v>35387.797980392003</v>
      </c>
      <c r="W50" s="52">
        <f t="shared" si="13"/>
        <v>36686.212020790204</v>
      </c>
      <c r="X50" s="52">
        <f t="shared" si="13"/>
        <v>37946.89881394495</v>
      </c>
      <c r="Y50" s="52">
        <f t="shared" si="13"/>
        <v>39166.484628108446</v>
      </c>
      <c r="Z50" s="52">
        <f t="shared" si="13"/>
        <v>40342.00635291409</v>
      </c>
      <c r="AA50" s="52">
        <f t="shared" si="13"/>
        <v>41470.997329770587</v>
      </c>
      <c r="AB50" s="52">
        <f t="shared" si="13"/>
        <v>42551.568556323007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4" t="str">
        <f t="shared" si="10"/>
        <v>Option 3</v>
      </c>
      <c r="B51" s="134"/>
      <c r="C51" s="8" t="s">
        <v>119</v>
      </c>
      <c r="D51" s="38" t="str">
        <f t="shared" si="11"/>
        <v>Option 3NPV</v>
      </c>
      <c r="E51" s="1"/>
      <c r="F51" s="107" cm="1">
        <f t="array" ref="F51">SUMPRODUCT(($H50:$AG50)*($H$5:$AG$5)*($H$7:$AG$7))</f>
        <v>-462101.45899682218</v>
      </c>
      <c r="G51" s="223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4" t="str">
        <f t="shared" si="10"/>
        <v>Option 3</v>
      </c>
      <c r="B52" s="134"/>
      <c r="C52" s="8" t="s">
        <v>189</v>
      </c>
      <c r="D52" s="38" t="str">
        <f t="shared" si="11"/>
        <v>Option 3PV of costs</v>
      </c>
      <c r="E52" s="1"/>
      <c r="F52" s="107">
        <f>SUM(F46:F47)</f>
        <v>-3520422.948393397</v>
      </c>
      <c r="G52" s="223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4" t="str">
        <f t="shared" si="10"/>
        <v>Option 3</v>
      </c>
      <c r="B53" s="134"/>
      <c r="C53" s="8" t="s">
        <v>190</v>
      </c>
      <c r="D53" s="38" t="str">
        <f t="shared" si="11"/>
        <v>Option 3PV of benefits</v>
      </c>
      <c r="E53" s="1"/>
      <c r="F53" s="107">
        <f>SUM(F48:F49)</f>
        <v>3058321.4893965749</v>
      </c>
      <c r="G53" s="223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4"/>
      <c r="B54" s="134"/>
      <c r="C54" s="1"/>
      <c r="D54" s="38"/>
      <c r="E54" s="1"/>
      <c r="F54" s="107"/>
      <c r="G54" s="226"/>
      <c r="H54" s="1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</row>
    <row r="55" spans="1:33" s="2" customFormat="1" x14ac:dyDescent="0.2">
      <c r="A55" s="122"/>
      <c r="B55" s="122"/>
      <c r="C55" s="122"/>
      <c r="D55" s="38"/>
      <c r="F55" s="117"/>
      <c r="G55" s="219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</row>
    <row r="56" spans="1:33" s="268" customFormat="1" x14ac:dyDescent="0.2">
      <c r="A56" s="266" t="str">
        <f>A57</f>
        <v>Option 4</v>
      </c>
      <c r="B56" s="266"/>
      <c r="C56" s="266" t="s">
        <v>124</v>
      </c>
      <c r="D56" s="267" t="str">
        <f>A56&amp;C56</f>
        <v>Option 4Energy at risk value</v>
      </c>
      <c r="F56" s="96">
        <f>SUMPRODUCT($H56:$AG56, $H$5:$AG$5)</f>
        <v>0</v>
      </c>
      <c r="G56" s="269">
        <f>output_dollars</f>
        <v>46203</v>
      </c>
      <c r="H56" s="270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4" t="str">
        <f>Data!B12</f>
        <v>Option 4</v>
      </c>
      <c r="B57" s="134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6">
        <f>SUMPRODUCT($H57:$AG57, $H$5:$AG$5)</f>
        <v>0</v>
      </c>
      <c r="G57" s="223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4" t="str">
        <f t="shared" ref="A58:A67" si="15">A57</f>
        <v>Option 4</v>
      </c>
      <c r="B58" s="134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6">
        <f>SUMPRODUCT($H58:$AG58, $H$5:$AG$5)</f>
        <v>0</v>
      </c>
      <c r="G58" s="223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4" t="str">
        <f t="shared" si="15"/>
        <v>Option 4</v>
      </c>
      <c r="B59" s="134"/>
      <c r="C59" s="75"/>
      <c r="D59" s="38" t="str">
        <f t="shared" si="14"/>
        <v>Option 4</v>
      </c>
      <c r="E59" s="1"/>
      <c r="F59"/>
      <c r="G59" s="224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4" t="str">
        <f t="shared" si="15"/>
        <v>Option 4</v>
      </c>
      <c r="B60" s="134"/>
      <c r="C60" s="58" t="str">
        <f>Option4!C$82</f>
        <v>Annualised capex</v>
      </c>
      <c r="D60" s="38" t="str">
        <f t="shared" si="14"/>
        <v>Option 4Annualised capex</v>
      </c>
      <c r="E60" s="1"/>
      <c r="F60" s="96">
        <f>SUMPRODUCT($H60:$AG60, $H$5:$AG$5)</f>
        <v>0</v>
      </c>
      <c r="G60" s="223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4" t="str">
        <f t="shared" si="15"/>
        <v>Option 4</v>
      </c>
      <c r="B61" s="134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6">
        <f>SUMPRODUCT($H61:$AG61, $H$5:$AG$5)</f>
        <v>0</v>
      </c>
      <c r="G61" s="223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4" t="str">
        <f t="shared" si="15"/>
        <v>Option 4</v>
      </c>
      <c r="B62" s="134"/>
      <c r="C62" s="58" t="str">
        <f>Option4!C$84</f>
        <v>Risk mitigated</v>
      </c>
      <c r="D62" s="38" t="str">
        <f t="shared" si="14"/>
        <v>Option 4Risk mitigated</v>
      </c>
      <c r="E62" s="1"/>
      <c r="F62" s="96">
        <f>SUMPRODUCT($H62:$AG62, $H$5:$AG$5)</f>
        <v>0</v>
      </c>
      <c r="G62" s="223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4" t="str">
        <f t="shared" si="15"/>
        <v>Option 4</v>
      </c>
      <c r="B63" s="134"/>
      <c r="C63" s="58" t="str">
        <f>Option4!C$85</f>
        <v>Other benefits value</v>
      </c>
      <c r="D63" s="38" t="str">
        <f t="shared" si="14"/>
        <v>Option 4Other benefits value</v>
      </c>
      <c r="E63" s="1"/>
      <c r="F63" s="96">
        <f>SUMPRODUCT($H63:$AG63, $H$5:$AG$5)</f>
        <v>0</v>
      </c>
      <c r="G63" s="223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4" t="str">
        <f t="shared" si="15"/>
        <v>Option 4</v>
      </c>
      <c r="B64" s="134"/>
      <c r="C64" s="124" t="str">
        <f>Option4!C87</f>
        <v>Net benefits</v>
      </c>
      <c r="D64" s="108" t="str">
        <f t="shared" si="14"/>
        <v>Option 4Net benefits</v>
      </c>
      <c r="E64" s="109"/>
      <c r="F64" s="142"/>
      <c r="G64" s="225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4" t="str">
        <f t="shared" si="15"/>
        <v>Option 4</v>
      </c>
      <c r="B65" s="134"/>
      <c r="C65" s="8" t="s">
        <v>119</v>
      </c>
      <c r="D65" s="38" t="str">
        <f t="shared" si="14"/>
        <v>Option 4NPV</v>
      </c>
      <c r="E65" s="1"/>
      <c r="F65" s="107" cm="1">
        <f t="array" ref="F65">SUMPRODUCT(($H64:$AG64)*($H$5:$AG$5)*($H$7:$AG$7))</f>
        <v>0</v>
      </c>
      <c r="G65" s="223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4" t="str">
        <f t="shared" si="15"/>
        <v>Option 4</v>
      </c>
      <c r="B66" s="134"/>
      <c r="C66" s="8" t="s">
        <v>189</v>
      </c>
      <c r="D66" s="38" t="str">
        <f t="shared" si="14"/>
        <v>Option 4PV of costs</v>
      </c>
      <c r="E66" s="1"/>
      <c r="F66" s="107">
        <f>SUM(F60:F61)</f>
        <v>0</v>
      </c>
      <c r="G66" s="223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4" t="str">
        <f t="shared" si="15"/>
        <v>Option 4</v>
      </c>
      <c r="B67" s="134"/>
      <c r="C67" s="8" t="s">
        <v>190</v>
      </c>
      <c r="D67" s="38" t="str">
        <f t="shared" si="14"/>
        <v>Option 4PV of benefits</v>
      </c>
      <c r="E67" s="1"/>
      <c r="F67" s="107">
        <f>SUM(F62:F63)</f>
        <v>0</v>
      </c>
      <c r="G67" s="223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4"/>
      <c r="B68" s="134"/>
      <c r="C68" s="1"/>
      <c r="D68" s="38"/>
      <c r="E68" s="1"/>
      <c r="F68" s="107"/>
      <c r="G68" s="226"/>
      <c r="H68" s="1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</row>
    <row r="69" spans="1:33" s="2" customFormat="1" x14ac:dyDescent="0.2">
      <c r="A69" s="122"/>
      <c r="B69" s="122"/>
      <c r="C69" s="122"/>
      <c r="D69" s="38" t="str">
        <f t="shared" ref="D69:D81" si="18">A69&amp;C69</f>
        <v/>
      </c>
      <c r="F69" s="117"/>
      <c r="G69" s="219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</row>
    <row r="70" spans="1:33" s="268" customFormat="1" x14ac:dyDescent="0.2">
      <c r="A70" s="266" t="str">
        <f>A71</f>
        <v>Option 5</v>
      </c>
      <c r="B70" s="266"/>
      <c r="C70" s="266" t="s">
        <v>124</v>
      </c>
      <c r="D70" s="267" t="str">
        <f t="shared" si="18"/>
        <v>Option 5Energy at risk value</v>
      </c>
      <c r="F70" s="96">
        <f>SUMPRODUCT($H70:$AG70, $H$5:$AG$5)</f>
        <v>0</v>
      </c>
      <c r="G70" s="269">
        <f>output_dollars</f>
        <v>46203</v>
      </c>
      <c r="H70" s="270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4" t="str">
        <f>Data!B13</f>
        <v>Option 5</v>
      </c>
      <c r="B71" s="134"/>
      <c r="C71" s="58" t="str">
        <f>Option5!C$66</f>
        <v>Capital expenditure</v>
      </c>
      <c r="D71" s="38" t="str">
        <f t="shared" si="18"/>
        <v>Option 5Capital expenditure</v>
      </c>
      <c r="E71" s="1"/>
      <c r="F71" s="96">
        <f>SUMPRODUCT($H71:$AG71, $H$5:$AG$5)</f>
        <v>0</v>
      </c>
      <c r="G71" s="223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4" t="str">
        <f t="shared" ref="A72:A81" si="19">A71</f>
        <v>Option 5</v>
      </c>
      <c r="B72" s="134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6">
        <f>SUMPRODUCT($H72:$AG72, $H$5:$AG$5)</f>
        <v>0</v>
      </c>
      <c r="G72" s="223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4" t="str">
        <f t="shared" si="19"/>
        <v>Option 5</v>
      </c>
      <c r="B73" s="134"/>
      <c r="C73" s="75"/>
      <c r="D73" s="38" t="str">
        <f t="shared" si="18"/>
        <v>Option 5</v>
      </c>
      <c r="E73" s="1"/>
      <c r="F73"/>
      <c r="G73" s="224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4" t="str">
        <f t="shared" si="19"/>
        <v>Option 5</v>
      </c>
      <c r="B74" s="134"/>
      <c r="C74" s="58" t="str">
        <f>Option5!C$82</f>
        <v>Annualised capex</v>
      </c>
      <c r="D74" s="38" t="str">
        <f t="shared" si="18"/>
        <v>Option 5Annualised capex</v>
      </c>
      <c r="E74" s="1"/>
      <c r="F74" s="107" cm="1">
        <f t="array" ref="F74">SUMPRODUCT(($H74:$AG74)*($H$5:$AG$5)*($H$7:$AG$7))</f>
        <v>0</v>
      </c>
      <c r="G74" s="223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4" t="str">
        <f t="shared" si="19"/>
        <v>Option 5</v>
      </c>
      <c r="B75" s="134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7" cm="1">
        <f t="array" ref="F75">SUMPRODUCT(($H75:$AG75)*($H$5:$AG$5)*($H$7:$AG$7))</f>
        <v>0</v>
      </c>
      <c r="G75" s="223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4" t="str">
        <f t="shared" si="19"/>
        <v>Option 5</v>
      </c>
      <c r="B76" s="134"/>
      <c r="C76" s="58" t="str">
        <f>Option5!C$84</f>
        <v>Risk mitigated</v>
      </c>
      <c r="D76" s="38" t="str">
        <f t="shared" si="18"/>
        <v>Option 5Risk mitigated</v>
      </c>
      <c r="E76" s="1"/>
      <c r="F76" s="96">
        <f>SUMPRODUCT($H76:$AG76, $H$5:$AG$5)</f>
        <v>0</v>
      </c>
      <c r="G76" s="223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4" t="str">
        <f t="shared" si="19"/>
        <v>Option 5</v>
      </c>
      <c r="B77" s="134"/>
      <c r="C77" s="58" t="str">
        <f>Option5!C$85</f>
        <v>Other benefits value</v>
      </c>
      <c r="D77" s="38" t="str">
        <f t="shared" si="18"/>
        <v>Option 5Other benefits value</v>
      </c>
      <c r="E77" s="1"/>
      <c r="F77" s="96">
        <f>SUMPRODUCT($H77:$AG77, $H$5:$AG$5)</f>
        <v>0</v>
      </c>
      <c r="G77" s="223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4" t="str">
        <f t="shared" si="19"/>
        <v>Option 5</v>
      </c>
      <c r="B78" s="134"/>
      <c r="C78" s="124" t="str">
        <f>Option5!C87</f>
        <v>Net benefits</v>
      </c>
      <c r="D78" s="108" t="str">
        <f t="shared" si="18"/>
        <v>Option 5Net benefits</v>
      </c>
      <c r="E78" s="109"/>
      <c r="F78" s="142"/>
      <c r="G78" s="225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4" t="str">
        <f t="shared" si="19"/>
        <v>Option 5</v>
      </c>
      <c r="B79" s="134"/>
      <c r="C79" s="8" t="s">
        <v>119</v>
      </c>
      <c r="D79" s="38" t="str">
        <f t="shared" si="18"/>
        <v>Option 5NPV</v>
      </c>
      <c r="E79" s="1"/>
      <c r="F79" s="107" cm="1">
        <f t="array" ref="F79">SUMPRODUCT(($H78:$AG78)*($H$5:$AG$5)*($H$7:$AG$7))</f>
        <v>0</v>
      </c>
      <c r="G79" s="223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4" t="str">
        <f t="shared" si="19"/>
        <v>Option 5</v>
      </c>
      <c r="B80" s="134"/>
      <c r="C80" s="8" t="s">
        <v>189</v>
      </c>
      <c r="D80" s="38" t="str">
        <f t="shared" si="18"/>
        <v>Option 5PV of costs</v>
      </c>
      <c r="E80" s="1"/>
      <c r="F80" s="107">
        <f>SUM(F74:F75)</f>
        <v>0</v>
      </c>
      <c r="G80" s="223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4" t="str">
        <f t="shared" si="19"/>
        <v>Option 5</v>
      </c>
      <c r="B81" s="134"/>
      <c r="C81" s="8" t="s">
        <v>190</v>
      </c>
      <c r="D81" s="38" t="str">
        <f t="shared" si="18"/>
        <v>Option 5PV of benefits</v>
      </c>
      <c r="E81" s="1"/>
      <c r="F81" s="107">
        <f>SUM(F76:F77)</f>
        <v>0</v>
      </c>
      <c r="G81" s="223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3"/>
      <c r="B82" s="123"/>
      <c r="C82" s="123"/>
      <c r="D82" s="38" t="str">
        <f>A82&amp;C82</f>
        <v/>
      </c>
      <c r="F82" s="117"/>
      <c r="G82" s="219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</row>
    <row r="83" spans="1:33" ht="12" x14ac:dyDescent="0.2">
      <c r="E83" s="84"/>
      <c r="G83" s="227"/>
    </row>
    <row r="84" spans="1:33" ht="12" x14ac:dyDescent="0.2">
      <c r="E84" s="84"/>
      <c r="G84" s="227"/>
    </row>
    <row r="85" spans="1:33" ht="12" x14ac:dyDescent="0.2">
      <c r="E85" s="84"/>
      <c r="G85" s="227"/>
    </row>
    <row r="86" spans="1:33" ht="12" x14ac:dyDescent="0.2">
      <c r="E86" s="84"/>
      <c r="G86" s="227"/>
    </row>
    <row r="87" spans="1:33" ht="12" x14ac:dyDescent="0.2">
      <c r="E87" s="10"/>
      <c r="G87" s="227"/>
    </row>
    <row r="88" spans="1:33" ht="15" x14ac:dyDescent="0.25">
      <c r="A88" s="200" t="s">
        <v>202</v>
      </c>
      <c r="B88" s="54"/>
      <c r="C88" s="19"/>
      <c r="D88" s="19"/>
      <c r="E88" s="83"/>
      <c r="F88" s="19"/>
      <c r="G88" s="221"/>
      <c r="H88" s="221"/>
      <c r="I88" s="197" t="str">
        <f>"FY"&amp;RIGHT(I$9,2)</f>
        <v>FY27</v>
      </c>
      <c r="J88" s="197" t="str">
        <f t="shared" ref="J88:AG88" si="22">"FY"&amp;RIGHT(J$9,2)</f>
        <v>FY28</v>
      </c>
      <c r="K88" s="197" t="str">
        <f t="shared" si="22"/>
        <v>FY29</v>
      </c>
      <c r="L88" s="197" t="str">
        <f t="shared" si="22"/>
        <v>FY30</v>
      </c>
      <c r="M88" s="197" t="str">
        <f t="shared" si="22"/>
        <v>FY31</v>
      </c>
      <c r="N88" s="197" t="str">
        <f t="shared" si="22"/>
        <v>FY32</v>
      </c>
      <c r="O88" s="197" t="str">
        <f t="shared" si="22"/>
        <v>FY33</v>
      </c>
      <c r="P88" s="197" t="str">
        <f t="shared" si="22"/>
        <v>FY34</v>
      </c>
      <c r="Q88" s="197" t="str">
        <f t="shared" si="22"/>
        <v>FY35</v>
      </c>
      <c r="R88" s="197" t="str">
        <f t="shared" si="22"/>
        <v>FY36</v>
      </c>
      <c r="S88" s="197" t="str">
        <f t="shared" si="22"/>
        <v>FY37</v>
      </c>
      <c r="T88" s="197" t="str">
        <f t="shared" si="22"/>
        <v>FY38</v>
      </c>
      <c r="U88" s="197" t="str">
        <f t="shared" si="22"/>
        <v>FY39</v>
      </c>
      <c r="V88" s="197" t="str">
        <f t="shared" si="22"/>
        <v>FY40</v>
      </c>
      <c r="W88" s="197" t="str">
        <f t="shared" si="22"/>
        <v>FY41</v>
      </c>
      <c r="X88" s="197" t="str">
        <f t="shared" si="22"/>
        <v>FY42</v>
      </c>
      <c r="Y88" s="197" t="str">
        <f t="shared" si="22"/>
        <v>FY43</v>
      </c>
      <c r="Z88" s="197" t="str">
        <f t="shared" si="22"/>
        <v>FY44</v>
      </c>
      <c r="AA88" s="197" t="str">
        <f t="shared" si="22"/>
        <v>FY45</v>
      </c>
      <c r="AB88" s="197" t="str">
        <f t="shared" si="22"/>
        <v>FY46</v>
      </c>
      <c r="AC88" s="197" t="str">
        <f t="shared" si="22"/>
        <v>FY47</v>
      </c>
      <c r="AD88" s="197" t="str">
        <f t="shared" si="22"/>
        <v>FY48</v>
      </c>
      <c r="AE88" s="197" t="str">
        <f t="shared" si="22"/>
        <v>FY49</v>
      </c>
      <c r="AF88" s="197" t="str">
        <f t="shared" si="22"/>
        <v>FY50</v>
      </c>
      <c r="AG88" s="197" t="str">
        <f t="shared" si="22"/>
        <v>FY51</v>
      </c>
    </row>
    <row r="89" spans="1:33" ht="12" x14ac:dyDescent="0.2">
      <c r="E89" s="84"/>
      <c r="G89" s="227"/>
    </row>
    <row r="90" spans="1:33" ht="12" x14ac:dyDescent="0.2">
      <c r="E90" s="84"/>
    </row>
    <row r="91" spans="1:33" x14ac:dyDescent="0.2">
      <c r="A91" s="196" t="str">
        <f>Summary!$C$26</f>
        <v>Option 2</v>
      </c>
      <c r="B91" s="138"/>
      <c r="C91" s="194" t="s">
        <v>91</v>
      </c>
      <c r="D91" s="117">
        <f>INDEX(Data!$C$30:$C$36, MATCH(C91, Data!$B$30:$B$36,0))</f>
        <v>-1</v>
      </c>
      <c r="E91" s="2"/>
      <c r="F91" s="117"/>
      <c r="G91" s="118"/>
      <c r="H91" s="118" t="str">
        <f>A91&amp;" "&amp;LOWER(C91)</f>
        <v>Option 2 annualised capex</v>
      </c>
      <c r="I91" s="295" cm="1">
        <f t="array" ref="I91">MAX($D91*INDEX(I$15:W$81, MATCH($A91&amp;$C91, $D$15:$D$81,0),))/mill_conv</f>
        <v>0.2837195037474165</v>
      </c>
      <c r="J91" s="295" cm="1">
        <f t="array" ref="J91">MAX($D91*INDEX(J$15:X$81, MATCH($A91&amp;$C91, $D$15:$D$81,0),))/mill_conv</f>
        <v>0.2837195037474165</v>
      </c>
      <c r="K91" s="295" cm="1">
        <f t="array" ref="K91">MAX($D91*INDEX(K$15:Y$81, MATCH($A91&amp;$C91, $D$15:$D$81,0),))/mill_conv</f>
        <v>0.2837195037474165</v>
      </c>
      <c r="L91" s="295" cm="1">
        <f t="array" ref="L91">MAX($D91*INDEX(L$15:Z$81, MATCH($A91&amp;$C91, $D$15:$D$81,0),))/mill_conv</f>
        <v>0.2837195037474165</v>
      </c>
      <c r="M91" s="295" cm="1">
        <f t="array" ref="M91">MAX($D91*INDEX(M$15:AA$81, MATCH($A91&amp;$C91, $D$15:$D$81,0),))/mill_conv</f>
        <v>0.2837195037474165</v>
      </c>
      <c r="N91" s="295" cm="1">
        <f t="array" ref="N91">MAX($D91*INDEX(N$15:AB$81, MATCH($A91&amp;$C91, $D$15:$D$81,0),))/mill_conv</f>
        <v>0.2837195037474165</v>
      </c>
      <c r="O91" s="295" cm="1">
        <f t="array" ref="O91">MAX($D91*INDEX(O$15:AC$81, MATCH($A91&amp;$C91, $D$15:$D$81,0),))/mill_conv</f>
        <v>0.2837195037474165</v>
      </c>
      <c r="P91" s="295" cm="1">
        <f t="array" ref="P91">MAX($D91*INDEX(P$15:AD$81, MATCH($A91&amp;$C91, $D$15:$D$81,0),))/mill_conv</f>
        <v>0.2837195037474165</v>
      </c>
      <c r="Q91" s="295" cm="1">
        <f t="array" ref="Q91">MAX($D91*INDEX(Q$15:AE$81, MATCH($A91&amp;$C91, $D$15:$D$81,0),))/mill_conv</f>
        <v>0.2837195037474165</v>
      </c>
      <c r="R91" s="295" cm="1">
        <f t="array" ref="R91">MAX($D91*INDEX(R$15:AF$81, MATCH($A91&amp;$C91, $D$15:$D$81,0),))/mill_conv</f>
        <v>0.2837195037474165</v>
      </c>
      <c r="S91" s="295" cm="1">
        <f t="array" ref="S91">MAX($D91*INDEX(S$15:AG$81, MATCH($A91&amp;$C91, $D$15:$D$81,0),))/mill_conv</f>
        <v>0.2837195037474165</v>
      </c>
      <c r="T91" s="295" cm="1">
        <f t="array" ref="T91">MAX($D91*INDEX(T$15:AH$81, MATCH($A91&amp;$C91, $D$15:$D$81,0),))/mill_conv</f>
        <v>0.2837195037474165</v>
      </c>
      <c r="U91" s="295" cm="1">
        <f t="array" ref="U91">MAX($D91*INDEX(U$15:AI$81, MATCH($A91&amp;$C91, $D$15:$D$81,0),))/mill_conv</f>
        <v>0.2837195037474165</v>
      </c>
      <c r="V91" s="295" cm="1">
        <f t="array" ref="V91">MAX($D91*INDEX(V$15:AJ$81, MATCH($A91&amp;$C91, $D$15:$D$81,0),))/mill_conv</f>
        <v>0.2837195037474165</v>
      </c>
      <c r="W91" s="295" cm="1">
        <f t="array" ref="W91">MAX($D91*INDEX(W$15:AK$81, MATCH($A91&amp;$C91, $D$15:$D$81,0),))/mill_conv</f>
        <v>0.2837195037474165</v>
      </c>
      <c r="X91" s="295" cm="1">
        <f t="array" ref="X91">MAX($D91*INDEX(X$15:AL$81, MATCH($A91&amp;$C91, $D$15:$D$81,0),))/mill_conv</f>
        <v>0.2837195037474165</v>
      </c>
      <c r="Y91" s="295" cm="1">
        <f t="array" ref="Y91">MAX($D91*INDEX(Y$15:AM$81, MATCH($A91&amp;$C91, $D$15:$D$81,0),))/mill_conv</f>
        <v>0.2837195037474165</v>
      </c>
      <c r="Z91" s="295" cm="1">
        <f t="array" ref="Z91">MAX($D91*INDEX(Z$15:AN$81, MATCH($A91&amp;$C91, $D$15:$D$81,0),))/mill_conv</f>
        <v>0.2837195037474165</v>
      </c>
      <c r="AA91" s="295" cm="1">
        <f t="array" ref="AA91">MAX($D91*INDEX(AA$15:AO$81, MATCH($A91&amp;$C91, $D$15:$D$81,0),))/mill_conv</f>
        <v>0.2837195037474165</v>
      </c>
      <c r="AB91" s="295" cm="1">
        <f t="array" ref="AB91">MAX($D91*INDEX(AB$15:AP$81, MATCH($A91&amp;$C91, $D$15:$D$81,0),))/mill_conv</f>
        <v>0.2837195037474165</v>
      </c>
      <c r="AC91" s="295" cm="1">
        <f t="array" ref="AC91">MAX($D91*INDEX(AC$15:AQ$81, MATCH($A91&amp;$C91, $D$15:$D$81,0),))/mill_conv</f>
        <v>0</v>
      </c>
      <c r="AD91" s="295" cm="1">
        <f t="array" ref="AD91">MAX($D91*INDEX(AD$15:AR$81, MATCH($A91&amp;$C91, $D$15:$D$81,0),))/mill_conv</f>
        <v>0</v>
      </c>
      <c r="AE91" s="295" cm="1">
        <f t="array" ref="AE91">MAX($D91*INDEX(AE$15:AS$81, MATCH($A91&amp;$C91, $D$15:$D$81,0),))/mill_conv</f>
        <v>0</v>
      </c>
      <c r="AF91" s="295" cm="1">
        <f t="array" ref="AF91">MAX($D91*INDEX(AF$15:AT$81, MATCH($A91&amp;$C91, $D$15:$D$81,0),))/mill_conv</f>
        <v>0</v>
      </c>
      <c r="AG91" s="295" cm="1">
        <f t="array" ref="AG91">MAX($D91*INDEX(AG$15:AU$81, MATCH($A91&amp;$C91, $D$15:$D$81,0),))/mill_conv</f>
        <v>0</v>
      </c>
    </row>
    <row r="92" spans="1:33" x14ac:dyDescent="0.2">
      <c r="A92" s="195" t="str">
        <f>A16</f>
        <v>Option 1 (base case)</v>
      </c>
      <c r="B92" s="138"/>
      <c r="C92" s="195" t="s">
        <v>172</v>
      </c>
      <c r="D92" s="117">
        <f>INDEX(Data!$C$30:$C$36, MATCH(C92, Data!$B$30:$B$36,0))</f>
        <v>1</v>
      </c>
      <c r="E92" s="84"/>
      <c r="H92" s="118" t="str">
        <f>A92&amp;" risk cost"</f>
        <v>Option 1 (base case) risk cost</v>
      </c>
      <c r="I92" s="295">
        <f t="shared" ref="I92:R92" si="23">$D92*INDEX(I$15:I$81, MATCH($A92&amp;$C92, $D$15:$D$81,0))/mill_conv</f>
        <v>0.26401892039397284</v>
      </c>
      <c r="J92" s="295">
        <f t="shared" si="23"/>
        <v>0.27371113067122088</v>
      </c>
      <c r="K92" s="295">
        <f t="shared" si="23"/>
        <v>0.28602279364336453</v>
      </c>
      <c r="L92" s="295">
        <f t="shared" si="23"/>
        <v>0.29435753823495453</v>
      </c>
      <c r="M92" s="295">
        <f t="shared" si="23"/>
        <v>0.30186249564198608</v>
      </c>
      <c r="N92" s="295">
        <f t="shared" si="23"/>
        <v>0.31188414380708485</v>
      </c>
      <c r="O92" s="295">
        <f t="shared" si="23"/>
        <v>0.3243294925324432</v>
      </c>
      <c r="P92" s="295">
        <f t="shared" si="23"/>
        <v>0.33808761173160373</v>
      </c>
      <c r="Q92" s="295">
        <f t="shared" si="23"/>
        <v>0.347483089358048</v>
      </c>
      <c r="R92" s="295">
        <f t="shared" si="23"/>
        <v>0.35035554399473384</v>
      </c>
      <c r="S92" s="295">
        <f t="shared" ref="S92:AG92" si="24">$D92*INDEX(S$15:S$81, MATCH($A92&amp;$C92, $D$15:$D$81,0))/mill_conv</f>
        <v>0.35323843377556274</v>
      </c>
      <c r="T92" s="295">
        <f t="shared" si="24"/>
        <v>0.35626799301255435</v>
      </c>
      <c r="U92" s="295">
        <f t="shared" si="24"/>
        <v>0.35943705709517043</v>
      </c>
      <c r="V92" s="295">
        <f t="shared" si="24"/>
        <v>0.36273760651359915</v>
      </c>
      <c r="W92" s="295">
        <f t="shared" si="24"/>
        <v>0.3661607397760564</v>
      </c>
      <c r="X92" s="295">
        <f t="shared" si="24"/>
        <v>0.36969665284609932</v>
      </c>
      <c r="Y92" s="295">
        <f t="shared" si="24"/>
        <v>0.37333462588921279</v>
      </c>
      <c r="Z92" s="295">
        <f t="shared" si="24"/>
        <v>0.37706301812019166</v>
      </c>
      <c r="AA92" s="295">
        <f t="shared" si="24"/>
        <v>0.3808692715303939</v>
      </c>
      <c r="AB92" s="295">
        <f t="shared" si="24"/>
        <v>0.38473992424488829</v>
      </c>
      <c r="AC92" s="295">
        <f t="shared" si="24"/>
        <v>0.38866063421214259</v>
      </c>
      <c r="AD92" s="295">
        <f t="shared" si="24"/>
        <v>0.39261621386165485</v>
      </c>
      <c r="AE92" s="295">
        <f t="shared" si="24"/>
        <v>0.39659067627656269</v>
      </c>
      <c r="AF92" s="295">
        <f t="shared" si="24"/>
        <v>0.40056729331793178</v>
      </c>
      <c r="AG92" s="295">
        <f t="shared" si="24"/>
        <v>0.40452866600471465</v>
      </c>
    </row>
    <row r="93" spans="1:33" ht="12" x14ac:dyDescent="0.2">
      <c r="E93" s="84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2" t="str">
        <f>I88</f>
        <v>FY27</v>
      </c>
      <c r="J97" s="292" t="str">
        <f t="shared" ref="J97:AG97" si="25">J88</f>
        <v>FY28</v>
      </c>
      <c r="K97" s="292" t="str">
        <f t="shared" si="25"/>
        <v>FY29</v>
      </c>
      <c r="L97" s="292" t="str">
        <f t="shared" si="25"/>
        <v>FY30</v>
      </c>
      <c r="M97" s="292" t="str">
        <f t="shared" si="25"/>
        <v>FY31</v>
      </c>
      <c r="N97" s="292" t="str">
        <f t="shared" si="25"/>
        <v>FY32</v>
      </c>
      <c r="O97" s="292" t="str">
        <f t="shared" si="25"/>
        <v>FY33</v>
      </c>
      <c r="P97" s="292" t="str">
        <f t="shared" si="25"/>
        <v>FY34</v>
      </c>
      <c r="Q97" s="292" t="str">
        <f t="shared" si="25"/>
        <v>FY35</v>
      </c>
      <c r="R97" s="292" t="str">
        <f t="shared" si="25"/>
        <v>FY36</v>
      </c>
      <c r="S97" s="292" t="str">
        <f t="shared" si="25"/>
        <v>FY37</v>
      </c>
      <c r="T97" s="292" t="str">
        <f t="shared" si="25"/>
        <v>FY38</v>
      </c>
      <c r="U97" s="292" t="str">
        <f t="shared" si="25"/>
        <v>FY39</v>
      </c>
      <c r="V97" s="292" t="str">
        <f t="shared" si="25"/>
        <v>FY40</v>
      </c>
      <c r="W97" s="292" t="str">
        <f t="shared" si="25"/>
        <v>FY41</v>
      </c>
      <c r="X97" s="292" t="str">
        <f t="shared" si="25"/>
        <v>FY42</v>
      </c>
      <c r="Y97" s="292" t="str">
        <f t="shared" si="25"/>
        <v>FY43</v>
      </c>
      <c r="Z97" s="292" t="str">
        <f t="shared" si="25"/>
        <v>FY44</v>
      </c>
      <c r="AA97" s="292" t="str">
        <f t="shared" si="25"/>
        <v>FY45</v>
      </c>
      <c r="AB97" s="292" t="str">
        <f t="shared" si="25"/>
        <v>FY46</v>
      </c>
      <c r="AC97" s="292" t="str">
        <f t="shared" si="25"/>
        <v>FY47</v>
      </c>
      <c r="AD97" s="292" t="str">
        <f t="shared" si="25"/>
        <v>FY48</v>
      </c>
      <c r="AE97" s="292" t="str">
        <f t="shared" si="25"/>
        <v>FY49</v>
      </c>
      <c r="AF97" s="292" t="str">
        <f t="shared" si="25"/>
        <v>FY50</v>
      </c>
      <c r="AG97" s="292" t="str">
        <f t="shared" si="25"/>
        <v>FY51</v>
      </c>
    </row>
    <row r="98" spans="1:33" x14ac:dyDescent="0.2">
      <c r="A98" s="196" t="s">
        <v>234</v>
      </c>
      <c r="B98" s="138"/>
      <c r="C98" s="194" t="s">
        <v>123</v>
      </c>
      <c r="D98" s="188">
        <f>MAX(H98:AG98)</f>
        <v>0</v>
      </c>
      <c r="E98" s="291"/>
      <c r="F98" s="117"/>
      <c r="G98" s="118"/>
      <c r="H98" s="118" t="str">
        <f>A98&amp;" "&amp;LOWER(C98)</f>
        <v>Energy at risk energy at risk (weighted)</v>
      </c>
      <c r="I98" s="118">
        <f>INDEX('Option1 (base case)'!I$14:I$87, MATCH($C98, 'Option1 (base case)'!$C$14:$C$87,0))</f>
        <v>0</v>
      </c>
      <c r="J98" s="118">
        <f>INDEX('Option1 (base case)'!J$14:J$87, MATCH($C98, 'Option1 (base case)'!$C$14:$C$87,0))</f>
        <v>0</v>
      </c>
      <c r="K98" s="118">
        <f>INDEX('Option1 (base case)'!K$14:K$87, MATCH($C98, 'Option1 (base case)'!$C$14:$C$87,0))</f>
        <v>0</v>
      </c>
      <c r="L98" s="118">
        <f>INDEX('Option1 (base case)'!L$14:L$87, MATCH($C98, 'Option1 (base case)'!$C$14:$C$87,0))</f>
        <v>0</v>
      </c>
      <c r="M98" s="118">
        <f>INDEX('Option1 (base case)'!M$14:M$87, MATCH($C98, 'Option1 (base case)'!$C$14:$C$87,0))</f>
        <v>0</v>
      </c>
      <c r="N98" s="118">
        <f>INDEX('Option1 (base case)'!N$14:N$87, MATCH($C98, 'Option1 (base case)'!$C$14:$C$87,0))</f>
        <v>0</v>
      </c>
      <c r="O98" s="118">
        <f>INDEX('Option1 (base case)'!O$14:O$87, MATCH($C98, 'Option1 (base case)'!$C$14:$C$87,0))</f>
        <v>0</v>
      </c>
      <c r="P98" s="118">
        <f>INDEX('Option1 (base case)'!P$14:P$87, MATCH($C98, 'Option1 (base case)'!$C$14:$C$87,0))</f>
        <v>0</v>
      </c>
      <c r="Q98" s="118">
        <f>INDEX('Option1 (base case)'!Q$14:Q$87, MATCH($C98, 'Option1 (base case)'!$C$14:$C$87,0))</f>
        <v>0</v>
      </c>
      <c r="R98" s="118">
        <f>INDEX('Option1 (base case)'!R$14:R$87, MATCH($C98, 'Option1 (base case)'!$C$14:$C$87,0))</f>
        <v>0</v>
      </c>
      <c r="S98" s="118">
        <f>INDEX('Option1 (base case)'!S$14:S$87, MATCH($C98, 'Option1 (base case)'!$C$14:$C$87,0))</f>
        <v>0</v>
      </c>
      <c r="T98" s="118">
        <f>INDEX('Option1 (base case)'!T$14:T$87, MATCH($C98, 'Option1 (base case)'!$C$14:$C$87,0))</f>
        <v>0</v>
      </c>
      <c r="U98" s="118">
        <f>INDEX('Option1 (base case)'!U$14:U$87, MATCH($C98, 'Option1 (base case)'!$C$14:$C$87,0))</f>
        <v>0</v>
      </c>
      <c r="V98" s="118">
        <f>INDEX('Option1 (base case)'!V$14:V$87, MATCH($C98, 'Option1 (base case)'!$C$14:$C$87,0))</f>
        <v>0</v>
      </c>
      <c r="W98" s="118">
        <f>INDEX('Option1 (base case)'!W$14:W$87, MATCH($C98, 'Option1 (base case)'!$C$14:$C$87,0))</f>
        <v>0</v>
      </c>
      <c r="X98" s="118">
        <f>INDEX('Option1 (base case)'!X$14:X$87, MATCH($C98, 'Option1 (base case)'!$C$14:$C$87,0))</f>
        <v>0</v>
      </c>
      <c r="Y98" s="118">
        <f>INDEX('Option1 (base case)'!Y$14:Y$87, MATCH($C98, 'Option1 (base case)'!$C$14:$C$87,0))</f>
        <v>0</v>
      </c>
      <c r="Z98" s="118">
        <f>INDEX('Option1 (base case)'!Z$14:Z$87, MATCH($C98, 'Option1 (base case)'!$C$14:$C$87,0))</f>
        <v>0</v>
      </c>
      <c r="AA98" s="118">
        <f>INDEX('Option1 (base case)'!AA$14:AA$87, MATCH($C98, 'Option1 (base case)'!$C$14:$C$87,0))</f>
        <v>0</v>
      </c>
      <c r="AB98" s="118">
        <f>INDEX('Option1 (base case)'!AB$14:AB$87, MATCH($C98, 'Option1 (base case)'!$C$14:$C$87,0))</f>
        <v>0</v>
      </c>
      <c r="AC98" s="118">
        <f>INDEX('Option1 (base case)'!AC$14:AC$87, MATCH($C98, 'Option1 (base case)'!$C$14:$C$87,0))</f>
        <v>0</v>
      </c>
      <c r="AD98" s="118">
        <f>INDEX('Option1 (base case)'!AD$14:AD$87, MATCH($C98, 'Option1 (base case)'!$C$14:$C$87,0))</f>
        <v>0</v>
      </c>
      <c r="AE98" s="118">
        <f>INDEX('Option1 (base case)'!AE$14:AE$87, MATCH($C98, 'Option1 (base case)'!$C$14:$C$87,0))</f>
        <v>0</v>
      </c>
      <c r="AF98" s="118">
        <f>INDEX('Option1 (base case)'!AF$14:AF$87, MATCH($C98, 'Option1 (base case)'!$C$14:$C$87,0))</f>
        <v>0</v>
      </c>
      <c r="AG98" s="118">
        <f>INDEX('Option1 (base case)'!AG$14:AG$87, MATCH($C98, 'Option1 (base case)'!$C$14:$C$87,0))</f>
        <v>0</v>
      </c>
    </row>
    <row r="99" spans="1:33" x14ac:dyDescent="0.2">
      <c r="A99" s="195" t="str">
        <f>A23</f>
        <v>Option 1 (base case)</v>
      </c>
      <c r="B99" s="138"/>
      <c r="C99" s="195" t="s">
        <v>124</v>
      </c>
      <c r="D99" s="188">
        <f>MAX(H99:AG99)</f>
        <v>0.3304877582300505</v>
      </c>
      <c r="E99" s="291"/>
      <c r="H99" s="118" t="str">
        <f>A99&amp;" risk cost"</f>
        <v>Option 1 (base case) risk cost</v>
      </c>
      <c r="I99" s="118">
        <f>INDEX('Option1 (base case)'!I$14:I$87, MATCH($C99, 'Option1 (base case)'!$C$14:$C$87,0))/10^6</f>
        <v>0.22225696867206943</v>
      </c>
      <c r="J99" s="118">
        <f>INDEX('Option1 (base case)'!J$14:J$87, MATCH($C99, 'Option1 (base case)'!$C$14:$C$87,0))/10^6</f>
        <v>0.23062138648150995</v>
      </c>
      <c r="K99" s="118">
        <f>INDEX('Option1 (base case)'!K$14:K$87, MATCH($C99, 'Option1 (base case)'!$C$14:$C$87,0))/10^6</f>
        <v>0.2412944416617202</v>
      </c>
      <c r="L99" s="118">
        <f>INDEX('Option1 (base case)'!L$14:L$87, MATCH($C99, 'Option1 (base case)'!$C$14:$C$87,0))/10^6</f>
        <v>0.2483494867482394</v>
      </c>
      <c r="M99" s="118">
        <f>INDEX('Option1 (base case)'!M$14:M$87, MATCH($C99, 'Option1 (base case)'!$C$14:$C$87,0))/10^6</f>
        <v>0.25461495232464665</v>
      </c>
      <c r="N99" s="118">
        <f>INDEX('Option1 (base case)'!N$14:N$87, MATCH($C99, 'Option1 (base case)'!$C$14:$C$87,0))/10^6</f>
        <v>0.26309852452627286</v>
      </c>
      <c r="O99" s="118">
        <f>INDEX('Option1 (base case)'!O$14:O$87, MATCH($C99, 'Option1 (base case)'!$C$14:$C$87,0))/10^6</f>
        <v>0.27371752520323062</v>
      </c>
      <c r="P99" s="118">
        <f>INDEX('Option1 (base case)'!P$14:P$87, MATCH($C99, 'Option1 (base case)'!$C$14:$C$87,0))/10^6</f>
        <v>0.28547477105949187</v>
      </c>
      <c r="Q99" s="118">
        <f>INDEX('Option1 (base case)'!Q$14:Q$87, MATCH($C99, 'Option1 (base case)'!$C$14:$C$87,0))/10^6</f>
        <v>0.29327186350174383</v>
      </c>
      <c r="R99" s="118">
        <f>INDEX('Option1 (base case)'!R$14:R$87, MATCH($C99, 'Option1 (base case)'!$C$14:$C$87,0))/10^6</f>
        <v>0.29516898899935717</v>
      </c>
      <c r="S99" s="118">
        <f>INDEX('Option1 (base case)'!S$14:S$87, MATCH($C99, 'Option1 (base case)'!$C$14:$C$87,0))/10^6</f>
        <v>0.29703831108728324</v>
      </c>
      <c r="T99" s="118">
        <f>INDEX('Option1 (base case)'!T$14:T$87, MATCH($C99, 'Option1 (base case)'!$C$14:$C$87,0))/10^6</f>
        <v>0.29900400692623946</v>
      </c>
      <c r="U99" s="118">
        <f>INDEX('Option1 (base case)'!U$14:U$87, MATCH($C99, 'Option1 (base case)'!$C$14:$C$87,0))/10^6</f>
        <v>0.30106160501340928</v>
      </c>
      <c r="V99" s="118">
        <f>INDEX('Option1 (base case)'!V$14:V$87, MATCH($C99, 'Option1 (base case)'!$C$14:$C$87,0))/10^6</f>
        <v>0.30320607204789829</v>
      </c>
      <c r="W99" s="118">
        <f>INDEX('Option1 (base case)'!W$14:W$87, MATCH($C99, 'Option1 (base case)'!$C$14:$C$87,0))/10^6</f>
        <v>0.30543179189703062</v>
      </c>
      <c r="X99" s="118">
        <f>INDEX('Option1 (base case)'!X$14:X$87, MATCH($C99, 'Option1 (base case)'!$C$14:$C$87,0))/10^6</f>
        <v>0.30773254866703004</v>
      </c>
      <c r="Y99" s="118">
        <f>INDEX('Option1 (base case)'!Y$14:Y$87, MATCH($C99, 'Option1 (base case)'!$C$14:$C$87,0))/10^6</f>
        <v>0.3101015144519772</v>
      </c>
      <c r="Z99" s="118">
        <f>INDEX('Option1 (base case)'!Z$14:Z$87, MATCH($C99, 'Option1 (base case)'!$C$14:$C$87,0))/10^6</f>
        <v>0.31253124234548235</v>
      </c>
      <c r="AA99" s="118">
        <f>INDEX('Option1 (base case)'!AA$14:AA$87, MATCH($C99, 'Option1 (base case)'!$C$14:$C$87,0))/10^6</f>
        <v>0.31501366529962777</v>
      </c>
      <c r="AB99" s="118">
        <f>INDEX('Option1 (base case)'!AB$14:AB$87, MATCH($C99, 'Option1 (base case)'!$C$14:$C$87,0))/10^6</f>
        <v>0.31754010140380451</v>
      </c>
      <c r="AC99" s="118">
        <f>INDEX('Option1 (base case)'!AC$14:AC$87, MATCH($C99, 'Option1 (base case)'!$C$14:$C$87,0))/10^6</f>
        <v>0.32010126613060164</v>
      </c>
      <c r="AD99" s="118">
        <f>INDEX('Option1 (base case)'!AD$14:AD$87, MATCH($C99, 'Option1 (base case)'!$C$14:$C$87,0))/10^6</f>
        <v>0.32268729205551422</v>
      </c>
      <c r="AE99" s="118">
        <f>INDEX('Option1 (base case)'!AE$14:AE$87, MATCH($C99, 'Option1 (base case)'!$C$14:$C$87,0))/10^6</f>
        <v>0.32528775650075636</v>
      </c>
      <c r="AF99" s="118">
        <f>INDEX('Option1 (base case)'!AF$14:AF$87, MATCH($C99, 'Option1 (base case)'!$C$14:$C$87,0))/10^6</f>
        <v>0.32789171748001572</v>
      </c>
      <c r="AG99" s="118">
        <f>INDEX('Option1 (base case)'!AG$14:AG$87, MATCH($C99, 'Option1 (base case)'!$C$14:$C$87,0))/10^6</f>
        <v>0.3304877582300505</v>
      </c>
    </row>
    <row r="100" spans="1:33" ht="12" x14ac:dyDescent="0.2">
      <c r="E100" s="10"/>
    </row>
    <row r="101" spans="1:33" s="293" customFormat="1" ht="12" x14ac:dyDescent="0.2"/>
    <row r="102" spans="1:33" ht="12" x14ac:dyDescent="0.2">
      <c r="E102" s="10"/>
    </row>
    <row r="103" spans="1:33" ht="12" x14ac:dyDescent="0.2">
      <c r="E103" s="10"/>
      <c r="I103" s="293"/>
    </row>
    <row r="104" spans="1:33" ht="12" x14ac:dyDescent="0.2">
      <c r="E104" s="10"/>
      <c r="H104" s="148"/>
    </row>
    <row r="105" spans="1:33" ht="12" x14ac:dyDescent="0.2">
      <c r="E105" s="10"/>
      <c r="H105" s="148"/>
    </row>
    <row r="106" spans="1:33" ht="12" x14ac:dyDescent="0.2">
      <c r="D106" s="188"/>
      <c r="E106" s="10"/>
    </row>
    <row r="107" spans="1:33" ht="12" x14ac:dyDescent="0.2">
      <c r="D107" s="188"/>
      <c r="E107" s="10"/>
    </row>
    <row r="108" spans="1:33" ht="12" x14ac:dyDescent="0.2">
      <c r="D108" s="188"/>
      <c r="E108" s="84"/>
    </row>
    <row r="109" spans="1:33" ht="12" x14ac:dyDescent="0.2">
      <c r="C109" s="123"/>
      <c r="D109" s="188"/>
      <c r="E109" s="188"/>
    </row>
    <row r="110" spans="1:33" ht="12" x14ac:dyDescent="0.2">
      <c r="D110" s="188"/>
      <c r="E110" s="84"/>
    </row>
    <row r="111" spans="1:33" ht="12" x14ac:dyDescent="0.2">
      <c r="D111" s="188"/>
      <c r="E111" s="84"/>
    </row>
    <row r="112" spans="1:33" ht="12" x14ac:dyDescent="0.2">
      <c r="D112" s="188"/>
      <c r="E112" s="84"/>
    </row>
    <row r="113" spans="4:5" ht="12" x14ac:dyDescent="0.2">
      <c r="D113" s="188"/>
      <c r="E113" s="84"/>
    </row>
    <row r="114" spans="4:5" ht="12" x14ac:dyDescent="0.2">
      <c r="D114" s="188"/>
      <c r="E114" s="84"/>
    </row>
    <row r="115" spans="4:5" ht="12" x14ac:dyDescent="0.2">
      <c r="D115" s="188"/>
      <c r="E115" s="84"/>
    </row>
    <row r="116" spans="4:5" ht="12" x14ac:dyDescent="0.2">
      <c r="D116" s="188"/>
      <c r="E116" s="84"/>
    </row>
    <row r="117" spans="4:5" ht="12" x14ac:dyDescent="0.2">
      <c r="D117" s="188"/>
      <c r="E117" s="84"/>
    </row>
    <row r="118" spans="4:5" ht="12" x14ac:dyDescent="0.2">
      <c r="D118" s="188"/>
      <c r="E118" s="84"/>
    </row>
    <row r="119" spans="4:5" ht="12" x14ac:dyDescent="0.2">
      <c r="D119" s="188"/>
      <c r="E119" s="84"/>
    </row>
    <row r="120" spans="4:5" ht="12" x14ac:dyDescent="0.2">
      <c r="D120" s="188"/>
      <c r="E120" s="84"/>
    </row>
    <row r="121" spans="4:5" ht="12" x14ac:dyDescent="0.2">
      <c r="D121" s="188"/>
      <c r="E121" s="84"/>
    </row>
    <row r="122" spans="4:5" ht="12" x14ac:dyDescent="0.2">
      <c r="D122" s="188"/>
      <c r="E122" s="84"/>
    </row>
    <row r="123" spans="4:5" ht="12" x14ac:dyDescent="0.2">
      <c r="D123" s="188"/>
      <c r="E123" s="84"/>
    </row>
    <row r="124" spans="4:5" ht="12" x14ac:dyDescent="0.2">
      <c r="D124" s="188"/>
      <c r="E124" s="84"/>
    </row>
    <row r="125" spans="4:5" ht="12" x14ac:dyDescent="0.2">
      <c r="D125" s="188"/>
      <c r="E125" s="84"/>
    </row>
    <row r="126" spans="4:5" ht="12" x14ac:dyDescent="0.2">
      <c r="D126" s="188"/>
      <c r="E126" s="84"/>
    </row>
    <row r="127" spans="4:5" ht="12" x14ac:dyDescent="0.2">
      <c r="D127" s="188"/>
      <c r="E127" s="84"/>
    </row>
    <row r="128" spans="4:5" ht="12" x14ac:dyDescent="0.2">
      <c r="D128" s="188"/>
      <c r="E128" s="84"/>
    </row>
    <row r="129" spans="4:5" ht="12" x14ac:dyDescent="0.2">
      <c r="D129" s="188"/>
      <c r="E129" s="84"/>
    </row>
    <row r="130" spans="4:5" ht="12" x14ac:dyDescent="0.2">
      <c r="D130" s="188"/>
      <c r="E130" s="84"/>
    </row>
    <row r="131" spans="4:5" ht="12" x14ac:dyDescent="0.2">
      <c r="D131" s="188"/>
      <c r="E131" s="84"/>
    </row>
    <row r="132" spans="4:5" ht="12" x14ac:dyDescent="0.2">
      <c r="D132" s="188"/>
      <c r="E132" s="84"/>
    </row>
    <row r="133" spans="4:5" ht="12" x14ac:dyDescent="0.2">
      <c r="D133" s="188"/>
      <c r="E133" s="84"/>
    </row>
    <row r="134" spans="4:5" ht="12" x14ac:dyDescent="0.2">
      <c r="D134" s="188"/>
      <c r="E134" s="84"/>
    </row>
    <row r="135" spans="4:5" ht="12" x14ac:dyDescent="0.2">
      <c r="D135" s="188"/>
      <c r="E135" s="84"/>
    </row>
    <row r="136" spans="4:5" ht="12" x14ac:dyDescent="0.2">
      <c r="D136" s="188"/>
      <c r="E136" s="84"/>
    </row>
    <row r="137" spans="4:5" ht="12" x14ac:dyDescent="0.2">
      <c r="D137" s="188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EW switchboard and relay replacement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1" t="s">
        <v>222</v>
      </c>
      <c r="B3" s="5"/>
      <c r="D3" s="34"/>
      <c r="E3" s="34"/>
      <c r="F3" s="34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</row>
    <row r="4" spans="1:33" s="2" customFormat="1" ht="6.75" customHeight="1" x14ac:dyDescent="0.2">
      <c r="A4" s="114"/>
      <c r="B4" s="114"/>
      <c r="D4" s="115"/>
      <c r="E4" s="115"/>
      <c r="F4" s="115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</row>
    <row r="5" spans="1:33" s="2" customFormat="1" hidden="1" outlineLevel="1" x14ac:dyDescent="0.2">
      <c r="A5" s="115" t="s">
        <v>194</v>
      </c>
      <c r="B5" s="115"/>
      <c r="D5" s="116"/>
      <c r="E5" s="115"/>
      <c r="F5" s="115"/>
      <c r="G5" s="100"/>
      <c r="H5" s="186">
        <f>Consol!H5</f>
        <v>0</v>
      </c>
      <c r="I5" s="186">
        <f>Consol!I5</f>
        <v>0.98294637436598087</v>
      </c>
      <c r="J5" s="186">
        <f>Consol!J5</f>
        <v>0.94970664189949849</v>
      </c>
      <c r="K5" s="186">
        <f>Consol!K5</f>
        <v>0.91759095835700344</v>
      </c>
      <c r="L5" s="186">
        <f>Consol!L5</f>
        <v>0.88656131242222558</v>
      </c>
      <c r="M5" s="186">
        <f>Consol!M5</f>
        <v>0.85658097818572532</v>
      </c>
      <c r="N5" s="186">
        <f>Consol!N5</f>
        <v>0.8276144716770294</v>
      </c>
      <c r="O5" s="186">
        <f>Consol!O5</f>
        <v>0.79962750886669509</v>
      </c>
      <c r="P5" s="186">
        <f>Consol!P5</f>
        <v>0.77258696508859437</v>
      </c>
      <c r="Q5" s="186">
        <f>Consol!Q5</f>
        <v>0.74646083583439071</v>
      </c>
      <c r="R5" s="186">
        <f>Consol!R5</f>
        <v>0.72121819887380756</v>
      </c>
      <c r="S5" s="186">
        <f>Consol!S5</f>
        <v>0.69682917765585273</v>
      </c>
      <c r="T5" s="186">
        <f>Consol!T5</f>
        <v>0.67326490594768384</v>
      </c>
      <c r="U5" s="186">
        <f>Consol!U5</f>
        <v>0.6504974936692598</v>
      </c>
      <c r="V5" s="186">
        <f>Consol!V5</f>
        <v>0.62849999388334288</v>
      </c>
      <c r="W5" s="186">
        <f>Consol!W5</f>
        <v>0.60724637090178057</v>
      </c>
      <c r="X5" s="186">
        <f>Consol!X5</f>
        <v>0.58671146947031949</v>
      </c>
      <c r="Y5" s="186">
        <f>Consol!Y5</f>
        <v>0.56687098499547783</v>
      </c>
      <c r="Z5" s="186">
        <f>Consol!Z5</f>
        <v>0.54770143477823952</v>
      </c>
      <c r="AA5" s="186">
        <f>Consol!AA5</f>
        <v>0.52918013022052135</v>
      </c>
      <c r="AB5" s="186">
        <f>Consol!AB5</f>
        <v>0.5112851499715183</v>
      </c>
      <c r="AC5" s="186">
        <f>Consol!AC5</f>
        <v>0.4939953139821433</v>
      </c>
      <c r="AD5" s="186">
        <f>Consol!AD5</f>
        <v>0.47729015843685346</v>
      </c>
      <c r="AE5" s="186">
        <f>Consol!AE5</f>
        <v>0.46114991153319179</v>
      </c>
      <c r="AF5" s="186">
        <f>Consol!AF5</f>
        <v>0.4455554700803786</v>
      </c>
      <c r="AG5" s="186">
        <f>Consol!AG5</f>
        <v>0.43048837688925473</v>
      </c>
    </row>
    <row r="6" spans="1:33" s="2" customFormat="1" hidden="1" outlineLevel="1" x14ac:dyDescent="0.2">
      <c r="A6" s="187" t="str">
        <f>'Option1 (base case)'!A6</f>
        <v>Count</v>
      </c>
      <c r="B6" s="115"/>
      <c r="D6" s="116"/>
      <c r="E6" s="115"/>
      <c r="F6" s="115"/>
      <c r="G6" s="100"/>
      <c r="H6" s="187">
        <f>Consol!H6</f>
        <v>0</v>
      </c>
      <c r="I6" s="187">
        <f>Consol!I6</f>
        <v>1</v>
      </c>
      <c r="J6" s="187">
        <f>Consol!J6</f>
        <v>2</v>
      </c>
      <c r="K6" s="187">
        <f>Consol!K6</f>
        <v>3</v>
      </c>
      <c r="L6" s="187">
        <f>Consol!L6</f>
        <v>4</v>
      </c>
      <c r="M6" s="187">
        <f>Consol!M6</f>
        <v>5</v>
      </c>
      <c r="N6" s="187">
        <f>Consol!N6</f>
        <v>6</v>
      </c>
      <c r="O6" s="187">
        <f>Consol!O6</f>
        <v>7</v>
      </c>
      <c r="P6" s="187">
        <f>Consol!P6</f>
        <v>8</v>
      </c>
      <c r="Q6" s="187">
        <f>Consol!Q6</f>
        <v>9</v>
      </c>
      <c r="R6" s="187">
        <f>Consol!R6</f>
        <v>10</v>
      </c>
      <c r="S6" s="187">
        <f>Consol!S6</f>
        <v>11</v>
      </c>
      <c r="T6" s="187">
        <f>Consol!T6</f>
        <v>12</v>
      </c>
      <c r="U6" s="187">
        <f>Consol!U6</f>
        <v>13</v>
      </c>
      <c r="V6" s="187">
        <f>Consol!V6</f>
        <v>14</v>
      </c>
      <c r="W6" s="187">
        <f>Consol!W6</f>
        <v>15</v>
      </c>
      <c r="X6" s="187">
        <f>Consol!X6</f>
        <v>16</v>
      </c>
      <c r="Y6" s="187">
        <f>Consol!Y6</f>
        <v>17</v>
      </c>
      <c r="Z6" s="187">
        <f>Consol!Z6</f>
        <v>18</v>
      </c>
      <c r="AA6" s="187">
        <f>Consol!AA6</f>
        <v>19</v>
      </c>
      <c r="AB6" s="187">
        <f>Consol!AB6</f>
        <v>20</v>
      </c>
      <c r="AC6" s="187">
        <f>Consol!AC6</f>
        <v>21</v>
      </c>
      <c r="AD6" s="187">
        <f>Consol!AD6</f>
        <v>22</v>
      </c>
      <c r="AE6" s="187">
        <f>Consol!AE6</f>
        <v>23</v>
      </c>
      <c r="AF6" s="187">
        <f>Consol!AF6</f>
        <v>24</v>
      </c>
      <c r="AG6" s="187">
        <f>Consol!AG6</f>
        <v>25</v>
      </c>
    </row>
    <row r="7" spans="1:33" s="2" customFormat="1" hidden="1" outlineLevel="1" x14ac:dyDescent="0.2">
      <c r="A7" s="115" t="s">
        <v>195</v>
      </c>
      <c r="B7" s="115"/>
      <c r="D7" s="116"/>
      <c r="E7" s="115"/>
      <c r="F7" s="115"/>
      <c r="G7" s="100"/>
      <c r="H7" s="253" t="b">
        <f>Consol!H7</f>
        <v>1</v>
      </c>
      <c r="I7" s="253" t="b">
        <f>Consol!I7</f>
        <v>1</v>
      </c>
      <c r="J7" s="253" t="b">
        <f>Consol!J7</f>
        <v>1</v>
      </c>
      <c r="K7" s="253" t="b">
        <f>Consol!K7</f>
        <v>1</v>
      </c>
      <c r="L7" s="253" t="b">
        <f>Consol!L7</f>
        <v>1</v>
      </c>
      <c r="M7" s="253" t="b">
        <f>Consol!M7</f>
        <v>1</v>
      </c>
      <c r="N7" s="253" t="b">
        <f>Consol!N7</f>
        <v>1</v>
      </c>
      <c r="O7" s="253" t="b">
        <f>Consol!O7</f>
        <v>1</v>
      </c>
      <c r="P7" s="253" t="b">
        <f>Consol!P7</f>
        <v>1</v>
      </c>
      <c r="Q7" s="253" t="b">
        <f>Consol!Q7</f>
        <v>1</v>
      </c>
      <c r="R7" s="253" t="b">
        <f>Consol!R7</f>
        <v>1</v>
      </c>
      <c r="S7" s="253" t="b">
        <f>Consol!S7</f>
        <v>1</v>
      </c>
      <c r="T7" s="253" t="b">
        <f>Consol!T7</f>
        <v>1</v>
      </c>
      <c r="U7" s="253" t="b">
        <f>Consol!U7</f>
        <v>1</v>
      </c>
      <c r="V7" s="253" t="b">
        <f>Consol!V7</f>
        <v>1</v>
      </c>
      <c r="W7" s="253" t="b">
        <f>Consol!W7</f>
        <v>1</v>
      </c>
      <c r="X7" s="253" t="b">
        <f>Consol!X7</f>
        <v>1</v>
      </c>
      <c r="Y7" s="253" t="b">
        <f>Consol!Y7</f>
        <v>1</v>
      </c>
      <c r="Z7" s="253" t="b">
        <f>Consol!Z7</f>
        <v>1</v>
      </c>
      <c r="AA7" s="253" t="b">
        <f>Consol!AA7</f>
        <v>1</v>
      </c>
      <c r="AB7" s="253" t="b">
        <f>Consol!AB7</f>
        <v>1</v>
      </c>
      <c r="AC7" s="253" t="b">
        <f>Consol!AC7</f>
        <v>0</v>
      </c>
      <c r="AD7" s="253" t="b">
        <f>Consol!AD7</f>
        <v>0</v>
      </c>
      <c r="AE7" s="253" t="b">
        <f>Consol!AE7</f>
        <v>0</v>
      </c>
      <c r="AF7" s="253" t="b">
        <f>Consol!AF7</f>
        <v>0</v>
      </c>
      <c r="AG7" s="253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7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7"/>
      <c r="E10" s="117"/>
      <c r="G10" s="219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</row>
    <row r="11" spans="1:33" s="2" customFormat="1" ht="15" x14ac:dyDescent="0.2">
      <c r="A11" s="119"/>
      <c r="B11" s="119"/>
      <c r="C11" s="119"/>
      <c r="D11" s="120"/>
      <c r="E11" s="120"/>
      <c r="F11" s="70" t="s">
        <v>153</v>
      </c>
      <c r="G11" s="220"/>
      <c r="H11" s="121" t="str" cm="1">
        <f t="array" ref="H11">IF(H6=$D$4,UPPER($A$4),IF(H6=end, "END", ""))</f>
        <v/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</row>
    <row r="12" spans="1:33" s="7" customFormat="1" x14ac:dyDescent="0.2">
      <c r="A12" s="243"/>
      <c r="B12" s="243"/>
      <c r="C12" s="243"/>
      <c r="D12" s="243"/>
      <c r="E12" s="243"/>
      <c r="F12" s="243"/>
      <c r="G12" s="244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90000.801815974584</v>
      </c>
      <c r="AA12" s="31">
        <f>Consol!AB36</f>
        <v>91081.373042527004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4"/>
    </row>
    <row r="13" spans="1:33" s="7" customFormat="1" x14ac:dyDescent="0.2">
      <c r="A13" s="243"/>
      <c r="B13" s="243"/>
      <c r="C13" s="243"/>
      <c r="D13" s="243"/>
      <c r="E13" s="243"/>
      <c r="F13" s="243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</row>
    <row r="14" spans="1:33" s="7" customFormat="1" x14ac:dyDescent="0.2">
      <c r="A14" s="251" t="s">
        <v>142</v>
      </c>
      <c r="B14" s="251" t="s">
        <v>119</v>
      </c>
      <c r="C14" s="251" t="s">
        <v>188</v>
      </c>
      <c r="D14" s="251" t="str">
        <f>A14&amp;B14</f>
        <v>OPTION 1 (base case)NPV</v>
      </c>
      <c r="E14" s="252"/>
      <c r="F14" s="31">
        <f>SUMPRODUCT($H14:$AG14, $H$5:$AG$5)</f>
        <v>0</v>
      </c>
      <c r="G14" s="244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3"/>
      <c r="B15" s="243"/>
      <c r="C15" s="243"/>
      <c r="D15" s="243"/>
      <c r="E15" s="243"/>
      <c r="F15" s="243"/>
      <c r="G15" s="244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1" t="s">
        <v>142</v>
      </c>
      <c r="B16" s="251" t="str">
        <f>'Option1 (base case)'!A110</f>
        <v>sens1</v>
      </c>
      <c r="C16" s="251" t="str">
        <f>'Option1 (base case)'!C110</f>
        <v>Capex 10% higher</v>
      </c>
      <c r="D16" s="251" t="str">
        <f t="shared" ref="D16:D23" si="0">A16&amp;B16</f>
        <v>OPTION 1 (base case)sens1</v>
      </c>
      <c r="E16" s="252"/>
      <c r="F16" s="31">
        <f>SUMPRODUCT($H16:$AG16, $H$5:$AG$5)</f>
        <v>0</v>
      </c>
      <c r="G16" s="244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1" t="s">
        <v>142</v>
      </c>
      <c r="B17" s="251" t="str">
        <f>'Option1 (base case)'!A111</f>
        <v>sens2</v>
      </c>
      <c r="C17" s="251" t="str">
        <f>'Option1 (base case)'!C111</f>
        <v>Capex 10% lower</v>
      </c>
      <c r="D17" s="251" t="str">
        <f t="shared" si="0"/>
        <v>OPTION 1 (base case)sens2</v>
      </c>
      <c r="E17" s="252"/>
      <c r="F17" s="31">
        <f t="shared" ref="F17:F23" si="1">SUMPRODUCT($H17:$AG17, $H$5:$AG$5)</f>
        <v>0</v>
      </c>
      <c r="G17" s="251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1" t="s">
        <v>142</v>
      </c>
      <c r="B18" s="251" t="str">
        <f>'Option1 (base case)'!A112</f>
        <v>sens3</v>
      </c>
      <c r="C18" s="251" t="str">
        <f>'Option1 (base case)'!C112</f>
        <v>Total benefits 10% higher</v>
      </c>
      <c r="D18" s="251" t="str">
        <f t="shared" si="0"/>
        <v>OPTION 1 (base case)sens3</v>
      </c>
      <c r="E18" s="252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1" t="s">
        <v>142</v>
      </c>
      <c r="B19" s="251" t="str">
        <f>'Option1 (base case)'!A113</f>
        <v>sens4</v>
      </c>
      <c r="C19" s="251" t="str">
        <f>'Option1 (base case)'!C113</f>
        <v>Total benefits 10% lower</v>
      </c>
      <c r="D19" s="251" t="str">
        <f t="shared" si="0"/>
        <v>OPTION 1 (base case)sens4</v>
      </c>
      <c r="E19" s="252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1" t="s">
        <v>142</v>
      </c>
      <c r="B20" s="251" t="str">
        <f>'Option1 (base case)'!A114</f>
        <v>sens5</v>
      </c>
      <c r="C20" s="251" t="str">
        <f>'Option1 (base case)'!C114</f>
        <v>Capex 10% higher &amp; Total benefits 10% lower</v>
      </c>
      <c r="D20" s="251" t="str">
        <f t="shared" si="0"/>
        <v>OPTION 1 (base case)sens5</v>
      </c>
      <c r="E20" s="252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1" t="s">
        <v>142</v>
      </c>
      <c r="B21" s="251" t="str">
        <f>'Option1 (base case)'!A115</f>
        <v>sens</v>
      </c>
      <c r="C21" s="251">
        <f>'Option1 (base case)'!C115</f>
        <v>0</v>
      </c>
      <c r="D21" s="251" t="str">
        <f t="shared" si="0"/>
        <v>OPTION 1 (base case)sens</v>
      </c>
      <c r="E21" s="252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1" t="s">
        <v>142</v>
      </c>
      <c r="B22" s="251" t="str">
        <f>'Option1 (base case)'!A116</f>
        <v>sens</v>
      </c>
      <c r="C22" s="251">
        <f>'Option1 (base case)'!C116</f>
        <v>0</v>
      </c>
      <c r="D22" s="251" t="str">
        <f t="shared" si="0"/>
        <v>OPTION 1 (base case)sens</v>
      </c>
      <c r="E22" s="252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1" t="s">
        <v>142</v>
      </c>
      <c r="B23" s="251" t="str">
        <f>'Option1 (base case)'!A117</f>
        <v>sens</v>
      </c>
      <c r="C23" s="251">
        <f>'Option1 (base case)'!C117</f>
        <v>0</v>
      </c>
      <c r="D23" s="251" t="str">
        <f t="shared" si="0"/>
        <v>OPTION 1 (base case)sens</v>
      </c>
      <c r="E23" s="252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3"/>
      <c r="B24" s="243"/>
      <c r="C24" s="243"/>
      <c r="D24" s="243"/>
      <c r="E24" s="243"/>
      <c r="F24" s="243"/>
      <c r="G24" s="244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3"/>
      <c r="B25" s="243"/>
      <c r="C25" s="243"/>
      <c r="D25" s="243"/>
      <c r="E25" s="243"/>
      <c r="F25" s="243"/>
      <c r="G25" s="244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3"/>
      <c r="B26" s="243"/>
      <c r="C26" s="243"/>
      <c r="D26" s="243"/>
      <c r="E26" s="243"/>
      <c r="F26" s="243"/>
      <c r="G26" s="244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3"/>
      <c r="B27" s="243"/>
      <c r="C27" s="243"/>
      <c r="D27" s="243"/>
      <c r="E27" s="243"/>
      <c r="F27" s="243"/>
      <c r="G27" s="2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1" t="s">
        <v>131</v>
      </c>
      <c r="B28" s="251" t="s">
        <v>119</v>
      </c>
      <c r="C28" s="251" t="s">
        <v>188</v>
      </c>
      <c r="D28" s="251" t="str">
        <f>A28&amp;B28</f>
        <v>Option 2NPV</v>
      </c>
      <c r="E28" s="252"/>
      <c r="F28" s="31">
        <f>SUMPRODUCT($H28:$AG28, $H$5:$AG$5)</f>
        <v>671555.08348925796</v>
      </c>
      <c r="G28" s="244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-189146.33583161101</v>
      </c>
      <c r="K28" s="31">
        <f>(INDEX(Option2!K$106:K$117, MATCH($D28, Option2!$G$106:$G$117,0)))*conv_2026*K$7</f>
        <v>25197.169808192903</v>
      </c>
      <c r="L28" s="31">
        <f>(INDEX(Option2!L$106:L$117, MATCH($D28, Option2!$G$106:$G$117,0)))*conv_2026*L$7</f>
        <v>32527.629330250918</v>
      </c>
      <c r="M28" s="31">
        <f>(INDEX(Option2!M$106:M$117, MATCH($D28, Option2!$G$106:$G$117,0)))*conv_2026*M$7</f>
        <v>38987.694977265302</v>
      </c>
      <c r="N28" s="31">
        <f>(INDEX(Option2!N$106:N$117, MATCH($D28, Option2!$G$106:$G$117,0)))*conv_2026*N$7</f>
        <v>47520.558785541594</v>
      </c>
      <c r="O28" s="31">
        <f>(INDEX(Option2!O$106:O$117, MATCH($D28, Option2!$G$106:$G$117,0)))*conv_2026*O$7</f>
        <v>58052.969285574574</v>
      </c>
      <c r="P28" s="31">
        <f>(INDEX(Option2!P$106:P$117, MATCH($D28, Option2!$G$106:$G$117,0)))*conv_2026*P$7</f>
        <v>69604.489360721534</v>
      </c>
      <c r="Q28" s="31">
        <f>(INDEX(Option2!Q$106:Q$117, MATCH($D28, Option2!$G$106:$G$117,0)))*conv_2026*Q$7</f>
        <v>77122.242518694053</v>
      </c>
      <c r="R28" s="31">
        <f>(INDEX(Option2!R$106:R$117, MATCH($D28, Option2!$G$106:$G$117,0)))*conv_2026*R$7</f>
        <v>78678.413305041773</v>
      </c>
      <c r="S28" s="31">
        <f>(INDEX(Option2!S$106:S$117, MATCH($D28, Option2!$G$106:$G$117,0)))*conv_2026*S$7</f>
        <v>79979.569594293236</v>
      </c>
      <c r="T28" s="31">
        <f>(INDEX(Option2!T$106:T$117, MATCH($D28, Option2!$G$106:$G$117,0)))*conv_2026*T$7</f>
        <v>81295.525267160992</v>
      </c>
      <c r="U28" s="31">
        <f>(INDEX(Option2!U$106:U$117, MATCH($D28, Option2!$G$106:$G$117,0)))*conv_2026*U$7</f>
        <v>82585.157273847246</v>
      </c>
      <c r="V28" s="31">
        <f>(INDEX(Option2!V$106:V$117, MATCH($D28, Option2!$G$106:$G$117,0)))*conv_2026*V$7</f>
        <v>83917.60246659597</v>
      </c>
      <c r="W28" s="31">
        <f>(INDEX(Option2!W$106:W$117, MATCH($D28, Option2!$G$106:$G$117,0)))*conv_2026*W$7</f>
        <v>85216.016506994201</v>
      </c>
      <c r="X28" s="31">
        <f>(INDEX(Option2!X$106:X$117, MATCH($D28, Option2!$G$106:$G$117,0)))*conv_2026*X$7</f>
        <v>86476.703300148933</v>
      </c>
      <c r="Y28" s="31">
        <f>(INDEX(Option2!Y$106:Y$117, MATCH($D28, Option2!$G$106:$G$117,0)))*conv_2026*Y$7</f>
        <v>87696.289114312414</v>
      </c>
      <c r="Z28" s="31">
        <f>(INDEX(Option2!Z$106:Z$117, MATCH($D28, Option2!$G$106:$G$117,0)))*conv_2026*Z$7</f>
        <v>88871.810839118072</v>
      </c>
      <c r="AA28" s="31">
        <f>(INDEX(Option2!AA$106:AA$117, MATCH($D28, Option2!$G$106:$G$117,0)))*conv_2026*AA$7</f>
        <v>90000.80181597457</v>
      </c>
      <c r="AB28" s="31">
        <f>(INDEX(Option2!AB$106:AB$117, MATCH($D28, Option2!$G$106:$G$117,0)))*conv_2026*AB$7</f>
        <v>91081.373042527019</v>
      </c>
      <c r="AC28" s="31">
        <f>(INDEX(Option2!AC$106:AC$117, MATCH($D28, Option2!$G$106:$G$117,0)))*conv_2026*AC$7</f>
        <v>0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3"/>
      <c r="B29" s="243"/>
      <c r="C29" s="243"/>
      <c r="D29" s="243"/>
      <c r="E29" s="243"/>
      <c r="F29" s="243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</row>
    <row r="30" spans="1:35" s="7" customFormat="1" x14ac:dyDescent="0.2">
      <c r="A30" s="251" t="s">
        <v>131</v>
      </c>
      <c r="B30" s="251" t="str">
        <f>Option2!A110</f>
        <v>sens1</v>
      </c>
      <c r="C30" s="251" t="str">
        <f>Option2!C110</f>
        <v>Capex 10% higher</v>
      </c>
      <c r="D30" s="251" t="str">
        <f t="shared" ref="D30:D37" si="2">A30&amp;B30</f>
        <v>Option 2sens1</v>
      </c>
      <c r="E30" s="252"/>
      <c r="F30" s="31">
        <f>SUMPRODUCT($H30:$AG30, $H$5:$AG$5)</f>
        <v>298195.36428335204</v>
      </c>
      <c r="G30" s="244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-208060.96941477209</v>
      </c>
      <c r="K30" s="31">
        <f>IF($B30=0,0, (INDEX(Option2!K$106:K$117, MATCH($D30, Option2!$G$106:$G$117,0)))*conv_2026*K$7)</f>
        <v>-3174.7805665487481</v>
      </c>
      <c r="L30" s="31">
        <f>IF($B30=0,0, (INDEX(Option2!L$106:L$117, MATCH($D30, Option2!$G$106:$G$117,0)))*conv_2026*L$7)</f>
        <v>4155.6789555092673</v>
      </c>
      <c r="M30" s="31">
        <f>IF($B30=0,0, (INDEX(Option2!M$106:M$117, MATCH($D30, Option2!$G$106:$G$117,0)))*conv_2026*M$7)</f>
        <v>10615.74460252365</v>
      </c>
      <c r="N30" s="31">
        <f>IF($B30=0,0, (INDEX(Option2!N$106:N$117, MATCH($D30, Option2!$G$106:$G$117,0)))*conv_2026*N$7)</f>
        <v>19148.608410799941</v>
      </c>
      <c r="O30" s="31">
        <f>IF($B30=0,0, (INDEX(Option2!O$106:O$117, MATCH($D30, Option2!$G$106:$G$117,0)))*conv_2026*O$7)</f>
        <v>29681.018910832921</v>
      </c>
      <c r="P30" s="31">
        <f>IF($B30=0,0, (INDEX(Option2!P$106:P$117, MATCH($D30, Option2!$G$106:$G$117,0)))*conv_2026*P$7)</f>
        <v>41232.538985979874</v>
      </c>
      <c r="Q30" s="31">
        <f>IF($B30=0,0, (INDEX(Option2!Q$106:Q$117, MATCH($D30, Option2!$G$106:$G$117,0)))*conv_2026*Q$7)</f>
        <v>48750.2921439524</v>
      </c>
      <c r="R30" s="31">
        <f>IF($B30=0,0, (INDEX(Option2!R$106:R$117, MATCH($D30, Option2!$G$106:$G$117,0)))*conv_2026*R$7)</f>
        <v>50306.46293030012</v>
      </c>
      <c r="S30" s="31">
        <f>IF($B30=0,0, (INDEX(Option2!S$106:S$117, MATCH($D30, Option2!$G$106:$G$117,0)))*conv_2026*S$7)</f>
        <v>51607.619219551583</v>
      </c>
      <c r="T30" s="31">
        <f>IF($B30=0,0, (INDEX(Option2!T$106:T$117, MATCH($D30, Option2!$G$106:$G$117,0)))*conv_2026*T$7)</f>
        <v>52923.574892419332</v>
      </c>
      <c r="U30" s="31">
        <f>IF($B30=0,0, (INDEX(Option2!U$106:U$117, MATCH($D30, Option2!$G$106:$G$117,0)))*conv_2026*U$7)</f>
        <v>54213.206899105586</v>
      </c>
      <c r="V30" s="31">
        <f>IF($B30=0,0, (INDEX(Option2!V$106:V$117, MATCH($D30, Option2!$G$106:$G$117,0)))*conv_2026*V$7)</f>
        <v>55545.65209185431</v>
      </c>
      <c r="W30" s="31">
        <f>IF($B30=0,0, (INDEX(Option2!W$106:W$117, MATCH($D30, Option2!$G$106:$G$117,0)))*conv_2026*W$7)</f>
        <v>56844.066132252548</v>
      </c>
      <c r="X30" s="31">
        <f>IF($B30=0,0, (INDEX(Option2!X$106:X$117, MATCH($D30, Option2!$G$106:$G$117,0)))*conv_2026*X$7)</f>
        <v>58104.75292540728</v>
      </c>
      <c r="Y30" s="31">
        <f>IF($B30=0,0, (INDEX(Option2!Y$106:Y$117, MATCH($D30, Option2!$G$106:$G$117,0)))*conv_2026*Y$7)</f>
        <v>59324.338739570754</v>
      </c>
      <c r="Z30" s="31">
        <f>IF($B30=0,0, (INDEX(Option2!Z$106:Z$117, MATCH($D30, Option2!$G$106:$G$117,0)))*conv_2026*Z$7)</f>
        <v>60499.860464376419</v>
      </c>
      <c r="AA30" s="31">
        <f>IF($B30=0,0, (INDEX(Option2!AA$106:AA$117, MATCH($D30, Option2!$G$106:$G$117,0)))*conv_2026*AA$7)</f>
        <v>61628.85144123291</v>
      </c>
      <c r="AB30" s="31">
        <f>IF($B30=0,0, (INDEX(Option2!AB$106:AB$117, MATCH($D30, Option2!$G$106:$G$117,0)))*conv_2026*AB$7)</f>
        <v>62709.422667785358</v>
      </c>
      <c r="AC30" s="31">
        <f>IF($B30=0,0, (INDEX(Option2!AC$106:AC$117, MATCH($D30, Option2!$G$106:$G$117,0)))*conv_2026*AC$7)</f>
        <v>0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1" t="s">
        <v>131</v>
      </c>
      <c r="B31" s="251" t="str">
        <f>Option2!A111</f>
        <v>sens2</v>
      </c>
      <c r="C31" s="251" t="str">
        <f>Option2!C111</f>
        <v>Capex 10% lower</v>
      </c>
      <c r="D31" s="251" t="str">
        <f t="shared" si="2"/>
        <v>Option 2sens2</v>
      </c>
      <c r="E31" s="252"/>
      <c r="F31" s="31">
        <f t="shared" ref="F31:F37" si="3">SUMPRODUCT($H31:$AG31, $H$5:$AG$5)</f>
        <v>1044914.8026951636</v>
      </c>
      <c r="G31" s="251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-170231.7022484499</v>
      </c>
      <c r="K31" s="31">
        <f>IF($B31=0,0, (INDEX(Option2!K$106:K$117, MATCH($D31, Option2!$G$106:$G$117,0)))*conv_2026*K$7)</f>
        <v>53569.120182934559</v>
      </c>
      <c r="L31" s="31">
        <f>IF($B31=0,0, (INDEX(Option2!L$106:L$117, MATCH($D31, Option2!$G$106:$G$117,0)))*conv_2026*L$7)</f>
        <v>60899.579704992575</v>
      </c>
      <c r="M31" s="31">
        <f>IF($B31=0,0, (INDEX(Option2!M$106:M$117, MATCH($D31, Option2!$G$106:$G$117,0)))*conv_2026*M$7)</f>
        <v>67359.645352006963</v>
      </c>
      <c r="N31" s="31">
        <f>IF($B31=0,0, (INDEX(Option2!N$106:N$117, MATCH($D31, Option2!$G$106:$G$117,0)))*conv_2026*N$7)</f>
        <v>75892.509160283254</v>
      </c>
      <c r="O31" s="31">
        <f>IF($B31=0,0, (INDEX(Option2!O$106:O$117, MATCH($D31, Option2!$G$106:$G$117,0)))*conv_2026*O$7)</f>
        <v>86424.919660316227</v>
      </c>
      <c r="P31" s="31">
        <f>IF($B31=0,0, (INDEX(Option2!P$106:P$117, MATCH($D31, Option2!$G$106:$G$117,0)))*conv_2026*P$7)</f>
        <v>97976.439735463195</v>
      </c>
      <c r="Q31" s="31">
        <f>IF($B31=0,0, (INDEX(Option2!Q$106:Q$117, MATCH($D31, Option2!$G$106:$G$117,0)))*conv_2026*Q$7)</f>
        <v>105494.19289343571</v>
      </c>
      <c r="R31" s="31">
        <f>IF($B31=0,0, (INDEX(Option2!R$106:R$117, MATCH($D31, Option2!$G$106:$G$117,0)))*conv_2026*R$7)</f>
        <v>107050.36367978343</v>
      </c>
      <c r="S31" s="31">
        <f>IF($B31=0,0, (INDEX(Option2!S$106:S$117, MATCH($D31, Option2!$G$106:$G$117,0)))*conv_2026*S$7)</f>
        <v>108351.5199690349</v>
      </c>
      <c r="T31" s="31">
        <f>IF($B31=0,0, (INDEX(Option2!T$106:T$117, MATCH($D31, Option2!$G$106:$G$117,0)))*conv_2026*T$7)</f>
        <v>109667.47564190264</v>
      </c>
      <c r="U31" s="31">
        <f>IF($B31=0,0, (INDEX(Option2!U$106:U$117, MATCH($D31, Option2!$G$106:$G$117,0)))*conv_2026*U$7)</f>
        <v>110957.10764858891</v>
      </c>
      <c r="V31" s="31">
        <f>IF($B31=0,0, (INDEX(Option2!V$106:V$117, MATCH($D31, Option2!$G$106:$G$117,0)))*conv_2026*V$7)</f>
        <v>112289.55284133763</v>
      </c>
      <c r="W31" s="31">
        <f>IF($B31=0,0, (INDEX(Option2!W$106:W$117, MATCH($D31, Option2!$G$106:$G$117,0)))*conv_2026*W$7)</f>
        <v>113587.96688173586</v>
      </c>
      <c r="X31" s="31">
        <f>IF($B31=0,0, (INDEX(Option2!X$106:X$117, MATCH($D31, Option2!$G$106:$G$117,0)))*conv_2026*X$7)</f>
        <v>114848.65367489059</v>
      </c>
      <c r="Y31" s="31">
        <f>IF($B31=0,0, (INDEX(Option2!Y$106:Y$117, MATCH($D31, Option2!$G$106:$G$117,0)))*conv_2026*Y$7)</f>
        <v>116068.23948905407</v>
      </c>
      <c r="Z31" s="31">
        <f>IF($B31=0,0, (INDEX(Option2!Z$106:Z$117, MATCH($D31, Option2!$G$106:$G$117,0)))*conv_2026*Z$7)</f>
        <v>117243.76121385973</v>
      </c>
      <c r="AA31" s="31">
        <f>IF($B31=0,0, (INDEX(Option2!AA$106:AA$117, MATCH($D31, Option2!$G$106:$G$117,0)))*conv_2026*AA$7)</f>
        <v>118372.75219071622</v>
      </c>
      <c r="AB31" s="31">
        <f>IF($B31=0,0, (INDEX(Option2!AB$106:AB$117, MATCH($D31, Option2!$G$106:$G$117,0)))*conv_2026*AB$7)</f>
        <v>119453.32341726868</v>
      </c>
      <c r="AC31" s="31">
        <f>IF($B31=0,0, (INDEX(Option2!AC$106:AC$117, MATCH($D31, Option2!$G$106:$G$117,0)))*conv_2026*AC$7)</f>
        <v>0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1" t="s">
        <v>131</v>
      </c>
      <c r="B32" s="251" t="str">
        <f>Option2!A112</f>
        <v>sens3</v>
      </c>
      <c r="C32" s="251" t="str">
        <f>Option2!C112</f>
        <v>Total benefits 10% higher</v>
      </c>
      <c r="D32" s="251" t="str">
        <f t="shared" si="2"/>
        <v>Option 2sens3</v>
      </c>
      <c r="E32" s="252"/>
      <c r="F32" s="31">
        <f t="shared" si="3"/>
        <v>1112070.3110440893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-189146.33583161101</v>
      </c>
      <c r="K32" s="31">
        <f>IF($B32=0,0, (INDEX(Option2!K$106:K$117, MATCH($D32, Option2!$G$106:$G$117,0)))*conv_2026*K$7)</f>
        <v>56088.837163753851</v>
      </c>
      <c r="L32" s="31">
        <f>IF($B32=0,0, (INDEX(Option2!L$106:L$117, MATCH($D32, Option2!$G$106:$G$117,0)))*conv_2026*L$7)</f>
        <v>64152.342638017668</v>
      </c>
      <c r="M32" s="31">
        <f>IF($B32=0,0, (INDEX(Option2!M$106:M$117, MATCH($D32, Option2!$G$106:$G$117,0)))*conv_2026*M$7)</f>
        <v>71258.414849733483</v>
      </c>
      <c r="N32" s="31">
        <f>IF($B32=0,0, (INDEX(Option2!N$106:N$117, MATCH($D32, Option2!$G$106:$G$117,0)))*conv_2026*N$7)</f>
        <v>80644.565038837405</v>
      </c>
      <c r="O32" s="31">
        <f>IF($B32=0,0, (INDEX(Option2!O$106:O$117, MATCH($D32, Option2!$G$106:$G$117,0)))*conv_2026*O$7)</f>
        <v>92230.216588873678</v>
      </c>
      <c r="P32" s="31">
        <f>IF($B32=0,0, (INDEX(Option2!P$106:P$117, MATCH($D32, Option2!$G$106:$G$117,0)))*conv_2026*P$7)</f>
        <v>104936.88867153533</v>
      </c>
      <c r="Q32" s="31">
        <f>IF($B32=0,0, (INDEX(Option2!Q$106:Q$117, MATCH($D32, Option2!$G$106:$G$117,0)))*conv_2026*Q$7)</f>
        <v>113206.41714530511</v>
      </c>
      <c r="R32" s="31">
        <f>IF($B32=0,0, (INDEX(Option2!R$106:R$117, MATCH($D32, Option2!$G$106:$G$117,0)))*conv_2026*R$7)</f>
        <v>114918.20501028759</v>
      </c>
      <c r="S32" s="31">
        <f>IF($B32=0,0, (INDEX(Option2!S$106:S$117, MATCH($D32, Option2!$G$106:$G$117,0)))*conv_2026*S$7)</f>
        <v>116349.47692846421</v>
      </c>
      <c r="T32" s="31">
        <f>IF($B32=0,0, (INDEX(Option2!T$106:T$117, MATCH($D32, Option2!$G$106:$G$117,0)))*conv_2026*T$7)</f>
        <v>117797.02816861874</v>
      </c>
      <c r="U32" s="31">
        <f>IF($B32=0,0, (INDEX(Option2!U$106:U$117, MATCH($D32, Option2!$G$106:$G$117,0)))*conv_2026*U$7)</f>
        <v>119215.62337597361</v>
      </c>
      <c r="V32" s="31">
        <f>IF($B32=0,0, (INDEX(Option2!V$106:V$117, MATCH($D32, Option2!$G$106:$G$117,0)))*conv_2026*V$7)</f>
        <v>120681.31308799722</v>
      </c>
      <c r="W32" s="31">
        <f>IF($B32=0,0, (INDEX(Option2!W$106:W$117, MATCH($D32, Option2!$G$106:$G$117,0)))*conv_2026*W$7)</f>
        <v>122109.56853243527</v>
      </c>
      <c r="X32" s="31">
        <f>IF($B32=0,0, (INDEX(Option2!X$106:X$117, MATCH($D32, Option2!$G$106:$G$117,0)))*conv_2026*X$7)</f>
        <v>123496.32400490547</v>
      </c>
      <c r="Y32" s="31">
        <f>IF($B32=0,0, (INDEX(Option2!Y$106:Y$117, MATCH($D32, Option2!$G$106:$G$117,0)))*conv_2026*Y$7)</f>
        <v>124837.86840048531</v>
      </c>
      <c r="Z32" s="31">
        <f>IF($B32=0,0, (INDEX(Option2!Z$106:Z$117, MATCH($D32, Option2!$G$106:$G$117,0)))*conv_2026*Z$7)</f>
        <v>126130.94229777153</v>
      </c>
      <c r="AA32" s="31">
        <f>IF($B32=0,0, (INDEX(Option2!AA$106:AA$117, MATCH($D32, Option2!$G$106:$G$117,0)))*conv_2026*AA$7)</f>
        <v>127372.83237231367</v>
      </c>
      <c r="AB32" s="31">
        <f>IF($B32=0,0, (INDEX(Option2!AB$106:AB$117, MATCH($D32, Option2!$G$106:$G$117,0)))*conv_2026*AB$7)</f>
        <v>128561.46072152138</v>
      </c>
      <c r="AC32" s="31">
        <f>IF($B32=0,0, (INDEX(Option2!AC$106:AC$117, MATCH($D32, Option2!$G$106:$G$117,0)))*conv_2026*AC$7)</f>
        <v>0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1" t="s">
        <v>131</v>
      </c>
      <c r="B33" s="251" t="str">
        <f>Option2!A113</f>
        <v>sens4</v>
      </c>
      <c r="C33" s="251" t="str">
        <f>Option2!C113</f>
        <v>Total benefits 10% lower</v>
      </c>
      <c r="D33" s="251" t="str">
        <f t="shared" si="2"/>
        <v>Option 2sens4</v>
      </c>
      <c r="E33" s="252"/>
      <c r="F33" s="31">
        <f t="shared" si="3"/>
        <v>231039.85593442625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-189146.33583161101</v>
      </c>
      <c r="K33" s="31">
        <f>IF($B33=0,0, (INDEX(Option2!K$106:K$117, MATCH($D33, Option2!$G$106:$G$117,0)))*conv_2026*K$7)</f>
        <v>-5694.4975473680388</v>
      </c>
      <c r="L33" s="31">
        <f>IF($B33=0,0, (INDEX(Option2!L$106:L$117, MATCH($D33, Option2!$G$106:$G$117,0)))*conv_2026*L$7)</f>
        <v>902.91602248417507</v>
      </c>
      <c r="M33" s="31">
        <f>IF($B33=0,0, (INDEX(Option2!M$106:M$117, MATCH($D33, Option2!$G$106:$G$117,0)))*conv_2026*M$7)</f>
        <v>6716.9751047971149</v>
      </c>
      <c r="N33" s="31">
        <f>IF($B33=0,0, (INDEX(Option2!N$106:N$117, MATCH($D33, Option2!$G$106:$G$117,0)))*conv_2026*N$7)</f>
        <v>14396.552532245785</v>
      </c>
      <c r="O33" s="31">
        <f>IF($B33=0,0, (INDEX(Option2!O$106:O$117, MATCH($D33, Option2!$G$106:$G$117,0)))*conv_2026*O$7)</f>
        <v>23875.721982275463</v>
      </c>
      <c r="P33" s="31">
        <f>IF($B33=0,0, (INDEX(Option2!P$106:P$117, MATCH($D33, Option2!$G$106:$G$117,0)))*conv_2026*P$7)</f>
        <v>34272.090049907725</v>
      </c>
      <c r="Q33" s="31">
        <f>IF($B33=0,0, (INDEX(Option2!Q$106:Q$117, MATCH($D33, Option2!$G$106:$G$117,0)))*conv_2026*Q$7)</f>
        <v>41038.067892083003</v>
      </c>
      <c r="R33" s="31">
        <f>IF($B33=0,0, (INDEX(Option2!R$106:R$117, MATCH($D33, Option2!$G$106:$G$117,0)))*conv_2026*R$7)</f>
        <v>42438.621599795944</v>
      </c>
      <c r="S33" s="31">
        <f>IF($B33=0,0, (INDEX(Option2!S$106:S$117, MATCH($D33, Option2!$G$106:$G$117,0)))*conv_2026*S$7)</f>
        <v>43609.66226012227</v>
      </c>
      <c r="T33" s="31">
        <f>IF($B33=0,0, (INDEX(Option2!T$106:T$117, MATCH($D33, Option2!$G$106:$G$117,0)))*conv_2026*T$7)</f>
        <v>44794.02236570324</v>
      </c>
      <c r="U33" s="31">
        <f>IF($B33=0,0, (INDEX(Option2!U$106:U$117, MATCH($D33, Option2!$G$106:$G$117,0)))*conv_2026*U$7)</f>
        <v>45954.691171720871</v>
      </c>
      <c r="V33" s="31">
        <f>IF($B33=0,0, (INDEX(Option2!V$106:V$117, MATCH($D33, Option2!$G$106:$G$117,0)))*conv_2026*V$7)</f>
        <v>47153.891845194725</v>
      </c>
      <c r="W33" s="31">
        <f>IF($B33=0,0, (INDEX(Option2!W$106:W$117, MATCH($D33, Option2!$G$106:$G$117,0)))*conv_2026*W$7)</f>
        <v>48322.464481553128</v>
      </c>
      <c r="X33" s="31">
        <f>IF($B33=0,0, (INDEX(Option2!X$106:X$117, MATCH($D33, Option2!$G$106:$G$117,0)))*conv_2026*X$7)</f>
        <v>49457.082595392392</v>
      </c>
      <c r="Y33" s="31">
        <f>IF($B33=0,0, (INDEX(Option2!Y$106:Y$117, MATCH($D33, Option2!$G$106:$G$117,0)))*conv_2026*Y$7)</f>
        <v>50554.709828139523</v>
      </c>
      <c r="Z33" s="31">
        <f>IF($B33=0,0, (INDEX(Option2!Z$106:Z$117, MATCH($D33, Option2!$G$106:$G$117,0)))*conv_2026*Z$7)</f>
        <v>51612.679380464615</v>
      </c>
      <c r="AA33" s="31">
        <f>IF($B33=0,0, (INDEX(Option2!AA$106:AA$117, MATCH($D33, Option2!$G$106:$G$117,0)))*conv_2026*AA$7)</f>
        <v>52628.771259635454</v>
      </c>
      <c r="AB33" s="31">
        <f>IF($B33=0,0, (INDEX(Option2!AB$106:AB$117, MATCH($D33, Option2!$G$106:$G$117,0)))*conv_2026*AB$7)</f>
        <v>53601.285363532661</v>
      </c>
      <c r="AC33" s="31">
        <f>IF($B33=0,0, (INDEX(Option2!AC$106:AC$117, MATCH($D33, Option2!$G$106:$G$117,0)))*conv_2026*AC$7)</f>
        <v>0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1" t="s">
        <v>131</v>
      </c>
      <c r="B34" s="251" t="str">
        <f>Option2!A114</f>
        <v>sens5</v>
      </c>
      <c r="C34" s="251" t="str">
        <f>Option2!C114</f>
        <v>Capex 10% higher &amp; Total benefits 10% lower</v>
      </c>
      <c r="D34" s="251" t="str">
        <f t="shared" si="2"/>
        <v>Option 2sens5</v>
      </c>
      <c r="E34" s="252"/>
      <c r="F34" s="31">
        <f t="shared" si="3"/>
        <v>-142319.86327147967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-208060.96941477209</v>
      </c>
      <c r="K34" s="31">
        <f>IF($B34=0,0, (INDEX(Option2!K$106:K$117, MATCH($D34, Option2!$G$106:$G$117,0)))*conv_2026*K$7)</f>
        <v>-34066.447922109692</v>
      </c>
      <c r="L34" s="31">
        <f>IF($B34=0,0, (INDEX(Option2!L$106:L$117, MATCH($D34, Option2!$G$106:$G$117,0)))*conv_2026*L$7)</f>
        <v>-27469.034352257477</v>
      </c>
      <c r="M34" s="31">
        <f>IF($B34=0,0, (INDEX(Option2!M$106:M$117, MATCH($D34, Option2!$G$106:$G$117,0)))*conv_2026*M$7)</f>
        <v>-21654.975269944542</v>
      </c>
      <c r="N34" s="31">
        <f>IF($B34=0,0, (INDEX(Option2!N$106:N$117, MATCH($D34, Option2!$G$106:$G$117,0)))*conv_2026*N$7)</f>
        <v>-13975.397842495871</v>
      </c>
      <c r="O34" s="31">
        <f>IF($B34=0,0, (INDEX(Option2!O$106:O$117, MATCH($D34, Option2!$G$106:$G$117,0)))*conv_2026*O$7)</f>
        <v>-4496.2283924661879</v>
      </c>
      <c r="P34" s="31">
        <f>IF($B34=0,0, (INDEX(Option2!P$106:P$117, MATCH($D34, Option2!$G$106:$G$117,0)))*conv_2026*P$7)</f>
        <v>5900.139675166075</v>
      </c>
      <c r="Q34" s="31">
        <f>IF($B34=0,0, (INDEX(Option2!Q$106:Q$117, MATCH($D34, Option2!$G$106:$G$117,0)))*conv_2026*Q$7)</f>
        <v>12666.117517341347</v>
      </c>
      <c r="R34" s="31">
        <f>IF($B34=0,0, (INDEX(Option2!R$106:R$117, MATCH($D34, Option2!$G$106:$G$117,0)))*conv_2026*R$7)</f>
        <v>14066.671225054297</v>
      </c>
      <c r="S34" s="31">
        <f>IF($B34=0,0, (INDEX(Option2!S$106:S$117, MATCH($D34, Option2!$G$106:$G$117,0)))*conv_2026*S$7)</f>
        <v>15237.711885380611</v>
      </c>
      <c r="T34" s="31">
        <f>IF($B34=0,0, (INDEX(Option2!T$106:T$117, MATCH($D34, Option2!$G$106:$G$117,0)))*conv_2026*T$7)</f>
        <v>16422.071990961584</v>
      </c>
      <c r="U34" s="31">
        <f>IF($B34=0,0, (INDEX(Option2!U$106:U$117, MATCH($D34, Option2!$G$106:$G$117,0)))*conv_2026*U$7)</f>
        <v>17582.740796979218</v>
      </c>
      <c r="V34" s="31">
        <f>IF($B34=0,0, (INDEX(Option2!V$106:V$117, MATCH($D34, Option2!$G$106:$G$117,0)))*conv_2026*V$7)</f>
        <v>18781.941470453068</v>
      </c>
      <c r="W34" s="31">
        <f>IF($B34=0,0, (INDEX(Option2!W$106:W$117, MATCH($D34, Option2!$G$106:$G$117,0)))*conv_2026*W$7)</f>
        <v>19950.514106811483</v>
      </c>
      <c r="X34" s="31">
        <f>IF($B34=0,0, (INDEX(Option2!X$106:X$117, MATCH($D34, Option2!$G$106:$G$117,0)))*conv_2026*X$7)</f>
        <v>21085.132220650736</v>
      </c>
      <c r="Y34" s="31">
        <f>IF($B34=0,0, (INDEX(Option2!Y$106:Y$117, MATCH($D34, Option2!$G$106:$G$117,0)))*conv_2026*Y$7)</f>
        <v>22182.759453397874</v>
      </c>
      <c r="Z34" s="31">
        <f>IF($B34=0,0, (INDEX(Option2!Z$106:Z$117, MATCH($D34, Option2!$G$106:$G$117,0)))*conv_2026*Z$7)</f>
        <v>23240.729005722966</v>
      </c>
      <c r="AA34" s="31">
        <f>IF($B34=0,0, (INDEX(Option2!AA$106:AA$117, MATCH($D34, Option2!$G$106:$G$117,0)))*conv_2026*AA$7)</f>
        <v>24256.820884893801</v>
      </c>
      <c r="AB34" s="31">
        <f>IF($B34=0,0, (INDEX(Option2!AB$106:AB$117, MATCH($D34, Option2!$G$106:$G$117,0)))*conv_2026*AB$7)</f>
        <v>25229.334988791008</v>
      </c>
      <c r="AC34" s="31">
        <f>IF($B34=0,0, (INDEX(Option2!AC$106:AC$117, MATCH($D34, Option2!$G$106:$G$117,0)))*conv_2026*AC$7)</f>
        <v>0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1" t="s">
        <v>131</v>
      </c>
      <c r="B35" s="251" t="str">
        <f>Option2!A115</f>
        <v>sens</v>
      </c>
      <c r="C35" s="251">
        <f>Option2!C115</f>
        <v>0</v>
      </c>
      <c r="D35" s="251" t="str">
        <f t="shared" si="2"/>
        <v>Option 2sens</v>
      </c>
      <c r="E35" s="252"/>
      <c r="F35" s="31">
        <f t="shared" si="3"/>
        <v>671555.08348925796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-189146.33583161101</v>
      </c>
      <c r="K35" s="31">
        <f>IF($B35=0,0, (INDEX(Option2!K$106:K$117, MATCH($D35, Option2!$G$106:$G$117,0)))*conv_2026*K$7)</f>
        <v>25197.169808192903</v>
      </c>
      <c r="L35" s="31">
        <f>IF($B35=0,0, (INDEX(Option2!L$106:L$117, MATCH($D35, Option2!$G$106:$G$117,0)))*conv_2026*L$7)</f>
        <v>32527.629330250918</v>
      </c>
      <c r="M35" s="31">
        <f>IF($B35=0,0, (INDEX(Option2!M$106:M$117, MATCH($D35, Option2!$G$106:$G$117,0)))*conv_2026*M$7)</f>
        <v>38987.694977265302</v>
      </c>
      <c r="N35" s="31">
        <f>IF($B35=0,0, (INDEX(Option2!N$106:N$117, MATCH($D35, Option2!$G$106:$G$117,0)))*conv_2026*N$7)</f>
        <v>47520.558785541594</v>
      </c>
      <c r="O35" s="31">
        <f>IF($B35=0,0, (INDEX(Option2!O$106:O$117, MATCH($D35, Option2!$G$106:$G$117,0)))*conv_2026*O$7)</f>
        <v>58052.969285574574</v>
      </c>
      <c r="P35" s="31">
        <f>IF($B35=0,0, (INDEX(Option2!P$106:P$117, MATCH($D35, Option2!$G$106:$G$117,0)))*conv_2026*P$7)</f>
        <v>69604.489360721534</v>
      </c>
      <c r="Q35" s="31">
        <f>IF($B35=0,0, (INDEX(Option2!Q$106:Q$117, MATCH($D35, Option2!$G$106:$G$117,0)))*conv_2026*Q$7)</f>
        <v>77122.242518694053</v>
      </c>
      <c r="R35" s="31">
        <f>IF($B35=0,0, (INDEX(Option2!R$106:R$117, MATCH($D35, Option2!$G$106:$G$117,0)))*conv_2026*R$7)</f>
        <v>78678.413305041773</v>
      </c>
      <c r="S35" s="31">
        <f>IF($B35=0,0, (INDEX(Option2!S$106:S$117, MATCH($D35, Option2!$G$106:$G$117,0)))*conv_2026*S$7)</f>
        <v>79979.569594293236</v>
      </c>
      <c r="T35" s="31">
        <f>IF($B35=0,0, (INDEX(Option2!T$106:T$117, MATCH($D35, Option2!$G$106:$G$117,0)))*conv_2026*T$7)</f>
        <v>81295.525267160992</v>
      </c>
      <c r="U35" s="31">
        <f>IF($B35=0,0, (INDEX(Option2!U$106:U$117, MATCH($D35, Option2!$G$106:$G$117,0)))*conv_2026*U$7)</f>
        <v>82585.157273847246</v>
      </c>
      <c r="V35" s="31">
        <f>IF($B35=0,0, (INDEX(Option2!V$106:V$117, MATCH($D35, Option2!$G$106:$G$117,0)))*conv_2026*V$7)</f>
        <v>83917.60246659597</v>
      </c>
      <c r="W35" s="31">
        <f>IF($B35=0,0, (INDEX(Option2!W$106:W$117, MATCH($D35, Option2!$G$106:$G$117,0)))*conv_2026*W$7)</f>
        <v>85216.016506994201</v>
      </c>
      <c r="X35" s="31">
        <f>IF($B35=0,0, (INDEX(Option2!X$106:X$117, MATCH($D35, Option2!$G$106:$G$117,0)))*conv_2026*X$7)</f>
        <v>86476.703300148933</v>
      </c>
      <c r="Y35" s="31">
        <f>IF($B35=0,0, (INDEX(Option2!Y$106:Y$117, MATCH($D35, Option2!$G$106:$G$117,0)))*conv_2026*Y$7)</f>
        <v>87696.289114312414</v>
      </c>
      <c r="Z35" s="31">
        <f>IF($B35=0,0, (INDEX(Option2!Z$106:Z$117, MATCH($D35, Option2!$G$106:$G$117,0)))*conv_2026*Z$7)</f>
        <v>88871.810839118072</v>
      </c>
      <c r="AA35" s="31">
        <f>IF($B35=0,0, (INDEX(Option2!AA$106:AA$117, MATCH($D35, Option2!$G$106:$G$117,0)))*conv_2026*AA$7)</f>
        <v>90000.80181597457</v>
      </c>
      <c r="AB35" s="31">
        <f>IF($B35=0,0, (INDEX(Option2!AB$106:AB$117, MATCH($D35, Option2!$G$106:$G$117,0)))*conv_2026*AB$7)</f>
        <v>91081.373042527019</v>
      </c>
      <c r="AC35" s="31">
        <f>IF($B35=0,0, (INDEX(Option2!AC$106:AC$117, MATCH($D35, Option2!$G$106:$G$117,0)))*conv_2026*AC$7)</f>
        <v>0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1" t="s">
        <v>131</v>
      </c>
      <c r="B36" s="251" t="str">
        <f>Option2!A116</f>
        <v>sens</v>
      </c>
      <c r="C36" s="251">
        <f>Option2!C116</f>
        <v>0</v>
      </c>
      <c r="D36" s="251" t="str">
        <f t="shared" si="2"/>
        <v>Option 2sens</v>
      </c>
      <c r="E36" s="252"/>
      <c r="F36" s="31">
        <f t="shared" si="3"/>
        <v>671555.08348925796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-189146.33583161101</v>
      </c>
      <c r="K36" s="31">
        <f>IF($B36=0,0, (INDEX(Option2!K$106:K$117, MATCH($D36, Option2!$G$106:$G$117,0)))*conv_2026*K$7)</f>
        <v>25197.169808192903</v>
      </c>
      <c r="L36" s="31">
        <f>IF($B36=0,0, (INDEX(Option2!L$106:L$117, MATCH($D36, Option2!$G$106:$G$117,0)))*conv_2026*L$7)</f>
        <v>32527.629330250918</v>
      </c>
      <c r="M36" s="31">
        <f>IF($B36=0,0, (INDEX(Option2!M$106:M$117, MATCH($D36, Option2!$G$106:$G$117,0)))*conv_2026*M$7)</f>
        <v>38987.694977265302</v>
      </c>
      <c r="N36" s="31">
        <f>IF($B36=0,0, (INDEX(Option2!N$106:N$117, MATCH($D36, Option2!$G$106:$G$117,0)))*conv_2026*N$7)</f>
        <v>47520.558785541594</v>
      </c>
      <c r="O36" s="31">
        <f>IF($B36=0,0, (INDEX(Option2!O$106:O$117, MATCH($D36, Option2!$G$106:$G$117,0)))*conv_2026*O$7)</f>
        <v>58052.969285574574</v>
      </c>
      <c r="P36" s="31">
        <f>IF($B36=0,0, (INDEX(Option2!P$106:P$117, MATCH($D36, Option2!$G$106:$G$117,0)))*conv_2026*P$7)</f>
        <v>69604.489360721534</v>
      </c>
      <c r="Q36" s="31">
        <f>IF($B36=0,0, (INDEX(Option2!Q$106:Q$117, MATCH($D36, Option2!$G$106:$G$117,0)))*conv_2026*Q$7)</f>
        <v>77122.242518694053</v>
      </c>
      <c r="R36" s="31">
        <f>IF($B36=0,0, (INDEX(Option2!R$106:R$117, MATCH($D36, Option2!$G$106:$G$117,0)))*conv_2026*R$7)</f>
        <v>78678.413305041773</v>
      </c>
      <c r="S36" s="31">
        <f>IF($B36=0,0, (INDEX(Option2!S$106:S$117, MATCH($D36, Option2!$G$106:$G$117,0)))*conv_2026*S$7)</f>
        <v>79979.569594293236</v>
      </c>
      <c r="T36" s="31">
        <f>IF($B36=0,0, (INDEX(Option2!T$106:T$117, MATCH($D36, Option2!$G$106:$G$117,0)))*conv_2026*T$7)</f>
        <v>81295.525267160992</v>
      </c>
      <c r="U36" s="31">
        <f>IF($B36=0,0, (INDEX(Option2!U$106:U$117, MATCH($D36, Option2!$G$106:$G$117,0)))*conv_2026*U$7)</f>
        <v>82585.157273847246</v>
      </c>
      <c r="V36" s="31">
        <f>IF($B36=0,0, (INDEX(Option2!V$106:V$117, MATCH($D36, Option2!$G$106:$G$117,0)))*conv_2026*V$7)</f>
        <v>83917.60246659597</v>
      </c>
      <c r="W36" s="31">
        <f>IF($B36=0,0, (INDEX(Option2!W$106:W$117, MATCH($D36, Option2!$G$106:$G$117,0)))*conv_2026*W$7)</f>
        <v>85216.016506994201</v>
      </c>
      <c r="X36" s="31">
        <f>IF($B36=0,0, (INDEX(Option2!X$106:X$117, MATCH($D36, Option2!$G$106:$G$117,0)))*conv_2026*X$7)</f>
        <v>86476.703300148933</v>
      </c>
      <c r="Y36" s="31">
        <f>IF($B36=0,0, (INDEX(Option2!Y$106:Y$117, MATCH($D36, Option2!$G$106:$G$117,0)))*conv_2026*Y$7)</f>
        <v>87696.289114312414</v>
      </c>
      <c r="Z36" s="31">
        <f>IF($B36=0,0, (INDEX(Option2!Z$106:Z$117, MATCH($D36, Option2!$G$106:$G$117,0)))*conv_2026*Z$7)</f>
        <v>88871.810839118072</v>
      </c>
      <c r="AA36" s="31">
        <f>IF($B36=0,0, (INDEX(Option2!AA$106:AA$117, MATCH($D36, Option2!$G$106:$G$117,0)))*conv_2026*AA$7)</f>
        <v>90000.80181597457</v>
      </c>
      <c r="AB36" s="31">
        <f>IF($B36=0,0, (INDEX(Option2!AB$106:AB$117, MATCH($D36, Option2!$G$106:$G$117,0)))*conv_2026*AB$7)</f>
        <v>91081.373042527019</v>
      </c>
      <c r="AC36" s="31">
        <f>IF($B36=0,0, (INDEX(Option2!AC$106:AC$117, MATCH($D36, Option2!$G$106:$G$117,0)))*conv_2026*AC$7)</f>
        <v>0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1" t="s">
        <v>131</v>
      </c>
      <c r="B37" s="251" t="str">
        <f>Option2!A117</f>
        <v>sens</v>
      </c>
      <c r="C37" s="251">
        <f>Option2!C117</f>
        <v>0</v>
      </c>
      <c r="D37" s="251" t="str">
        <f t="shared" si="2"/>
        <v>Option 2sens</v>
      </c>
      <c r="E37" s="252"/>
      <c r="F37" s="31">
        <f t="shared" si="3"/>
        <v>671555.08348925796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-189146.33583161101</v>
      </c>
      <c r="K37" s="31">
        <f>IF($B37=0,0, (INDEX(Option2!K$106:K$117, MATCH($D37, Option2!$G$106:$G$117,0)))*conv_2026*K$7)</f>
        <v>25197.169808192903</v>
      </c>
      <c r="L37" s="31">
        <f>IF($B37=0,0, (INDEX(Option2!L$106:L$117, MATCH($D37, Option2!$G$106:$G$117,0)))*conv_2026*L$7)</f>
        <v>32527.629330250918</v>
      </c>
      <c r="M37" s="31">
        <f>IF($B37=0,0, (INDEX(Option2!M$106:M$117, MATCH($D37, Option2!$G$106:$G$117,0)))*conv_2026*M$7)</f>
        <v>38987.694977265302</v>
      </c>
      <c r="N37" s="31">
        <f>IF($B37=0,0, (INDEX(Option2!N$106:N$117, MATCH($D37, Option2!$G$106:$G$117,0)))*conv_2026*N$7)</f>
        <v>47520.558785541594</v>
      </c>
      <c r="O37" s="31">
        <f>IF($B37=0,0, (INDEX(Option2!O$106:O$117, MATCH($D37, Option2!$G$106:$G$117,0)))*conv_2026*O$7)</f>
        <v>58052.969285574574</v>
      </c>
      <c r="P37" s="31">
        <f>IF($B37=0,0, (INDEX(Option2!P$106:P$117, MATCH($D37, Option2!$G$106:$G$117,0)))*conv_2026*P$7)</f>
        <v>69604.489360721534</v>
      </c>
      <c r="Q37" s="31">
        <f>IF($B37=0,0, (INDEX(Option2!Q$106:Q$117, MATCH($D37, Option2!$G$106:$G$117,0)))*conv_2026*Q$7)</f>
        <v>77122.242518694053</v>
      </c>
      <c r="R37" s="31">
        <f>IF($B37=0,0, (INDEX(Option2!R$106:R$117, MATCH($D37, Option2!$G$106:$G$117,0)))*conv_2026*R$7)</f>
        <v>78678.413305041773</v>
      </c>
      <c r="S37" s="31">
        <f>IF($B37=0,0, (INDEX(Option2!S$106:S$117, MATCH($D37, Option2!$G$106:$G$117,0)))*conv_2026*S$7)</f>
        <v>79979.569594293236</v>
      </c>
      <c r="T37" s="31">
        <f>IF($B37=0,0, (INDEX(Option2!T$106:T$117, MATCH($D37, Option2!$G$106:$G$117,0)))*conv_2026*T$7)</f>
        <v>81295.525267160992</v>
      </c>
      <c r="U37" s="31">
        <f>IF($B37=0,0, (INDEX(Option2!U$106:U$117, MATCH($D37, Option2!$G$106:$G$117,0)))*conv_2026*U$7)</f>
        <v>82585.157273847246</v>
      </c>
      <c r="V37" s="31">
        <f>IF($B37=0,0, (INDEX(Option2!V$106:V$117, MATCH($D37, Option2!$G$106:$G$117,0)))*conv_2026*V$7)</f>
        <v>83917.60246659597</v>
      </c>
      <c r="W37" s="31">
        <f>IF($B37=0,0, (INDEX(Option2!W$106:W$117, MATCH($D37, Option2!$G$106:$G$117,0)))*conv_2026*W$7)</f>
        <v>85216.016506994201</v>
      </c>
      <c r="X37" s="31">
        <f>IF($B37=0,0, (INDEX(Option2!X$106:X$117, MATCH($D37, Option2!$G$106:$G$117,0)))*conv_2026*X$7)</f>
        <v>86476.703300148933</v>
      </c>
      <c r="Y37" s="31">
        <f>IF($B37=0,0, (INDEX(Option2!Y$106:Y$117, MATCH($D37, Option2!$G$106:$G$117,0)))*conv_2026*Y$7)</f>
        <v>87696.289114312414</v>
      </c>
      <c r="Z37" s="31">
        <f>IF($B37=0,0, (INDEX(Option2!Z$106:Z$117, MATCH($D37, Option2!$G$106:$G$117,0)))*conv_2026*Z$7)</f>
        <v>88871.810839118072</v>
      </c>
      <c r="AA37" s="31">
        <f>IF($B37=0,0, (INDEX(Option2!AA$106:AA$117, MATCH($D37, Option2!$G$106:$G$117,0)))*conv_2026*AA$7)</f>
        <v>90000.80181597457</v>
      </c>
      <c r="AB37" s="31">
        <f>IF($B37=0,0, (INDEX(Option2!AB$106:AB$117, MATCH($D37, Option2!$G$106:$G$117,0)))*conv_2026*AB$7)</f>
        <v>91081.373042527019</v>
      </c>
      <c r="AC37" s="31">
        <f>IF($B37=0,0, (INDEX(Option2!AC$106:AC$117, MATCH($D37, Option2!$G$106:$G$117,0)))*conv_2026*AC$7)</f>
        <v>0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1"/>
      <c r="B38" s="251"/>
      <c r="C38" s="251"/>
      <c r="D38" s="251"/>
      <c r="E38" s="251"/>
      <c r="F38" s="3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</row>
    <row r="39" spans="1:35" s="8" customFormat="1" x14ac:dyDescent="0.2">
      <c r="A39" s="251"/>
      <c r="B39" s="251"/>
      <c r="C39" s="251"/>
      <c r="D39" s="251"/>
      <c r="E39" s="251"/>
      <c r="F39" s="3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</row>
    <row r="40" spans="1:35" s="8" customFormat="1" x14ac:dyDescent="0.2">
      <c r="A40" s="251"/>
      <c r="B40" s="251"/>
      <c r="C40" s="251"/>
      <c r="D40" s="251"/>
      <c r="E40" s="251"/>
      <c r="F40" s="31"/>
      <c r="H40" s="31">
        <f>Consol!H50</f>
        <v>0</v>
      </c>
      <c r="I40" s="31">
        <f>Consol!I50</f>
        <v>0</v>
      </c>
      <c r="J40" s="31">
        <f>Consol!J50</f>
        <v>-92086.726859203074</v>
      </c>
      <c r="K40" s="31">
        <f>Consol!K50</f>
        <v>-131483.25425126398</v>
      </c>
      <c r="L40" s="31">
        <f>Consol!L50</f>
        <v>-130031.70007394248</v>
      </c>
      <c r="M40" s="31">
        <f>Consol!M50</f>
        <v>-128542.80013045609</v>
      </c>
      <c r="N40" s="31">
        <f>Consol!N50</f>
        <v>-127022.79510449046</v>
      </c>
      <c r="O40" s="31">
        <f>Consol!O50</f>
        <v>-254822.25743263942</v>
      </c>
      <c r="P40" s="31">
        <f>Consol!P50</f>
        <v>21074.684874517552</v>
      </c>
      <c r="Q40" s="31">
        <f>Consol!Q50</f>
        <v>28592.438032490085</v>
      </c>
      <c r="R40" s="31">
        <f>Consol!R50</f>
        <v>30148.608818837791</v>
      </c>
      <c r="S40" s="31">
        <f>Consol!S50</f>
        <v>31449.765108089254</v>
      </c>
      <c r="T40" s="31">
        <f>Consol!T50</f>
        <v>32765.720780957025</v>
      </c>
      <c r="U40" s="31">
        <f>Consol!U50</f>
        <v>34055.352787643264</v>
      </c>
      <c r="V40" s="31">
        <f>Consol!V50</f>
        <v>35387.797980392003</v>
      </c>
      <c r="W40" s="31">
        <f>Consol!W50</f>
        <v>36686.212020790204</v>
      </c>
      <c r="X40" s="31">
        <f>Consol!X50</f>
        <v>37946.89881394495</v>
      </c>
      <c r="Y40" s="31">
        <f>Consol!Y50</f>
        <v>39166.484628108446</v>
      </c>
      <c r="Z40" s="31">
        <f>Consol!Z50</f>
        <v>40342.00635291409</v>
      </c>
      <c r="AA40" s="31">
        <f>Consol!AA50</f>
        <v>41470.997329770587</v>
      </c>
      <c r="AB40" s="31">
        <f>Consol!AB50</f>
        <v>42551.568556323007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1"/>
      <c r="B41" s="251"/>
      <c r="C41" s="251"/>
      <c r="D41" s="251"/>
      <c r="E41" s="251"/>
      <c r="F41" s="3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</row>
    <row r="42" spans="1:35" s="8" customFormat="1" x14ac:dyDescent="0.2">
      <c r="A42" s="251" t="s">
        <v>132</v>
      </c>
      <c r="B42" s="251" t="s">
        <v>119</v>
      </c>
      <c r="C42" s="251" t="s">
        <v>188</v>
      </c>
      <c r="D42" s="251" t="str">
        <f>A42&amp;B42</f>
        <v>Option 3NPV</v>
      </c>
      <c r="E42" s="252"/>
      <c r="F42" s="31">
        <f t="shared" ref="F42:F51" si="4">SUMPRODUCT($H42:$AG42, $H$5:$AG$5)</f>
        <v>-462101.45899682218</v>
      </c>
      <c r="G42" s="244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-92086.726859203074</v>
      </c>
      <c r="K42" s="31">
        <f>(INDEX(Option3!K$106:K$117, MATCH($D42, Option3!$G$106:$G$117,0)))*conv_2026*K$7</f>
        <v>-131483.25425126398</v>
      </c>
      <c r="L42" s="31">
        <f>(INDEX(Option3!L$106:L$117, MATCH($D42, Option3!$G$106:$G$117,0)))*conv_2026*L$7</f>
        <v>-130031.70007394248</v>
      </c>
      <c r="M42" s="31">
        <f>(INDEX(Option3!M$106:M$117, MATCH($D42, Option3!$G$106:$G$117,0)))*conv_2026*M$7</f>
        <v>-128542.80013045609</v>
      </c>
      <c r="N42" s="31">
        <f>(INDEX(Option3!N$106:N$117, MATCH($D42, Option3!$G$106:$G$117,0)))*conv_2026*N$7</f>
        <v>-127022.79510449046</v>
      </c>
      <c r="O42" s="31">
        <f>(INDEX(Option3!O$106:O$117, MATCH($D42, Option3!$G$106:$G$117,0)))*conv_2026*O$7</f>
        <v>-254822.25743263945</v>
      </c>
      <c r="P42" s="31">
        <f>(INDEX(Option3!P$106:P$117, MATCH($D42, Option3!$G$106:$G$117,0)))*conv_2026*P$7</f>
        <v>21074.684874517548</v>
      </c>
      <c r="Q42" s="31">
        <f>(INDEX(Option3!Q$106:Q$117, MATCH($D42, Option3!$G$106:$G$117,0)))*conv_2026*Q$7</f>
        <v>28592.438032490074</v>
      </c>
      <c r="R42" s="31">
        <f>(INDEX(Option3!R$106:R$117, MATCH($D42, Option3!$G$106:$G$117,0)))*conv_2026*R$7</f>
        <v>30148.608818837787</v>
      </c>
      <c r="S42" s="31">
        <f>(INDEX(Option3!S$106:S$117, MATCH($D42, Option3!$G$106:$G$117,0)))*conv_2026*S$7</f>
        <v>31449.765108089254</v>
      </c>
      <c r="T42" s="31">
        <f>(INDEX(Option3!T$106:T$117, MATCH($D42, Option3!$G$106:$G$117,0)))*conv_2026*T$7</f>
        <v>32765.720780957003</v>
      </c>
      <c r="U42" s="31">
        <f>(INDEX(Option3!U$106:U$117, MATCH($D42, Option3!$G$106:$G$117,0)))*conv_2026*U$7</f>
        <v>34055.352787643256</v>
      </c>
      <c r="V42" s="31">
        <f>(INDEX(Option3!V$106:V$117, MATCH($D42, Option3!$G$106:$G$117,0)))*conv_2026*V$7</f>
        <v>35387.797980391988</v>
      </c>
      <c r="W42" s="31">
        <f>(INDEX(Option3!W$106:W$117, MATCH($D42, Option3!$G$106:$G$117,0)))*conv_2026*W$7</f>
        <v>36686.212020790219</v>
      </c>
      <c r="X42" s="31">
        <f>(INDEX(Option3!X$106:X$117, MATCH($D42, Option3!$G$106:$G$117,0)))*conv_2026*X$7</f>
        <v>37946.89881394495</v>
      </c>
      <c r="Y42" s="31">
        <f>(INDEX(Option3!Y$106:Y$117, MATCH($D42, Option3!$G$106:$G$117,0)))*conv_2026*Y$7</f>
        <v>39166.484628108425</v>
      </c>
      <c r="Z42" s="31">
        <f>(INDEX(Option3!Z$106:Z$117, MATCH($D42, Option3!$G$106:$G$117,0)))*conv_2026*Z$7</f>
        <v>40342.00635291409</v>
      </c>
      <c r="AA42" s="31">
        <f>(INDEX(Option3!AA$106:AA$117, MATCH($D42, Option3!$G$106:$G$117,0)))*conv_2026*AA$7</f>
        <v>41470.99732977058</v>
      </c>
      <c r="AB42" s="31">
        <f>(INDEX(Option3!AB$106:AB$117, MATCH($D42, Option3!$G$106:$G$117,0)))*conv_2026*AB$7</f>
        <v>42551.568556323036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3"/>
      <c r="B43" s="243"/>
      <c r="C43" s="243"/>
      <c r="D43" s="243"/>
      <c r="E43" s="243"/>
      <c r="F43" s="243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7"/>
      <c r="AI43" s="7"/>
    </row>
    <row r="44" spans="1:35" s="8" customFormat="1" x14ac:dyDescent="0.2">
      <c r="A44" s="251" t="s">
        <v>132</v>
      </c>
      <c r="B44" s="251" t="str">
        <f>Option3!A110</f>
        <v>sens1</v>
      </c>
      <c r="C44" s="251" t="str">
        <f>Option3!C110</f>
        <v>Capex 10% higher</v>
      </c>
      <c r="D44" s="251" t="str">
        <f t="shared" ref="D44:D51" si="5">A44&amp;B44</f>
        <v>Option 3sens1</v>
      </c>
      <c r="E44" s="252"/>
      <c r="F44" s="31">
        <f t="shared" si="4"/>
        <v>-814143.75383616204</v>
      </c>
      <c r="G44" s="244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-101295.39954512338</v>
      </c>
      <c r="K44" s="31">
        <f>(INDEX(Option3!K$106:K$117, MATCH($D44, Option3!$G$106:$G$117,0)))*conv_2026*K$7</f>
        <v>-145296.26328014446</v>
      </c>
      <c r="L44" s="31">
        <f>(INDEX(Option3!L$106:L$117, MATCH($D44, Option3!$G$106:$G$117,0)))*conv_2026*L$7</f>
        <v>-143844.70910282296</v>
      </c>
      <c r="M44" s="31">
        <f>(INDEX(Option3!M$106:M$117, MATCH($D44, Option3!$G$106:$G$117,0)))*conv_2026*M$7</f>
        <v>-142355.80915933655</v>
      </c>
      <c r="N44" s="31">
        <f>(INDEX(Option3!N$106:N$117, MATCH($D44, Option3!$G$106:$G$117,0)))*conv_2026*N$7</f>
        <v>-140835.80413337096</v>
      </c>
      <c r="O44" s="31">
        <f>(INDEX(Option3!O$106:O$117, MATCH($D44, Option3!$G$106:$G$117,0)))*conv_2026*O$7</f>
        <v>-281576.54765784094</v>
      </c>
      <c r="P44" s="31">
        <f>(INDEX(Option3!P$106:P$117, MATCH($D44, Option3!$G$106:$G$117,0)))*conv_2026*P$7</f>
        <v>-12150.245948844502</v>
      </c>
      <c r="Q44" s="31">
        <f>(INDEX(Option3!Q$106:Q$117, MATCH($D44, Option3!$G$106:$G$117,0)))*conv_2026*Q$7</f>
        <v>-4632.4927908719756</v>
      </c>
      <c r="R44" s="31">
        <f>(INDEX(Option3!R$106:R$117, MATCH($D44, Option3!$G$106:$G$117,0)))*conv_2026*R$7</f>
        <v>-3076.3220045242606</v>
      </c>
      <c r="S44" s="31">
        <f>(INDEX(Option3!S$106:S$117, MATCH($D44, Option3!$G$106:$G$117,0)))*conv_2026*S$7</f>
        <v>-1775.1657152727946</v>
      </c>
      <c r="T44" s="31">
        <f>(INDEX(Option3!T$106:T$117, MATCH($D44, Option3!$G$106:$G$117,0)))*conv_2026*T$7</f>
        <v>-459.21004240504476</v>
      </c>
      <c r="U44" s="31">
        <f>(INDEX(Option3!U$106:U$117, MATCH($D44, Option3!$G$106:$G$117,0)))*conv_2026*U$7</f>
        <v>830.42196428121008</v>
      </c>
      <c r="V44" s="31">
        <f>(INDEX(Option3!V$106:V$117, MATCH($D44, Option3!$G$106:$G$117,0)))*conv_2026*V$7</f>
        <v>2162.8671570299357</v>
      </c>
      <c r="W44" s="31">
        <f>(INDEX(Option3!W$106:W$117, MATCH($D44, Option3!$G$106:$G$117,0)))*conv_2026*W$7</f>
        <v>3461.2811974281694</v>
      </c>
      <c r="X44" s="31">
        <f>(INDEX(Option3!X$106:X$117, MATCH($D44, Option3!$G$106:$G$117,0)))*conv_2026*X$7</f>
        <v>4721.9679905829025</v>
      </c>
      <c r="Y44" s="31">
        <f>(INDEX(Option3!Y$106:Y$117, MATCH($D44, Option3!$G$106:$G$117,0)))*conv_2026*Y$7</f>
        <v>5941.5538047463779</v>
      </c>
      <c r="Z44" s="31">
        <f>(INDEX(Option3!Z$106:Z$117, MATCH($D44, Option3!$G$106:$G$117,0)))*conv_2026*Z$7</f>
        <v>7117.0755295520403</v>
      </c>
      <c r="AA44" s="31">
        <f>(INDEX(Option3!AA$106:AA$117, MATCH($D44, Option3!$G$106:$G$117,0)))*conv_2026*AA$7</f>
        <v>8246.0665064085297</v>
      </c>
      <c r="AB44" s="31">
        <f>(INDEX(Option3!AB$106:AB$117, MATCH($D44, Option3!$G$106:$G$117,0)))*conv_2026*AB$7</f>
        <v>9326.6377329609841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1" t="s">
        <v>132</v>
      </c>
      <c r="B45" s="251" t="str">
        <f>Option3!A111</f>
        <v>sens2</v>
      </c>
      <c r="C45" s="251" t="str">
        <f>Option3!C111</f>
        <v>Capex 10% lower</v>
      </c>
      <c r="D45" s="251" t="str">
        <f t="shared" si="5"/>
        <v>Option 3sens2</v>
      </c>
      <c r="E45" s="252"/>
      <c r="F45" s="31">
        <f t="shared" si="4"/>
        <v>-110059.16415748246</v>
      </c>
      <c r="G45" s="251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-82878.054173282784</v>
      </c>
      <c r="K45" s="31">
        <f>(INDEX(Option3!K$106:K$117, MATCH($D45, Option3!$G$106:$G$117,0)))*conv_2026*K$7</f>
        <v>-117670.2452223835</v>
      </c>
      <c r="L45" s="31">
        <f>(INDEX(Option3!L$106:L$117, MATCH($D45, Option3!$G$106:$G$117,0)))*conv_2026*L$7</f>
        <v>-116218.69104506202</v>
      </c>
      <c r="M45" s="31">
        <f>(INDEX(Option3!M$106:M$117, MATCH($D45, Option3!$G$106:$G$117,0)))*conv_2026*M$7</f>
        <v>-114729.79110157561</v>
      </c>
      <c r="N45" s="31">
        <f>(INDEX(Option3!N$106:N$117, MATCH($D45, Option3!$G$106:$G$117,0)))*conv_2026*N$7</f>
        <v>-113209.78607561</v>
      </c>
      <c r="O45" s="31">
        <f>(INDEX(Option3!O$106:O$117, MATCH($D45, Option3!$G$106:$G$117,0)))*conv_2026*O$7</f>
        <v>-228067.96720743793</v>
      </c>
      <c r="P45" s="31">
        <f>(INDEX(Option3!P$106:P$117, MATCH($D45, Option3!$G$106:$G$117,0)))*conv_2026*P$7</f>
        <v>54299.615697879592</v>
      </c>
      <c r="Q45" s="31">
        <f>(INDEX(Option3!Q$106:Q$117, MATCH($D45, Option3!$G$106:$G$117,0)))*conv_2026*Q$7</f>
        <v>61817.368855852117</v>
      </c>
      <c r="R45" s="31">
        <f>(INDEX(Option3!R$106:R$117, MATCH($D45, Option3!$G$106:$G$117,0)))*conv_2026*R$7</f>
        <v>63373.53964219983</v>
      </c>
      <c r="S45" s="31">
        <f>(INDEX(Option3!S$106:S$117, MATCH($D45, Option3!$G$106:$G$117,0)))*conv_2026*S$7</f>
        <v>64674.695931451301</v>
      </c>
      <c r="T45" s="31">
        <f>(INDEX(Option3!T$106:T$117, MATCH($D45, Option3!$G$106:$G$117,0)))*conv_2026*T$7</f>
        <v>65990.65160431905</v>
      </c>
      <c r="U45" s="31">
        <f>(INDEX(Option3!U$106:U$117, MATCH($D45, Option3!$G$106:$G$117,0)))*conv_2026*U$7</f>
        <v>67280.283611005303</v>
      </c>
      <c r="V45" s="31">
        <f>(INDEX(Option3!V$106:V$117, MATCH($D45, Option3!$G$106:$G$117,0)))*conv_2026*V$7</f>
        <v>68612.728803754027</v>
      </c>
      <c r="W45" s="31">
        <f>(INDEX(Option3!W$106:W$117, MATCH($D45, Option3!$G$106:$G$117,0)))*conv_2026*W$7</f>
        <v>69911.142844152258</v>
      </c>
      <c r="X45" s="31">
        <f>(INDEX(Option3!X$106:X$117, MATCH($D45, Option3!$G$106:$G$117,0)))*conv_2026*X$7</f>
        <v>71171.82963730699</v>
      </c>
      <c r="Y45" s="31">
        <f>(INDEX(Option3!Y$106:Y$117, MATCH($D45, Option3!$G$106:$G$117,0)))*conv_2026*Y$7</f>
        <v>72391.415451470471</v>
      </c>
      <c r="Z45" s="31">
        <f>(INDEX(Option3!Z$106:Z$117, MATCH($D45, Option3!$G$106:$G$117,0)))*conv_2026*Z$7</f>
        <v>73566.937176276129</v>
      </c>
      <c r="AA45" s="31">
        <f>(INDEX(Option3!AA$106:AA$117, MATCH($D45, Option3!$G$106:$G$117,0)))*conv_2026*AA$7</f>
        <v>74695.928153132627</v>
      </c>
      <c r="AB45" s="31">
        <f>(INDEX(Option3!AB$106:AB$117, MATCH($D45, Option3!$G$106:$G$117,0)))*conv_2026*AB$7</f>
        <v>75776.499379685076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1" t="s">
        <v>132</v>
      </c>
      <c r="B46" s="251" t="str">
        <f>Option3!A112</f>
        <v>sens3</v>
      </c>
      <c r="C46" s="251" t="str">
        <f>Option3!C112</f>
        <v>Total benefits 10% higher</v>
      </c>
      <c r="D46" s="251" t="str">
        <f t="shared" si="5"/>
        <v>Option 3sens3</v>
      </c>
      <c r="E46" s="252"/>
      <c r="F46" s="31">
        <f t="shared" si="4"/>
        <v>-156269.31005716484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-92086.726859203074</v>
      </c>
      <c r="K46" s="31">
        <f>(INDEX(Option3!K$106:K$117, MATCH($D46, Option3!$G$106:$G$117,0)))*conv_2026*K$7</f>
        <v>-130818.5706475099</v>
      </c>
      <c r="L46" s="31">
        <f>(INDEX(Option3!L$106:L$117, MATCH($D46, Option3!$G$106:$G$117,0)))*conv_2026*L$7</f>
        <v>-129221.86105245627</v>
      </c>
      <c r="M46" s="31">
        <f>(INDEX(Option3!M$106:M$117, MATCH($D46, Option3!$G$106:$G$117,0)))*conv_2026*M$7</f>
        <v>-127584.07111462124</v>
      </c>
      <c r="N46" s="31">
        <f>(INDEX(Option3!N$106:N$117, MATCH($D46, Option3!$G$106:$G$117,0)))*conv_2026*N$7</f>
        <v>-125912.06558605905</v>
      </c>
      <c r="O46" s="31">
        <f>(INDEX(Option3!O$106:O$117, MATCH($D46, Option3!$G$106:$G$117,0)))*conv_2026*O$7</f>
        <v>-253550.19295070189</v>
      </c>
      <c r="P46" s="31">
        <f>(INDEX(Option3!P$106:P$117, MATCH($D46, Option3!$G$106:$G$117,0)))*conv_2026*P$7</f>
        <v>56407.084185331347</v>
      </c>
      <c r="Q46" s="31">
        <f>(INDEX(Option3!Q$106:Q$117, MATCH($D46, Option3!$G$106:$G$117,0)))*conv_2026*Q$7</f>
        <v>64676.612659101127</v>
      </c>
      <c r="R46" s="31">
        <f>(INDEX(Option3!R$106:R$117, MATCH($D46, Option3!$G$106:$G$117,0)))*conv_2026*R$7</f>
        <v>66388.400524083612</v>
      </c>
      <c r="S46" s="31">
        <f>(INDEX(Option3!S$106:S$117, MATCH($D46, Option3!$G$106:$G$117,0)))*conv_2026*S$7</f>
        <v>67819.672442260227</v>
      </c>
      <c r="T46" s="31">
        <f>(INDEX(Option3!T$106:T$117, MATCH($D46, Option3!$G$106:$G$117,0)))*conv_2026*T$7</f>
        <v>69267.223682414755</v>
      </c>
      <c r="U46" s="31">
        <f>(INDEX(Option3!U$106:U$117, MATCH($D46, Option3!$G$106:$G$117,0)))*conv_2026*U$7</f>
        <v>70685.818889769638</v>
      </c>
      <c r="V46" s="31">
        <f>(INDEX(Option3!V$106:V$117, MATCH($D46, Option3!$G$106:$G$117,0)))*conv_2026*V$7</f>
        <v>72151.508601793234</v>
      </c>
      <c r="W46" s="31">
        <f>(INDEX(Option3!W$106:W$117, MATCH($D46, Option3!$G$106:$G$117,0)))*conv_2026*W$7</f>
        <v>73579.764046231285</v>
      </c>
      <c r="X46" s="31">
        <f>(INDEX(Option3!X$106:X$117, MATCH($D46, Option3!$G$106:$G$117,0)))*conv_2026*X$7</f>
        <v>74966.519518701491</v>
      </c>
      <c r="Y46" s="31">
        <f>(INDEX(Option3!Y$106:Y$117, MATCH($D46, Option3!$G$106:$G$117,0)))*conv_2026*Y$7</f>
        <v>76308.063914281331</v>
      </c>
      <c r="Z46" s="31">
        <f>(INDEX(Option3!Z$106:Z$117, MATCH($D46, Option3!$G$106:$G$117,0)))*conv_2026*Z$7</f>
        <v>77601.137811567532</v>
      </c>
      <c r="AA46" s="31">
        <f>(INDEX(Option3!AA$106:AA$117, MATCH($D46, Option3!$G$106:$G$117,0)))*conv_2026*AA$7</f>
        <v>78843.027886109689</v>
      </c>
      <c r="AB46" s="31">
        <f>(INDEX(Option3!AB$106:AB$117, MATCH($D46, Option3!$G$106:$G$117,0)))*conv_2026*AB$7</f>
        <v>80031.656235317394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1" t="s">
        <v>132</v>
      </c>
      <c r="B47" s="251" t="str">
        <f>Option3!A113</f>
        <v>sens4</v>
      </c>
      <c r="C47" s="251" t="str">
        <f>Option3!C113</f>
        <v>Total benefits 10% lower</v>
      </c>
      <c r="D47" s="251" t="str">
        <f t="shared" si="5"/>
        <v>Option 3sens4</v>
      </c>
      <c r="E47" s="252"/>
      <c r="F47" s="31">
        <f t="shared" si="4"/>
        <v>-767933.6079364795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-92086.726859203074</v>
      </c>
      <c r="K47" s="31">
        <f>(INDEX(Option3!K$106:K$117, MATCH($D47, Option3!$G$106:$G$117,0)))*conv_2026*K$7</f>
        <v>-132147.93785501804</v>
      </c>
      <c r="L47" s="31">
        <f>(INDEX(Option3!L$106:L$117, MATCH($D47, Option3!$G$106:$G$117,0)))*conv_2026*L$7</f>
        <v>-130841.5390954287</v>
      </c>
      <c r="M47" s="31">
        <f>(INDEX(Option3!M$106:M$117, MATCH($D47, Option3!$G$106:$G$117,0)))*conv_2026*M$7</f>
        <v>-129501.52914629094</v>
      </c>
      <c r="N47" s="31">
        <f>(INDEX(Option3!N$106:N$117, MATCH($D47, Option3!$G$106:$G$117,0)))*conv_2026*N$7</f>
        <v>-128133.52462292189</v>
      </c>
      <c r="O47" s="31">
        <f>(INDEX(Option3!O$106:O$117, MATCH($D47, Option3!$G$106:$G$117,0)))*conv_2026*O$7</f>
        <v>-256094.32191457701</v>
      </c>
      <c r="P47" s="31">
        <f>(INDEX(Option3!P$106:P$117, MATCH($D47, Option3!$G$106:$G$117,0)))*conv_2026*P$7</f>
        <v>-14257.714436296257</v>
      </c>
      <c r="Q47" s="31">
        <f>(INDEX(Option3!Q$106:Q$117, MATCH($D47, Option3!$G$106:$G$117,0)))*conv_2026*Q$7</f>
        <v>-7491.7365941209828</v>
      </c>
      <c r="R47" s="31">
        <f>(INDEX(Option3!R$106:R$117, MATCH($D47, Option3!$G$106:$G$117,0)))*conv_2026*R$7</f>
        <v>-6091.1828864080398</v>
      </c>
      <c r="S47" s="31">
        <f>(INDEX(Option3!S$106:S$117, MATCH($D47, Option3!$G$106:$G$117,0)))*conv_2026*S$7</f>
        <v>-4920.1422260817199</v>
      </c>
      <c r="T47" s="31">
        <f>(INDEX(Option3!T$106:T$117, MATCH($D47, Option3!$G$106:$G$117,0)))*conv_2026*T$7</f>
        <v>-3735.7821205007444</v>
      </c>
      <c r="U47" s="31">
        <f>(INDEX(Option3!U$106:U$117, MATCH($D47, Option3!$G$106:$G$117,0)))*conv_2026*U$7</f>
        <v>-2575.1133144831165</v>
      </c>
      <c r="V47" s="31">
        <f>(INDEX(Option3!V$106:V$117, MATCH($D47, Option3!$G$106:$G$117,0)))*conv_2026*V$7</f>
        <v>-1375.9126410092617</v>
      </c>
      <c r="W47" s="31">
        <f>(INDEX(Option3!W$106:W$117, MATCH($D47, Option3!$G$106:$G$117,0)))*conv_2026*W$7</f>
        <v>-207.34000465085319</v>
      </c>
      <c r="X47" s="31">
        <f>(INDEX(Option3!X$106:X$117, MATCH($D47, Option3!$G$106:$G$117,0)))*conv_2026*X$7</f>
        <v>927.27810918840817</v>
      </c>
      <c r="Y47" s="31">
        <f>(INDEX(Option3!Y$106:Y$117, MATCH($D47, Option3!$G$106:$G$117,0)))*conv_2026*Y$7</f>
        <v>2024.9053419355375</v>
      </c>
      <c r="Z47" s="31">
        <f>(INDEX(Option3!Z$106:Z$117, MATCH($D47, Option3!$G$106:$G$117,0)))*conv_2026*Z$7</f>
        <v>3082.8748942606303</v>
      </c>
      <c r="AA47" s="31">
        <f>(INDEX(Option3!AA$106:AA$117, MATCH($D47, Option3!$G$106:$G$117,0)))*conv_2026*AA$7</f>
        <v>4098.9667734314726</v>
      </c>
      <c r="AB47" s="31">
        <f>(INDEX(Option3!AB$106:AB$117, MATCH($D47, Option3!$G$106:$G$117,0)))*conv_2026*AB$7</f>
        <v>5071.4808773286786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1" t="s">
        <v>132</v>
      </c>
      <c r="B48" s="251" t="str">
        <f>Option3!A114</f>
        <v>sens5</v>
      </c>
      <c r="C48" s="251" t="str">
        <f>Option3!C114</f>
        <v>Capex 10% higher &amp; Total benefits 10% lower</v>
      </c>
      <c r="D48" s="251" t="str">
        <f t="shared" si="5"/>
        <v>Option 3sens5</v>
      </c>
      <c r="E48" s="252"/>
      <c r="F48" s="31">
        <f t="shared" si="4"/>
        <v>-1119975.9027758194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-101295.39954512338</v>
      </c>
      <c r="K48" s="31">
        <f>(INDEX(Option3!K$106:K$117, MATCH($D48, Option3!$G$106:$G$117,0)))*conv_2026*K$7</f>
        <v>-145960.94688389852</v>
      </c>
      <c r="L48" s="31">
        <f>(INDEX(Option3!L$106:L$117, MATCH($D48, Option3!$G$106:$G$117,0)))*conv_2026*L$7</f>
        <v>-144654.54812430916</v>
      </c>
      <c r="M48" s="31">
        <f>(INDEX(Option3!M$106:M$117, MATCH($D48, Option3!$G$106:$G$117,0)))*conv_2026*M$7</f>
        <v>-143314.53817517142</v>
      </c>
      <c r="N48" s="31">
        <f>(INDEX(Option3!N$106:N$117, MATCH($D48, Option3!$G$106:$G$117,0)))*conv_2026*N$7</f>
        <v>-141946.53365180234</v>
      </c>
      <c r="O48" s="31">
        <f>(INDEX(Option3!O$106:O$117, MATCH($D48, Option3!$G$106:$G$117,0)))*conv_2026*O$7</f>
        <v>-282848.61213977856</v>
      </c>
      <c r="P48" s="31">
        <f>(INDEX(Option3!P$106:P$117, MATCH($D48, Option3!$G$106:$G$117,0)))*conv_2026*P$7</f>
        <v>-47482.645259658304</v>
      </c>
      <c r="Q48" s="31">
        <f>(INDEX(Option3!Q$106:Q$117, MATCH($D48, Option3!$G$106:$G$117,0)))*conv_2026*Q$7</f>
        <v>-40716.667417483026</v>
      </c>
      <c r="R48" s="31">
        <f>(INDEX(Option3!R$106:R$117, MATCH($D48, Option3!$G$106:$G$117,0)))*conv_2026*R$7</f>
        <v>-39316.113709770092</v>
      </c>
      <c r="S48" s="31">
        <f>(INDEX(Option3!S$106:S$117, MATCH($D48, Option3!$G$106:$G$117,0)))*conv_2026*S$7</f>
        <v>-38145.073049443767</v>
      </c>
      <c r="T48" s="31">
        <f>(INDEX(Option3!T$106:T$117, MATCH($D48, Option3!$G$106:$G$117,0)))*conv_2026*T$7</f>
        <v>-36960.712943862789</v>
      </c>
      <c r="U48" s="31">
        <f>(INDEX(Option3!U$106:U$117, MATCH($D48, Option3!$G$106:$G$117,0)))*conv_2026*U$7</f>
        <v>-35800.044137845172</v>
      </c>
      <c r="V48" s="31">
        <f>(INDEX(Option3!V$106:V$117, MATCH($D48, Option3!$G$106:$G$117,0)))*conv_2026*V$7</f>
        <v>-34600.843464371304</v>
      </c>
      <c r="W48" s="31">
        <f>(INDEX(Option3!W$106:W$117, MATCH($D48, Option3!$G$106:$G$117,0)))*conv_2026*W$7</f>
        <v>-33432.270828012908</v>
      </c>
      <c r="X48" s="31">
        <f>(INDEX(Option3!X$106:X$117, MATCH($D48, Option3!$G$106:$G$117,0)))*conv_2026*X$7</f>
        <v>-32297.652714173637</v>
      </c>
      <c r="Y48" s="31">
        <f>(INDEX(Option3!Y$106:Y$117, MATCH($D48, Option3!$G$106:$G$117,0)))*conv_2026*Y$7</f>
        <v>-31200.025481426517</v>
      </c>
      <c r="Z48" s="31">
        <f>(INDEX(Option3!Z$106:Z$117, MATCH($D48, Option3!$G$106:$G$117,0)))*conv_2026*Z$7</f>
        <v>-30142.055929101421</v>
      </c>
      <c r="AA48" s="31">
        <f>(INDEX(Option3!AA$106:AA$117, MATCH($D48, Option3!$G$106:$G$117,0)))*conv_2026*AA$7</f>
        <v>-29125.964049930571</v>
      </c>
      <c r="AB48" s="31">
        <f>(INDEX(Option3!AB$106:AB$117, MATCH($D48, Option3!$G$106:$G$117,0)))*conv_2026*AB$7</f>
        <v>-28153.449946033365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1" t="s">
        <v>132</v>
      </c>
      <c r="B49" s="251" t="str">
        <f>Option3!A115</f>
        <v>sens</v>
      </c>
      <c r="C49" s="251">
        <f>Option3!C115</f>
        <v>0</v>
      </c>
      <c r="D49" s="251" t="str">
        <f t="shared" si="5"/>
        <v>Option 3sens</v>
      </c>
      <c r="E49" s="252"/>
      <c r="F49" s="31">
        <f t="shared" si="4"/>
        <v>-462101.45899682218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-92086.726859203074</v>
      </c>
      <c r="K49" s="31">
        <f>(INDEX(Option3!K$106:K$117, MATCH($D49, Option3!$G$106:$G$117,0)))*conv_2026*K$7</f>
        <v>-131483.25425126398</v>
      </c>
      <c r="L49" s="31">
        <f>(INDEX(Option3!L$106:L$117, MATCH($D49, Option3!$G$106:$G$117,0)))*conv_2026*L$7</f>
        <v>-130031.70007394248</v>
      </c>
      <c r="M49" s="31">
        <f>(INDEX(Option3!M$106:M$117, MATCH($D49, Option3!$G$106:$G$117,0)))*conv_2026*M$7</f>
        <v>-128542.80013045609</v>
      </c>
      <c r="N49" s="31">
        <f>(INDEX(Option3!N$106:N$117, MATCH($D49, Option3!$G$106:$G$117,0)))*conv_2026*N$7</f>
        <v>-127022.79510449046</v>
      </c>
      <c r="O49" s="31">
        <f>(INDEX(Option3!O$106:O$117, MATCH($D49, Option3!$G$106:$G$117,0)))*conv_2026*O$7</f>
        <v>-254822.25743263945</v>
      </c>
      <c r="P49" s="31">
        <f>(INDEX(Option3!P$106:P$117, MATCH($D49, Option3!$G$106:$G$117,0)))*conv_2026*P$7</f>
        <v>21074.684874517548</v>
      </c>
      <c r="Q49" s="31">
        <f>(INDEX(Option3!Q$106:Q$117, MATCH($D49, Option3!$G$106:$G$117,0)))*conv_2026*Q$7</f>
        <v>28592.438032490074</v>
      </c>
      <c r="R49" s="31">
        <f>(INDEX(Option3!R$106:R$117, MATCH($D49, Option3!$G$106:$G$117,0)))*conv_2026*R$7</f>
        <v>30148.608818837787</v>
      </c>
      <c r="S49" s="31">
        <f>(INDEX(Option3!S$106:S$117, MATCH($D49, Option3!$G$106:$G$117,0)))*conv_2026*S$7</f>
        <v>31449.765108089254</v>
      </c>
      <c r="T49" s="31">
        <f>(INDEX(Option3!T$106:T$117, MATCH($D49, Option3!$G$106:$G$117,0)))*conv_2026*T$7</f>
        <v>32765.720780957003</v>
      </c>
      <c r="U49" s="31">
        <f>(INDEX(Option3!U$106:U$117, MATCH($D49, Option3!$G$106:$G$117,0)))*conv_2026*U$7</f>
        <v>34055.352787643256</v>
      </c>
      <c r="V49" s="31">
        <f>(INDEX(Option3!V$106:V$117, MATCH($D49, Option3!$G$106:$G$117,0)))*conv_2026*V$7</f>
        <v>35387.797980391988</v>
      </c>
      <c r="W49" s="31">
        <f>(INDEX(Option3!W$106:W$117, MATCH($D49, Option3!$G$106:$G$117,0)))*conv_2026*W$7</f>
        <v>36686.212020790219</v>
      </c>
      <c r="X49" s="31">
        <f>(INDEX(Option3!X$106:X$117, MATCH($D49, Option3!$G$106:$G$117,0)))*conv_2026*X$7</f>
        <v>37946.89881394495</v>
      </c>
      <c r="Y49" s="31">
        <f>(INDEX(Option3!Y$106:Y$117, MATCH($D49, Option3!$G$106:$G$117,0)))*conv_2026*Y$7</f>
        <v>39166.484628108425</v>
      </c>
      <c r="Z49" s="31">
        <f>(INDEX(Option3!Z$106:Z$117, MATCH($D49, Option3!$G$106:$G$117,0)))*conv_2026*Z$7</f>
        <v>40342.00635291409</v>
      </c>
      <c r="AA49" s="31">
        <f>(INDEX(Option3!AA$106:AA$117, MATCH($D49, Option3!$G$106:$G$117,0)))*conv_2026*AA$7</f>
        <v>41470.99732977058</v>
      </c>
      <c r="AB49" s="31">
        <f>(INDEX(Option3!AB$106:AB$117, MATCH($D49, Option3!$G$106:$G$117,0)))*conv_2026*AB$7</f>
        <v>42551.568556323036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1" t="s">
        <v>132</v>
      </c>
      <c r="B50" s="251" t="str">
        <f>Option3!A116</f>
        <v>sens</v>
      </c>
      <c r="C50" s="251">
        <f>Option3!C116</f>
        <v>0</v>
      </c>
      <c r="D50" s="251" t="str">
        <f t="shared" si="5"/>
        <v>Option 3sens</v>
      </c>
      <c r="E50" s="252"/>
      <c r="F50" s="31">
        <f t="shared" si="4"/>
        <v>-462101.45899682218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-92086.726859203074</v>
      </c>
      <c r="K50" s="31">
        <f>(INDEX(Option3!K$106:K$117, MATCH($D50, Option3!$G$106:$G$117,0)))*conv_2026*K$7</f>
        <v>-131483.25425126398</v>
      </c>
      <c r="L50" s="31">
        <f>(INDEX(Option3!L$106:L$117, MATCH($D50, Option3!$G$106:$G$117,0)))*conv_2026*L$7</f>
        <v>-130031.70007394248</v>
      </c>
      <c r="M50" s="31">
        <f>(INDEX(Option3!M$106:M$117, MATCH($D50, Option3!$G$106:$G$117,0)))*conv_2026*M$7</f>
        <v>-128542.80013045609</v>
      </c>
      <c r="N50" s="31">
        <f>(INDEX(Option3!N$106:N$117, MATCH($D50, Option3!$G$106:$G$117,0)))*conv_2026*N$7</f>
        <v>-127022.79510449046</v>
      </c>
      <c r="O50" s="31">
        <f>(INDEX(Option3!O$106:O$117, MATCH($D50, Option3!$G$106:$G$117,0)))*conv_2026*O$7</f>
        <v>-254822.25743263945</v>
      </c>
      <c r="P50" s="31">
        <f>(INDEX(Option3!P$106:P$117, MATCH($D50, Option3!$G$106:$G$117,0)))*conv_2026*P$7</f>
        <v>21074.684874517548</v>
      </c>
      <c r="Q50" s="31">
        <f>(INDEX(Option3!Q$106:Q$117, MATCH($D50, Option3!$G$106:$G$117,0)))*conv_2026*Q$7</f>
        <v>28592.438032490074</v>
      </c>
      <c r="R50" s="31">
        <f>(INDEX(Option3!R$106:R$117, MATCH($D50, Option3!$G$106:$G$117,0)))*conv_2026*R$7</f>
        <v>30148.608818837787</v>
      </c>
      <c r="S50" s="31">
        <f>(INDEX(Option3!S$106:S$117, MATCH($D50, Option3!$G$106:$G$117,0)))*conv_2026*S$7</f>
        <v>31449.765108089254</v>
      </c>
      <c r="T50" s="31">
        <f>(INDEX(Option3!T$106:T$117, MATCH($D50, Option3!$G$106:$G$117,0)))*conv_2026*T$7</f>
        <v>32765.720780957003</v>
      </c>
      <c r="U50" s="31">
        <f>(INDEX(Option3!U$106:U$117, MATCH($D50, Option3!$G$106:$G$117,0)))*conv_2026*U$7</f>
        <v>34055.352787643256</v>
      </c>
      <c r="V50" s="31">
        <f>(INDEX(Option3!V$106:V$117, MATCH($D50, Option3!$G$106:$G$117,0)))*conv_2026*V$7</f>
        <v>35387.797980391988</v>
      </c>
      <c r="W50" s="31">
        <f>(INDEX(Option3!W$106:W$117, MATCH($D50, Option3!$G$106:$G$117,0)))*conv_2026*W$7</f>
        <v>36686.212020790219</v>
      </c>
      <c r="X50" s="31">
        <f>(INDEX(Option3!X$106:X$117, MATCH($D50, Option3!$G$106:$G$117,0)))*conv_2026*X$7</f>
        <v>37946.89881394495</v>
      </c>
      <c r="Y50" s="31">
        <f>(INDEX(Option3!Y$106:Y$117, MATCH($D50, Option3!$G$106:$G$117,0)))*conv_2026*Y$7</f>
        <v>39166.484628108425</v>
      </c>
      <c r="Z50" s="31">
        <f>(INDEX(Option3!Z$106:Z$117, MATCH($D50, Option3!$G$106:$G$117,0)))*conv_2026*Z$7</f>
        <v>40342.00635291409</v>
      </c>
      <c r="AA50" s="31">
        <f>(INDEX(Option3!AA$106:AA$117, MATCH($D50, Option3!$G$106:$G$117,0)))*conv_2026*AA$7</f>
        <v>41470.99732977058</v>
      </c>
      <c r="AB50" s="31">
        <f>(INDEX(Option3!AB$106:AB$117, MATCH($D50, Option3!$G$106:$G$117,0)))*conv_2026*AB$7</f>
        <v>42551.568556323036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1" t="s">
        <v>132</v>
      </c>
      <c r="B51" s="251" t="str">
        <f>Option3!A117</f>
        <v>sens</v>
      </c>
      <c r="C51" s="251">
        <f>Option3!C117</f>
        <v>0</v>
      </c>
      <c r="D51" s="251" t="str">
        <f t="shared" si="5"/>
        <v>Option 3sens</v>
      </c>
      <c r="E51" s="252"/>
      <c r="F51" s="31">
        <f t="shared" si="4"/>
        <v>-462101.45899682218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-92086.726859203074</v>
      </c>
      <c r="K51" s="31">
        <f>(INDEX(Option3!K$106:K$117, MATCH($D51, Option3!$G$106:$G$117,0)))*conv_2026*K$7</f>
        <v>-131483.25425126398</v>
      </c>
      <c r="L51" s="31">
        <f>(INDEX(Option3!L$106:L$117, MATCH($D51, Option3!$G$106:$G$117,0)))*conv_2026*L$7</f>
        <v>-130031.70007394248</v>
      </c>
      <c r="M51" s="31">
        <f>(INDEX(Option3!M$106:M$117, MATCH($D51, Option3!$G$106:$G$117,0)))*conv_2026*M$7</f>
        <v>-128542.80013045609</v>
      </c>
      <c r="N51" s="31">
        <f>(INDEX(Option3!N$106:N$117, MATCH($D51, Option3!$G$106:$G$117,0)))*conv_2026*N$7</f>
        <v>-127022.79510449046</v>
      </c>
      <c r="O51" s="31">
        <f>(INDEX(Option3!O$106:O$117, MATCH($D51, Option3!$G$106:$G$117,0)))*conv_2026*O$7</f>
        <v>-254822.25743263945</v>
      </c>
      <c r="P51" s="31">
        <f>(INDEX(Option3!P$106:P$117, MATCH($D51, Option3!$G$106:$G$117,0)))*conv_2026*P$7</f>
        <v>21074.684874517548</v>
      </c>
      <c r="Q51" s="31">
        <f>(INDEX(Option3!Q$106:Q$117, MATCH($D51, Option3!$G$106:$G$117,0)))*conv_2026*Q$7</f>
        <v>28592.438032490074</v>
      </c>
      <c r="R51" s="31">
        <f>(INDEX(Option3!R$106:R$117, MATCH($D51, Option3!$G$106:$G$117,0)))*conv_2026*R$7</f>
        <v>30148.608818837787</v>
      </c>
      <c r="S51" s="31">
        <f>(INDEX(Option3!S$106:S$117, MATCH($D51, Option3!$G$106:$G$117,0)))*conv_2026*S$7</f>
        <v>31449.765108089254</v>
      </c>
      <c r="T51" s="31">
        <f>(INDEX(Option3!T$106:T$117, MATCH($D51, Option3!$G$106:$G$117,0)))*conv_2026*T$7</f>
        <v>32765.720780957003</v>
      </c>
      <c r="U51" s="31">
        <f>(INDEX(Option3!U$106:U$117, MATCH($D51, Option3!$G$106:$G$117,0)))*conv_2026*U$7</f>
        <v>34055.352787643256</v>
      </c>
      <c r="V51" s="31">
        <f>(INDEX(Option3!V$106:V$117, MATCH($D51, Option3!$G$106:$G$117,0)))*conv_2026*V$7</f>
        <v>35387.797980391988</v>
      </c>
      <c r="W51" s="31">
        <f>(INDEX(Option3!W$106:W$117, MATCH($D51, Option3!$G$106:$G$117,0)))*conv_2026*W$7</f>
        <v>36686.212020790219</v>
      </c>
      <c r="X51" s="31">
        <f>(INDEX(Option3!X$106:X$117, MATCH($D51, Option3!$G$106:$G$117,0)))*conv_2026*X$7</f>
        <v>37946.89881394495</v>
      </c>
      <c r="Y51" s="31">
        <f>(INDEX(Option3!Y$106:Y$117, MATCH($D51, Option3!$G$106:$G$117,0)))*conv_2026*Y$7</f>
        <v>39166.484628108425</v>
      </c>
      <c r="Z51" s="31">
        <f>(INDEX(Option3!Z$106:Z$117, MATCH($D51, Option3!$G$106:$G$117,0)))*conv_2026*Z$7</f>
        <v>40342.00635291409</v>
      </c>
      <c r="AA51" s="31">
        <f>(INDEX(Option3!AA$106:AA$117, MATCH($D51, Option3!$G$106:$G$117,0)))*conv_2026*AA$7</f>
        <v>41470.99732977058</v>
      </c>
      <c r="AB51" s="31">
        <f>(INDEX(Option3!AB$106:AB$117, MATCH($D51, Option3!$G$106:$G$117,0)))*conv_2026*AB$7</f>
        <v>42551.568556323036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1"/>
      <c r="B52" s="251"/>
      <c r="C52" s="251"/>
      <c r="D52" s="251"/>
      <c r="E52" s="251"/>
      <c r="F52" s="3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</row>
    <row r="53" spans="1:35" s="8" customFormat="1" x14ac:dyDescent="0.2">
      <c r="A53" s="251"/>
      <c r="B53" s="251"/>
      <c r="C53" s="251"/>
      <c r="D53" s="251"/>
      <c r="E53" s="251"/>
      <c r="F53" s="3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</row>
    <row r="54" spans="1:35" s="8" customFormat="1" x14ac:dyDescent="0.2">
      <c r="A54" s="251"/>
      <c r="B54" s="251"/>
      <c r="C54" s="251"/>
      <c r="D54" s="251"/>
      <c r="E54" s="251"/>
      <c r="F54" s="3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</row>
    <row r="55" spans="1:35" s="8" customFormat="1" x14ac:dyDescent="0.2">
      <c r="A55" s="251"/>
      <c r="B55" s="251"/>
      <c r="C55" s="251"/>
      <c r="D55" s="251"/>
      <c r="E55" s="251"/>
      <c r="F55" s="3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</row>
    <row r="56" spans="1:35" s="8" customFormat="1" x14ac:dyDescent="0.2">
      <c r="A56" s="251" t="s">
        <v>133</v>
      </c>
      <c r="B56" s="251" t="s">
        <v>119</v>
      </c>
      <c r="C56" s="251" t="s">
        <v>188</v>
      </c>
      <c r="D56" s="251" t="str">
        <f>A56&amp;B56</f>
        <v>Option 4NPV</v>
      </c>
      <c r="E56" s="252"/>
      <c r="F56" s="31">
        <f t="shared" ref="F56:F65" si="6">SUMPRODUCT($H56:$AG56, $H$5:$AG$5)</f>
        <v>0</v>
      </c>
      <c r="G56" s="244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3"/>
      <c r="B57" s="243"/>
      <c r="C57" s="243"/>
      <c r="D57" s="243"/>
      <c r="E57" s="243"/>
      <c r="F57" s="243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7"/>
      <c r="AI57" s="7"/>
    </row>
    <row r="58" spans="1:35" s="8" customFormat="1" x14ac:dyDescent="0.2">
      <c r="A58" s="251" t="s">
        <v>133</v>
      </c>
      <c r="B58" s="251" t="str">
        <f>Option4!A110</f>
        <v>sens1</v>
      </c>
      <c r="C58" s="251" t="str">
        <f>Option4!C110</f>
        <v>Capex 10% higher</v>
      </c>
      <c r="D58" s="251" t="str">
        <f t="shared" ref="D58:D65" si="7">A58&amp;B58</f>
        <v>Option 4sens1</v>
      </c>
      <c r="E58" s="252"/>
      <c r="F58" s="31">
        <f t="shared" si="6"/>
        <v>0</v>
      </c>
      <c r="G58" s="244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1" t="s">
        <v>133</v>
      </c>
      <c r="B59" s="251" t="str">
        <f>Option4!A111</f>
        <v>sens2</v>
      </c>
      <c r="C59" s="251" t="str">
        <f>Option4!C111</f>
        <v>Capex 10% lower</v>
      </c>
      <c r="D59" s="251" t="str">
        <f t="shared" si="7"/>
        <v>Option 4sens2</v>
      </c>
      <c r="E59" s="252"/>
      <c r="F59" s="31">
        <f t="shared" si="6"/>
        <v>0</v>
      </c>
      <c r="G59" s="251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1" t="s">
        <v>133</v>
      </c>
      <c r="B60" s="251" t="str">
        <f>Option4!A112</f>
        <v>sens3</v>
      </c>
      <c r="C60" s="251" t="str">
        <f>Option4!C112</f>
        <v>Total benefits 10% higher</v>
      </c>
      <c r="D60" s="251" t="str">
        <f t="shared" si="7"/>
        <v>Option 4sens3</v>
      </c>
      <c r="E60" s="252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1" t="s">
        <v>133</v>
      </c>
      <c r="B61" s="251" t="str">
        <f>Option4!A113</f>
        <v>sens4</v>
      </c>
      <c r="C61" s="251" t="str">
        <f>Option4!C113</f>
        <v>Total benefits 10% lower</v>
      </c>
      <c r="D61" s="251" t="str">
        <f t="shared" si="7"/>
        <v>Option 4sens4</v>
      </c>
      <c r="E61" s="252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1" t="s">
        <v>133</v>
      </c>
      <c r="B62" s="251" t="str">
        <f>Option4!A114</f>
        <v>sens5</v>
      </c>
      <c r="C62" s="251" t="str">
        <f>Option4!C114</f>
        <v>Capex 10% higher &amp; Total benefits 10% lower</v>
      </c>
      <c r="D62" s="251" t="str">
        <f t="shared" si="7"/>
        <v>Option 4sens5</v>
      </c>
      <c r="E62" s="252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1" t="s">
        <v>133</v>
      </c>
      <c r="B63" s="251" t="str">
        <f>Option4!A115</f>
        <v>sens</v>
      </c>
      <c r="C63" s="251">
        <f>Option4!C115</f>
        <v>0</v>
      </c>
      <c r="D63" s="251" t="str">
        <f t="shared" si="7"/>
        <v>Option 4sens</v>
      </c>
      <c r="E63" s="252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1" t="s">
        <v>133</v>
      </c>
      <c r="B64" s="251" t="str">
        <f>Option4!A116</f>
        <v>sens</v>
      </c>
      <c r="C64" s="251">
        <f>Option4!C116</f>
        <v>0</v>
      </c>
      <c r="D64" s="251" t="str">
        <f t="shared" si="7"/>
        <v>Option 4sens</v>
      </c>
      <c r="E64" s="252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1" t="s">
        <v>133</v>
      </c>
      <c r="B65" s="251" t="str">
        <f>Option4!A117</f>
        <v>sens</v>
      </c>
      <c r="C65" s="251">
        <f>Option4!C117</f>
        <v>0</v>
      </c>
      <c r="D65" s="251" t="str">
        <f t="shared" si="7"/>
        <v>Option 4sens</v>
      </c>
      <c r="E65" s="252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1"/>
      <c r="B66" s="251"/>
      <c r="C66" s="251"/>
      <c r="D66" s="251"/>
      <c r="E66" s="251"/>
      <c r="F66" s="3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</row>
    <row r="67" spans="1:35" s="8" customFormat="1" x14ac:dyDescent="0.2">
      <c r="A67" s="251"/>
      <c r="B67" s="251"/>
      <c r="C67" s="251"/>
      <c r="D67" s="251"/>
      <c r="E67" s="251"/>
      <c r="F67" s="3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</row>
    <row r="68" spans="1:35" s="8" customFormat="1" x14ac:dyDescent="0.2">
      <c r="A68" s="251"/>
      <c r="B68" s="251"/>
      <c r="C68" s="251"/>
      <c r="D68" s="251"/>
      <c r="E68" s="251"/>
      <c r="F68" s="3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</row>
    <row r="69" spans="1:35" s="8" customFormat="1" x14ac:dyDescent="0.2">
      <c r="A69" s="251"/>
      <c r="B69" s="251"/>
      <c r="C69" s="251"/>
      <c r="D69" s="251"/>
      <c r="E69" s="251"/>
      <c r="F69" s="3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</row>
    <row r="70" spans="1:35" s="8" customFormat="1" x14ac:dyDescent="0.2">
      <c r="A70" s="251" t="s">
        <v>154</v>
      </c>
      <c r="B70" s="251" t="s">
        <v>119</v>
      </c>
      <c r="C70" s="251" t="s">
        <v>188</v>
      </c>
      <c r="D70" s="251" t="str">
        <f>A70&amp;B70</f>
        <v>Option 5NPV</v>
      </c>
      <c r="E70" s="252"/>
      <c r="F70" s="31">
        <f t="shared" ref="F70:F79" si="8">SUMPRODUCT($H70:$AG70, $H$5:$AG$5)</f>
        <v>0</v>
      </c>
      <c r="G70" s="244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3"/>
      <c r="B71" s="243"/>
      <c r="C71" s="243"/>
      <c r="D71" s="243"/>
      <c r="E71" s="243"/>
      <c r="F71" s="243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7"/>
      <c r="AI71" s="7"/>
    </row>
    <row r="72" spans="1:35" s="8" customFormat="1" x14ac:dyDescent="0.2">
      <c r="A72" s="251" t="s">
        <v>154</v>
      </c>
      <c r="B72" s="251" t="str">
        <f>Option5!A110</f>
        <v>sens1</v>
      </c>
      <c r="C72" s="251" t="str">
        <f>Option5!C110</f>
        <v>Capex 10% higher</v>
      </c>
      <c r="D72" s="251" t="str">
        <f t="shared" ref="D72:D79" si="9">A72&amp;B72</f>
        <v>Option 5sens1</v>
      </c>
      <c r="E72" s="252"/>
      <c r="F72" s="31">
        <f t="shared" si="8"/>
        <v>0</v>
      </c>
      <c r="G72" s="244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1" t="s">
        <v>154</v>
      </c>
      <c r="B73" s="251" t="str">
        <f>Option5!A111</f>
        <v>sens2</v>
      </c>
      <c r="C73" s="251" t="str">
        <f>Option5!C111</f>
        <v>Capex 10% lower</v>
      </c>
      <c r="D73" s="251" t="str">
        <f t="shared" si="9"/>
        <v>Option 5sens2</v>
      </c>
      <c r="E73" s="252"/>
      <c r="F73" s="31">
        <f t="shared" si="8"/>
        <v>0</v>
      </c>
      <c r="G73" s="251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1" t="s">
        <v>154</v>
      </c>
      <c r="B74" s="251" t="str">
        <f>Option5!A112</f>
        <v>sens3</v>
      </c>
      <c r="C74" s="251" t="str">
        <f>Option5!C112</f>
        <v>Total benefits 10% higher</v>
      </c>
      <c r="D74" s="251" t="str">
        <f t="shared" si="9"/>
        <v>Option 5sens3</v>
      </c>
      <c r="E74" s="252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1" t="s">
        <v>154</v>
      </c>
      <c r="B75" s="251" t="str">
        <f>Option5!A113</f>
        <v>sens4</v>
      </c>
      <c r="C75" s="251" t="str">
        <f>Option5!C113</f>
        <v>Total benefits 10% lower</v>
      </c>
      <c r="D75" s="251" t="str">
        <f t="shared" si="9"/>
        <v>Option 5sens4</v>
      </c>
      <c r="E75" s="252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1" t="s">
        <v>154</v>
      </c>
      <c r="B76" s="251" t="str">
        <f>Option5!A114</f>
        <v>sens5</v>
      </c>
      <c r="C76" s="251" t="str">
        <f>Option5!C114</f>
        <v>Capex 10% higher &amp; Total benefits 10% lower</v>
      </c>
      <c r="D76" s="251" t="str">
        <f t="shared" si="9"/>
        <v>Option 5sens5</v>
      </c>
      <c r="E76" s="252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1" t="s">
        <v>154</v>
      </c>
      <c r="B77" s="251" t="str">
        <f>Option5!A115</f>
        <v>sens</v>
      </c>
      <c r="C77" s="251">
        <f>Option5!C115</f>
        <v>0</v>
      </c>
      <c r="D77" s="251" t="str">
        <f t="shared" si="9"/>
        <v>Option 5sens</v>
      </c>
      <c r="E77" s="252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1" t="s">
        <v>154</v>
      </c>
      <c r="B78" s="251" t="str">
        <f>Option5!A116</f>
        <v>sens</v>
      </c>
      <c r="C78" s="251">
        <f>Option5!C116</f>
        <v>0</v>
      </c>
      <c r="D78" s="251" t="str">
        <f t="shared" si="9"/>
        <v>Option 5sens</v>
      </c>
      <c r="E78" s="252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1" t="s">
        <v>154</v>
      </c>
      <c r="B79" s="251" t="str">
        <f>Option5!A117</f>
        <v>sens</v>
      </c>
      <c r="C79" s="251">
        <f>Option5!C117</f>
        <v>0</v>
      </c>
      <c r="D79" s="251" t="str">
        <f t="shared" si="9"/>
        <v>Option 5sens</v>
      </c>
      <c r="E79" s="252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7"/>
    </row>
    <row r="81" spans="1:34" s="8" customFormat="1" x14ac:dyDescent="0.2">
      <c r="F81" s="247"/>
    </row>
    <row r="82" spans="1:34" s="8" customFormat="1" x14ac:dyDescent="0.2">
      <c r="F82" s="247"/>
    </row>
    <row r="83" spans="1:34" s="8" customFormat="1" x14ac:dyDescent="0.2">
      <c r="F83" s="247"/>
    </row>
    <row r="84" spans="1:34" s="8" customFormat="1" ht="15" x14ac:dyDescent="0.25">
      <c r="A84" s="200" t="s">
        <v>159</v>
      </c>
      <c r="B84" s="54"/>
      <c r="C84" s="19"/>
      <c r="D84" s="19"/>
      <c r="E84" s="83"/>
      <c r="F84" s="19"/>
      <c r="G84" s="221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  <c r="Z84" s="197"/>
      <c r="AA84" s="197"/>
      <c r="AB84" s="197"/>
      <c r="AC84" s="197"/>
      <c r="AD84" s="197"/>
      <c r="AE84" s="197"/>
      <c r="AF84" s="197"/>
      <c r="AG84" s="10"/>
      <c r="AH84" s="10"/>
    </row>
    <row r="85" spans="1:34" s="8" customFormat="1" x14ac:dyDescent="0.2">
      <c r="F85" s="247"/>
    </row>
    <row r="86" spans="1:34" s="8" customFormat="1" x14ac:dyDescent="0.2">
      <c r="F86" s="247"/>
    </row>
    <row r="87" spans="1:34" s="8" customFormat="1" x14ac:dyDescent="0.2">
      <c r="E87" s="247"/>
    </row>
    <row r="88" spans="1:34" s="8" customFormat="1" x14ac:dyDescent="0.2">
      <c r="C88" s="273" t="b" cm="1">
        <f t="array" ref="C88:G88">TRANSPOSE(Data!F9:F13)</f>
        <v>0</v>
      </c>
      <c r="D88" s="273" t="b">
        <v>0</v>
      </c>
      <c r="E88" s="274" t="b">
        <v>0</v>
      </c>
      <c r="F88" s="273" t="b">
        <v>1</v>
      </c>
      <c r="G88" s="273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5" t="str" cm="1">
        <f t="array" ref="C89:G89">TRANSPOSE(options)</f>
        <v>Option 1 (base case)</v>
      </c>
      <c r="D89" s="275" t="str">
        <v>Option 2</v>
      </c>
      <c r="E89" s="275" t="str">
        <v>Option 3</v>
      </c>
      <c r="F89" s="275" t="str">
        <v>Option 4</v>
      </c>
      <c r="G89" s="275" t="str">
        <v>Option 5</v>
      </c>
      <c r="I89" s="275" t="s">
        <v>228</v>
      </c>
      <c r="K89" s="281" t="s">
        <v>229</v>
      </c>
    </row>
    <row r="90" spans="1:34" s="8" customFormat="1" x14ac:dyDescent="0.2">
      <c r="A90" s="259" t="s">
        <v>119</v>
      </c>
      <c r="B90" s="259" t="s">
        <v>219</v>
      </c>
      <c r="C90" s="104">
        <f t="shared" ref="C90:G98" si="10">IF(OR($B90=0,C$88),"", INDEX($F$14:$F$81, MATCH(C$89&amp;$A90,$D$14:$D$81,0))/10^6)</f>
        <v>0</v>
      </c>
      <c r="D90" s="104">
        <f t="shared" si="10"/>
        <v>0.67155508348925796</v>
      </c>
      <c r="E90" s="104">
        <f t="shared" si="10"/>
        <v>-0.4621014589968222</v>
      </c>
      <c r="F90" s="104" t="str">
        <f t="shared" si="10"/>
        <v/>
      </c>
      <c r="G90" s="104" t="str">
        <f t="shared" si="10"/>
        <v/>
      </c>
      <c r="H90" s="184"/>
      <c r="I90" s="104">
        <f t="shared" ref="I90:I98" si="11">_xlfn.MAXIFS(C90:G90,_xlfn.ANCHORARRAY( C$88),FALSE)</f>
        <v>0.67155508348925796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59" t="str">
        <f>"sens"&amp;Assumptions!B111</f>
        <v>sens1</v>
      </c>
      <c r="B91" s="259" t="str">
        <f>Assumptions!C111</f>
        <v>Capex 10% higher</v>
      </c>
      <c r="C91" s="104">
        <f t="shared" si="10"/>
        <v>0</v>
      </c>
      <c r="D91" s="104">
        <f t="shared" si="10"/>
        <v>0.29819536428335203</v>
      </c>
      <c r="E91" s="104">
        <f t="shared" si="10"/>
        <v>-0.814143753836162</v>
      </c>
      <c r="F91" s="104" t="str">
        <f t="shared" si="10"/>
        <v/>
      </c>
      <c r="G91" s="104" t="str">
        <f t="shared" si="10"/>
        <v/>
      </c>
      <c r="H91" s="184"/>
      <c r="I91" s="104">
        <f t="shared" si="11"/>
        <v>0.29819536428335203</v>
      </c>
      <c r="K91" s="8" t="str">
        <f t="shared" si="12"/>
        <v>Option 2</v>
      </c>
    </row>
    <row r="92" spans="1:34" s="8" customFormat="1" x14ac:dyDescent="0.2">
      <c r="A92" s="259" t="str">
        <f>"sens"&amp;Assumptions!B112</f>
        <v>sens2</v>
      </c>
      <c r="B92" s="259" t="str">
        <f>Assumptions!C112</f>
        <v>Capex 10% lower</v>
      </c>
      <c r="C92" s="104">
        <f t="shared" si="10"/>
        <v>0</v>
      </c>
      <c r="D92" s="104">
        <f t="shared" si="10"/>
        <v>1.0449148026951636</v>
      </c>
      <c r="E92" s="104">
        <f t="shared" si="10"/>
        <v>-0.11005916415748246</v>
      </c>
      <c r="F92" s="104" t="str">
        <f t="shared" si="10"/>
        <v/>
      </c>
      <c r="G92" s="104" t="str">
        <f t="shared" si="10"/>
        <v/>
      </c>
      <c r="H92" s="184"/>
      <c r="I92" s="104">
        <f t="shared" si="11"/>
        <v>1.0449148026951636</v>
      </c>
      <c r="K92" s="8" t="str">
        <f t="shared" si="12"/>
        <v>Option 2</v>
      </c>
    </row>
    <row r="93" spans="1:34" s="8" customFormat="1" x14ac:dyDescent="0.2">
      <c r="A93" s="259" t="str">
        <f>"sens"&amp;Assumptions!B113</f>
        <v>sens3</v>
      </c>
      <c r="B93" s="259" t="str">
        <f>Assumptions!C113</f>
        <v>Total benefits 10% higher</v>
      </c>
      <c r="C93" s="104">
        <f t="shared" si="10"/>
        <v>0</v>
      </c>
      <c r="D93" s="104">
        <f t="shared" si="10"/>
        <v>1.1120703110440893</v>
      </c>
      <c r="E93" s="104">
        <f t="shared" si="10"/>
        <v>-0.15626931005716485</v>
      </c>
      <c r="F93" s="104" t="str">
        <f t="shared" si="10"/>
        <v/>
      </c>
      <c r="G93" s="104" t="str">
        <f t="shared" si="10"/>
        <v/>
      </c>
      <c r="H93" s="184"/>
      <c r="I93" s="104">
        <f t="shared" si="11"/>
        <v>1.1120703110440893</v>
      </c>
      <c r="K93" s="8" t="str">
        <f t="shared" si="12"/>
        <v>Option 2</v>
      </c>
    </row>
    <row r="94" spans="1:34" s="8" customFormat="1" x14ac:dyDescent="0.2">
      <c r="A94" s="259" t="str">
        <f>"sens"&amp;Assumptions!B114</f>
        <v>sens4</v>
      </c>
      <c r="B94" s="259" t="str">
        <f>Assumptions!C114</f>
        <v>Total benefits 10% lower</v>
      </c>
      <c r="C94" s="104">
        <f t="shared" si="10"/>
        <v>0</v>
      </c>
      <c r="D94" s="104">
        <f t="shared" si="10"/>
        <v>0.23103985593442625</v>
      </c>
      <c r="E94" s="104">
        <f t="shared" si="10"/>
        <v>-0.76793360793647947</v>
      </c>
      <c r="F94" s="104" t="str">
        <f t="shared" si="10"/>
        <v/>
      </c>
      <c r="G94" s="104" t="str">
        <f t="shared" si="10"/>
        <v/>
      </c>
      <c r="H94" s="184"/>
      <c r="I94" s="104">
        <f t="shared" si="11"/>
        <v>0.23103985593442625</v>
      </c>
      <c r="K94" s="8" t="str">
        <f t="shared" si="12"/>
        <v>Option 2</v>
      </c>
    </row>
    <row r="95" spans="1:34" s="8" customFormat="1" x14ac:dyDescent="0.2">
      <c r="A95" s="259" t="str">
        <f>"sens"&amp;Assumptions!B115</f>
        <v>sens5</v>
      </c>
      <c r="B95" s="259" t="str">
        <f>Assumptions!C115</f>
        <v>Capex 10% higher &amp; Total benefits 10% lower</v>
      </c>
      <c r="C95" s="104">
        <f t="shared" si="10"/>
        <v>0</v>
      </c>
      <c r="D95" s="104">
        <f t="shared" si="10"/>
        <v>-0.14231986327147966</v>
      </c>
      <c r="E95" s="104">
        <f t="shared" si="10"/>
        <v>-1.1199759027758194</v>
      </c>
      <c r="F95" s="104" t="str">
        <f t="shared" si="10"/>
        <v/>
      </c>
      <c r="G95" s="104" t="str">
        <f t="shared" si="10"/>
        <v/>
      </c>
      <c r="H95" s="184"/>
      <c r="I95" s="104">
        <f t="shared" si="11"/>
        <v>0</v>
      </c>
      <c r="K95" s="8" t="str">
        <f t="shared" si="12"/>
        <v>Option 1 (base case)</v>
      </c>
    </row>
    <row r="96" spans="1:34" s="8" customFormat="1" x14ac:dyDescent="0.2">
      <c r="A96" s="259" t="str">
        <f>"sens"&amp;Assumptions!B116</f>
        <v>sens</v>
      </c>
      <c r="B96" s="259">
        <f>Assumptions!C116</f>
        <v>0</v>
      </c>
      <c r="C96" s="104" t="str">
        <f t="shared" si="10"/>
        <v/>
      </c>
      <c r="D96" s="104" t="str">
        <f t="shared" si="10"/>
        <v/>
      </c>
      <c r="E96" s="104" t="str">
        <f t="shared" si="10"/>
        <v/>
      </c>
      <c r="F96" s="104" t="str">
        <f t="shared" si="10"/>
        <v/>
      </c>
      <c r="G96" s="104" t="str">
        <f t="shared" si="10"/>
        <v/>
      </c>
      <c r="H96" s="184"/>
      <c r="I96" s="104">
        <f t="shared" si="11"/>
        <v>0</v>
      </c>
      <c r="K96" s="8" t="str">
        <f t="shared" si="12"/>
        <v/>
      </c>
    </row>
    <row r="97" spans="1:11" x14ac:dyDescent="0.2">
      <c r="A97" s="259" t="str">
        <f>"sens"&amp;Assumptions!B117</f>
        <v>sens</v>
      </c>
      <c r="B97" s="259">
        <f>Assumptions!C117</f>
        <v>0</v>
      </c>
      <c r="C97" s="104" t="str">
        <f t="shared" si="10"/>
        <v/>
      </c>
      <c r="D97" s="104" t="str">
        <f t="shared" si="10"/>
        <v/>
      </c>
      <c r="E97" s="104" t="str">
        <f t="shared" si="10"/>
        <v/>
      </c>
      <c r="F97" s="104" t="str">
        <f t="shared" si="10"/>
        <v/>
      </c>
      <c r="G97" s="104" t="str">
        <f t="shared" si="10"/>
        <v/>
      </c>
      <c r="H97" s="280"/>
      <c r="I97" s="104">
        <f t="shared" si="11"/>
        <v>0</v>
      </c>
      <c r="K97" s="8" t="str">
        <f t="shared" si="12"/>
        <v/>
      </c>
    </row>
    <row r="98" spans="1:11" x14ac:dyDescent="0.2">
      <c r="A98" s="259" t="str">
        <f>"sens"&amp;Assumptions!B118</f>
        <v>sens</v>
      </c>
      <c r="B98" s="259">
        <f>Assumptions!C118</f>
        <v>0</v>
      </c>
      <c r="C98" s="104" t="str">
        <f t="shared" si="10"/>
        <v/>
      </c>
      <c r="D98" s="104" t="str">
        <f t="shared" si="10"/>
        <v/>
      </c>
      <c r="E98" s="104" t="str">
        <f t="shared" si="10"/>
        <v/>
      </c>
      <c r="F98" s="104" t="str">
        <f t="shared" si="10"/>
        <v/>
      </c>
      <c r="G98" s="104" t="str">
        <f t="shared" si="10"/>
        <v/>
      </c>
      <c r="H98" s="280"/>
      <c r="I98" s="104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142A-B12B-46D9-840D-9E47896C2DDB}">
  <sheetPr codeName="Sheet4">
    <tabColor rgb="FFFFFF00"/>
  </sheetPr>
  <dimension ref="A1:AQ47"/>
  <sheetViews>
    <sheetView showGridLines="0" zoomScale="90" zoomScaleNormal="90" workbookViewId="0">
      <pane xSplit="4" ySplit="5" topLeftCell="I12" activePane="bottomRight" state="frozen"/>
      <selection activeCell="A2" sqref="A2"/>
      <selection pane="topRight" activeCell="A2" sqref="A2"/>
      <selection pane="bottomLeft" activeCell="A2" sqref="A2"/>
      <selection pane="bottomRight" activeCell="O47" sqref="O47"/>
    </sheetView>
  </sheetViews>
  <sheetFormatPr defaultColWidth="8" defaultRowHeight="12.75" x14ac:dyDescent="0.2"/>
  <cols>
    <col min="1" max="1" width="2.625" style="1" customWidth="1"/>
    <col min="2" max="2" width="10.75" style="1" customWidth="1"/>
    <col min="3" max="3" width="17" style="1" customWidth="1"/>
    <col min="4" max="4" width="24.375" style="1" customWidth="1"/>
    <col min="5" max="5" width="10.125" style="1" customWidth="1"/>
    <col min="6" max="6" width="10.125" style="328" customWidth="1"/>
    <col min="7" max="7" width="10.75" style="1" customWidth="1"/>
    <col min="8" max="8" width="10.5" style="1" customWidth="1"/>
    <col min="9" max="9" width="10.25" style="1" customWidth="1"/>
    <col min="10" max="10" width="9.75" style="12" customWidth="1"/>
    <col min="11" max="14" width="9.625" style="12" bestFit="1" customWidth="1"/>
    <col min="15" max="27" width="8.625" style="12" customWidth="1"/>
    <col min="28" max="28" width="12.125" style="12" customWidth="1"/>
    <col min="29" max="29" width="8.625" style="12" customWidth="1"/>
    <col min="30" max="30" width="9.5" style="1" bestFit="1" customWidth="1"/>
    <col min="31" max="16384" width="8" style="1"/>
  </cols>
  <sheetData>
    <row r="1" spans="1:43" ht="18.75" x14ac:dyDescent="0.3">
      <c r="A1" s="15" t="str">
        <f>bus</f>
        <v>United Energy</v>
      </c>
      <c r="B1" s="11"/>
      <c r="C1" s="15"/>
      <c r="D1" s="15"/>
      <c r="E1" s="15"/>
      <c r="F1" s="397"/>
      <c r="G1" s="15"/>
      <c r="H1" s="15"/>
      <c r="I1" s="15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396"/>
      <c r="AE1" s="396"/>
      <c r="AF1" s="396"/>
      <c r="AG1" s="396"/>
    </row>
    <row r="2" spans="1:43" ht="18.75" x14ac:dyDescent="0.3">
      <c r="A2" s="56" t="str">
        <f>proj</f>
        <v>EW switchboard and relay replacement</v>
      </c>
      <c r="B2" s="11"/>
      <c r="C2" s="15"/>
      <c r="D2" s="15"/>
      <c r="E2" s="15"/>
      <c r="F2" s="397"/>
      <c r="G2" s="15"/>
      <c r="H2" s="15"/>
      <c r="I2" s="15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396"/>
      <c r="AE2" s="396"/>
      <c r="AF2" s="396"/>
      <c r="AG2" s="396"/>
    </row>
    <row r="3" spans="1:43" ht="18.75" x14ac:dyDescent="0.3">
      <c r="A3" s="5" t="s">
        <v>247</v>
      </c>
      <c r="B3" s="327"/>
      <c r="C3" s="5"/>
      <c r="D3" s="5"/>
    </row>
    <row r="5" spans="1:43" ht="15" x14ac:dyDescent="0.2">
      <c r="A5" s="329"/>
      <c r="B5" s="329"/>
      <c r="C5" s="329"/>
      <c r="D5" s="329"/>
      <c r="E5" s="329"/>
      <c r="F5" s="330"/>
      <c r="G5" s="329"/>
      <c r="H5" s="329"/>
      <c r="I5" s="329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</row>
    <row r="6" spans="1:43" x14ac:dyDescent="0.2">
      <c r="C6" s="3"/>
      <c r="D6" s="3"/>
    </row>
    <row r="8" spans="1:43" s="332" customFormat="1" x14ac:dyDescent="0.2">
      <c r="B8" s="333" t="s">
        <v>248</v>
      </c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4"/>
    </row>
    <row r="9" spans="1:43" x14ac:dyDescent="0.2">
      <c r="F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43" x14ac:dyDescent="0.2">
      <c r="D10" s="335"/>
      <c r="F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43" x14ac:dyDescent="0.2">
      <c r="E11" s="336" t="s">
        <v>19</v>
      </c>
      <c r="F11" s="336" t="str">
        <f t="shared" ref="F11:AC11" si="0">LEFT(E11,4)+1&amp;"-"&amp;RIGHT(E11,2)+1</f>
        <v>2027-28</v>
      </c>
      <c r="G11" s="336" t="str">
        <f t="shared" si="0"/>
        <v>2028-29</v>
      </c>
      <c r="H11" s="336" t="str">
        <f t="shared" si="0"/>
        <v>2029-30</v>
      </c>
      <c r="I11" s="336" t="str">
        <f t="shared" si="0"/>
        <v>2030-31</v>
      </c>
      <c r="J11" s="336" t="str">
        <f t="shared" si="0"/>
        <v>2031-32</v>
      </c>
      <c r="K11" s="336" t="str">
        <f t="shared" si="0"/>
        <v>2032-33</v>
      </c>
      <c r="L11" s="336" t="str">
        <f t="shared" si="0"/>
        <v>2033-34</v>
      </c>
      <c r="M11" s="336" t="str">
        <f t="shared" si="0"/>
        <v>2034-35</v>
      </c>
      <c r="N11" s="336" t="str">
        <f t="shared" si="0"/>
        <v>2035-36</v>
      </c>
      <c r="O11" s="336" t="str">
        <f t="shared" si="0"/>
        <v>2036-37</v>
      </c>
      <c r="P11" s="336" t="str">
        <f t="shared" si="0"/>
        <v>2037-38</v>
      </c>
      <c r="Q11" s="336" t="str">
        <f t="shared" si="0"/>
        <v>2038-39</v>
      </c>
      <c r="R11" s="336" t="str">
        <f t="shared" si="0"/>
        <v>2039-40</v>
      </c>
      <c r="S11" s="336" t="str">
        <f t="shared" si="0"/>
        <v>2040-41</v>
      </c>
      <c r="T11" s="336" t="str">
        <f t="shared" si="0"/>
        <v>2041-42</v>
      </c>
      <c r="U11" s="336" t="str">
        <f t="shared" si="0"/>
        <v>2042-43</v>
      </c>
      <c r="V11" s="336" t="str">
        <f t="shared" si="0"/>
        <v>2043-44</v>
      </c>
      <c r="W11" s="336" t="str">
        <f t="shared" si="0"/>
        <v>2044-45</v>
      </c>
      <c r="X11" s="336" t="str">
        <f t="shared" si="0"/>
        <v>2045-46</v>
      </c>
      <c r="Y11" s="336" t="str">
        <f t="shared" si="0"/>
        <v>2046-47</v>
      </c>
      <c r="Z11" s="336" t="str">
        <f t="shared" si="0"/>
        <v>2047-48</v>
      </c>
      <c r="AA11" s="336" t="str">
        <f t="shared" si="0"/>
        <v>2048-49</v>
      </c>
      <c r="AB11" s="336" t="str">
        <f t="shared" si="0"/>
        <v>2049-50</v>
      </c>
      <c r="AC11" s="336" t="str">
        <f t="shared" si="0"/>
        <v>2050-51</v>
      </c>
    </row>
    <row r="12" spans="1:43" x14ac:dyDescent="0.2">
      <c r="D12" s="337" t="s">
        <v>2</v>
      </c>
      <c r="F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43" x14ac:dyDescent="0.2">
      <c r="D13" s="2" t="s">
        <v>249</v>
      </c>
      <c r="E13" s="360">
        <v>50000</v>
      </c>
      <c r="F13" s="360">
        <v>50000</v>
      </c>
      <c r="G13" s="360">
        <v>50000</v>
      </c>
      <c r="H13" s="360">
        <v>50000</v>
      </c>
      <c r="I13" s="360">
        <v>50000</v>
      </c>
      <c r="J13" s="360">
        <v>50000</v>
      </c>
      <c r="K13" s="360">
        <v>50000</v>
      </c>
      <c r="L13" s="360">
        <v>50000</v>
      </c>
      <c r="M13" s="360">
        <v>50000</v>
      </c>
      <c r="N13" s="360">
        <v>50000</v>
      </c>
      <c r="O13" s="360">
        <v>50000</v>
      </c>
      <c r="P13" s="360">
        <v>50000</v>
      </c>
      <c r="Q13" s="360">
        <v>50000</v>
      </c>
      <c r="R13" s="360">
        <v>50000</v>
      </c>
      <c r="S13" s="360">
        <v>50000</v>
      </c>
      <c r="T13" s="360">
        <v>50000</v>
      </c>
      <c r="U13" s="360">
        <v>50000</v>
      </c>
      <c r="V13" s="360">
        <v>50000</v>
      </c>
      <c r="W13" s="360">
        <v>50000</v>
      </c>
      <c r="X13" s="360">
        <v>50000</v>
      </c>
      <c r="Y13" s="360">
        <v>50000</v>
      </c>
      <c r="Z13" s="360">
        <v>50000</v>
      </c>
      <c r="AA13" s="360">
        <v>50000</v>
      </c>
      <c r="AB13" s="360">
        <v>50000</v>
      </c>
      <c r="AC13" s="360">
        <v>50000</v>
      </c>
    </row>
    <row r="14" spans="1:43" x14ac:dyDescent="0.2">
      <c r="D14" s="2" t="s">
        <v>250</v>
      </c>
      <c r="E14" s="360">
        <v>2527.7777777777778</v>
      </c>
      <c r="F14" s="360">
        <v>2527.7777777777778</v>
      </c>
      <c r="G14" s="360">
        <v>2527.7777777777778</v>
      </c>
      <c r="H14" s="360">
        <v>2527.7777777777778</v>
      </c>
      <c r="I14" s="360">
        <v>2527.7777777777778</v>
      </c>
      <c r="J14" s="360">
        <v>2527.7777777777778</v>
      </c>
      <c r="K14" s="360">
        <v>2527.7777777777778</v>
      </c>
      <c r="L14" s="360">
        <v>2527.7777777777778</v>
      </c>
      <c r="M14" s="360">
        <v>2527.7777777777778</v>
      </c>
      <c r="N14" s="360">
        <v>2527.7777777777778</v>
      </c>
      <c r="O14" s="360">
        <v>2527.7777777777778</v>
      </c>
      <c r="P14" s="360">
        <v>2527.7777777777778</v>
      </c>
      <c r="Q14" s="360">
        <v>2527.7777777777778</v>
      </c>
      <c r="R14" s="360">
        <v>2527.7777777777778</v>
      </c>
      <c r="S14" s="360">
        <v>2527.7777777777778</v>
      </c>
      <c r="T14" s="360">
        <v>2527.7777777777778</v>
      </c>
      <c r="U14" s="360">
        <v>2527.7777777777778</v>
      </c>
      <c r="V14" s="360">
        <v>2527.7777777777778</v>
      </c>
      <c r="W14" s="360">
        <v>2527.7777777777778</v>
      </c>
      <c r="X14" s="360">
        <v>2527.7777777777778</v>
      </c>
      <c r="Y14" s="360">
        <v>2527.7777777777778</v>
      </c>
      <c r="Z14" s="360">
        <v>2527.7777777777778</v>
      </c>
      <c r="AA14" s="360">
        <v>2527.7777777777778</v>
      </c>
      <c r="AB14" s="360">
        <v>2527.7777777777778</v>
      </c>
      <c r="AC14" s="360">
        <v>2527.7777777777778</v>
      </c>
    </row>
    <row r="15" spans="1:43" x14ac:dyDescent="0.2">
      <c r="D15" s="339" t="s">
        <v>251</v>
      </c>
      <c r="E15" s="340">
        <f>SUM(E13:E14)</f>
        <v>52527.777777777781</v>
      </c>
      <c r="F15" s="340">
        <f t="shared" ref="F15:AC15" si="1">SUM(F13:F14)</f>
        <v>52527.777777777781</v>
      </c>
      <c r="G15" s="340">
        <f t="shared" si="1"/>
        <v>52527.777777777781</v>
      </c>
      <c r="H15" s="340">
        <f t="shared" si="1"/>
        <v>52527.777777777781</v>
      </c>
      <c r="I15" s="340">
        <f t="shared" si="1"/>
        <v>52527.777777777781</v>
      </c>
      <c r="J15" s="340">
        <f t="shared" si="1"/>
        <v>52527.777777777781</v>
      </c>
      <c r="K15" s="340">
        <f t="shared" si="1"/>
        <v>52527.777777777781</v>
      </c>
      <c r="L15" s="340">
        <f t="shared" si="1"/>
        <v>52527.777777777781</v>
      </c>
      <c r="M15" s="340">
        <f t="shared" si="1"/>
        <v>52527.777777777781</v>
      </c>
      <c r="N15" s="340">
        <f t="shared" si="1"/>
        <v>52527.777777777781</v>
      </c>
      <c r="O15" s="340">
        <f t="shared" si="1"/>
        <v>52527.777777777781</v>
      </c>
      <c r="P15" s="340">
        <f t="shared" si="1"/>
        <v>52527.777777777781</v>
      </c>
      <c r="Q15" s="340">
        <f t="shared" si="1"/>
        <v>52527.777777777781</v>
      </c>
      <c r="R15" s="340">
        <f t="shared" si="1"/>
        <v>52527.777777777781</v>
      </c>
      <c r="S15" s="340">
        <f t="shared" si="1"/>
        <v>52527.777777777781</v>
      </c>
      <c r="T15" s="340">
        <f t="shared" si="1"/>
        <v>52527.777777777781</v>
      </c>
      <c r="U15" s="340">
        <f t="shared" si="1"/>
        <v>52527.777777777781</v>
      </c>
      <c r="V15" s="340">
        <f t="shared" si="1"/>
        <v>52527.777777777781</v>
      </c>
      <c r="W15" s="340">
        <f t="shared" si="1"/>
        <v>52527.777777777781</v>
      </c>
      <c r="X15" s="340">
        <f t="shared" si="1"/>
        <v>52527.777777777781</v>
      </c>
      <c r="Y15" s="340">
        <f t="shared" si="1"/>
        <v>52527.777777777781</v>
      </c>
      <c r="Z15" s="340">
        <f t="shared" si="1"/>
        <v>52527.777777777781</v>
      </c>
      <c r="AA15" s="340">
        <f t="shared" si="1"/>
        <v>52527.777777777781</v>
      </c>
      <c r="AB15" s="340">
        <f t="shared" si="1"/>
        <v>52527.777777777781</v>
      </c>
      <c r="AC15" s="340">
        <f t="shared" si="1"/>
        <v>52527.777777777781</v>
      </c>
    </row>
    <row r="16" spans="1:43" x14ac:dyDescent="0.2">
      <c r="F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2:29" x14ac:dyDescent="0.2">
      <c r="F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2:29" s="341" customFormat="1" x14ac:dyDescent="0.2">
      <c r="B18" s="333" t="str">
        <f>"Option 2 - "&amp;Assumptions!E15</f>
        <v>Option 2 - SWBD and relay replacement completed in 2027-28</v>
      </c>
    </row>
    <row r="19" spans="2:29" x14ac:dyDescent="0.2">
      <c r="F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2:29" x14ac:dyDescent="0.2">
      <c r="F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2:29" x14ac:dyDescent="0.2">
      <c r="E21" s="336" t="s">
        <v>19</v>
      </c>
      <c r="F21" s="336" t="str">
        <f t="shared" ref="F21:AC21" si="2">LEFT(E21,4)+1&amp;"-"&amp;RIGHT(E21,2)+1</f>
        <v>2027-28</v>
      </c>
      <c r="G21" s="336" t="str">
        <f t="shared" si="2"/>
        <v>2028-29</v>
      </c>
      <c r="H21" s="336" t="str">
        <f t="shared" si="2"/>
        <v>2029-30</v>
      </c>
      <c r="I21" s="336" t="str">
        <f t="shared" si="2"/>
        <v>2030-31</v>
      </c>
      <c r="J21" s="336" t="str">
        <f t="shared" si="2"/>
        <v>2031-32</v>
      </c>
      <c r="K21" s="336" t="str">
        <f t="shared" si="2"/>
        <v>2032-33</v>
      </c>
      <c r="L21" s="336" t="str">
        <f t="shared" si="2"/>
        <v>2033-34</v>
      </c>
      <c r="M21" s="336" t="str">
        <f t="shared" si="2"/>
        <v>2034-35</v>
      </c>
      <c r="N21" s="336" t="str">
        <f t="shared" si="2"/>
        <v>2035-36</v>
      </c>
      <c r="O21" s="336" t="str">
        <f t="shared" si="2"/>
        <v>2036-37</v>
      </c>
      <c r="P21" s="336" t="str">
        <f t="shared" si="2"/>
        <v>2037-38</v>
      </c>
      <c r="Q21" s="336" t="str">
        <f t="shared" si="2"/>
        <v>2038-39</v>
      </c>
      <c r="R21" s="336" t="str">
        <f t="shared" si="2"/>
        <v>2039-40</v>
      </c>
      <c r="S21" s="336" t="str">
        <f t="shared" si="2"/>
        <v>2040-41</v>
      </c>
      <c r="T21" s="336" t="str">
        <f t="shared" si="2"/>
        <v>2041-42</v>
      </c>
      <c r="U21" s="336" t="str">
        <f t="shared" si="2"/>
        <v>2042-43</v>
      </c>
      <c r="V21" s="336" t="str">
        <f t="shared" si="2"/>
        <v>2043-44</v>
      </c>
      <c r="W21" s="336" t="str">
        <f t="shared" si="2"/>
        <v>2044-45</v>
      </c>
      <c r="X21" s="336" t="str">
        <f t="shared" si="2"/>
        <v>2045-46</v>
      </c>
      <c r="Y21" s="336" t="str">
        <f t="shared" si="2"/>
        <v>2046-47</v>
      </c>
      <c r="Z21" s="336" t="str">
        <f t="shared" si="2"/>
        <v>2047-48</v>
      </c>
      <c r="AA21" s="336" t="str">
        <f t="shared" si="2"/>
        <v>2048-49</v>
      </c>
      <c r="AB21" s="336" t="str">
        <f t="shared" si="2"/>
        <v>2049-50</v>
      </c>
      <c r="AC21" s="336" t="str">
        <f t="shared" si="2"/>
        <v>2050-51</v>
      </c>
    </row>
    <row r="22" spans="2:29" x14ac:dyDescent="0.2">
      <c r="D22" s="337" t="s">
        <v>252</v>
      </c>
      <c r="E22" s="360">
        <v>2045617.0626319998</v>
      </c>
      <c r="F22" s="360">
        <v>1022808.5313159998</v>
      </c>
      <c r="G22" s="360"/>
      <c r="H22" s="360"/>
      <c r="I22" s="360"/>
      <c r="J22" s="360"/>
      <c r="K22" s="360">
        <v>0</v>
      </c>
      <c r="L22" s="360">
        <v>0</v>
      </c>
      <c r="M22" s="360">
        <v>0</v>
      </c>
      <c r="N22" s="360">
        <v>0</v>
      </c>
      <c r="O22" s="360">
        <v>0</v>
      </c>
      <c r="P22" s="360">
        <v>0</v>
      </c>
      <c r="Q22" s="360">
        <v>0</v>
      </c>
      <c r="R22" s="360">
        <v>0</v>
      </c>
      <c r="S22" s="360">
        <v>0</v>
      </c>
      <c r="T22" s="360">
        <v>0</v>
      </c>
      <c r="U22" s="360">
        <v>0</v>
      </c>
      <c r="V22" s="360">
        <v>0</v>
      </c>
      <c r="W22" s="360">
        <v>0</v>
      </c>
      <c r="X22" s="360">
        <v>0</v>
      </c>
      <c r="Y22" s="360">
        <v>0</v>
      </c>
      <c r="Z22" s="360">
        <v>0</v>
      </c>
      <c r="AA22" s="360">
        <v>0</v>
      </c>
      <c r="AB22" s="360">
        <v>0</v>
      </c>
      <c r="AC22" s="360">
        <v>0</v>
      </c>
    </row>
    <row r="23" spans="2:29" x14ac:dyDescent="0.2">
      <c r="D23" s="337" t="s">
        <v>253</v>
      </c>
      <c r="E23" s="360">
        <v>1363744.7084213332</v>
      </c>
      <c r="F23" s="360">
        <v>681872.35421066661</v>
      </c>
      <c r="G23" s="360"/>
      <c r="H23" s="360"/>
      <c r="I23" s="360"/>
      <c r="J23" s="360"/>
      <c r="K23" s="360">
        <v>0</v>
      </c>
      <c r="L23" s="360">
        <v>0</v>
      </c>
      <c r="M23" s="360">
        <v>0</v>
      </c>
      <c r="N23" s="360">
        <v>0</v>
      </c>
      <c r="O23" s="360">
        <v>0</v>
      </c>
      <c r="P23" s="360">
        <v>0</v>
      </c>
      <c r="Q23" s="360">
        <v>0</v>
      </c>
      <c r="R23" s="360">
        <v>0</v>
      </c>
      <c r="S23" s="360">
        <v>0</v>
      </c>
      <c r="T23" s="360">
        <v>0</v>
      </c>
      <c r="U23" s="360">
        <v>0</v>
      </c>
      <c r="V23" s="360">
        <v>0</v>
      </c>
      <c r="W23" s="360">
        <v>0</v>
      </c>
      <c r="X23" s="360">
        <v>0</v>
      </c>
      <c r="Y23" s="360">
        <v>0</v>
      </c>
      <c r="Z23" s="360">
        <v>0</v>
      </c>
      <c r="AA23" s="360">
        <v>0</v>
      </c>
      <c r="AB23" s="360">
        <v>0</v>
      </c>
      <c r="AC23" s="360">
        <v>0</v>
      </c>
    </row>
    <row r="24" spans="2:29" x14ac:dyDescent="0.2">
      <c r="D24" s="344" t="s">
        <v>254</v>
      </c>
      <c r="E24" s="345">
        <f>SUM(E22:E23)</f>
        <v>3409361.7710533328</v>
      </c>
      <c r="F24" s="345">
        <f>SUM(F22:F23)</f>
        <v>1704680.8855266664</v>
      </c>
      <c r="G24" s="345">
        <f t="shared" ref="G24:I24" si="3">SUM(G22:G23)</f>
        <v>0</v>
      </c>
      <c r="H24" s="345">
        <f t="shared" si="3"/>
        <v>0</v>
      </c>
      <c r="I24" s="345">
        <f t="shared" si="3"/>
        <v>0</v>
      </c>
      <c r="J24" s="345">
        <f>SUM(J22:J23)</f>
        <v>0</v>
      </c>
      <c r="K24" s="345">
        <f t="shared" ref="K24:AC24" si="4">SUM(K22:K23)</f>
        <v>0</v>
      </c>
      <c r="L24" s="345">
        <f t="shared" si="4"/>
        <v>0</v>
      </c>
      <c r="M24" s="345">
        <f t="shared" si="4"/>
        <v>0</v>
      </c>
      <c r="N24" s="345">
        <f t="shared" si="4"/>
        <v>0</v>
      </c>
      <c r="O24" s="345">
        <f t="shared" si="4"/>
        <v>0</v>
      </c>
      <c r="P24" s="345">
        <f t="shared" si="4"/>
        <v>0</v>
      </c>
      <c r="Q24" s="345">
        <f t="shared" si="4"/>
        <v>0</v>
      </c>
      <c r="R24" s="345">
        <f t="shared" si="4"/>
        <v>0</v>
      </c>
      <c r="S24" s="345">
        <f t="shared" si="4"/>
        <v>0</v>
      </c>
      <c r="T24" s="345">
        <f t="shared" si="4"/>
        <v>0</v>
      </c>
      <c r="U24" s="345">
        <f t="shared" si="4"/>
        <v>0</v>
      </c>
      <c r="V24" s="345">
        <f t="shared" si="4"/>
        <v>0</v>
      </c>
      <c r="W24" s="345">
        <f t="shared" si="4"/>
        <v>0</v>
      </c>
      <c r="X24" s="345">
        <f t="shared" si="4"/>
        <v>0</v>
      </c>
      <c r="Y24" s="345">
        <f t="shared" si="4"/>
        <v>0</v>
      </c>
      <c r="Z24" s="345">
        <f t="shared" si="4"/>
        <v>0</v>
      </c>
      <c r="AA24" s="345">
        <f t="shared" si="4"/>
        <v>0</v>
      </c>
      <c r="AB24" s="345">
        <f t="shared" si="4"/>
        <v>0</v>
      </c>
      <c r="AC24" s="345">
        <f t="shared" si="4"/>
        <v>0</v>
      </c>
    </row>
    <row r="25" spans="2:29" x14ac:dyDescent="0.2">
      <c r="F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2:29" x14ac:dyDescent="0.2">
      <c r="E26" s="336" t="s">
        <v>19</v>
      </c>
      <c r="F26" s="336" t="str">
        <f t="shared" ref="F26:AC26" si="5">LEFT(E26,4)+1&amp;"-"&amp;RIGHT(E26,2)+1</f>
        <v>2027-28</v>
      </c>
      <c r="G26" s="336" t="str">
        <f t="shared" si="5"/>
        <v>2028-29</v>
      </c>
      <c r="H26" s="336" t="str">
        <f t="shared" si="5"/>
        <v>2029-30</v>
      </c>
      <c r="I26" s="336" t="str">
        <f t="shared" si="5"/>
        <v>2030-31</v>
      </c>
      <c r="J26" s="336" t="str">
        <f t="shared" si="5"/>
        <v>2031-32</v>
      </c>
      <c r="K26" s="336" t="str">
        <f t="shared" si="5"/>
        <v>2032-33</v>
      </c>
      <c r="L26" s="336" t="str">
        <f t="shared" si="5"/>
        <v>2033-34</v>
      </c>
      <c r="M26" s="336" t="str">
        <f t="shared" si="5"/>
        <v>2034-35</v>
      </c>
      <c r="N26" s="336" t="str">
        <f t="shared" si="5"/>
        <v>2035-36</v>
      </c>
      <c r="O26" s="336" t="str">
        <f t="shared" si="5"/>
        <v>2036-37</v>
      </c>
      <c r="P26" s="336" t="str">
        <f t="shared" si="5"/>
        <v>2037-38</v>
      </c>
      <c r="Q26" s="336" t="str">
        <f t="shared" si="5"/>
        <v>2038-39</v>
      </c>
      <c r="R26" s="336" t="str">
        <f t="shared" si="5"/>
        <v>2039-40</v>
      </c>
      <c r="S26" s="336" t="str">
        <f t="shared" si="5"/>
        <v>2040-41</v>
      </c>
      <c r="T26" s="336" t="str">
        <f t="shared" si="5"/>
        <v>2041-42</v>
      </c>
      <c r="U26" s="336" t="str">
        <f t="shared" si="5"/>
        <v>2042-43</v>
      </c>
      <c r="V26" s="336" t="str">
        <f t="shared" si="5"/>
        <v>2043-44</v>
      </c>
      <c r="W26" s="336" t="str">
        <f t="shared" si="5"/>
        <v>2044-45</v>
      </c>
      <c r="X26" s="336" t="str">
        <f t="shared" si="5"/>
        <v>2045-46</v>
      </c>
      <c r="Y26" s="336" t="str">
        <f t="shared" si="5"/>
        <v>2046-47</v>
      </c>
      <c r="Z26" s="336" t="str">
        <f t="shared" si="5"/>
        <v>2047-48</v>
      </c>
      <c r="AA26" s="336" t="str">
        <f t="shared" si="5"/>
        <v>2048-49</v>
      </c>
      <c r="AB26" s="336" t="str">
        <f t="shared" si="5"/>
        <v>2049-50</v>
      </c>
      <c r="AC26" s="336" t="str">
        <f t="shared" si="5"/>
        <v>2050-51</v>
      </c>
    </row>
    <row r="27" spans="2:29" x14ac:dyDescent="0.2">
      <c r="D27" s="337" t="s">
        <v>2</v>
      </c>
      <c r="F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2:29" x14ac:dyDescent="0.2">
      <c r="D28" s="2" t="s">
        <v>249</v>
      </c>
      <c r="E28" s="360">
        <v>50000</v>
      </c>
      <c r="F28" s="360">
        <v>50000</v>
      </c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</row>
    <row r="29" spans="2:29" x14ac:dyDescent="0.2">
      <c r="D29" s="2" t="s">
        <v>250</v>
      </c>
      <c r="E29" s="360">
        <v>2527.7777777777778</v>
      </c>
      <c r="F29" s="360">
        <v>2527.7777777777778</v>
      </c>
      <c r="G29" s="360">
        <v>2527.7777777777778</v>
      </c>
      <c r="H29" s="360">
        <v>2527.7777777777778</v>
      </c>
      <c r="I29" s="360">
        <v>2527.7777777777778</v>
      </c>
      <c r="J29" s="360">
        <v>2527.7777777777778</v>
      </c>
      <c r="K29" s="360">
        <v>2527.7777777777778</v>
      </c>
      <c r="L29" s="360">
        <v>2527.7777777777778</v>
      </c>
      <c r="M29" s="360">
        <v>2527.7777777777778</v>
      </c>
      <c r="N29" s="360">
        <v>2527.7777777777778</v>
      </c>
      <c r="O29" s="360">
        <v>2527.7777777777778</v>
      </c>
      <c r="P29" s="360">
        <v>2527.7777777777778</v>
      </c>
      <c r="Q29" s="360">
        <v>2527.7777777777778</v>
      </c>
      <c r="R29" s="360">
        <v>2527.7777777777778</v>
      </c>
      <c r="S29" s="360">
        <v>2527.7777777777778</v>
      </c>
      <c r="T29" s="360">
        <v>2527.7777777777778</v>
      </c>
      <c r="U29" s="360">
        <v>2527.7777777777778</v>
      </c>
      <c r="V29" s="360">
        <v>2527.7777777777778</v>
      </c>
      <c r="W29" s="360">
        <v>2527.7777777777778</v>
      </c>
      <c r="X29" s="360">
        <v>2527.7777777777778</v>
      </c>
      <c r="Y29" s="360">
        <v>2527.7777777777778</v>
      </c>
      <c r="Z29" s="360">
        <v>2527.7777777777778</v>
      </c>
      <c r="AA29" s="360">
        <v>2527.7777777777778</v>
      </c>
      <c r="AB29" s="360">
        <v>2527.7777777777778</v>
      </c>
      <c r="AC29" s="360">
        <v>2527.7777777777778</v>
      </c>
    </row>
    <row r="30" spans="2:29" x14ac:dyDescent="0.2">
      <c r="D30" s="339" t="s">
        <v>251</v>
      </c>
      <c r="E30" s="340">
        <f>SUM(E28:E29)</f>
        <v>52527.777777777781</v>
      </c>
      <c r="F30" s="340">
        <f t="shared" ref="F30:AC30" si="6">SUM(F28:F29)</f>
        <v>52527.777777777781</v>
      </c>
      <c r="G30" s="340">
        <f t="shared" si="6"/>
        <v>2527.7777777777778</v>
      </c>
      <c r="H30" s="340">
        <f t="shared" si="6"/>
        <v>2527.7777777777778</v>
      </c>
      <c r="I30" s="340">
        <f t="shared" si="6"/>
        <v>2527.7777777777778</v>
      </c>
      <c r="J30" s="340">
        <f t="shared" si="6"/>
        <v>2527.7777777777778</v>
      </c>
      <c r="K30" s="340">
        <f t="shared" si="6"/>
        <v>2527.7777777777778</v>
      </c>
      <c r="L30" s="340">
        <f t="shared" si="6"/>
        <v>2527.7777777777778</v>
      </c>
      <c r="M30" s="340">
        <f t="shared" si="6"/>
        <v>2527.7777777777778</v>
      </c>
      <c r="N30" s="340">
        <f t="shared" si="6"/>
        <v>2527.7777777777778</v>
      </c>
      <c r="O30" s="340">
        <f t="shared" si="6"/>
        <v>2527.7777777777778</v>
      </c>
      <c r="P30" s="340">
        <f t="shared" si="6"/>
        <v>2527.7777777777778</v>
      </c>
      <c r="Q30" s="340">
        <f t="shared" si="6"/>
        <v>2527.7777777777778</v>
      </c>
      <c r="R30" s="340">
        <f t="shared" si="6"/>
        <v>2527.7777777777778</v>
      </c>
      <c r="S30" s="340">
        <f t="shared" si="6"/>
        <v>2527.7777777777778</v>
      </c>
      <c r="T30" s="340">
        <f t="shared" si="6"/>
        <v>2527.7777777777778</v>
      </c>
      <c r="U30" s="340">
        <f t="shared" si="6"/>
        <v>2527.7777777777778</v>
      </c>
      <c r="V30" s="340">
        <f t="shared" si="6"/>
        <v>2527.7777777777778</v>
      </c>
      <c r="W30" s="340">
        <f t="shared" si="6"/>
        <v>2527.7777777777778</v>
      </c>
      <c r="X30" s="340">
        <f t="shared" si="6"/>
        <v>2527.7777777777778</v>
      </c>
      <c r="Y30" s="340">
        <f t="shared" si="6"/>
        <v>2527.7777777777778</v>
      </c>
      <c r="Z30" s="340">
        <f t="shared" si="6"/>
        <v>2527.7777777777778</v>
      </c>
      <c r="AA30" s="340">
        <f t="shared" si="6"/>
        <v>2527.7777777777778</v>
      </c>
      <c r="AB30" s="340">
        <f t="shared" si="6"/>
        <v>2527.7777777777778</v>
      </c>
      <c r="AC30" s="340">
        <f t="shared" si="6"/>
        <v>2527.7777777777778</v>
      </c>
    </row>
    <row r="31" spans="2:29" x14ac:dyDescent="0.2">
      <c r="D31" s="2" t="s">
        <v>311</v>
      </c>
      <c r="E31" s="391">
        <f>E$15-E30</f>
        <v>0</v>
      </c>
      <c r="F31" s="391">
        <f t="shared" ref="F31:AC31" si="7">F$15-F30</f>
        <v>0</v>
      </c>
      <c r="G31" s="391">
        <f t="shared" si="7"/>
        <v>50000</v>
      </c>
      <c r="H31" s="391">
        <f t="shared" si="7"/>
        <v>50000</v>
      </c>
      <c r="I31" s="391">
        <f t="shared" si="7"/>
        <v>50000</v>
      </c>
      <c r="J31" s="391">
        <f t="shared" si="7"/>
        <v>50000</v>
      </c>
      <c r="K31" s="391">
        <f t="shared" si="7"/>
        <v>50000</v>
      </c>
      <c r="L31" s="391">
        <f t="shared" si="7"/>
        <v>50000</v>
      </c>
      <c r="M31" s="391">
        <f t="shared" si="7"/>
        <v>50000</v>
      </c>
      <c r="N31" s="391">
        <f t="shared" si="7"/>
        <v>50000</v>
      </c>
      <c r="O31" s="391">
        <f t="shared" si="7"/>
        <v>50000</v>
      </c>
      <c r="P31" s="391">
        <f t="shared" si="7"/>
        <v>50000</v>
      </c>
      <c r="Q31" s="391">
        <f t="shared" si="7"/>
        <v>50000</v>
      </c>
      <c r="R31" s="391">
        <f t="shared" si="7"/>
        <v>50000</v>
      </c>
      <c r="S31" s="391">
        <f t="shared" si="7"/>
        <v>50000</v>
      </c>
      <c r="T31" s="391">
        <f t="shared" si="7"/>
        <v>50000</v>
      </c>
      <c r="U31" s="391">
        <f t="shared" si="7"/>
        <v>50000</v>
      </c>
      <c r="V31" s="391">
        <f t="shared" si="7"/>
        <v>50000</v>
      </c>
      <c r="W31" s="391">
        <f t="shared" si="7"/>
        <v>50000</v>
      </c>
      <c r="X31" s="391">
        <f t="shared" si="7"/>
        <v>50000</v>
      </c>
      <c r="Y31" s="391">
        <f t="shared" si="7"/>
        <v>50000</v>
      </c>
      <c r="Z31" s="391">
        <f t="shared" si="7"/>
        <v>50000</v>
      </c>
      <c r="AA31" s="391">
        <f t="shared" si="7"/>
        <v>50000</v>
      </c>
      <c r="AB31" s="391">
        <f t="shared" si="7"/>
        <v>50000</v>
      </c>
      <c r="AC31" s="391">
        <f t="shared" si="7"/>
        <v>50000</v>
      </c>
    </row>
    <row r="32" spans="2:29" ht="14.45" customHeight="1" x14ac:dyDescent="0.2"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 x14ac:dyDescent="0.2">
      <c r="F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2:29" s="341" customFormat="1" x14ac:dyDescent="0.2">
      <c r="B34" s="333" t="str">
        <f>"Option 3 - "&amp;Assumptions!E16</f>
        <v>Option 3 - Relay replacement in 2026-27 and SWBD replacement in 2031-32</v>
      </c>
    </row>
    <row r="35" spans="2:29" x14ac:dyDescent="0.2">
      <c r="F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 x14ac:dyDescent="0.2">
      <c r="F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 x14ac:dyDescent="0.2">
      <c r="E37" s="336" t="s">
        <v>19</v>
      </c>
      <c r="F37" s="336" t="str">
        <f t="shared" ref="F37:AC37" si="8">LEFT(E37,4)+1&amp;"-"&amp;RIGHT(E37,2)+1</f>
        <v>2027-28</v>
      </c>
      <c r="G37" s="336" t="str">
        <f t="shared" si="8"/>
        <v>2028-29</v>
      </c>
      <c r="H37" s="336" t="str">
        <f t="shared" si="8"/>
        <v>2029-30</v>
      </c>
      <c r="I37" s="336" t="str">
        <f t="shared" si="8"/>
        <v>2030-31</v>
      </c>
      <c r="J37" s="336" t="str">
        <f t="shared" si="8"/>
        <v>2031-32</v>
      </c>
      <c r="K37" s="336" t="str">
        <f t="shared" si="8"/>
        <v>2032-33</v>
      </c>
      <c r="L37" s="336" t="str">
        <f t="shared" si="8"/>
        <v>2033-34</v>
      </c>
      <c r="M37" s="336" t="str">
        <f t="shared" si="8"/>
        <v>2034-35</v>
      </c>
      <c r="N37" s="336" t="str">
        <f t="shared" si="8"/>
        <v>2035-36</v>
      </c>
      <c r="O37" s="336" t="str">
        <f t="shared" si="8"/>
        <v>2036-37</v>
      </c>
      <c r="P37" s="336" t="str">
        <f t="shared" si="8"/>
        <v>2037-38</v>
      </c>
      <c r="Q37" s="336" t="str">
        <f t="shared" si="8"/>
        <v>2038-39</v>
      </c>
      <c r="R37" s="336" t="str">
        <f t="shared" si="8"/>
        <v>2039-40</v>
      </c>
      <c r="S37" s="336" t="str">
        <f t="shared" si="8"/>
        <v>2040-41</v>
      </c>
      <c r="T37" s="336" t="str">
        <f t="shared" si="8"/>
        <v>2041-42</v>
      </c>
      <c r="U37" s="336" t="str">
        <f t="shared" si="8"/>
        <v>2042-43</v>
      </c>
      <c r="V37" s="336" t="str">
        <f t="shared" si="8"/>
        <v>2043-44</v>
      </c>
      <c r="W37" s="336" t="str">
        <f t="shared" si="8"/>
        <v>2044-45</v>
      </c>
      <c r="X37" s="336" t="str">
        <f t="shared" si="8"/>
        <v>2045-46</v>
      </c>
      <c r="Y37" s="336" t="str">
        <f t="shared" si="8"/>
        <v>2046-47</v>
      </c>
      <c r="Z37" s="336" t="str">
        <f t="shared" si="8"/>
        <v>2047-48</v>
      </c>
      <c r="AA37" s="336" t="str">
        <f t="shared" si="8"/>
        <v>2048-49</v>
      </c>
      <c r="AB37" s="336" t="str">
        <f t="shared" si="8"/>
        <v>2049-50</v>
      </c>
      <c r="AC37" s="336" t="str">
        <f t="shared" si="8"/>
        <v>2050-51</v>
      </c>
    </row>
    <row r="38" spans="2:29" x14ac:dyDescent="0.2">
      <c r="D38" s="337" t="s">
        <v>252</v>
      </c>
      <c r="E38" s="360"/>
      <c r="F38" s="360"/>
      <c r="G38" s="360"/>
      <c r="H38" s="360"/>
      <c r="I38" s="360"/>
      <c r="J38" s="360">
        <v>2727489.4168426665</v>
      </c>
      <c r="K38" s="360">
        <v>1363744.7084213332</v>
      </c>
      <c r="L38" s="360"/>
      <c r="M38" s="360"/>
      <c r="N38" s="360"/>
      <c r="O38" s="360"/>
      <c r="P38" s="360"/>
      <c r="Q38" s="360"/>
      <c r="R38" s="360"/>
      <c r="S38" s="360">
        <v>0</v>
      </c>
      <c r="T38" s="360">
        <v>0</v>
      </c>
      <c r="U38" s="360">
        <v>0</v>
      </c>
      <c r="V38" s="360">
        <v>0</v>
      </c>
      <c r="W38" s="360">
        <v>0</v>
      </c>
      <c r="X38" s="360">
        <v>0</v>
      </c>
      <c r="Y38" s="360">
        <v>0</v>
      </c>
      <c r="Z38" s="360">
        <v>0</v>
      </c>
      <c r="AA38" s="360">
        <v>0</v>
      </c>
      <c r="AB38" s="360">
        <v>0</v>
      </c>
      <c r="AC38" s="360">
        <v>0</v>
      </c>
    </row>
    <row r="39" spans="2:29" x14ac:dyDescent="0.2">
      <c r="D39" s="337" t="s">
        <v>253</v>
      </c>
      <c r="E39" s="360">
        <v>1363744.7084213332</v>
      </c>
      <c r="F39" s="360">
        <v>681872.35421066661</v>
      </c>
      <c r="G39" s="360"/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60"/>
      <c r="S39" s="360">
        <v>0</v>
      </c>
      <c r="T39" s="360">
        <v>0</v>
      </c>
      <c r="U39" s="360">
        <v>0</v>
      </c>
      <c r="V39" s="360">
        <v>0</v>
      </c>
      <c r="W39" s="360">
        <v>0</v>
      </c>
      <c r="X39" s="360">
        <v>0</v>
      </c>
      <c r="Y39" s="360">
        <v>0</v>
      </c>
      <c r="Z39" s="360">
        <v>0</v>
      </c>
      <c r="AA39" s="360">
        <v>0</v>
      </c>
      <c r="AB39" s="360">
        <v>0</v>
      </c>
      <c r="AC39" s="360">
        <v>0</v>
      </c>
    </row>
    <row r="40" spans="2:29" x14ac:dyDescent="0.2">
      <c r="D40" s="344" t="s">
        <v>254</v>
      </c>
      <c r="E40" s="345">
        <f>SUM(E38:E39)</f>
        <v>1363744.7084213332</v>
      </c>
      <c r="F40" s="345">
        <f>SUM(F38:F39)</f>
        <v>681872.35421066661</v>
      </c>
      <c r="G40" s="345">
        <f t="shared" ref="G40:AC40" si="9">SUM(G38:G39)</f>
        <v>0</v>
      </c>
      <c r="H40" s="345">
        <f t="shared" si="9"/>
        <v>0</v>
      </c>
      <c r="I40" s="345">
        <f t="shared" si="9"/>
        <v>0</v>
      </c>
      <c r="J40" s="345">
        <f t="shared" si="9"/>
        <v>2727489.4168426665</v>
      </c>
      <c r="K40" s="345">
        <f t="shared" si="9"/>
        <v>1363744.7084213332</v>
      </c>
      <c r="L40" s="345">
        <f t="shared" si="9"/>
        <v>0</v>
      </c>
      <c r="M40" s="345">
        <f t="shared" si="9"/>
        <v>0</v>
      </c>
      <c r="N40" s="345">
        <f t="shared" si="9"/>
        <v>0</v>
      </c>
      <c r="O40" s="345">
        <f t="shared" si="9"/>
        <v>0</v>
      </c>
      <c r="P40" s="345">
        <f t="shared" si="9"/>
        <v>0</v>
      </c>
      <c r="Q40" s="345">
        <f t="shared" si="9"/>
        <v>0</v>
      </c>
      <c r="R40" s="345">
        <f t="shared" si="9"/>
        <v>0</v>
      </c>
      <c r="S40" s="345">
        <f t="shared" si="9"/>
        <v>0</v>
      </c>
      <c r="T40" s="345">
        <f t="shared" si="9"/>
        <v>0</v>
      </c>
      <c r="U40" s="345">
        <f t="shared" si="9"/>
        <v>0</v>
      </c>
      <c r="V40" s="345">
        <f t="shared" si="9"/>
        <v>0</v>
      </c>
      <c r="W40" s="345">
        <f t="shared" si="9"/>
        <v>0</v>
      </c>
      <c r="X40" s="345">
        <f t="shared" si="9"/>
        <v>0</v>
      </c>
      <c r="Y40" s="345">
        <f t="shared" si="9"/>
        <v>0</v>
      </c>
      <c r="Z40" s="345">
        <f t="shared" si="9"/>
        <v>0</v>
      </c>
      <c r="AA40" s="345">
        <f t="shared" si="9"/>
        <v>0</v>
      </c>
      <c r="AB40" s="345">
        <f t="shared" si="9"/>
        <v>0</v>
      </c>
      <c r="AC40" s="345">
        <f t="shared" si="9"/>
        <v>0</v>
      </c>
    </row>
    <row r="41" spans="2:29" x14ac:dyDescent="0.2">
      <c r="F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 x14ac:dyDescent="0.2">
      <c r="E42" s="336" t="s">
        <v>19</v>
      </c>
      <c r="F42" s="336" t="str">
        <f t="shared" ref="F42:AC42" si="10">LEFT(E42,4)+1&amp;"-"&amp;RIGHT(E42,2)+1</f>
        <v>2027-28</v>
      </c>
      <c r="G42" s="336" t="str">
        <f t="shared" si="10"/>
        <v>2028-29</v>
      </c>
      <c r="H42" s="336" t="str">
        <f t="shared" si="10"/>
        <v>2029-30</v>
      </c>
      <c r="I42" s="336" t="str">
        <f t="shared" si="10"/>
        <v>2030-31</v>
      </c>
      <c r="J42" s="336" t="str">
        <f t="shared" si="10"/>
        <v>2031-32</v>
      </c>
      <c r="K42" s="336" t="str">
        <f t="shared" si="10"/>
        <v>2032-33</v>
      </c>
      <c r="L42" s="336" t="str">
        <f t="shared" si="10"/>
        <v>2033-34</v>
      </c>
      <c r="M42" s="336" t="str">
        <f t="shared" si="10"/>
        <v>2034-35</v>
      </c>
      <c r="N42" s="336" t="str">
        <f t="shared" si="10"/>
        <v>2035-36</v>
      </c>
      <c r="O42" s="336" t="str">
        <f t="shared" si="10"/>
        <v>2036-37</v>
      </c>
      <c r="P42" s="336" t="str">
        <f t="shared" si="10"/>
        <v>2037-38</v>
      </c>
      <c r="Q42" s="336" t="str">
        <f t="shared" si="10"/>
        <v>2038-39</v>
      </c>
      <c r="R42" s="336" t="str">
        <f t="shared" si="10"/>
        <v>2039-40</v>
      </c>
      <c r="S42" s="336" t="str">
        <f t="shared" si="10"/>
        <v>2040-41</v>
      </c>
      <c r="T42" s="336" t="str">
        <f t="shared" si="10"/>
        <v>2041-42</v>
      </c>
      <c r="U42" s="336" t="str">
        <f t="shared" si="10"/>
        <v>2042-43</v>
      </c>
      <c r="V42" s="336" t="str">
        <f t="shared" si="10"/>
        <v>2043-44</v>
      </c>
      <c r="W42" s="336" t="str">
        <f t="shared" si="10"/>
        <v>2044-45</v>
      </c>
      <c r="X42" s="336" t="str">
        <f t="shared" si="10"/>
        <v>2045-46</v>
      </c>
      <c r="Y42" s="336" t="str">
        <f t="shared" si="10"/>
        <v>2046-47</v>
      </c>
      <c r="Z42" s="336" t="str">
        <f t="shared" si="10"/>
        <v>2047-48</v>
      </c>
      <c r="AA42" s="336" t="str">
        <f t="shared" si="10"/>
        <v>2048-49</v>
      </c>
      <c r="AB42" s="336" t="str">
        <f t="shared" si="10"/>
        <v>2049-50</v>
      </c>
      <c r="AC42" s="336" t="str">
        <f t="shared" si="10"/>
        <v>2050-51</v>
      </c>
    </row>
    <row r="43" spans="2:29" x14ac:dyDescent="0.2">
      <c r="D43" s="337" t="s">
        <v>2</v>
      </c>
      <c r="F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 x14ac:dyDescent="0.2">
      <c r="D44" s="2" t="s">
        <v>249</v>
      </c>
      <c r="E44" s="360">
        <v>50000</v>
      </c>
      <c r="F44" s="360">
        <v>50000</v>
      </c>
      <c r="G44" s="360">
        <v>50000</v>
      </c>
      <c r="H44" s="360">
        <v>50000</v>
      </c>
      <c r="I44" s="360">
        <v>50000</v>
      </c>
      <c r="J44" s="360">
        <v>50000</v>
      </c>
      <c r="K44" s="360">
        <v>50000</v>
      </c>
      <c r="L44" s="360"/>
      <c r="M44" s="360"/>
      <c r="N44" s="360"/>
      <c r="O44" s="360"/>
      <c r="P44" s="360"/>
      <c r="Q44" s="360"/>
      <c r="R44" s="360"/>
      <c r="S44" s="360"/>
      <c r="T44" s="360"/>
      <c r="U44" s="360"/>
      <c r="V44" s="360"/>
      <c r="W44" s="360"/>
      <c r="X44" s="360"/>
      <c r="Y44" s="360"/>
      <c r="Z44" s="360"/>
      <c r="AA44" s="360"/>
      <c r="AB44" s="360"/>
      <c r="AC44" s="360"/>
    </row>
    <row r="45" spans="2:29" x14ac:dyDescent="0.2">
      <c r="D45" s="2" t="s">
        <v>250</v>
      </c>
      <c r="E45" s="360">
        <v>2527.7777777777778</v>
      </c>
      <c r="F45" s="360">
        <v>2527.7777777777778</v>
      </c>
      <c r="G45" s="360">
        <v>2527.7777777777778</v>
      </c>
      <c r="H45" s="360">
        <v>2527.7777777777778</v>
      </c>
      <c r="I45" s="360">
        <v>2527.7777777777778</v>
      </c>
      <c r="J45" s="360">
        <v>2527.7777777777778</v>
      </c>
      <c r="K45" s="360">
        <v>2527.7777777777778</v>
      </c>
      <c r="L45" s="360">
        <v>2527.7777777777778</v>
      </c>
      <c r="M45" s="360">
        <v>2527.7777777777778</v>
      </c>
      <c r="N45" s="360">
        <v>2527.7777777777778</v>
      </c>
      <c r="O45" s="360">
        <v>2527.7777777777778</v>
      </c>
      <c r="P45" s="360">
        <v>2527.7777777777778</v>
      </c>
      <c r="Q45" s="360">
        <v>2527.7777777777778</v>
      </c>
      <c r="R45" s="360">
        <v>2527.7777777777778</v>
      </c>
      <c r="S45" s="360">
        <v>2527.7777777777778</v>
      </c>
      <c r="T45" s="360">
        <v>2527.7777777777778</v>
      </c>
      <c r="U45" s="360">
        <v>2527.7777777777778</v>
      </c>
      <c r="V45" s="360">
        <v>2527.7777777777778</v>
      </c>
      <c r="W45" s="360">
        <v>2527.7777777777778</v>
      </c>
      <c r="X45" s="360">
        <v>2527.7777777777778</v>
      </c>
      <c r="Y45" s="360">
        <v>2527.7777777777778</v>
      </c>
      <c r="Z45" s="360">
        <v>2527.7777777777778</v>
      </c>
      <c r="AA45" s="360">
        <v>2527.7777777777778</v>
      </c>
      <c r="AB45" s="360">
        <v>2527.7777777777778</v>
      </c>
      <c r="AC45" s="360">
        <v>2527.7777777777778</v>
      </c>
    </row>
    <row r="46" spans="2:29" x14ac:dyDescent="0.2">
      <c r="D46" s="339" t="s">
        <v>251</v>
      </c>
      <c r="E46" s="340">
        <f>SUM(E44:E45)</f>
        <v>52527.777777777781</v>
      </c>
      <c r="F46" s="340">
        <f t="shared" ref="F46:AC46" si="11">SUM(F44:F45)</f>
        <v>52527.777777777781</v>
      </c>
      <c r="G46" s="340">
        <f t="shared" si="11"/>
        <v>52527.777777777781</v>
      </c>
      <c r="H46" s="340">
        <f t="shared" si="11"/>
        <v>52527.777777777781</v>
      </c>
      <c r="I46" s="340">
        <f t="shared" si="11"/>
        <v>52527.777777777781</v>
      </c>
      <c r="J46" s="340">
        <f t="shared" si="11"/>
        <v>52527.777777777781</v>
      </c>
      <c r="K46" s="340">
        <f t="shared" si="11"/>
        <v>52527.777777777781</v>
      </c>
      <c r="L46" s="340">
        <f t="shared" si="11"/>
        <v>2527.7777777777778</v>
      </c>
      <c r="M46" s="340">
        <f t="shared" si="11"/>
        <v>2527.7777777777778</v>
      </c>
      <c r="N46" s="340">
        <f t="shared" si="11"/>
        <v>2527.7777777777778</v>
      </c>
      <c r="O46" s="340">
        <f t="shared" si="11"/>
        <v>2527.7777777777778</v>
      </c>
      <c r="P46" s="340">
        <f t="shared" si="11"/>
        <v>2527.7777777777778</v>
      </c>
      <c r="Q46" s="340">
        <f t="shared" si="11"/>
        <v>2527.7777777777778</v>
      </c>
      <c r="R46" s="340">
        <f t="shared" si="11"/>
        <v>2527.7777777777778</v>
      </c>
      <c r="S46" s="340">
        <f t="shared" si="11"/>
        <v>2527.7777777777778</v>
      </c>
      <c r="T46" s="340">
        <f t="shared" si="11"/>
        <v>2527.7777777777778</v>
      </c>
      <c r="U46" s="340">
        <f t="shared" si="11"/>
        <v>2527.7777777777778</v>
      </c>
      <c r="V46" s="340">
        <f t="shared" si="11"/>
        <v>2527.7777777777778</v>
      </c>
      <c r="W46" s="340">
        <f t="shared" si="11"/>
        <v>2527.7777777777778</v>
      </c>
      <c r="X46" s="340">
        <f t="shared" si="11"/>
        <v>2527.7777777777778</v>
      </c>
      <c r="Y46" s="340">
        <f t="shared" si="11"/>
        <v>2527.7777777777778</v>
      </c>
      <c r="Z46" s="340">
        <f t="shared" si="11"/>
        <v>2527.7777777777778</v>
      </c>
      <c r="AA46" s="340">
        <f t="shared" si="11"/>
        <v>2527.7777777777778</v>
      </c>
      <c r="AB46" s="340">
        <f t="shared" si="11"/>
        <v>2527.7777777777778</v>
      </c>
      <c r="AC46" s="340">
        <f t="shared" si="11"/>
        <v>2527.7777777777778</v>
      </c>
    </row>
    <row r="47" spans="2:29" x14ac:dyDescent="0.2">
      <c r="D47" s="2" t="s">
        <v>311</v>
      </c>
      <c r="E47" s="391">
        <f>E$15-E46</f>
        <v>0</v>
      </c>
      <c r="F47" s="391">
        <f t="shared" ref="F47:AC47" si="12">F$15-F46</f>
        <v>0</v>
      </c>
      <c r="G47" s="391">
        <f t="shared" si="12"/>
        <v>0</v>
      </c>
      <c r="H47" s="391">
        <f t="shared" si="12"/>
        <v>0</v>
      </c>
      <c r="I47" s="391">
        <f t="shared" si="12"/>
        <v>0</v>
      </c>
      <c r="J47" s="391">
        <f t="shared" si="12"/>
        <v>0</v>
      </c>
      <c r="K47" s="391">
        <f t="shared" si="12"/>
        <v>0</v>
      </c>
      <c r="L47" s="391">
        <f t="shared" si="12"/>
        <v>50000</v>
      </c>
      <c r="M47" s="391">
        <f t="shared" si="12"/>
        <v>50000</v>
      </c>
      <c r="N47" s="391">
        <f t="shared" si="12"/>
        <v>50000</v>
      </c>
      <c r="O47" s="391">
        <f t="shared" si="12"/>
        <v>50000</v>
      </c>
      <c r="P47" s="391">
        <f t="shared" si="12"/>
        <v>50000</v>
      </c>
      <c r="Q47" s="391">
        <f t="shared" si="12"/>
        <v>50000</v>
      </c>
      <c r="R47" s="391">
        <f t="shared" si="12"/>
        <v>50000</v>
      </c>
      <c r="S47" s="391">
        <f t="shared" si="12"/>
        <v>50000</v>
      </c>
      <c r="T47" s="391">
        <f t="shared" si="12"/>
        <v>50000</v>
      </c>
      <c r="U47" s="391">
        <f t="shared" si="12"/>
        <v>50000</v>
      </c>
      <c r="V47" s="391">
        <f t="shared" si="12"/>
        <v>50000</v>
      </c>
      <c r="W47" s="391">
        <f t="shared" si="12"/>
        <v>50000</v>
      </c>
      <c r="X47" s="391">
        <f t="shared" si="12"/>
        <v>50000</v>
      </c>
      <c r="Y47" s="391">
        <f t="shared" si="12"/>
        <v>50000</v>
      </c>
      <c r="Z47" s="391">
        <f t="shared" si="12"/>
        <v>50000</v>
      </c>
      <c r="AA47" s="391">
        <f t="shared" si="12"/>
        <v>50000</v>
      </c>
      <c r="AB47" s="391">
        <f t="shared" si="12"/>
        <v>50000</v>
      </c>
      <c r="AC47" s="391">
        <f t="shared" si="12"/>
        <v>50000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70D63-2C6C-4BBF-A140-019FE0CDC2A8}">
  <sheetPr codeName="Sheet10">
    <tabColor rgb="FFFFFF00"/>
  </sheetPr>
  <dimension ref="A1:AQ80"/>
  <sheetViews>
    <sheetView showGridLines="0" zoomScale="90" zoomScaleNormal="90" workbookViewId="0">
      <pane xSplit="4" ySplit="5" topLeftCell="E46" activePane="bottomRight" state="frozen"/>
      <selection activeCell="A2" sqref="A2"/>
      <selection pane="topRight" activeCell="A2" sqref="A2"/>
      <selection pane="bottomLeft" activeCell="A2" sqref="A2"/>
      <selection pane="bottomRight" activeCell="E80" sqref="E80"/>
    </sheetView>
  </sheetViews>
  <sheetFormatPr defaultColWidth="8" defaultRowHeight="12.75" x14ac:dyDescent="0.2"/>
  <cols>
    <col min="1" max="1" width="2.625" style="1" customWidth="1"/>
    <col min="2" max="2" width="11.5" style="1" customWidth="1"/>
    <col min="3" max="3" width="3.75" style="1" customWidth="1"/>
    <col min="4" max="4" width="27.625" style="1" customWidth="1"/>
    <col min="5" max="5" width="14.375" style="1" customWidth="1"/>
    <col min="6" max="6" width="11.125" style="1" customWidth="1"/>
    <col min="7" max="17" width="11.75" style="1" customWidth="1"/>
    <col min="18" max="22" width="14.25" style="1" customWidth="1"/>
    <col min="23" max="23" width="14.5" style="1" customWidth="1"/>
    <col min="24" max="25" width="12.25" style="1" customWidth="1"/>
    <col min="26" max="29" width="9.625" style="1" bestFit="1" customWidth="1"/>
    <col min="30" max="16384" width="8" style="1"/>
  </cols>
  <sheetData>
    <row r="1" spans="1:43" ht="18.75" x14ac:dyDescent="0.3">
      <c r="A1" s="15" t="str">
        <f>bus</f>
        <v>United Energy</v>
      </c>
      <c r="B1" s="11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396"/>
      <c r="AE1" s="396"/>
      <c r="AF1" s="396"/>
      <c r="AG1" s="396"/>
    </row>
    <row r="2" spans="1:43" ht="18.75" x14ac:dyDescent="0.3">
      <c r="A2" s="56" t="str">
        <f>proj</f>
        <v>EW switchboard and relay replacement</v>
      </c>
      <c r="B2" s="11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396"/>
      <c r="AE2" s="396"/>
      <c r="AF2" s="396"/>
      <c r="AG2" s="396"/>
    </row>
    <row r="3" spans="1:43" ht="18.75" x14ac:dyDescent="0.3">
      <c r="A3" s="5" t="s">
        <v>255</v>
      </c>
      <c r="B3" s="327"/>
      <c r="C3" s="5"/>
      <c r="D3" s="5"/>
    </row>
    <row r="5" spans="1:43" ht="15" x14ac:dyDescent="0.2">
      <c r="A5" s="329"/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</row>
    <row r="6" spans="1:43" x14ac:dyDescent="0.2">
      <c r="C6" s="3"/>
      <c r="D6" s="3"/>
    </row>
    <row r="8" spans="1:43" s="332" customFormat="1" x14ac:dyDescent="0.2">
      <c r="B8" s="333" t="str">
        <f>Workings_costs!B8</f>
        <v>Option 1 - continue existing maintenance with no proactive replacement cost</v>
      </c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4"/>
    </row>
    <row r="10" spans="1:43" x14ac:dyDescent="0.2">
      <c r="E10" s="336" t="s">
        <v>19</v>
      </c>
      <c r="F10" s="336" t="str">
        <f t="shared" ref="F10:AC10" si="0">LEFT(E10,4)+1&amp;"-"&amp;RIGHT(E10,2)+1</f>
        <v>2027-28</v>
      </c>
      <c r="G10" s="336" t="str">
        <f t="shared" si="0"/>
        <v>2028-29</v>
      </c>
      <c r="H10" s="336" t="str">
        <f t="shared" si="0"/>
        <v>2029-30</v>
      </c>
      <c r="I10" s="336" t="str">
        <f t="shared" si="0"/>
        <v>2030-31</v>
      </c>
      <c r="J10" s="336" t="str">
        <f t="shared" si="0"/>
        <v>2031-32</v>
      </c>
      <c r="K10" s="336" t="str">
        <f t="shared" si="0"/>
        <v>2032-33</v>
      </c>
      <c r="L10" s="336" t="str">
        <f t="shared" si="0"/>
        <v>2033-34</v>
      </c>
      <c r="M10" s="336" t="str">
        <f t="shared" si="0"/>
        <v>2034-35</v>
      </c>
      <c r="N10" s="336" t="str">
        <f t="shared" si="0"/>
        <v>2035-36</v>
      </c>
      <c r="O10" s="336" t="str">
        <f t="shared" si="0"/>
        <v>2036-37</v>
      </c>
      <c r="P10" s="336" t="str">
        <f t="shared" si="0"/>
        <v>2037-38</v>
      </c>
      <c r="Q10" s="336" t="str">
        <f t="shared" si="0"/>
        <v>2038-39</v>
      </c>
      <c r="R10" s="336" t="str">
        <f t="shared" si="0"/>
        <v>2039-40</v>
      </c>
      <c r="S10" s="336" t="str">
        <f t="shared" si="0"/>
        <v>2040-41</v>
      </c>
      <c r="T10" s="336" t="str">
        <f t="shared" si="0"/>
        <v>2041-42</v>
      </c>
      <c r="U10" s="336" t="str">
        <f t="shared" si="0"/>
        <v>2042-43</v>
      </c>
      <c r="V10" s="336" t="str">
        <f t="shared" si="0"/>
        <v>2043-44</v>
      </c>
      <c r="W10" s="336" t="str">
        <f t="shared" si="0"/>
        <v>2044-45</v>
      </c>
      <c r="X10" s="336" t="str">
        <f t="shared" si="0"/>
        <v>2045-46</v>
      </c>
      <c r="Y10" s="336" t="str">
        <f t="shared" si="0"/>
        <v>2046-47</v>
      </c>
      <c r="Z10" s="336" t="str">
        <f t="shared" si="0"/>
        <v>2047-48</v>
      </c>
      <c r="AA10" s="336" t="str">
        <f t="shared" si="0"/>
        <v>2048-49</v>
      </c>
      <c r="AB10" s="336" t="str">
        <f t="shared" si="0"/>
        <v>2049-50</v>
      </c>
      <c r="AC10" s="336" t="str">
        <f t="shared" si="0"/>
        <v>2050-51</v>
      </c>
    </row>
    <row r="11" spans="1:43" x14ac:dyDescent="0.2">
      <c r="D11" s="3" t="s">
        <v>256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43" x14ac:dyDescent="0.2">
      <c r="D12" s="1" t="s">
        <v>257</v>
      </c>
      <c r="E12" s="364">
        <v>219847.74528344165</v>
      </c>
      <c r="F12" s="364">
        <v>227404.47419882231</v>
      </c>
      <c r="G12" s="364">
        <v>237118.94008249426</v>
      </c>
      <c r="H12" s="364">
        <v>243101.03845035619</v>
      </c>
      <c r="I12" s="364">
        <v>248159.46338016834</v>
      </c>
      <c r="J12" s="364">
        <v>255295.42100769543</v>
      </c>
      <c r="K12" s="364">
        <v>264371.04066568299</v>
      </c>
      <c r="L12" s="364">
        <v>274318.18538067851</v>
      </c>
      <c r="M12" s="364">
        <v>280302.76039379253</v>
      </c>
      <c r="N12" s="364">
        <v>280302.76039379253</v>
      </c>
      <c r="O12" s="364">
        <v>280302.76039379253</v>
      </c>
      <c r="P12" s="364">
        <v>280302.76039379253</v>
      </c>
      <c r="Q12" s="364">
        <v>280302.76039379253</v>
      </c>
      <c r="R12" s="364">
        <v>280302.76039379253</v>
      </c>
      <c r="S12" s="364">
        <v>280302.76039379253</v>
      </c>
      <c r="T12" s="364">
        <v>280302.76039379253</v>
      </c>
      <c r="U12" s="364">
        <v>280302.76039379253</v>
      </c>
      <c r="V12" s="364">
        <v>280302.76039379253</v>
      </c>
      <c r="W12" s="364">
        <v>280302.76039379253</v>
      </c>
      <c r="X12" s="364">
        <v>280302.76039379253</v>
      </c>
      <c r="Y12" s="364">
        <v>280302.76039379253</v>
      </c>
      <c r="Z12" s="364">
        <v>280302.76039379253</v>
      </c>
      <c r="AA12" s="364">
        <v>280302.76039379253</v>
      </c>
      <c r="AB12" s="364">
        <v>280302.76039379253</v>
      </c>
      <c r="AC12" s="364">
        <v>280302.76039379253</v>
      </c>
    </row>
    <row r="13" spans="1:43" x14ac:dyDescent="0.2">
      <c r="D13" s="1" t="s">
        <v>258</v>
      </c>
      <c r="E13" s="364">
        <v>301.7129754450001</v>
      </c>
      <c r="F13" s="364">
        <v>301.7129754450001</v>
      </c>
      <c r="G13" s="364">
        <v>301.7129754450001</v>
      </c>
      <c r="H13" s="364">
        <v>301.7129754450001</v>
      </c>
      <c r="I13" s="364">
        <v>301.7129754450001</v>
      </c>
      <c r="J13" s="364">
        <v>301.7129754450001</v>
      </c>
      <c r="K13" s="364">
        <v>301.7129754450001</v>
      </c>
      <c r="L13" s="364">
        <v>301.7129754450001</v>
      </c>
      <c r="M13" s="364">
        <v>301.7129754450001</v>
      </c>
      <c r="N13" s="364">
        <v>301.7129754450001</v>
      </c>
      <c r="O13" s="364">
        <v>301.7129754450001</v>
      </c>
      <c r="P13" s="364">
        <v>301.7129754450001</v>
      </c>
      <c r="Q13" s="364">
        <v>301.7129754450001</v>
      </c>
      <c r="R13" s="364">
        <v>301.7129754450001</v>
      </c>
      <c r="S13" s="364">
        <v>301.7129754450001</v>
      </c>
      <c r="T13" s="364">
        <v>301.7129754450001</v>
      </c>
      <c r="U13" s="364">
        <v>301.7129754450001</v>
      </c>
      <c r="V13" s="364">
        <v>301.7129754450001</v>
      </c>
      <c r="W13" s="364">
        <v>301.7129754450001</v>
      </c>
      <c r="X13" s="364">
        <v>301.7129754450001</v>
      </c>
      <c r="Y13" s="364">
        <v>301.7129754450001</v>
      </c>
      <c r="Z13" s="364">
        <v>301.7129754450001</v>
      </c>
      <c r="AA13" s="364">
        <v>301.7129754450001</v>
      </c>
      <c r="AB13" s="364">
        <v>301.7129754450001</v>
      </c>
      <c r="AC13" s="364">
        <v>301.7129754450001</v>
      </c>
    </row>
    <row r="14" spans="1:43" x14ac:dyDescent="0.2">
      <c r="D14" s="1" t="s">
        <v>259</v>
      </c>
      <c r="E14" s="364">
        <v>13040.808774278999</v>
      </c>
      <c r="F14" s="364">
        <v>13040.808774278999</v>
      </c>
      <c r="G14" s="364">
        <v>13040.808774278999</v>
      </c>
      <c r="H14" s="364">
        <v>13040.808774278999</v>
      </c>
      <c r="I14" s="364">
        <v>13040.808774278999</v>
      </c>
      <c r="J14" s="364">
        <v>13040.808774278999</v>
      </c>
      <c r="K14" s="364">
        <v>13040.808774278999</v>
      </c>
      <c r="L14" s="364">
        <v>13040.808774278999</v>
      </c>
      <c r="M14" s="364">
        <v>13040.808774278999</v>
      </c>
      <c r="N14" s="364">
        <v>13040.808774278999</v>
      </c>
      <c r="O14" s="364">
        <v>13040.808774278999</v>
      </c>
      <c r="P14" s="364">
        <v>13040.808774278999</v>
      </c>
      <c r="Q14" s="364">
        <v>13040.808774278999</v>
      </c>
      <c r="R14" s="364">
        <v>13040.808774278999</v>
      </c>
      <c r="S14" s="364">
        <v>13040.808774278999</v>
      </c>
      <c r="T14" s="364">
        <v>13040.808774278999</v>
      </c>
      <c r="U14" s="364">
        <v>13040.808774278999</v>
      </c>
      <c r="V14" s="364">
        <v>13040.808774278999</v>
      </c>
      <c r="W14" s="364">
        <v>13040.808774278999</v>
      </c>
      <c r="X14" s="364">
        <v>13040.808774278999</v>
      </c>
      <c r="Y14" s="364">
        <v>13040.808774278999</v>
      </c>
      <c r="Z14" s="364">
        <v>13040.808774278999</v>
      </c>
      <c r="AA14" s="364">
        <v>13040.808774278999</v>
      </c>
      <c r="AB14" s="364">
        <v>13040.808774278999</v>
      </c>
      <c r="AC14" s="364">
        <v>13040.808774278999</v>
      </c>
    </row>
    <row r="15" spans="1:43" x14ac:dyDescent="0.2">
      <c r="D15" s="1" t="s">
        <v>260</v>
      </c>
      <c r="E15" s="364">
        <v>504.05</v>
      </c>
      <c r="F15" s="364">
        <v>504.05</v>
      </c>
      <c r="G15" s="364">
        <v>504.05</v>
      </c>
      <c r="H15" s="364">
        <v>504.05</v>
      </c>
      <c r="I15" s="364">
        <v>504.05</v>
      </c>
      <c r="J15" s="364">
        <v>504.05</v>
      </c>
      <c r="K15" s="364">
        <v>504.05</v>
      </c>
      <c r="L15" s="364">
        <v>504.05</v>
      </c>
      <c r="M15" s="364">
        <v>504.05</v>
      </c>
      <c r="N15" s="364">
        <v>504.05</v>
      </c>
      <c r="O15" s="364">
        <v>504.05</v>
      </c>
      <c r="P15" s="364">
        <v>504.05</v>
      </c>
      <c r="Q15" s="364">
        <v>504.05</v>
      </c>
      <c r="R15" s="364">
        <v>504.05</v>
      </c>
      <c r="S15" s="364">
        <v>504.05</v>
      </c>
      <c r="T15" s="364">
        <v>504.05</v>
      </c>
      <c r="U15" s="364">
        <v>504.05</v>
      </c>
      <c r="V15" s="364">
        <v>504.05</v>
      </c>
      <c r="W15" s="364">
        <v>504.05</v>
      </c>
      <c r="X15" s="364">
        <v>504.05</v>
      </c>
      <c r="Y15" s="364">
        <v>504.05</v>
      </c>
      <c r="Z15" s="364">
        <v>504.05</v>
      </c>
      <c r="AA15" s="364">
        <v>504.05</v>
      </c>
      <c r="AB15" s="364">
        <v>504.05</v>
      </c>
      <c r="AC15" s="364">
        <v>504.05</v>
      </c>
    </row>
    <row r="16" spans="1:43" x14ac:dyDescent="0.2">
      <c r="D16" s="346" t="s">
        <v>261</v>
      </c>
      <c r="E16" s="345">
        <f t="shared" ref="E16:AC16" si="1">SUM(E12:E15)</f>
        <v>233694.31703316563</v>
      </c>
      <c r="F16" s="345">
        <f t="shared" si="1"/>
        <v>241251.04594854629</v>
      </c>
      <c r="G16" s="345">
        <f t="shared" si="1"/>
        <v>250965.51183221824</v>
      </c>
      <c r="H16" s="345">
        <f t="shared" si="1"/>
        <v>256947.61020008018</v>
      </c>
      <c r="I16" s="345">
        <f t="shared" si="1"/>
        <v>262006.03512989232</v>
      </c>
      <c r="J16" s="345">
        <f t="shared" si="1"/>
        <v>269141.99275741942</v>
      </c>
      <c r="K16" s="345">
        <f t="shared" si="1"/>
        <v>278217.61241540703</v>
      </c>
      <c r="L16" s="345">
        <f t="shared" si="1"/>
        <v>288164.75713040255</v>
      </c>
      <c r="M16" s="345">
        <f t="shared" si="1"/>
        <v>294149.33214351657</v>
      </c>
      <c r="N16" s="345">
        <f t="shared" si="1"/>
        <v>294149.33214351657</v>
      </c>
      <c r="O16" s="345">
        <f t="shared" si="1"/>
        <v>294149.33214351657</v>
      </c>
      <c r="P16" s="345">
        <f t="shared" si="1"/>
        <v>294149.33214351657</v>
      </c>
      <c r="Q16" s="345">
        <f t="shared" si="1"/>
        <v>294149.33214351657</v>
      </c>
      <c r="R16" s="345">
        <f t="shared" si="1"/>
        <v>294149.33214351657</v>
      </c>
      <c r="S16" s="345">
        <f t="shared" si="1"/>
        <v>294149.33214351657</v>
      </c>
      <c r="T16" s="345">
        <f t="shared" si="1"/>
        <v>294149.33214351657</v>
      </c>
      <c r="U16" s="345">
        <f t="shared" si="1"/>
        <v>294149.33214351657</v>
      </c>
      <c r="V16" s="345">
        <f t="shared" si="1"/>
        <v>294149.33214351657</v>
      </c>
      <c r="W16" s="345">
        <f t="shared" si="1"/>
        <v>294149.33214351657</v>
      </c>
      <c r="X16" s="345">
        <f t="shared" si="1"/>
        <v>294149.33214351657</v>
      </c>
      <c r="Y16" s="345">
        <f t="shared" si="1"/>
        <v>294149.33214351657</v>
      </c>
      <c r="Z16" s="345">
        <f t="shared" si="1"/>
        <v>294149.33214351657</v>
      </c>
      <c r="AA16" s="345">
        <f t="shared" si="1"/>
        <v>294149.33214351657</v>
      </c>
      <c r="AB16" s="345">
        <f t="shared" si="1"/>
        <v>294149.33214351657</v>
      </c>
      <c r="AC16" s="345">
        <f t="shared" si="1"/>
        <v>294149.33214351657</v>
      </c>
    </row>
    <row r="18" spans="4:29" x14ac:dyDescent="0.2">
      <c r="D18" s="3" t="s">
        <v>262</v>
      </c>
    </row>
    <row r="19" spans="4:29" x14ac:dyDescent="0.2">
      <c r="D19" s="361" t="s">
        <v>318</v>
      </c>
      <c r="E19" s="410">
        <v>7.4488884595715871E-2</v>
      </c>
      <c r="F19" s="410">
        <v>9.9461182765681069E-2</v>
      </c>
      <c r="G19" s="410">
        <v>0.12909905189046988</v>
      </c>
      <c r="H19" s="410">
        <v>0.16227264827869689</v>
      </c>
      <c r="I19" s="410">
        <v>0.1995921894432765</v>
      </c>
      <c r="J19" s="410">
        <v>0.24125802539829994</v>
      </c>
      <c r="K19" s="410">
        <v>0.28897661021362131</v>
      </c>
      <c r="L19" s="410">
        <v>0.34494170488054376</v>
      </c>
      <c r="M19" s="410">
        <v>0.40098150685327849</v>
      </c>
      <c r="N19" s="410">
        <v>0.459637239203527</v>
      </c>
      <c r="O19" s="410">
        <v>0.51743333977976169</v>
      </c>
      <c r="P19" s="410">
        <v>0.57820914462602246</v>
      </c>
      <c r="Q19" s="410">
        <v>0.64182640286078418</v>
      </c>
      <c r="R19" s="410">
        <v>0.70812949380925572</v>
      </c>
      <c r="S19" s="410">
        <v>0.77694477667882678</v>
      </c>
      <c r="T19" s="410">
        <v>0.84808006713477646</v>
      </c>
      <c r="U19" s="410">
        <v>0.92132425851988187</v>
      </c>
      <c r="V19" s="410">
        <v>0.99644710578784923</v>
      </c>
      <c r="W19" s="410">
        <v>1.0731991902238283</v>
      </c>
      <c r="X19" s="410">
        <v>1.1513120826566301</v>
      </c>
      <c r="Y19" s="411">
        <v>1.2304987220797476</v>
      </c>
      <c r="Z19" s="411">
        <v>1.3104540253495118</v>
      </c>
      <c r="AA19" s="411">
        <v>1.3908557418824217</v>
      </c>
      <c r="AB19" s="411">
        <v>1.4713655650027571</v>
      </c>
      <c r="AC19" s="411">
        <v>1.5516305087800377</v>
      </c>
    </row>
    <row r="20" spans="4:29" s="347" customFormat="1" x14ac:dyDescent="0.2">
      <c r="D20" s="165" t="s">
        <v>257</v>
      </c>
      <c r="E20" s="412">
        <f>E19*Assumptions!$H$41</f>
        <v>2409.2233886277695</v>
      </c>
      <c r="F20" s="412">
        <f>F19*Assumptions!$H$41</f>
        <v>3216.9122826876337</v>
      </c>
      <c r="G20" s="412">
        <f>G19*Assumptions!$H$41</f>
        <v>4175.5015792259355</v>
      </c>
      <c r="H20" s="412">
        <f>H19*Assumptions!$H$41</f>
        <v>5248.4482978832166</v>
      </c>
      <c r="I20" s="412">
        <f>I19*Assumptions!$H$41</f>
        <v>6455.4889444783348</v>
      </c>
      <c r="J20" s="412">
        <f>J19*Assumptions!$H$41</f>
        <v>7803.1035185774035</v>
      </c>
      <c r="K20" s="412">
        <f>K19*Assumptions!$H$41</f>
        <v>9346.4845375476107</v>
      </c>
      <c r="L20" s="412">
        <f>L19*Assumptions!$H$41</f>
        <v>11156.585678813344</v>
      </c>
      <c r="M20" s="412">
        <f>M19*Assumptions!$H$41</f>
        <v>12969.103107951305</v>
      </c>
      <c r="N20" s="412">
        <f>N19*Assumptions!$H$41</f>
        <v>14866.228605564633</v>
      </c>
      <c r="O20" s="412">
        <f>O19*Assumptions!$H$41</f>
        <v>16735.550693490699</v>
      </c>
      <c r="P20" s="412">
        <f>P19*Assumptions!$H$41</f>
        <v>18701.246532446916</v>
      </c>
      <c r="Q20" s="412">
        <f>Q19*Assumptions!$H$41</f>
        <v>20758.844619616764</v>
      </c>
      <c r="R20" s="412">
        <f>R19*Assumptions!$H$41</f>
        <v>22903.311654105812</v>
      </c>
      <c r="S20" s="412">
        <f>S19*Assumptions!$H$41</f>
        <v>25129.031503238064</v>
      </c>
      <c r="T20" s="412">
        <f>T19*Assumptions!$H$41</f>
        <v>27429.788273237551</v>
      </c>
      <c r="U20" s="412">
        <f>U19*Assumptions!$H$41</f>
        <v>29798.754058184659</v>
      </c>
      <c r="V20" s="412">
        <f>V19*Assumptions!$H$41</f>
        <v>32228.481951689831</v>
      </c>
      <c r="W20" s="412">
        <f>W19*Assumptions!$H$41</f>
        <v>34710.904905835247</v>
      </c>
      <c r="X20" s="412">
        <f>X19*Assumptions!$H$41</f>
        <v>37237.341010011987</v>
      </c>
      <c r="Y20" s="412">
        <f>Y19*Assumptions!$H$41</f>
        <v>39798.505736809107</v>
      </c>
      <c r="Z20" s="412">
        <f>Z19*Assumptions!$H$41</f>
        <v>42384.531661721681</v>
      </c>
      <c r="AA20" s="412">
        <f>AA19*Assumptions!$H$41</f>
        <v>44984.996106963852</v>
      </c>
      <c r="AB20" s="412">
        <f>AB19*Assumptions!$H$41</f>
        <v>47588.957086223199</v>
      </c>
      <c r="AC20" s="412">
        <f>AC19*Assumptions!$H$41</f>
        <v>50184.997836257993</v>
      </c>
    </row>
    <row r="21" spans="4:29" x14ac:dyDescent="0.2">
      <c r="D21" s="1" t="s">
        <v>258</v>
      </c>
      <c r="E21" s="364">
        <v>148.1150654104494</v>
      </c>
      <c r="F21" s="364">
        <v>193.31032987500589</v>
      </c>
      <c r="G21" s="364">
        <v>244.41708595751646</v>
      </c>
      <c r="H21" s="364">
        <v>301.3728289891726</v>
      </c>
      <c r="I21" s="364">
        <v>364.0991607149615</v>
      </c>
      <c r="J21" s="364">
        <v>432.5001133497334</v>
      </c>
      <c r="K21" s="364">
        <v>506.46054363528515</v>
      </c>
      <c r="L21" s="364">
        <v>585.84461185536645</v>
      </c>
      <c r="M21" s="364">
        <v>670.49436190971426</v>
      </c>
      <c r="N21" s="364">
        <v>760.2284195459049</v>
      </c>
      <c r="O21" s="364">
        <v>854.84082667313533</v>
      </c>
      <c r="P21" s="364">
        <v>954.10003030805319</v>
      </c>
      <c r="Q21" s="364">
        <v>1057.7480451022625</v>
      </c>
      <c r="R21" s="364">
        <v>1165.4998085467882</v>
      </c>
      <c r="S21" s="364">
        <v>1277.0427478141626</v>
      </c>
      <c r="T21" s="364">
        <v>1392.0365767586643</v>
      </c>
      <c r="U21" s="364">
        <v>1510.1133408266096</v>
      </c>
      <c r="V21" s="364">
        <v>1630.8777265111908</v>
      </c>
      <c r="W21" s="364">
        <v>1753.9076505037278</v>
      </c>
      <c r="X21" s="364">
        <v>1878.7551418332964</v>
      </c>
      <c r="Y21" s="338">
        <v>2004.947528042695</v>
      </c>
      <c r="Z21" s="338">
        <v>2131.988933820247</v>
      </c>
      <c r="AA21" s="338">
        <v>2259.3620974999285</v>
      </c>
      <c r="AB21" s="338">
        <v>2386.5305074708817</v>
      </c>
      <c r="AC21" s="338">
        <v>2512.9408568233985</v>
      </c>
    </row>
    <row r="22" spans="4:29" x14ac:dyDescent="0.2">
      <c r="D22" s="1" t="s">
        <v>259</v>
      </c>
      <c r="E22" s="364">
        <v>980.72860338233284</v>
      </c>
      <c r="F22" s="364">
        <v>1279.9843777695658</v>
      </c>
      <c r="G22" s="364">
        <v>1618.3824831703018</v>
      </c>
      <c r="H22" s="364">
        <v>1995.5090513775788</v>
      </c>
      <c r="I22" s="364">
        <v>2410.8449764453999</v>
      </c>
      <c r="J22" s="364">
        <v>2863.7548175991296</v>
      </c>
      <c r="K22" s="364">
        <v>3353.4761656503874</v>
      </c>
      <c r="L22" s="364">
        <v>3879.1095719520508</v>
      </c>
      <c r="M22" s="364">
        <v>4439.6091465051686</v>
      </c>
      <c r="N22" s="364">
        <v>5033.7739384356619</v>
      </c>
      <c r="O22" s="364">
        <v>5660.2402175234565</v>
      </c>
      <c r="P22" s="364">
        <v>6317.4747796117481</v>
      </c>
      <c r="Q22" s="364">
        <v>7003.7694013694127</v>
      </c>
      <c r="R22" s="364">
        <v>7717.2365708439784</v>
      </c>
      <c r="S22" s="364">
        <v>8455.8066193512423</v>
      </c>
      <c r="T22" s="364">
        <v>9217.2263773333507</v>
      </c>
      <c r="U22" s="364">
        <v>9999.0594717276163</v>
      </c>
      <c r="V22" s="364">
        <v>10798.688374989801</v>
      </c>
      <c r="W22" s="364">
        <v>11613.318306098234</v>
      </c>
      <c r="X22" s="364">
        <v>12439.983071550225</v>
      </c>
      <c r="Y22" s="338">
        <v>13275.552919503694</v>
      </c>
      <c r="Z22" s="338">
        <v>14116.744462812811</v>
      </c>
      <c r="AA22" s="338">
        <v>14960.132706795932</v>
      </c>
      <c r="AB22" s="338">
        <v>15802.165195250451</v>
      </c>
      <c r="AC22" s="338">
        <v>16639.178263637619</v>
      </c>
    </row>
    <row r="23" spans="4:29" x14ac:dyDescent="0.2">
      <c r="D23" s="346" t="s">
        <v>263</v>
      </c>
      <c r="E23" s="345">
        <f t="shared" ref="E23:AC23" si="2">SUM(E19:E22)</f>
        <v>3538.1415463051476</v>
      </c>
      <c r="F23" s="345">
        <f t="shared" si="2"/>
        <v>4690.3064515149708</v>
      </c>
      <c r="G23" s="345">
        <f t="shared" si="2"/>
        <v>6038.430247405644</v>
      </c>
      <c r="H23" s="345">
        <f t="shared" si="2"/>
        <v>7545.4924508982458</v>
      </c>
      <c r="I23" s="345">
        <f t="shared" si="2"/>
        <v>9230.6326738281386</v>
      </c>
      <c r="J23" s="345">
        <f t="shared" si="2"/>
        <v>11099.599707551664</v>
      </c>
      <c r="K23" s="345">
        <f t="shared" si="2"/>
        <v>13206.710223443497</v>
      </c>
      <c r="L23" s="345">
        <f t="shared" si="2"/>
        <v>15621.884804325642</v>
      </c>
      <c r="M23" s="345">
        <f t="shared" si="2"/>
        <v>18079.607597873041</v>
      </c>
      <c r="N23" s="345">
        <f t="shared" si="2"/>
        <v>20660.690600785405</v>
      </c>
      <c r="O23" s="345">
        <f t="shared" si="2"/>
        <v>23251.149171027071</v>
      </c>
      <c r="P23" s="345">
        <f t="shared" si="2"/>
        <v>25973.399551511346</v>
      </c>
      <c r="Q23" s="345">
        <f t="shared" si="2"/>
        <v>28821.003892491302</v>
      </c>
      <c r="R23" s="345">
        <f t="shared" si="2"/>
        <v>31786.75616299039</v>
      </c>
      <c r="S23" s="345">
        <f t="shared" si="2"/>
        <v>34862.657815180151</v>
      </c>
      <c r="T23" s="345">
        <f t="shared" si="2"/>
        <v>38039.899307396699</v>
      </c>
      <c r="U23" s="345">
        <f t="shared" si="2"/>
        <v>41308.848194997408</v>
      </c>
      <c r="V23" s="345">
        <f t="shared" si="2"/>
        <v>44659.044500296615</v>
      </c>
      <c r="W23" s="345">
        <f t="shared" si="2"/>
        <v>48079.204061627432</v>
      </c>
      <c r="X23" s="345">
        <f t="shared" si="2"/>
        <v>51557.230535478164</v>
      </c>
      <c r="Y23" s="345">
        <f t="shared" si="2"/>
        <v>55080.236683077572</v>
      </c>
      <c r="Z23" s="345">
        <f t="shared" si="2"/>
        <v>58634.575512380092</v>
      </c>
      <c r="AA23" s="345">
        <f t="shared" si="2"/>
        <v>62205.8817670016</v>
      </c>
      <c r="AB23" s="345">
        <f t="shared" si="2"/>
        <v>65779.12415450954</v>
      </c>
      <c r="AC23" s="345">
        <f t="shared" si="2"/>
        <v>69338.668587227789</v>
      </c>
    </row>
    <row r="25" spans="4:29" x14ac:dyDescent="0.2">
      <c r="D25" s="3" t="s">
        <v>264</v>
      </c>
    </row>
    <row r="26" spans="4:29" x14ac:dyDescent="0.2">
      <c r="D26" s="3" t="s">
        <v>257</v>
      </c>
      <c r="E26" s="348">
        <f t="shared" ref="E26:AC26" si="3">E12+E20</f>
        <v>222256.96867206943</v>
      </c>
      <c r="F26" s="348">
        <f t="shared" si="3"/>
        <v>230621.38648150995</v>
      </c>
      <c r="G26" s="348">
        <f t="shared" si="3"/>
        <v>241294.44166172019</v>
      </c>
      <c r="H26" s="348">
        <f t="shared" si="3"/>
        <v>248349.4867482394</v>
      </c>
      <c r="I26" s="348">
        <f t="shared" si="3"/>
        <v>254614.95232464667</v>
      </c>
      <c r="J26" s="348">
        <f t="shared" si="3"/>
        <v>263098.52452627284</v>
      </c>
      <c r="K26" s="348">
        <f t="shared" si="3"/>
        <v>273717.52520323062</v>
      </c>
      <c r="L26" s="348">
        <f t="shared" si="3"/>
        <v>285474.77105949185</v>
      </c>
      <c r="M26" s="348">
        <f t="shared" si="3"/>
        <v>293271.86350174382</v>
      </c>
      <c r="N26" s="348">
        <f t="shared" si="3"/>
        <v>295168.98899935716</v>
      </c>
      <c r="O26" s="348">
        <f t="shared" si="3"/>
        <v>297038.31108728325</v>
      </c>
      <c r="P26" s="348">
        <f t="shared" si="3"/>
        <v>299004.00692623947</v>
      </c>
      <c r="Q26" s="348">
        <f t="shared" si="3"/>
        <v>301061.60501340928</v>
      </c>
      <c r="R26" s="348">
        <f t="shared" si="3"/>
        <v>303206.07204789831</v>
      </c>
      <c r="S26" s="348">
        <f t="shared" si="3"/>
        <v>305431.79189703061</v>
      </c>
      <c r="T26" s="348">
        <f t="shared" si="3"/>
        <v>307732.54866703006</v>
      </c>
      <c r="U26" s="348">
        <f t="shared" si="3"/>
        <v>310101.51445197721</v>
      </c>
      <c r="V26" s="348">
        <f t="shared" si="3"/>
        <v>312531.24234548234</v>
      </c>
      <c r="W26" s="348">
        <f t="shared" si="3"/>
        <v>315013.66529962776</v>
      </c>
      <c r="X26" s="348">
        <f t="shared" si="3"/>
        <v>317540.1014038045</v>
      </c>
      <c r="Y26" s="348">
        <f t="shared" si="3"/>
        <v>320101.26613060164</v>
      </c>
      <c r="Z26" s="348">
        <f t="shared" si="3"/>
        <v>322687.29205551423</v>
      </c>
      <c r="AA26" s="348">
        <f t="shared" si="3"/>
        <v>325287.75650075637</v>
      </c>
      <c r="AB26" s="348">
        <f t="shared" si="3"/>
        <v>327891.71748001571</v>
      </c>
      <c r="AC26" s="348">
        <f t="shared" si="3"/>
        <v>330487.7582300505</v>
      </c>
    </row>
    <row r="27" spans="4:29" x14ac:dyDescent="0.2">
      <c r="D27" s="3" t="s">
        <v>309</v>
      </c>
      <c r="E27" s="348">
        <f t="shared" ref="E27:AC27" si="4">E13+E21</f>
        <v>449.8280408554495</v>
      </c>
      <c r="F27" s="348">
        <f t="shared" si="4"/>
        <v>495.02330532000599</v>
      </c>
      <c r="G27" s="348">
        <f t="shared" si="4"/>
        <v>546.1300614025165</v>
      </c>
      <c r="H27" s="348">
        <f t="shared" si="4"/>
        <v>603.0858044341727</v>
      </c>
      <c r="I27" s="348">
        <f t="shared" si="4"/>
        <v>665.8121361599616</v>
      </c>
      <c r="J27" s="348">
        <f t="shared" si="4"/>
        <v>734.21308879473349</v>
      </c>
      <c r="K27" s="348">
        <f t="shared" si="4"/>
        <v>808.17351908028525</v>
      </c>
      <c r="L27" s="348">
        <f t="shared" si="4"/>
        <v>887.55758730036655</v>
      </c>
      <c r="M27" s="348">
        <f t="shared" si="4"/>
        <v>972.20733735471435</v>
      </c>
      <c r="N27" s="348">
        <f t="shared" si="4"/>
        <v>1061.9413949909049</v>
      </c>
      <c r="O27" s="348">
        <f t="shared" si="4"/>
        <v>1156.5538021181355</v>
      </c>
      <c r="P27" s="348">
        <f t="shared" si="4"/>
        <v>1255.8130057530534</v>
      </c>
      <c r="Q27" s="348">
        <f t="shared" si="4"/>
        <v>1359.4610205472627</v>
      </c>
      <c r="R27" s="348">
        <f t="shared" si="4"/>
        <v>1467.2127839917885</v>
      </c>
      <c r="S27" s="348">
        <f t="shared" si="4"/>
        <v>1578.7557232591626</v>
      </c>
      <c r="T27" s="348">
        <f t="shared" si="4"/>
        <v>1693.7495522036643</v>
      </c>
      <c r="U27" s="348">
        <f t="shared" si="4"/>
        <v>1811.8263162716098</v>
      </c>
      <c r="V27" s="348">
        <f t="shared" si="4"/>
        <v>1932.590701956191</v>
      </c>
      <c r="W27" s="348">
        <f t="shared" si="4"/>
        <v>2055.620625948728</v>
      </c>
      <c r="X27" s="348">
        <f t="shared" si="4"/>
        <v>2180.4681172782966</v>
      </c>
      <c r="Y27" s="348">
        <f t="shared" si="4"/>
        <v>2306.6605034876952</v>
      </c>
      <c r="Z27" s="348">
        <f t="shared" si="4"/>
        <v>2433.7019092652472</v>
      </c>
      <c r="AA27" s="348">
        <f t="shared" si="4"/>
        <v>2561.0750729449287</v>
      </c>
      <c r="AB27" s="348">
        <f t="shared" si="4"/>
        <v>2688.2434829158819</v>
      </c>
      <c r="AC27" s="348">
        <f t="shared" si="4"/>
        <v>2814.6538322683987</v>
      </c>
    </row>
    <row r="28" spans="4:29" x14ac:dyDescent="0.2">
      <c r="D28" s="3" t="s">
        <v>108</v>
      </c>
      <c r="E28" s="348">
        <f t="shared" ref="E28:AC28" si="5">E14+E22</f>
        <v>14021.537377661332</v>
      </c>
      <c r="F28" s="348">
        <f t="shared" si="5"/>
        <v>14320.793152048565</v>
      </c>
      <c r="G28" s="348">
        <f t="shared" si="5"/>
        <v>14659.191257449302</v>
      </c>
      <c r="H28" s="348">
        <f t="shared" si="5"/>
        <v>15036.317825656579</v>
      </c>
      <c r="I28" s="348">
        <f t="shared" si="5"/>
        <v>15451.653750724399</v>
      </c>
      <c r="J28" s="348">
        <f t="shared" si="5"/>
        <v>15904.56359187813</v>
      </c>
      <c r="K28" s="348">
        <f t="shared" si="5"/>
        <v>16394.284939929388</v>
      </c>
      <c r="L28" s="348">
        <f t="shared" si="5"/>
        <v>16919.91834623105</v>
      </c>
      <c r="M28" s="348">
        <f t="shared" si="5"/>
        <v>17480.417920784166</v>
      </c>
      <c r="N28" s="348">
        <f t="shared" si="5"/>
        <v>18074.582712714662</v>
      </c>
      <c r="O28" s="348">
        <f t="shared" si="5"/>
        <v>18701.048991802454</v>
      </c>
      <c r="P28" s="348">
        <f t="shared" si="5"/>
        <v>19358.283553890746</v>
      </c>
      <c r="Q28" s="348">
        <f t="shared" si="5"/>
        <v>20044.578175648414</v>
      </c>
      <c r="R28" s="348">
        <f t="shared" si="5"/>
        <v>20758.045345122977</v>
      </c>
      <c r="S28" s="348">
        <f t="shared" si="5"/>
        <v>21496.615393630243</v>
      </c>
      <c r="T28" s="348">
        <f t="shared" si="5"/>
        <v>22258.035151612348</v>
      </c>
      <c r="U28" s="348">
        <f t="shared" si="5"/>
        <v>23039.868246006616</v>
      </c>
      <c r="V28" s="348">
        <f t="shared" si="5"/>
        <v>23839.497149268798</v>
      </c>
      <c r="W28" s="348">
        <f t="shared" si="5"/>
        <v>24654.127080377235</v>
      </c>
      <c r="X28" s="348">
        <f t="shared" si="5"/>
        <v>25480.791845829226</v>
      </c>
      <c r="Y28" s="348">
        <f t="shared" si="5"/>
        <v>26316.361693782696</v>
      </c>
      <c r="Z28" s="348">
        <f t="shared" si="5"/>
        <v>27157.553237091808</v>
      </c>
      <c r="AA28" s="348">
        <f t="shared" si="5"/>
        <v>28000.941481074929</v>
      </c>
      <c r="AB28" s="348">
        <f t="shared" si="5"/>
        <v>28842.973969529448</v>
      </c>
      <c r="AC28" s="348">
        <f t="shared" si="5"/>
        <v>29679.987037916617</v>
      </c>
    </row>
    <row r="29" spans="4:29" x14ac:dyDescent="0.2">
      <c r="D29" s="3" t="s">
        <v>310</v>
      </c>
      <c r="E29" s="348">
        <f t="shared" ref="E29:AC29" si="6">E15</f>
        <v>504.05</v>
      </c>
      <c r="F29" s="348">
        <f t="shared" si="6"/>
        <v>504.05</v>
      </c>
      <c r="G29" s="348">
        <f t="shared" si="6"/>
        <v>504.05</v>
      </c>
      <c r="H29" s="348">
        <f t="shared" si="6"/>
        <v>504.05</v>
      </c>
      <c r="I29" s="348">
        <f t="shared" si="6"/>
        <v>504.05</v>
      </c>
      <c r="J29" s="348">
        <f t="shared" si="6"/>
        <v>504.05</v>
      </c>
      <c r="K29" s="348">
        <f t="shared" si="6"/>
        <v>504.05</v>
      </c>
      <c r="L29" s="348">
        <f t="shared" si="6"/>
        <v>504.05</v>
      </c>
      <c r="M29" s="348">
        <f t="shared" si="6"/>
        <v>504.05</v>
      </c>
      <c r="N29" s="348">
        <f t="shared" si="6"/>
        <v>504.05</v>
      </c>
      <c r="O29" s="348">
        <f t="shared" si="6"/>
        <v>504.05</v>
      </c>
      <c r="P29" s="348">
        <f t="shared" si="6"/>
        <v>504.05</v>
      </c>
      <c r="Q29" s="348">
        <f t="shared" si="6"/>
        <v>504.05</v>
      </c>
      <c r="R29" s="348">
        <f t="shared" si="6"/>
        <v>504.05</v>
      </c>
      <c r="S29" s="348">
        <f t="shared" si="6"/>
        <v>504.05</v>
      </c>
      <c r="T29" s="348">
        <f t="shared" si="6"/>
        <v>504.05</v>
      </c>
      <c r="U29" s="348">
        <f t="shared" si="6"/>
        <v>504.05</v>
      </c>
      <c r="V29" s="348">
        <f t="shared" si="6"/>
        <v>504.05</v>
      </c>
      <c r="W29" s="348">
        <f t="shared" si="6"/>
        <v>504.05</v>
      </c>
      <c r="X29" s="348">
        <f t="shared" si="6"/>
        <v>504.05</v>
      </c>
      <c r="Y29" s="348">
        <f t="shared" si="6"/>
        <v>504.05</v>
      </c>
      <c r="Z29" s="348">
        <f t="shared" si="6"/>
        <v>504.05</v>
      </c>
      <c r="AA29" s="348">
        <f t="shared" si="6"/>
        <v>504.05</v>
      </c>
      <c r="AB29" s="348">
        <f t="shared" si="6"/>
        <v>504.05</v>
      </c>
      <c r="AC29" s="348">
        <f t="shared" si="6"/>
        <v>504.05</v>
      </c>
    </row>
    <row r="30" spans="4:29" x14ac:dyDescent="0.2">
      <c r="D30" s="346" t="s">
        <v>265</v>
      </c>
      <c r="E30" s="345">
        <f>SUM(E26:E29)</f>
        <v>237232.38409058619</v>
      </c>
      <c r="F30" s="345">
        <f>SUM(F26:F29)</f>
        <v>245941.25293887852</v>
      </c>
      <c r="G30" s="345">
        <f>SUM(G26:G29)</f>
        <v>257003.81298057199</v>
      </c>
      <c r="H30" s="345">
        <f>SUM(H26:H29)</f>
        <v>264492.94037833012</v>
      </c>
      <c r="I30" s="345">
        <f>SUM(I26:I29)</f>
        <v>271236.468211531</v>
      </c>
      <c r="J30" s="345">
        <f>SUM(J26:J29)</f>
        <v>280241.35120694566</v>
      </c>
      <c r="K30" s="345">
        <f>SUM(K26:K29)</f>
        <v>291424.03366224025</v>
      </c>
      <c r="L30" s="345">
        <f>SUM(L26:L29)</f>
        <v>303786.29699302325</v>
      </c>
      <c r="M30" s="345">
        <f>SUM(M26:M29)</f>
        <v>312228.53875988268</v>
      </c>
      <c r="N30" s="345">
        <f>SUM(N26:N29)</f>
        <v>314809.56310706271</v>
      </c>
      <c r="O30" s="345">
        <f>SUM(O26:O29)</f>
        <v>317399.96388120379</v>
      </c>
      <c r="P30" s="345">
        <f>SUM(P26:P29)</f>
        <v>320122.15348588326</v>
      </c>
      <c r="Q30" s="345">
        <f>SUM(Q26:Q29)</f>
        <v>322969.69420960493</v>
      </c>
      <c r="R30" s="345">
        <f>SUM(R26:R29)</f>
        <v>325935.38017701305</v>
      </c>
      <c r="S30" s="345">
        <f>SUM(S26:S29)</f>
        <v>329011.21301392</v>
      </c>
      <c r="T30" s="345">
        <f>SUM(T26:T29)</f>
        <v>332188.3833708461</v>
      </c>
      <c r="U30" s="345">
        <f>SUM(U26:U29)</f>
        <v>335457.25901425543</v>
      </c>
      <c r="V30" s="345">
        <f>SUM(V26:V29)</f>
        <v>338807.38019670732</v>
      </c>
      <c r="W30" s="345">
        <f>SUM(W26:W29)</f>
        <v>342227.4630059537</v>
      </c>
      <c r="X30" s="345">
        <f>SUM(X26:X29)</f>
        <v>345705.41136691201</v>
      </c>
      <c r="Y30" s="345">
        <f>SUM(Y26:Y29)</f>
        <v>349228.33832787198</v>
      </c>
      <c r="Z30" s="345">
        <f>SUM(Z26:Z29)</f>
        <v>352782.59720187128</v>
      </c>
      <c r="AA30" s="345">
        <f>SUM(AA26:AA29)</f>
        <v>356353.82305477624</v>
      </c>
      <c r="AB30" s="345">
        <f>SUM(AB26:AB29)</f>
        <v>359926.984932461</v>
      </c>
      <c r="AC30" s="345">
        <f>SUM(AC26:AC29)</f>
        <v>363486.44910023548</v>
      </c>
    </row>
    <row r="33" spans="2:30" s="341" customFormat="1" x14ac:dyDescent="0.2">
      <c r="B33" s="333" t="str">
        <f>Workings_costs!B18</f>
        <v>Option 2 - SWBD and relay replacement completed in 2027-28</v>
      </c>
    </row>
    <row r="35" spans="2:30" x14ac:dyDescent="0.2">
      <c r="E35" s="336" t="s">
        <v>19</v>
      </c>
      <c r="F35" s="336" t="str">
        <f t="shared" ref="F35:AC35" si="7">LEFT(E35,4)+1&amp;"-"&amp;RIGHT(E35,2)+1</f>
        <v>2027-28</v>
      </c>
      <c r="G35" s="336" t="str">
        <f t="shared" si="7"/>
        <v>2028-29</v>
      </c>
      <c r="H35" s="336" t="str">
        <f t="shared" si="7"/>
        <v>2029-30</v>
      </c>
      <c r="I35" s="336" t="str">
        <f t="shared" si="7"/>
        <v>2030-31</v>
      </c>
      <c r="J35" s="336" t="str">
        <f t="shared" si="7"/>
        <v>2031-32</v>
      </c>
      <c r="K35" s="336" t="str">
        <f t="shared" si="7"/>
        <v>2032-33</v>
      </c>
      <c r="L35" s="336" t="str">
        <f t="shared" si="7"/>
        <v>2033-34</v>
      </c>
      <c r="M35" s="336" t="str">
        <f t="shared" si="7"/>
        <v>2034-35</v>
      </c>
      <c r="N35" s="336" t="str">
        <f t="shared" si="7"/>
        <v>2035-36</v>
      </c>
      <c r="O35" s="336" t="str">
        <f t="shared" si="7"/>
        <v>2036-37</v>
      </c>
      <c r="P35" s="336" t="str">
        <f t="shared" si="7"/>
        <v>2037-38</v>
      </c>
      <c r="Q35" s="336" t="str">
        <f t="shared" si="7"/>
        <v>2038-39</v>
      </c>
      <c r="R35" s="336" t="str">
        <f t="shared" si="7"/>
        <v>2039-40</v>
      </c>
      <c r="S35" s="336" t="str">
        <f t="shared" si="7"/>
        <v>2040-41</v>
      </c>
      <c r="T35" s="336" t="str">
        <f t="shared" si="7"/>
        <v>2041-42</v>
      </c>
      <c r="U35" s="336" t="str">
        <f t="shared" si="7"/>
        <v>2042-43</v>
      </c>
      <c r="V35" s="336" t="str">
        <f t="shared" si="7"/>
        <v>2043-44</v>
      </c>
      <c r="W35" s="336" t="str">
        <f t="shared" si="7"/>
        <v>2044-45</v>
      </c>
      <c r="X35" s="336" t="str">
        <f t="shared" si="7"/>
        <v>2045-46</v>
      </c>
      <c r="Y35" s="336" t="str">
        <f t="shared" si="7"/>
        <v>2046-47</v>
      </c>
      <c r="Z35" s="336" t="str">
        <f t="shared" si="7"/>
        <v>2047-48</v>
      </c>
      <c r="AA35" s="336" t="str">
        <f t="shared" si="7"/>
        <v>2048-49</v>
      </c>
      <c r="AB35" s="336" t="str">
        <f t="shared" si="7"/>
        <v>2049-50</v>
      </c>
      <c r="AC35" s="336" t="str">
        <f t="shared" si="7"/>
        <v>2050-51</v>
      </c>
    </row>
    <row r="36" spans="2:30" x14ac:dyDescent="0.2">
      <c r="D36" s="3" t="s">
        <v>256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2:30" x14ac:dyDescent="0.2">
      <c r="D37" s="1" t="s">
        <v>257</v>
      </c>
      <c r="E37" s="364">
        <v>219847.74528344165</v>
      </c>
      <c r="F37" s="364">
        <v>227404.47419882231</v>
      </c>
      <c r="G37" s="364">
        <v>27734.020939886395</v>
      </c>
      <c r="H37" s="364">
        <v>28433.669365548791</v>
      </c>
      <c r="I37" s="364">
        <v>29025.287561216646</v>
      </c>
      <c r="J37" s="364">
        <v>29859.889188440422</v>
      </c>
      <c r="K37" s="364">
        <v>30921.348082158303</v>
      </c>
      <c r="L37" s="364">
        <v>32084.738595756055</v>
      </c>
      <c r="M37" s="364">
        <v>32784.679157046805</v>
      </c>
      <c r="N37" s="364">
        <v>32784.679157046805</v>
      </c>
      <c r="O37" s="364">
        <v>32784.679157046805</v>
      </c>
      <c r="P37" s="364">
        <v>32784.679157046805</v>
      </c>
      <c r="Q37" s="364">
        <v>32784.679157046805</v>
      </c>
      <c r="R37" s="364">
        <v>32784.679157046805</v>
      </c>
      <c r="S37" s="364">
        <v>32784.679157046805</v>
      </c>
      <c r="T37" s="364">
        <v>32784.679157046805</v>
      </c>
      <c r="U37" s="364">
        <v>32784.679157046805</v>
      </c>
      <c r="V37" s="364">
        <v>32784.679157046805</v>
      </c>
      <c r="W37" s="364">
        <v>32784.679157046805</v>
      </c>
      <c r="X37" s="364">
        <v>32784.679157046805</v>
      </c>
      <c r="Y37" s="364">
        <v>32784.679157046805</v>
      </c>
      <c r="Z37" s="364">
        <v>32784.679157046805</v>
      </c>
      <c r="AA37" s="364">
        <v>32784.679157046805</v>
      </c>
      <c r="AB37" s="364">
        <v>32784.679157046805</v>
      </c>
      <c r="AC37" s="364">
        <v>32784.679157046805</v>
      </c>
    </row>
    <row r="38" spans="2:30" x14ac:dyDescent="0.2">
      <c r="D38" s="1" t="s">
        <v>258</v>
      </c>
      <c r="E38" s="364">
        <v>301.7129754450001</v>
      </c>
      <c r="F38" s="364">
        <v>301.7129754450001</v>
      </c>
      <c r="G38" s="364">
        <v>35.495644170000006</v>
      </c>
      <c r="H38" s="364">
        <v>35.495644169999998</v>
      </c>
      <c r="I38" s="364">
        <v>35.495644169999998</v>
      </c>
      <c r="J38" s="364">
        <v>35.495644169999998</v>
      </c>
      <c r="K38" s="364">
        <v>35.495644169999998</v>
      </c>
      <c r="L38" s="364">
        <v>35.495644169999998</v>
      </c>
      <c r="M38" s="364">
        <v>35.495644169999998</v>
      </c>
      <c r="N38" s="364">
        <v>35.495644169999998</v>
      </c>
      <c r="O38" s="364">
        <v>35.495644169999998</v>
      </c>
      <c r="P38" s="364">
        <v>35.495644169999998</v>
      </c>
      <c r="Q38" s="364">
        <v>35.495644169999998</v>
      </c>
      <c r="R38" s="364">
        <v>35.495644169999998</v>
      </c>
      <c r="S38" s="364">
        <v>35.495644169999998</v>
      </c>
      <c r="T38" s="364">
        <v>35.495644169999998</v>
      </c>
      <c r="U38" s="364">
        <v>35.495644169999998</v>
      </c>
      <c r="V38" s="364">
        <v>35.495644169999998</v>
      </c>
      <c r="W38" s="364">
        <v>35.495644169999998</v>
      </c>
      <c r="X38" s="364">
        <v>35.495644169999998</v>
      </c>
      <c r="Y38" s="364">
        <v>35.495644169999998</v>
      </c>
      <c r="Z38" s="364">
        <v>35.495644169999998</v>
      </c>
      <c r="AA38" s="364">
        <v>35.495644169999998</v>
      </c>
      <c r="AB38" s="364">
        <v>35.495644169999998</v>
      </c>
      <c r="AC38" s="364">
        <v>35.495644169999998</v>
      </c>
    </row>
    <row r="39" spans="2:30" x14ac:dyDescent="0.2">
      <c r="D39" s="1" t="s">
        <v>259</v>
      </c>
      <c r="E39" s="364">
        <v>13040.808774278999</v>
      </c>
      <c r="F39" s="364">
        <v>13040.808774278999</v>
      </c>
      <c r="G39" s="364">
        <v>1534.212796974</v>
      </c>
      <c r="H39" s="364">
        <v>1534.2127969739995</v>
      </c>
      <c r="I39" s="364">
        <v>1534.2127969739995</v>
      </c>
      <c r="J39" s="364">
        <v>1534.2127969739995</v>
      </c>
      <c r="K39" s="364">
        <v>1534.2127969739995</v>
      </c>
      <c r="L39" s="364">
        <v>1534.2127969739995</v>
      </c>
      <c r="M39" s="364">
        <v>1534.2127969739995</v>
      </c>
      <c r="N39" s="364">
        <v>1534.2127969739995</v>
      </c>
      <c r="O39" s="364">
        <v>1534.2127969739995</v>
      </c>
      <c r="P39" s="364">
        <v>1534.2127969739995</v>
      </c>
      <c r="Q39" s="364">
        <v>1534.2127969739995</v>
      </c>
      <c r="R39" s="364">
        <v>1534.2127969739995</v>
      </c>
      <c r="S39" s="364">
        <v>1534.2127969739995</v>
      </c>
      <c r="T39" s="364">
        <v>1534.2127969739995</v>
      </c>
      <c r="U39" s="364">
        <v>1534.2127969739995</v>
      </c>
      <c r="V39" s="364">
        <v>1534.2127969739995</v>
      </c>
      <c r="W39" s="364">
        <v>1534.2127969739995</v>
      </c>
      <c r="X39" s="364">
        <v>1534.2127969739995</v>
      </c>
      <c r="Y39" s="364">
        <v>1534.2127969739995</v>
      </c>
      <c r="Z39" s="364">
        <v>1534.2127969739995</v>
      </c>
      <c r="AA39" s="364">
        <v>1534.2127969739995</v>
      </c>
      <c r="AB39" s="364">
        <v>1534.2127969739995</v>
      </c>
      <c r="AC39" s="364">
        <v>1534.2127969739995</v>
      </c>
    </row>
    <row r="40" spans="2:30" x14ac:dyDescent="0.2">
      <c r="D40" s="1" t="s">
        <v>260</v>
      </c>
      <c r="E40" s="364">
        <v>504.05</v>
      </c>
      <c r="F40" s="364">
        <v>504.05</v>
      </c>
      <c r="G40" s="364">
        <v>59.29999999999999</v>
      </c>
      <c r="H40" s="364">
        <v>59.29999999999999</v>
      </c>
      <c r="I40" s="364">
        <v>59.29999999999999</v>
      </c>
      <c r="J40" s="364">
        <v>59.29999999999999</v>
      </c>
      <c r="K40" s="364">
        <v>59.29999999999999</v>
      </c>
      <c r="L40" s="364">
        <v>59.29999999999999</v>
      </c>
      <c r="M40" s="364">
        <v>59.29999999999999</v>
      </c>
      <c r="N40" s="364">
        <v>59.29999999999999</v>
      </c>
      <c r="O40" s="364">
        <v>59.29999999999999</v>
      </c>
      <c r="P40" s="364">
        <v>59.29999999999999</v>
      </c>
      <c r="Q40" s="364">
        <v>59.29999999999999</v>
      </c>
      <c r="R40" s="364">
        <v>59.29999999999999</v>
      </c>
      <c r="S40" s="364">
        <v>59.29999999999999</v>
      </c>
      <c r="T40" s="364">
        <v>59.29999999999999</v>
      </c>
      <c r="U40" s="364">
        <v>59.29999999999999</v>
      </c>
      <c r="V40" s="364">
        <v>59.29999999999999</v>
      </c>
      <c r="W40" s="364">
        <v>59.29999999999999</v>
      </c>
      <c r="X40" s="364">
        <v>59.29999999999999</v>
      </c>
      <c r="Y40" s="364">
        <v>59.29999999999999</v>
      </c>
      <c r="Z40" s="364">
        <v>59.29999999999999</v>
      </c>
      <c r="AA40" s="364">
        <v>59.29999999999999</v>
      </c>
      <c r="AB40" s="364">
        <v>59.29999999999999</v>
      </c>
      <c r="AC40" s="364">
        <v>59.29999999999999</v>
      </c>
    </row>
    <row r="41" spans="2:30" x14ac:dyDescent="0.2">
      <c r="D41" s="346" t="s">
        <v>261</v>
      </c>
      <c r="E41" s="345">
        <f t="shared" ref="E41:AC41" si="8">SUM(E37:E40)</f>
        <v>233694.31703316563</v>
      </c>
      <c r="F41" s="345">
        <f t="shared" si="8"/>
        <v>241251.04594854629</v>
      </c>
      <c r="G41" s="345">
        <f t="shared" si="8"/>
        <v>29363.029381030396</v>
      </c>
      <c r="H41" s="345">
        <f t="shared" si="8"/>
        <v>30062.677806692791</v>
      </c>
      <c r="I41" s="345">
        <f t="shared" si="8"/>
        <v>30654.296002360647</v>
      </c>
      <c r="J41" s="345">
        <f t="shared" si="8"/>
        <v>31488.897629584422</v>
      </c>
      <c r="K41" s="345">
        <f t="shared" si="8"/>
        <v>32550.356523302304</v>
      </c>
      <c r="L41" s="345">
        <f t="shared" si="8"/>
        <v>33713.747036900058</v>
      </c>
      <c r="M41" s="345">
        <f t="shared" si="8"/>
        <v>34413.687598190809</v>
      </c>
      <c r="N41" s="345">
        <f t="shared" si="8"/>
        <v>34413.687598190809</v>
      </c>
      <c r="O41" s="345">
        <f t="shared" si="8"/>
        <v>34413.687598190809</v>
      </c>
      <c r="P41" s="345">
        <f t="shared" si="8"/>
        <v>34413.687598190809</v>
      </c>
      <c r="Q41" s="345">
        <f t="shared" si="8"/>
        <v>34413.687598190809</v>
      </c>
      <c r="R41" s="345">
        <f t="shared" si="8"/>
        <v>34413.687598190809</v>
      </c>
      <c r="S41" s="345">
        <f t="shared" si="8"/>
        <v>34413.687598190809</v>
      </c>
      <c r="T41" s="345">
        <f t="shared" si="8"/>
        <v>34413.687598190809</v>
      </c>
      <c r="U41" s="345">
        <f t="shared" si="8"/>
        <v>34413.687598190809</v>
      </c>
      <c r="V41" s="345">
        <f t="shared" si="8"/>
        <v>34413.687598190809</v>
      </c>
      <c r="W41" s="345">
        <f t="shared" si="8"/>
        <v>34413.687598190809</v>
      </c>
      <c r="X41" s="345">
        <f t="shared" si="8"/>
        <v>34413.687598190809</v>
      </c>
      <c r="Y41" s="345">
        <f t="shared" si="8"/>
        <v>34413.687598190809</v>
      </c>
      <c r="Z41" s="345">
        <f t="shared" si="8"/>
        <v>34413.687598190809</v>
      </c>
      <c r="AA41" s="345">
        <f t="shared" si="8"/>
        <v>34413.687598190809</v>
      </c>
      <c r="AB41" s="345">
        <f t="shared" si="8"/>
        <v>34413.687598190809</v>
      </c>
      <c r="AC41" s="345">
        <f t="shared" si="8"/>
        <v>34413.687598190809</v>
      </c>
    </row>
    <row r="43" spans="2:30" x14ac:dyDescent="0.2">
      <c r="D43" s="3" t="s">
        <v>262</v>
      </c>
    </row>
    <row r="44" spans="2:30" x14ac:dyDescent="0.2">
      <c r="D44" s="361" t="s">
        <v>318</v>
      </c>
      <c r="E44" s="410">
        <f>E19</f>
        <v>7.4488884595715871E-2</v>
      </c>
      <c r="F44" s="410">
        <f>F19</f>
        <v>9.9461182765681069E-2</v>
      </c>
      <c r="G44" s="410">
        <v>1.6941105964176704E-3</v>
      </c>
      <c r="H44" s="410">
        <v>6.9387405564732977E-3</v>
      </c>
      <c r="I44" s="410">
        <v>1.5969352909572271E-2</v>
      </c>
      <c r="J44" s="410">
        <v>2.9138120682026217E-2</v>
      </c>
      <c r="K44" s="410">
        <v>4.6397464697477082E-2</v>
      </c>
      <c r="L44" s="410">
        <v>6.7988341581077721E-2</v>
      </c>
      <c r="M44" s="410">
        <v>9.4102177502390041E-2</v>
      </c>
      <c r="N44" s="410">
        <v>0.1255979299983033</v>
      </c>
      <c r="O44" s="410">
        <v>0.16381766650898905</v>
      </c>
      <c r="P44" s="410">
        <v>0.20506436683430435</v>
      </c>
      <c r="Q44" s="410">
        <v>0.25029895068464164</v>
      </c>
      <c r="R44" s="410">
        <v>0.29739926269501743</v>
      </c>
      <c r="S44" s="410">
        <v>0.34827834805310831</v>
      </c>
      <c r="T44" s="410">
        <v>0.40279643774691187</v>
      </c>
      <c r="U44" s="410">
        <v>0.46078400537529818</v>
      </c>
      <c r="V44" s="410">
        <v>0.52203934524729712</v>
      </c>
      <c r="W44" s="410">
        <v>0.58632640710088901</v>
      </c>
      <c r="X44" s="410">
        <v>0.65337296260383881</v>
      </c>
      <c r="Y44" s="410">
        <v>0.72286918506367903</v>
      </c>
      <c r="Z44" s="410">
        <v>0.79446672825876119</v>
      </c>
      <c r="AA44" s="410">
        <v>0.86777839245689814</v>
      </c>
      <c r="AB44" s="410">
        <v>0.94237846495547806</v>
      </c>
      <c r="AC44" s="410">
        <v>1.0178038183252665</v>
      </c>
      <c r="AD44" s="349"/>
    </row>
    <row r="45" spans="2:30" s="347" customFormat="1" x14ac:dyDescent="0.2">
      <c r="D45" s="1" t="s">
        <v>257</v>
      </c>
      <c r="E45" s="412">
        <f>E44*Assumptions!$H$41</f>
        <v>2409.2233886277695</v>
      </c>
      <c r="F45" s="412">
        <f>F44*Assumptions!$H$41</f>
        <v>3216.9122826876337</v>
      </c>
      <c r="G45" s="412">
        <f>G44*Assumptions!$H$41</f>
        <v>54.79328753496106</v>
      </c>
      <c r="H45" s="412">
        <f>H44*Assumptions!$H$41</f>
        <v>224.42242392279005</v>
      </c>
      <c r="I45" s="412">
        <f>I44*Assumptions!$H$41</f>
        <v>516.50308283989534</v>
      </c>
      <c r="J45" s="412">
        <f>J44*Assumptions!$H$41</f>
        <v>942.42573544769618</v>
      </c>
      <c r="K45" s="412">
        <f>K44*Assumptions!$H$41</f>
        <v>1500.6515096699679</v>
      </c>
      <c r="L45" s="412">
        <f>L44*Assumptions!$H$41</f>
        <v>2198.9737607182137</v>
      </c>
      <c r="M45" s="412">
        <f>M44*Assumptions!$H$41</f>
        <v>3043.5838607334858</v>
      </c>
      <c r="N45" s="412">
        <f>N44*Assumptions!$H$41</f>
        <v>4062.2634122856621</v>
      </c>
      <c r="O45" s="412">
        <f>O44*Assumptions!$H$41</f>
        <v>5298.4194321870618</v>
      </c>
      <c r="P45" s="412">
        <f>P44*Assumptions!$H$41</f>
        <v>6632.4777372188637</v>
      </c>
      <c r="Q45" s="412">
        <f>Q44*Assumptions!$H$41</f>
        <v>8095.5177327639776</v>
      </c>
      <c r="R45" s="412">
        <f>R44*Assumptions!$H$41</f>
        <v>9618.9017104264531</v>
      </c>
      <c r="S45" s="412">
        <f>S44*Assumptions!$H$41</f>
        <v>11264.504045620384</v>
      </c>
      <c r="T45" s="412">
        <f>T44*Assumptions!$H$41</f>
        <v>13027.804134036156</v>
      </c>
      <c r="U45" s="412">
        <f>U44*Assumptions!$H$41</f>
        <v>14903.318916385009</v>
      </c>
      <c r="V45" s="412">
        <f>V44*Assumptions!$H$41</f>
        <v>16884.524545908567</v>
      </c>
      <c r="W45" s="412">
        <f>W44*Assumptions!$H$41</f>
        <v>18963.786355834254</v>
      </c>
      <c r="X45" s="412">
        <f>X44*Assumptions!$H$41</f>
        <v>21132.299557788236</v>
      </c>
      <c r="Y45" s="412">
        <f>Y44*Assumptions!$H$41</f>
        <v>23380.043304794955</v>
      </c>
      <c r="Z45" s="412">
        <f>Z44*Assumptions!$H$41</f>
        <v>25695.750897546313</v>
      </c>
      <c r="AA45" s="412">
        <f>AA44*Assumptions!$H$41</f>
        <v>28066.898982310828</v>
      </c>
      <c r="AB45" s="412">
        <f>AB44*Assumptions!$H$41</f>
        <v>30479.718565156923</v>
      </c>
      <c r="AC45" s="412">
        <f>AC44*Assumptions!$H$41</f>
        <v>32919.230532885595</v>
      </c>
      <c r="AD45" s="350"/>
    </row>
    <row r="46" spans="2:30" x14ac:dyDescent="0.2">
      <c r="D46" s="1" t="s">
        <v>258</v>
      </c>
      <c r="E46" s="364">
        <v>148.1150654104494</v>
      </c>
      <c r="F46" s="364">
        <v>193.31032987500589</v>
      </c>
      <c r="G46" s="364">
        <v>3.0255999835620941</v>
      </c>
      <c r="H46" s="364">
        <v>12.102026925291742</v>
      </c>
      <c r="I46" s="364">
        <v>27.226203604765566</v>
      </c>
      <c r="J46" s="364">
        <v>48.388713488692204</v>
      </c>
      <c r="K46" s="364">
        <v>75.570080023833142</v>
      </c>
      <c r="L46" s="364">
        <v>108.73706579893539</v>
      </c>
      <c r="M46" s="364">
        <v>147.83901018734804</v>
      </c>
      <c r="N46" s="364">
        <v>192.8042303936632</v>
      </c>
      <c r="O46" s="364">
        <v>243.53651699177414</v>
      </c>
      <c r="P46" s="364">
        <v>299.91176097004859</v>
      </c>
      <c r="Q46" s="364">
        <v>361.77475488372687</v>
      </c>
      <c r="R46" s="364">
        <v>428.93621582842195</v>
      </c>
      <c r="S46" s="364">
        <v>501.17008244849171</v>
      </c>
      <c r="T46" s="364">
        <v>578.2111419230414</v>
      </c>
      <c r="U46" s="364">
        <v>659.75304566316822</v>
      </c>
      <c r="V46" s="364">
        <v>745.44677413372051</v>
      </c>
      <c r="W46" s="364">
        <v>834.89961160766347</v>
      </c>
      <c r="X46" s="364">
        <v>927.67469060285771</v>
      </c>
      <c r="Y46" s="338">
        <v>1023.2911630838314</v>
      </c>
      <c r="Z46" s="338">
        <v>1121.2250510987558</v>
      </c>
      <c r="AA46" s="338">
        <v>1220.9108232560832</v>
      </c>
      <c r="AB46" s="338">
        <v>1321.7437352538893</v>
      </c>
      <c r="AC46" s="338">
        <v>1423.0829625301369</v>
      </c>
      <c r="AD46" s="349"/>
    </row>
    <row r="47" spans="2:30" x14ac:dyDescent="0.2">
      <c r="D47" s="1" t="s">
        <v>259</v>
      </c>
      <c r="E47" s="364">
        <v>980.72860338233284</v>
      </c>
      <c r="F47" s="364">
        <v>1279.9843777695658</v>
      </c>
      <c r="G47" s="364">
        <v>8.0134790827648548</v>
      </c>
      <c r="H47" s="364">
        <v>32.052928394951579</v>
      </c>
      <c r="I47" s="364">
        <v>72.110197737713719</v>
      </c>
      <c r="J47" s="364">
        <v>128.16034687011646</v>
      </c>
      <c r="K47" s="364">
        <v>200.15179099812582</v>
      </c>
      <c r="L47" s="364">
        <v>287.99649888784171</v>
      </c>
      <c r="M47" s="364">
        <v>391.56029289707993</v>
      </c>
      <c r="N47" s="364">
        <v>510.6533169362333</v>
      </c>
      <c r="O47" s="364">
        <v>645.02075469519446</v>
      </c>
      <c r="P47" s="364">
        <v>794.33389617459113</v>
      </c>
      <c r="Q47" s="364">
        <v>958.18166535022101</v>
      </c>
      <c r="R47" s="364">
        <v>1136.0627353436882</v>
      </c>
      <c r="S47" s="364">
        <v>1327.3783693904838</v>
      </c>
      <c r="T47" s="364">
        <v>1531.4261357731734</v>
      </c>
      <c r="U47" s="364">
        <v>1747.3946522791236</v>
      </c>
      <c r="V47" s="364">
        <v>1974.3595201908529</v>
      </c>
      <c r="W47" s="364">
        <v>2211.2806088628172</v>
      </c>
      <c r="X47" s="364">
        <v>2457.0008491354806</v>
      </c>
      <c r="Y47" s="338">
        <v>2710.2466867732633</v>
      </c>
      <c r="Z47" s="338">
        <v>2969.6303354264751</v>
      </c>
      <c r="AA47" s="338">
        <v>3233.6539520221922</v>
      </c>
      <c r="AB47" s="338">
        <v>3500.7158357935523</v>
      </c>
      <c r="AC47" s="338">
        <v>3769.1187252877835</v>
      </c>
      <c r="AD47" s="349"/>
    </row>
    <row r="48" spans="2:30" x14ac:dyDescent="0.2">
      <c r="D48" s="346" t="s">
        <v>263</v>
      </c>
      <c r="E48" s="345">
        <f t="shared" ref="E48:AC48" si="9">SUM(E44:E47)</f>
        <v>3538.1415463051476</v>
      </c>
      <c r="F48" s="345">
        <f t="shared" si="9"/>
        <v>4690.3064515149708</v>
      </c>
      <c r="G48" s="345">
        <f t="shared" si="9"/>
        <v>65.834060711884433</v>
      </c>
      <c r="H48" s="345">
        <f t="shared" si="9"/>
        <v>268.58431798358981</v>
      </c>
      <c r="I48" s="345">
        <f t="shared" si="9"/>
        <v>615.85545353528425</v>
      </c>
      <c r="J48" s="345">
        <f t="shared" si="9"/>
        <v>1119.0039339271868</v>
      </c>
      <c r="K48" s="345">
        <f t="shared" si="9"/>
        <v>1776.4197781566243</v>
      </c>
      <c r="L48" s="345">
        <f t="shared" si="9"/>
        <v>2595.775313746572</v>
      </c>
      <c r="M48" s="345">
        <f t="shared" si="9"/>
        <v>3583.0772659954159</v>
      </c>
      <c r="N48" s="345">
        <f t="shared" si="9"/>
        <v>4765.8465575455575</v>
      </c>
      <c r="O48" s="345">
        <f t="shared" si="9"/>
        <v>6187.1405215405393</v>
      </c>
      <c r="P48" s="345">
        <f t="shared" si="9"/>
        <v>7726.9284587303382</v>
      </c>
      <c r="Q48" s="345">
        <f t="shared" si="9"/>
        <v>9415.7244519486103</v>
      </c>
      <c r="R48" s="345">
        <f t="shared" si="9"/>
        <v>11184.198060861259</v>
      </c>
      <c r="S48" s="345">
        <f t="shared" si="9"/>
        <v>13093.400775807415</v>
      </c>
      <c r="T48" s="345">
        <f t="shared" si="9"/>
        <v>15137.844208170118</v>
      </c>
      <c r="U48" s="345">
        <f t="shared" si="9"/>
        <v>17310.927398332678</v>
      </c>
      <c r="V48" s="345">
        <f t="shared" si="9"/>
        <v>19604.85287957839</v>
      </c>
      <c r="W48" s="345">
        <f t="shared" si="9"/>
        <v>22010.552902711835</v>
      </c>
      <c r="X48" s="345">
        <f t="shared" si="9"/>
        <v>24517.628470489177</v>
      </c>
      <c r="Y48" s="345">
        <f t="shared" si="9"/>
        <v>27114.304023837114</v>
      </c>
      <c r="Z48" s="345">
        <f t="shared" si="9"/>
        <v>29787.400750799799</v>
      </c>
      <c r="AA48" s="345">
        <f t="shared" si="9"/>
        <v>32522.331535981561</v>
      </c>
      <c r="AB48" s="345">
        <f t="shared" si="9"/>
        <v>35303.120514669325</v>
      </c>
      <c r="AC48" s="345">
        <f t="shared" si="9"/>
        <v>38112.450024521837</v>
      </c>
    </row>
    <row r="50" spans="2:29" x14ac:dyDescent="0.2">
      <c r="D50" s="3" t="s">
        <v>264</v>
      </c>
    </row>
    <row r="51" spans="2:29" x14ac:dyDescent="0.2">
      <c r="D51" s="3" t="s">
        <v>257</v>
      </c>
      <c r="E51" s="348">
        <f t="shared" ref="E51:AC51" si="10">E37+E45</f>
        <v>222256.96867206943</v>
      </c>
      <c r="F51" s="348">
        <f t="shared" si="10"/>
        <v>230621.38648150995</v>
      </c>
      <c r="G51" s="348">
        <f t="shared" si="10"/>
        <v>27788.814227421357</v>
      </c>
      <c r="H51" s="348">
        <f t="shared" si="10"/>
        <v>28658.091789471582</v>
      </c>
      <c r="I51" s="348">
        <f t="shared" si="10"/>
        <v>29541.790644056542</v>
      </c>
      <c r="J51" s="348">
        <f t="shared" si="10"/>
        <v>30802.31492388812</v>
      </c>
      <c r="K51" s="348">
        <f t="shared" si="10"/>
        <v>32421.999591828273</v>
      </c>
      <c r="L51" s="348">
        <f t="shared" si="10"/>
        <v>34283.712356474265</v>
      </c>
      <c r="M51" s="348">
        <f t="shared" si="10"/>
        <v>35828.263017780293</v>
      </c>
      <c r="N51" s="348">
        <f t="shared" si="10"/>
        <v>36846.942569332467</v>
      </c>
      <c r="O51" s="348">
        <f t="shared" si="10"/>
        <v>38083.098589233865</v>
      </c>
      <c r="P51" s="348">
        <f t="shared" si="10"/>
        <v>39417.156894265667</v>
      </c>
      <c r="Q51" s="348">
        <f t="shared" si="10"/>
        <v>40880.196889810781</v>
      </c>
      <c r="R51" s="348">
        <f t="shared" si="10"/>
        <v>42403.580867473254</v>
      </c>
      <c r="S51" s="348">
        <f t="shared" si="10"/>
        <v>44049.183202667191</v>
      </c>
      <c r="T51" s="348">
        <f t="shared" si="10"/>
        <v>45812.483291082957</v>
      </c>
      <c r="U51" s="348">
        <f t="shared" si="10"/>
        <v>47687.998073431816</v>
      </c>
      <c r="V51" s="348">
        <f t="shared" si="10"/>
        <v>49669.203702955376</v>
      </c>
      <c r="W51" s="348">
        <f t="shared" si="10"/>
        <v>51748.465512881055</v>
      </c>
      <c r="X51" s="348">
        <f t="shared" si="10"/>
        <v>53916.978714835044</v>
      </c>
      <c r="Y51" s="348">
        <f t="shared" si="10"/>
        <v>56164.72246184176</v>
      </c>
      <c r="Z51" s="348">
        <f t="shared" si="10"/>
        <v>58480.430054593118</v>
      </c>
      <c r="AA51" s="348">
        <f t="shared" si="10"/>
        <v>60851.578139357633</v>
      </c>
      <c r="AB51" s="348">
        <f t="shared" si="10"/>
        <v>63264.397722203728</v>
      </c>
      <c r="AC51" s="348">
        <f t="shared" si="10"/>
        <v>65703.909689932392</v>
      </c>
    </row>
    <row r="52" spans="2:29" x14ac:dyDescent="0.2">
      <c r="D52" s="3" t="s">
        <v>309</v>
      </c>
      <c r="E52" s="348">
        <f t="shared" ref="E52:AC52" si="11">E38+E46</f>
        <v>449.8280408554495</v>
      </c>
      <c r="F52" s="348">
        <f t="shared" si="11"/>
        <v>495.02330532000599</v>
      </c>
      <c r="G52" s="348">
        <f t="shared" si="11"/>
        <v>38.521244153562101</v>
      </c>
      <c r="H52" s="348">
        <f t="shared" si="11"/>
        <v>47.597671095291744</v>
      </c>
      <c r="I52" s="348">
        <f t="shared" si="11"/>
        <v>62.721847774765564</v>
      </c>
      <c r="J52" s="348">
        <f t="shared" si="11"/>
        <v>83.88435765869221</v>
      </c>
      <c r="K52" s="348">
        <f t="shared" si="11"/>
        <v>111.06572419383315</v>
      </c>
      <c r="L52" s="348">
        <f t="shared" si="11"/>
        <v>144.23270996893538</v>
      </c>
      <c r="M52" s="348">
        <f t="shared" si="11"/>
        <v>183.33465435734803</v>
      </c>
      <c r="N52" s="348">
        <f t="shared" si="11"/>
        <v>228.2998745636632</v>
      </c>
      <c r="O52" s="348">
        <f t="shared" si="11"/>
        <v>279.03216116177413</v>
      </c>
      <c r="P52" s="348">
        <f t="shared" si="11"/>
        <v>335.40740514004858</v>
      </c>
      <c r="Q52" s="348">
        <f t="shared" si="11"/>
        <v>397.27039905372686</v>
      </c>
      <c r="R52" s="348">
        <f t="shared" si="11"/>
        <v>464.43185999842194</v>
      </c>
      <c r="S52" s="348">
        <f t="shared" si="11"/>
        <v>536.6657266184917</v>
      </c>
      <c r="T52" s="348">
        <f t="shared" si="11"/>
        <v>613.70678609304139</v>
      </c>
      <c r="U52" s="348">
        <f t="shared" si="11"/>
        <v>695.24868983316821</v>
      </c>
      <c r="V52" s="348">
        <f t="shared" si="11"/>
        <v>780.9424183037205</v>
      </c>
      <c r="W52" s="348">
        <f t="shared" si="11"/>
        <v>870.39525577766346</v>
      </c>
      <c r="X52" s="348">
        <f t="shared" si="11"/>
        <v>963.1703347728577</v>
      </c>
      <c r="Y52" s="348">
        <f t="shared" si="11"/>
        <v>1058.7868072538315</v>
      </c>
      <c r="Z52" s="348">
        <f t="shared" si="11"/>
        <v>1156.7206952687559</v>
      </c>
      <c r="AA52" s="348">
        <f t="shared" si="11"/>
        <v>1256.4064674260833</v>
      </c>
      <c r="AB52" s="348">
        <f t="shared" si="11"/>
        <v>1357.2393794238894</v>
      </c>
      <c r="AC52" s="348">
        <f t="shared" si="11"/>
        <v>1458.578606700137</v>
      </c>
    </row>
    <row r="53" spans="2:29" x14ac:dyDescent="0.2">
      <c r="D53" s="3" t="s">
        <v>108</v>
      </c>
      <c r="E53" s="348">
        <f t="shared" ref="E53:AC53" si="12">E39+E47</f>
        <v>14021.537377661332</v>
      </c>
      <c r="F53" s="348">
        <f t="shared" si="12"/>
        <v>14320.793152048565</v>
      </c>
      <c r="G53" s="348">
        <f t="shared" si="12"/>
        <v>1542.2262760567648</v>
      </c>
      <c r="H53" s="348">
        <f t="shared" si="12"/>
        <v>1566.2657253689511</v>
      </c>
      <c r="I53" s="348">
        <f t="shared" si="12"/>
        <v>1606.3229947117131</v>
      </c>
      <c r="J53" s="348">
        <f t="shared" si="12"/>
        <v>1662.3731438441159</v>
      </c>
      <c r="K53" s="348">
        <f t="shared" si="12"/>
        <v>1734.3645879721253</v>
      </c>
      <c r="L53" s="348">
        <f t="shared" si="12"/>
        <v>1822.2092958618412</v>
      </c>
      <c r="M53" s="348">
        <f t="shared" si="12"/>
        <v>1925.7730898710795</v>
      </c>
      <c r="N53" s="348">
        <f t="shared" si="12"/>
        <v>2044.8661139102328</v>
      </c>
      <c r="O53" s="348">
        <f t="shared" si="12"/>
        <v>2179.2335516691937</v>
      </c>
      <c r="P53" s="348">
        <f t="shared" si="12"/>
        <v>2328.5466931485907</v>
      </c>
      <c r="Q53" s="348">
        <f t="shared" si="12"/>
        <v>2492.3944623242205</v>
      </c>
      <c r="R53" s="348">
        <f t="shared" si="12"/>
        <v>2670.275532317688</v>
      </c>
      <c r="S53" s="348">
        <f t="shared" si="12"/>
        <v>2861.5911663644833</v>
      </c>
      <c r="T53" s="348">
        <f t="shared" si="12"/>
        <v>3065.6389327471729</v>
      </c>
      <c r="U53" s="348">
        <f t="shared" si="12"/>
        <v>3281.6074492531234</v>
      </c>
      <c r="V53" s="348">
        <f t="shared" si="12"/>
        <v>3508.5723171648524</v>
      </c>
      <c r="W53" s="348">
        <f t="shared" si="12"/>
        <v>3745.4934058368167</v>
      </c>
      <c r="X53" s="348">
        <f t="shared" si="12"/>
        <v>3991.2136461094801</v>
      </c>
      <c r="Y53" s="348">
        <f t="shared" si="12"/>
        <v>4244.4594837472632</v>
      </c>
      <c r="Z53" s="348">
        <f t="shared" si="12"/>
        <v>4503.8431324004741</v>
      </c>
      <c r="AA53" s="348">
        <f t="shared" si="12"/>
        <v>4767.8667489961917</v>
      </c>
      <c r="AB53" s="348">
        <f t="shared" si="12"/>
        <v>5034.9286327675518</v>
      </c>
      <c r="AC53" s="348">
        <f t="shared" si="12"/>
        <v>5303.331522261783</v>
      </c>
    </row>
    <row r="54" spans="2:29" x14ac:dyDescent="0.2">
      <c r="D54" s="3" t="s">
        <v>310</v>
      </c>
      <c r="E54" s="348">
        <f t="shared" ref="E54:AC54" si="13">E40</f>
        <v>504.05</v>
      </c>
      <c r="F54" s="348">
        <f t="shared" si="13"/>
        <v>504.05</v>
      </c>
      <c r="G54" s="348">
        <f t="shared" si="13"/>
        <v>59.29999999999999</v>
      </c>
      <c r="H54" s="348">
        <f t="shared" si="13"/>
        <v>59.29999999999999</v>
      </c>
      <c r="I54" s="348">
        <f t="shared" si="13"/>
        <v>59.29999999999999</v>
      </c>
      <c r="J54" s="348">
        <f t="shared" si="13"/>
        <v>59.29999999999999</v>
      </c>
      <c r="K54" s="348">
        <f t="shared" si="13"/>
        <v>59.29999999999999</v>
      </c>
      <c r="L54" s="348">
        <f t="shared" si="13"/>
        <v>59.29999999999999</v>
      </c>
      <c r="M54" s="348">
        <f t="shared" si="13"/>
        <v>59.29999999999999</v>
      </c>
      <c r="N54" s="348">
        <f t="shared" si="13"/>
        <v>59.29999999999999</v>
      </c>
      <c r="O54" s="348">
        <f t="shared" si="13"/>
        <v>59.29999999999999</v>
      </c>
      <c r="P54" s="348">
        <f t="shared" si="13"/>
        <v>59.29999999999999</v>
      </c>
      <c r="Q54" s="348">
        <f t="shared" si="13"/>
        <v>59.29999999999999</v>
      </c>
      <c r="R54" s="348">
        <f t="shared" si="13"/>
        <v>59.29999999999999</v>
      </c>
      <c r="S54" s="348">
        <f t="shared" si="13"/>
        <v>59.29999999999999</v>
      </c>
      <c r="T54" s="348">
        <f t="shared" si="13"/>
        <v>59.29999999999999</v>
      </c>
      <c r="U54" s="348">
        <f t="shared" si="13"/>
        <v>59.29999999999999</v>
      </c>
      <c r="V54" s="348">
        <f t="shared" si="13"/>
        <v>59.29999999999999</v>
      </c>
      <c r="W54" s="348">
        <f t="shared" si="13"/>
        <v>59.29999999999999</v>
      </c>
      <c r="X54" s="348">
        <f t="shared" si="13"/>
        <v>59.29999999999999</v>
      </c>
      <c r="Y54" s="348">
        <f t="shared" si="13"/>
        <v>59.29999999999999</v>
      </c>
      <c r="Z54" s="348">
        <f t="shared" si="13"/>
        <v>59.29999999999999</v>
      </c>
      <c r="AA54" s="348">
        <f t="shared" si="13"/>
        <v>59.29999999999999</v>
      </c>
      <c r="AB54" s="348">
        <f t="shared" si="13"/>
        <v>59.29999999999999</v>
      </c>
      <c r="AC54" s="348">
        <f t="shared" si="13"/>
        <v>59.29999999999999</v>
      </c>
    </row>
    <row r="55" spans="2:29" x14ac:dyDescent="0.2">
      <c r="D55" s="346" t="s">
        <v>265</v>
      </c>
      <c r="E55" s="345">
        <f>SUM(E51:E54)</f>
        <v>237232.38409058619</v>
      </c>
      <c r="F55" s="345">
        <f>SUM(F51:F54)</f>
        <v>245941.25293887852</v>
      </c>
      <c r="G55" s="345">
        <f>SUM(G51:G54)</f>
        <v>29428.861747631683</v>
      </c>
      <c r="H55" s="345">
        <f>SUM(H51:H54)</f>
        <v>30331.255185935825</v>
      </c>
      <c r="I55" s="345">
        <f>SUM(I51:I54)</f>
        <v>31270.135486543022</v>
      </c>
      <c r="J55" s="345">
        <f>SUM(J51:J54)</f>
        <v>32607.872425390928</v>
      </c>
      <c r="K55" s="345">
        <f>SUM(K51:K54)</f>
        <v>34326.72990399423</v>
      </c>
      <c r="L55" s="345">
        <f>SUM(L51:L54)</f>
        <v>36309.454362305041</v>
      </c>
      <c r="M55" s="345">
        <f>SUM(M51:M54)</f>
        <v>37996.670762008725</v>
      </c>
      <c r="N55" s="345">
        <f>SUM(N51:N54)</f>
        <v>39179.408557806368</v>
      </c>
      <c r="O55" s="345">
        <f>SUM(O51:O54)</f>
        <v>40600.664302064841</v>
      </c>
      <c r="P55" s="345">
        <f>SUM(P51:P54)</f>
        <v>42140.410992554309</v>
      </c>
      <c r="Q55" s="345">
        <f>SUM(Q51:Q54)</f>
        <v>43829.161751188731</v>
      </c>
      <c r="R55" s="345">
        <f>SUM(R51:R54)</f>
        <v>45597.588259789372</v>
      </c>
      <c r="S55" s="345">
        <f>SUM(S51:S54)</f>
        <v>47506.740095650166</v>
      </c>
      <c r="T55" s="345">
        <f>SUM(T51:T54)</f>
        <v>49551.12900992317</v>
      </c>
      <c r="U55" s="345">
        <f>SUM(U51:U54)</f>
        <v>51724.154212518115</v>
      </c>
      <c r="V55" s="345">
        <f>SUM(V51:V54)</f>
        <v>54018.018438423947</v>
      </c>
      <c r="W55" s="345">
        <f>SUM(W51:W54)</f>
        <v>56423.654174495539</v>
      </c>
      <c r="X55" s="345">
        <f>SUM(X51:X54)</f>
        <v>58930.662695717379</v>
      </c>
      <c r="Y55" s="345">
        <f>SUM(Y51:Y54)</f>
        <v>61527.268752842858</v>
      </c>
      <c r="Z55" s="345">
        <f>SUM(Z51:Z54)</f>
        <v>64200.293882262355</v>
      </c>
      <c r="AA55" s="345">
        <f>SUM(AA51:AA54)</f>
        <v>66935.151355779904</v>
      </c>
      <c r="AB55" s="345">
        <f>SUM(AB51:AB54)</f>
        <v>69715.865734395178</v>
      </c>
      <c r="AC55" s="345">
        <f>SUM(AC51:AC54)</f>
        <v>72525.119818894309</v>
      </c>
    </row>
    <row r="58" spans="2:29" s="341" customFormat="1" x14ac:dyDescent="0.2">
      <c r="B58" s="333" t="str">
        <f>Workings_costs!B34</f>
        <v>Option 3 - Relay replacement in 2026-27 and SWBD replacement in 2031-32</v>
      </c>
    </row>
    <row r="60" spans="2:29" x14ac:dyDescent="0.2">
      <c r="E60" s="336" t="s">
        <v>19</v>
      </c>
      <c r="F60" s="336" t="str">
        <f t="shared" ref="F60:AC60" si="14">LEFT(E60,4)+1&amp;"-"&amp;RIGHT(E60,2)+1</f>
        <v>2027-28</v>
      </c>
      <c r="G60" s="336" t="str">
        <f t="shared" si="14"/>
        <v>2028-29</v>
      </c>
      <c r="H60" s="336" t="str">
        <f t="shared" si="14"/>
        <v>2029-30</v>
      </c>
      <c r="I60" s="336" t="str">
        <f t="shared" si="14"/>
        <v>2030-31</v>
      </c>
      <c r="J60" s="336" t="str">
        <f t="shared" si="14"/>
        <v>2031-32</v>
      </c>
      <c r="K60" s="336" t="str">
        <f t="shared" si="14"/>
        <v>2032-33</v>
      </c>
      <c r="L60" s="336" t="str">
        <f t="shared" si="14"/>
        <v>2033-34</v>
      </c>
      <c r="M60" s="336" t="str">
        <f t="shared" si="14"/>
        <v>2034-35</v>
      </c>
      <c r="N60" s="336" t="str">
        <f t="shared" si="14"/>
        <v>2035-36</v>
      </c>
      <c r="O60" s="336" t="str">
        <f t="shared" si="14"/>
        <v>2036-37</v>
      </c>
      <c r="P60" s="336" t="str">
        <f t="shared" si="14"/>
        <v>2037-38</v>
      </c>
      <c r="Q60" s="336" t="str">
        <f t="shared" si="14"/>
        <v>2038-39</v>
      </c>
      <c r="R60" s="336" t="str">
        <f t="shared" si="14"/>
        <v>2039-40</v>
      </c>
      <c r="S60" s="336" t="str">
        <f t="shared" si="14"/>
        <v>2040-41</v>
      </c>
      <c r="T60" s="336" t="str">
        <f t="shared" si="14"/>
        <v>2041-42</v>
      </c>
      <c r="U60" s="336" t="str">
        <f t="shared" si="14"/>
        <v>2042-43</v>
      </c>
      <c r="V60" s="336" t="str">
        <f t="shared" si="14"/>
        <v>2043-44</v>
      </c>
      <c r="W60" s="336" t="str">
        <f t="shared" si="14"/>
        <v>2044-45</v>
      </c>
      <c r="X60" s="336" t="str">
        <f t="shared" si="14"/>
        <v>2045-46</v>
      </c>
      <c r="Y60" s="336" t="str">
        <f t="shared" si="14"/>
        <v>2046-47</v>
      </c>
      <c r="Z60" s="336" t="str">
        <f t="shared" si="14"/>
        <v>2047-48</v>
      </c>
      <c r="AA60" s="336" t="str">
        <f t="shared" si="14"/>
        <v>2048-49</v>
      </c>
      <c r="AB60" s="336" t="str">
        <f t="shared" si="14"/>
        <v>2049-50</v>
      </c>
      <c r="AC60" s="336" t="str">
        <f t="shared" si="14"/>
        <v>2050-51</v>
      </c>
    </row>
    <row r="61" spans="2:29" x14ac:dyDescent="0.2">
      <c r="D61" s="3" t="s">
        <v>256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2:29" x14ac:dyDescent="0.2">
      <c r="D62" s="1" t="s">
        <v>266</v>
      </c>
      <c r="E62" s="364">
        <v>219847.74528344165</v>
      </c>
      <c r="F62" s="364">
        <v>227404.47419882231</v>
      </c>
      <c r="G62" s="364">
        <v>237118.94008249426</v>
      </c>
      <c r="H62" s="364">
        <v>243101.03845035619</v>
      </c>
      <c r="I62" s="364">
        <v>248159.46338016834</v>
      </c>
      <c r="J62" s="364">
        <v>255295.42100769543</v>
      </c>
      <c r="K62" s="364">
        <v>264371.04066568299</v>
      </c>
      <c r="L62" s="364">
        <v>32084.738595756065</v>
      </c>
      <c r="M62" s="364">
        <v>32784.679157046805</v>
      </c>
      <c r="N62" s="364">
        <v>32784.679157046805</v>
      </c>
      <c r="O62" s="364">
        <v>32784.679157046805</v>
      </c>
      <c r="P62" s="364">
        <v>32784.679157046805</v>
      </c>
      <c r="Q62" s="364">
        <v>32784.679157046805</v>
      </c>
      <c r="R62" s="364">
        <v>32784.679157046805</v>
      </c>
      <c r="S62" s="364">
        <v>32784.679157046805</v>
      </c>
      <c r="T62" s="364">
        <v>32784.679157046805</v>
      </c>
      <c r="U62" s="364">
        <v>32784.679157046805</v>
      </c>
      <c r="V62" s="364">
        <v>32784.679157046805</v>
      </c>
      <c r="W62" s="364">
        <v>32784.679157046805</v>
      </c>
      <c r="X62" s="364">
        <v>32784.679157046805</v>
      </c>
      <c r="Y62" s="364">
        <v>32784.679157046805</v>
      </c>
      <c r="Z62" s="364">
        <v>32784.679157046805</v>
      </c>
      <c r="AA62" s="364">
        <v>32784.679157046805</v>
      </c>
      <c r="AB62" s="364">
        <v>32784.679157046805</v>
      </c>
      <c r="AC62" s="364">
        <v>32784.679157046805</v>
      </c>
    </row>
    <row r="63" spans="2:29" x14ac:dyDescent="0.2">
      <c r="D63" s="1" t="s">
        <v>258</v>
      </c>
      <c r="E63" s="364">
        <v>301.7129754450001</v>
      </c>
      <c r="F63" s="364">
        <v>301.7129754450001</v>
      </c>
      <c r="G63" s="364">
        <v>301.7129754450001</v>
      </c>
      <c r="H63" s="364">
        <v>301.7129754450001</v>
      </c>
      <c r="I63" s="364">
        <v>301.7129754450001</v>
      </c>
      <c r="J63" s="364">
        <v>301.7129754450001</v>
      </c>
      <c r="K63" s="364">
        <v>301.7129754450001</v>
      </c>
      <c r="L63" s="364">
        <v>35.495644170000006</v>
      </c>
      <c r="M63" s="364">
        <v>35.495644169999998</v>
      </c>
      <c r="N63" s="364">
        <v>35.495644169999998</v>
      </c>
      <c r="O63" s="364">
        <v>35.495644169999998</v>
      </c>
      <c r="P63" s="364">
        <v>35.495644169999998</v>
      </c>
      <c r="Q63" s="364">
        <v>35.495644169999998</v>
      </c>
      <c r="R63" s="364">
        <v>35.495644169999998</v>
      </c>
      <c r="S63" s="364">
        <v>35.495644169999998</v>
      </c>
      <c r="T63" s="364">
        <v>35.495644169999998</v>
      </c>
      <c r="U63" s="364">
        <v>35.495644169999998</v>
      </c>
      <c r="V63" s="364">
        <v>35.495644169999998</v>
      </c>
      <c r="W63" s="364">
        <v>35.495644169999998</v>
      </c>
      <c r="X63" s="364">
        <v>35.495644169999998</v>
      </c>
      <c r="Y63" s="364">
        <v>35.495644169999998</v>
      </c>
      <c r="Z63" s="364">
        <v>35.495644169999998</v>
      </c>
      <c r="AA63" s="364">
        <v>35.495644169999998</v>
      </c>
      <c r="AB63" s="364">
        <v>35.495644169999998</v>
      </c>
      <c r="AC63" s="364">
        <v>35.495644169999998</v>
      </c>
    </row>
    <row r="64" spans="2:29" x14ac:dyDescent="0.2">
      <c r="D64" s="1" t="s">
        <v>259</v>
      </c>
      <c r="E64" s="364">
        <v>13040.808774278999</v>
      </c>
      <c r="F64" s="364">
        <v>13040.808774278999</v>
      </c>
      <c r="G64" s="364">
        <v>13040.808774278999</v>
      </c>
      <c r="H64" s="364">
        <v>13040.808774278999</v>
      </c>
      <c r="I64" s="364">
        <v>13040.808774278999</v>
      </c>
      <c r="J64" s="364">
        <v>13040.808774278999</v>
      </c>
      <c r="K64" s="364">
        <v>13040.808774278999</v>
      </c>
      <c r="L64" s="364">
        <v>1534.212796974</v>
      </c>
      <c r="M64" s="364">
        <v>1534.2127969739995</v>
      </c>
      <c r="N64" s="364">
        <v>1534.2127969739995</v>
      </c>
      <c r="O64" s="364">
        <v>1534.2127969739995</v>
      </c>
      <c r="P64" s="364">
        <v>1534.2127969739995</v>
      </c>
      <c r="Q64" s="364">
        <v>1534.2127969739995</v>
      </c>
      <c r="R64" s="364">
        <v>1534.2127969739995</v>
      </c>
      <c r="S64" s="364">
        <v>1534.2127969739995</v>
      </c>
      <c r="T64" s="364">
        <v>1534.2127969739995</v>
      </c>
      <c r="U64" s="364">
        <v>1534.2127969739995</v>
      </c>
      <c r="V64" s="364">
        <v>1534.2127969739995</v>
      </c>
      <c r="W64" s="364">
        <v>1534.2127969739995</v>
      </c>
      <c r="X64" s="364">
        <v>1534.2127969739995</v>
      </c>
      <c r="Y64" s="364">
        <v>1534.2127969739995</v>
      </c>
      <c r="Z64" s="364">
        <v>1534.2127969739995</v>
      </c>
      <c r="AA64" s="364">
        <v>1534.2127969739995</v>
      </c>
      <c r="AB64" s="364">
        <v>1534.2127969739995</v>
      </c>
      <c r="AC64" s="364">
        <v>1534.2127969739995</v>
      </c>
    </row>
    <row r="65" spans="4:30" x14ac:dyDescent="0.2">
      <c r="D65" s="1" t="s">
        <v>260</v>
      </c>
      <c r="E65" s="364">
        <v>504.05</v>
      </c>
      <c r="F65" s="364">
        <v>504.05</v>
      </c>
      <c r="G65" s="364">
        <v>504.05</v>
      </c>
      <c r="H65" s="364">
        <v>504.05</v>
      </c>
      <c r="I65" s="364">
        <v>504.05</v>
      </c>
      <c r="J65" s="364">
        <v>504.05</v>
      </c>
      <c r="K65" s="364">
        <v>504.05</v>
      </c>
      <c r="L65" s="364">
        <v>59.29999999999999</v>
      </c>
      <c r="M65" s="364">
        <v>59.29999999999999</v>
      </c>
      <c r="N65" s="364">
        <v>59.29999999999999</v>
      </c>
      <c r="O65" s="364">
        <v>59.29999999999999</v>
      </c>
      <c r="P65" s="364">
        <v>59.29999999999999</v>
      </c>
      <c r="Q65" s="364">
        <v>59.29999999999999</v>
      </c>
      <c r="R65" s="364">
        <v>59.29999999999999</v>
      </c>
      <c r="S65" s="364">
        <v>59.29999999999999</v>
      </c>
      <c r="T65" s="364">
        <v>59.29999999999999</v>
      </c>
      <c r="U65" s="364">
        <v>59.29999999999999</v>
      </c>
      <c r="V65" s="364">
        <v>59.29999999999999</v>
      </c>
      <c r="W65" s="364">
        <v>59.29999999999999</v>
      </c>
      <c r="X65" s="364">
        <v>59.29999999999999</v>
      </c>
      <c r="Y65" s="364">
        <v>59.29999999999999</v>
      </c>
      <c r="Z65" s="364">
        <v>59.29999999999999</v>
      </c>
      <c r="AA65" s="364">
        <v>59.29999999999999</v>
      </c>
      <c r="AB65" s="364">
        <v>59.29999999999999</v>
      </c>
      <c r="AC65" s="364">
        <v>59.29999999999999</v>
      </c>
    </row>
    <row r="66" spans="4:30" x14ac:dyDescent="0.2">
      <c r="D66" s="346" t="s">
        <v>261</v>
      </c>
      <c r="E66" s="345">
        <f t="shared" ref="E66:AC66" si="15">SUM(E62:E65)</f>
        <v>233694.31703316563</v>
      </c>
      <c r="F66" s="345">
        <f t="shared" si="15"/>
        <v>241251.04594854629</v>
      </c>
      <c r="G66" s="345">
        <f t="shared" si="15"/>
        <v>250965.51183221824</v>
      </c>
      <c r="H66" s="345">
        <f t="shared" si="15"/>
        <v>256947.61020008018</v>
      </c>
      <c r="I66" s="345">
        <f t="shared" si="15"/>
        <v>262006.03512989232</v>
      </c>
      <c r="J66" s="345">
        <f t="shared" si="15"/>
        <v>269141.99275741942</v>
      </c>
      <c r="K66" s="345">
        <f t="shared" si="15"/>
        <v>278217.61241540703</v>
      </c>
      <c r="L66" s="345">
        <f t="shared" si="15"/>
        <v>33713.747036900073</v>
      </c>
      <c r="M66" s="345">
        <f t="shared" si="15"/>
        <v>34413.687598190809</v>
      </c>
      <c r="N66" s="345">
        <f t="shared" si="15"/>
        <v>34413.687598190809</v>
      </c>
      <c r="O66" s="345">
        <f t="shared" si="15"/>
        <v>34413.687598190809</v>
      </c>
      <c r="P66" s="345">
        <f t="shared" si="15"/>
        <v>34413.687598190809</v>
      </c>
      <c r="Q66" s="345">
        <f t="shared" si="15"/>
        <v>34413.687598190809</v>
      </c>
      <c r="R66" s="345">
        <f t="shared" si="15"/>
        <v>34413.687598190809</v>
      </c>
      <c r="S66" s="345">
        <f t="shared" si="15"/>
        <v>34413.687598190809</v>
      </c>
      <c r="T66" s="345">
        <f t="shared" si="15"/>
        <v>34413.687598190809</v>
      </c>
      <c r="U66" s="345">
        <f t="shared" si="15"/>
        <v>34413.687598190809</v>
      </c>
      <c r="V66" s="345">
        <f t="shared" si="15"/>
        <v>34413.687598190809</v>
      </c>
      <c r="W66" s="345">
        <f t="shared" si="15"/>
        <v>34413.687598190809</v>
      </c>
      <c r="X66" s="345">
        <f t="shared" si="15"/>
        <v>34413.687598190809</v>
      </c>
      <c r="Y66" s="345">
        <f t="shared" si="15"/>
        <v>34413.687598190809</v>
      </c>
      <c r="Z66" s="345">
        <f t="shared" si="15"/>
        <v>34413.687598190809</v>
      </c>
      <c r="AA66" s="345">
        <f t="shared" si="15"/>
        <v>34413.687598190809</v>
      </c>
      <c r="AB66" s="345">
        <f t="shared" si="15"/>
        <v>34413.687598190809</v>
      </c>
      <c r="AC66" s="345">
        <f t="shared" si="15"/>
        <v>34413.687598190809</v>
      </c>
    </row>
    <row r="68" spans="4:30" x14ac:dyDescent="0.2">
      <c r="D68" s="3" t="s">
        <v>262</v>
      </c>
    </row>
    <row r="69" spans="4:30" x14ac:dyDescent="0.2">
      <c r="D69" s="361" t="s">
        <v>318</v>
      </c>
      <c r="E69" s="410">
        <f>E19</f>
        <v>7.4488884595715871E-2</v>
      </c>
      <c r="F69" s="410">
        <f>F19</f>
        <v>9.9461182765681069E-2</v>
      </c>
      <c r="G69" s="410">
        <v>1.6941105964176704E-3</v>
      </c>
      <c r="H69" s="410">
        <v>6.9387405564732977E-3</v>
      </c>
      <c r="I69" s="410">
        <v>1.5969352909572271E-2</v>
      </c>
      <c r="J69" s="410">
        <v>2.9138120682026217E-2</v>
      </c>
      <c r="K69" s="410">
        <v>4.6397464697477082E-2</v>
      </c>
      <c r="L69" s="410">
        <v>6.7988341581077721E-2</v>
      </c>
      <c r="M69" s="410">
        <v>9.4102177502390041E-2</v>
      </c>
      <c r="N69" s="410">
        <v>0.1255979299983033</v>
      </c>
      <c r="O69" s="410">
        <v>0.16381766650898905</v>
      </c>
      <c r="P69" s="410">
        <v>0.20506436683430435</v>
      </c>
      <c r="Q69" s="410">
        <v>0.25029895068464164</v>
      </c>
      <c r="R69" s="410">
        <v>0.29739926269501743</v>
      </c>
      <c r="S69" s="410">
        <v>0.34827834805310831</v>
      </c>
      <c r="T69" s="410">
        <v>0.40279643774691187</v>
      </c>
      <c r="U69" s="410">
        <v>0.46078400537529818</v>
      </c>
      <c r="V69" s="410">
        <v>0.52203934524729712</v>
      </c>
      <c r="W69" s="410">
        <v>0.58632640710088901</v>
      </c>
      <c r="X69" s="410">
        <v>0.65337296260383881</v>
      </c>
      <c r="Y69" s="410">
        <v>0.72286918506367903</v>
      </c>
      <c r="Z69" s="411">
        <v>0.79446672825876119</v>
      </c>
      <c r="AA69" s="411">
        <v>0.86777839245689814</v>
      </c>
      <c r="AB69" s="411">
        <v>0.94237846495547806</v>
      </c>
      <c r="AC69" s="411">
        <v>1.0178038183252665</v>
      </c>
      <c r="AD69" s="343"/>
    </row>
    <row r="70" spans="4:30" s="347" customFormat="1" x14ac:dyDescent="0.2">
      <c r="D70" s="1" t="s">
        <v>257</v>
      </c>
      <c r="E70" s="412">
        <f>E69*Assumptions!$H$41</f>
        <v>2409.2233886277695</v>
      </c>
      <c r="F70" s="412">
        <f>F69*Assumptions!$H$41</f>
        <v>3216.9122826876337</v>
      </c>
      <c r="G70" s="412">
        <f>G69*Assumptions!$H$41</f>
        <v>54.79328753496106</v>
      </c>
      <c r="H70" s="412">
        <f>H69*Assumptions!$H$41</f>
        <v>224.42242392279005</v>
      </c>
      <c r="I70" s="412">
        <f>I69*Assumptions!$H$41</f>
        <v>516.50308283989534</v>
      </c>
      <c r="J70" s="412">
        <f>J69*Assumptions!$H$41</f>
        <v>942.42573544769618</v>
      </c>
      <c r="K70" s="412">
        <f>K69*Assumptions!$H$41</f>
        <v>1500.6515096699679</v>
      </c>
      <c r="L70" s="412">
        <f>L69*Assumptions!$H$41</f>
        <v>2198.9737607182137</v>
      </c>
      <c r="M70" s="412">
        <f>M69*Assumptions!$H$41</f>
        <v>3043.5838607334858</v>
      </c>
      <c r="N70" s="412">
        <f>N69*Assumptions!$H$41</f>
        <v>4062.2634122856621</v>
      </c>
      <c r="O70" s="412">
        <f>O69*Assumptions!$H$41</f>
        <v>5298.4194321870618</v>
      </c>
      <c r="P70" s="412">
        <f>P69*Assumptions!$H$41</f>
        <v>6632.4777372188637</v>
      </c>
      <c r="Q70" s="412">
        <f>Q69*Assumptions!$H$41</f>
        <v>8095.5177327639776</v>
      </c>
      <c r="R70" s="412">
        <f>R69*Assumptions!$H$41</f>
        <v>9618.9017104264531</v>
      </c>
      <c r="S70" s="412">
        <f>S69*Assumptions!$H$41</f>
        <v>11264.504045620384</v>
      </c>
      <c r="T70" s="412">
        <f>T69*Assumptions!$H$41</f>
        <v>13027.804134036156</v>
      </c>
      <c r="U70" s="412">
        <f>U69*Assumptions!$H$41</f>
        <v>14903.318916385009</v>
      </c>
      <c r="V70" s="412">
        <f>V69*Assumptions!$H$41</f>
        <v>16884.524545908567</v>
      </c>
      <c r="W70" s="412">
        <f>W69*Assumptions!$H$41</f>
        <v>18963.786355834254</v>
      </c>
      <c r="X70" s="412">
        <f>X69*Assumptions!$H$41</f>
        <v>21132.299557788236</v>
      </c>
      <c r="Y70" s="412">
        <f>Y69*Assumptions!$H$41</f>
        <v>23380.043304794955</v>
      </c>
      <c r="Z70" s="412">
        <f>Z69*Assumptions!$H$41</f>
        <v>25695.750897546313</v>
      </c>
      <c r="AA70" s="412">
        <f>AA69*Assumptions!$H$41</f>
        <v>28066.898982310828</v>
      </c>
      <c r="AB70" s="412">
        <f>AB69*Assumptions!$H$41</f>
        <v>30479.718565156923</v>
      </c>
      <c r="AC70" s="412">
        <f>AC69*Assumptions!$H$41</f>
        <v>32919.230532885595</v>
      </c>
      <c r="AD70" s="351"/>
    </row>
    <row r="71" spans="4:30" x14ac:dyDescent="0.2">
      <c r="D71" s="1" t="s">
        <v>258</v>
      </c>
      <c r="E71" s="364">
        <v>148.1150654104494</v>
      </c>
      <c r="F71" s="364">
        <v>193.31032987500589</v>
      </c>
      <c r="G71" s="364">
        <v>3.0255999835620941</v>
      </c>
      <c r="H71" s="364">
        <v>12.102026925291742</v>
      </c>
      <c r="I71" s="364">
        <v>27.226203604765566</v>
      </c>
      <c r="J71" s="364">
        <v>48.388713488692204</v>
      </c>
      <c r="K71" s="364">
        <v>75.570080023833142</v>
      </c>
      <c r="L71" s="364">
        <v>108.73706579893539</v>
      </c>
      <c r="M71" s="364">
        <v>147.83901018734804</v>
      </c>
      <c r="N71" s="364">
        <v>192.8042303936632</v>
      </c>
      <c r="O71" s="364">
        <v>243.53651699177414</v>
      </c>
      <c r="P71" s="364">
        <v>299.91176097004859</v>
      </c>
      <c r="Q71" s="364">
        <v>361.77475488372687</v>
      </c>
      <c r="R71" s="364">
        <v>428.93621582842195</v>
      </c>
      <c r="S71" s="364">
        <v>501.17008244849171</v>
      </c>
      <c r="T71" s="364">
        <v>578.2111419230414</v>
      </c>
      <c r="U71" s="364">
        <v>659.75304566316822</v>
      </c>
      <c r="V71" s="364">
        <v>745.44677413372051</v>
      </c>
      <c r="W71" s="364">
        <v>834.89961160766347</v>
      </c>
      <c r="X71" s="364">
        <v>927.67469060285771</v>
      </c>
      <c r="Y71" s="338">
        <v>1023.2911630838314</v>
      </c>
      <c r="Z71" s="338">
        <v>1121.2250510987558</v>
      </c>
      <c r="AA71" s="338">
        <v>1220.9108232560832</v>
      </c>
      <c r="AB71" s="338">
        <v>1321.7437352538893</v>
      </c>
      <c r="AC71" s="338">
        <v>1423.0829625301369</v>
      </c>
      <c r="AD71" s="349"/>
    </row>
    <row r="72" spans="4:30" x14ac:dyDescent="0.2">
      <c r="D72" s="1" t="s">
        <v>259</v>
      </c>
      <c r="E72" s="364">
        <v>980.72860338233284</v>
      </c>
      <c r="F72" s="364">
        <v>1279.9843777695658</v>
      </c>
      <c r="G72" s="364">
        <v>8.0134790827648548</v>
      </c>
      <c r="H72" s="364">
        <v>32.052928394951579</v>
      </c>
      <c r="I72" s="364">
        <v>72.110197737713719</v>
      </c>
      <c r="J72" s="364">
        <v>128.16034687011646</v>
      </c>
      <c r="K72" s="364">
        <v>200.15179099812582</v>
      </c>
      <c r="L72" s="364">
        <v>287.99649888784171</v>
      </c>
      <c r="M72" s="364">
        <v>391.56029289707993</v>
      </c>
      <c r="N72" s="364">
        <v>510.6533169362333</v>
      </c>
      <c r="O72" s="364">
        <v>645.02075469519446</v>
      </c>
      <c r="P72" s="364">
        <v>794.33389617459113</v>
      </c>
      <c r="Q72" s="364">
        <v>958.18166535022101</v>
      </c>
      <c r="R72" s="364">
        <v>1136.0627353436882</v>
      </c>
      <c r="S72" s="364">
        <v>1327.3783693904838</v>
      </c>
      <c r="T72" s="364">
        <v>1531.4261357731734</v>
      </c>
      <c r="U72" s="364">
        <v>1747.3946522791236</v>
      </c>
      <c r="V72" s="364">
        <v>1974.3595201908529</v>
      </c>
      <c r="W72" s="364">
        <v>2211.2806088628172</v>
      </c>
      <c r="X72" s="364">
        <v>2457.0008491354806</v>
      </c>
      <c r="Y72" s="338">
        <v>2710.2466867732633</v>
      </c>
      <c r="Z72" s="338">
        <v>2969.6303354264751</v>
      </c>
      <c r="AA72" s="338">
        <v>3233.6539520221922</v>
      </c>
      <c r="AB72" s="338">
        <v>3500.7158357935523</v>
      </c>
      <c r="AC72" s="338">
        <v>3769.1187252877835</v>
      </c>
      <c r="AD72" s="349"/>
    </row>
    <row r="73" spans="4:30" x14ac:dyDescent="0.2">
      <c r="D73" s="346" t="s">
        <v>263</v>
      </c>
      <c r="E73" s="345">
        <f t="shared" ref="E73:AC73" si="16">SUM(E69:E72)</f>
        <v>3538.1415463051476</v>
      </c>
      <c r="F73" s="345">
        <f t="shared" si="16"/>
        <v>4690.3064515149708</v>
      </c>
      <c r="G73" s="345">
        <f t="shared" si="16"/>
        <v>65.834060711884433</v>
      </c>
      <c r="H73" s="345">
        <f t="shared" si="16"/>
        <v>268.58431798358981</v>
      </c>
      <c r="I73" s="345">
        <f t="shared" si="16"/>
        <v>615.85545353528425</v>
      </c>
      <c r="J73" s="345">
        <f t="shared" si="16"/>
        <v>1119.0039339271868</v>
      </c>
      <c r="K73" s="345">
        <f t="shared" si="16"/>
        <v>1776.4197781566243</v>
      </c>
      <c r="L73" s="345">
        <f t="shared" si="16"/>
        <v>2595.775313746572</v>
      </c>
      <c r="M73" s="345">
        <f t="shared" si="16"/>
        <v>3583.0772659954159</v>
      </c>
      <c r="N73" s="345">
        <f t="shared" si="16"/>
        <v>4765.8465575455575</v>
      </c>
      <c r="O73" s="345">
        <f t="shared" si="16"/>
        <v>6187.1405215405393</v>
      </c>
      <c r="P73" s="345">
        <f t="shared" si="16"/>
        <v>7726.9284587303382</v>
      </c>
      <c r="Q73" s="345">
        <f t="shared" si="16"/>
        <v>9415.7244519486103</v>
      </c>
      <c r="R73" s="345">
        <f t="shared" si="16"/>
        <v>11184.198060861259</v>
      </c>
      <c r="S73" s="345">
        <f t="shared" si="16"/>
        <v>13093.400775807415</v>
      </c>
      <c r="T73" s="345">
        <f t="shared" si="16"/>
        <v>15137.844208170118</v>
      </c>
      <c r="U73" s="345">
        <f t="shared" si="16"/>
        <v>17310.927398332678</v>
      </c>
      <c r="V73" s="345">
        <f t="shared" si="16"/>
        <v>19604.85287957839</v>
      </c>
      <c r="W73" s="345">
        <f t="shared" si="16"/>
        <v>22010.552902711835</v>
      </c>
      <c r="X73" s="345">
        <f t="shared" si="16"/>
        <v>24517.628470489177</v>
      </c>
      <c r="Y73" s="345">
        <f t="shared" si="16"/>
        <v>27114.304023837114</v>
      </c>
      <c r="Z73" s="345">
        <f t="shared" si="16"/>
        <v>29787.400750799799</v>
      </c>
      <c r="AA73" s="345">
        <f t="shared" si="16"/>
        <v>32522.331535981561</v>
      </c>
      <c r="AB73" s="345">
        <f t="shared" si="16"/>
        <v>35303.120514669325</v>
      </c>
      <c r="AC73" s="345">
        <f t="shared" si="16"/>
        <v>38112.450024521837</v>
      </c>
    </row>
    <row r="75" spans="4:30" x14ac:dyDescent="0.2">
      <c r="D75" s="3" t="s">
        <v>264</v>
      </c>
    </row>
    <row r="76" spans="4:30" x14ac:dyDescent="0.2">
      <c r="D76" s="3" t="s">
        <v>257</v>
      </c>
      <c r="E76" s="348">
        <f t="shared" ref="E76:AC76" si="17">E62+E70</f>
        <v>222256.96867206943</v>
      </c>
      <c r="F76" s="348">
        <f t="shared" si="17"/>
        <v>230621.38648150995</v>
      </c>
      <c r="G76" s="348">
        <f t="shared" si="17"/>
        <v>237173.73337002922</v>
      </c>
      <c r="H76" s="348">
        <f t="shared" si="17"/>
        <v>243325.46087427897</v>
      </c>
      <c r="I76" s="348">
        <f t="shared" si="17"/>
        <v>248675.96646300823</v>
      </c>
      <c r="J76" s="348">
        <f t="shared" si="17"/>
        <v>256237.84674314313</v>
      </c>
      <c r="K76" s="348">
        <f t="shared" si="17"/>
        <v>265871.69217535295</v>
      </c>
      <c r="L76" s="348">
        <f t="shared" si="17"/>
        <v>34283.71235647428</v>
      </c>
      <c r="M76" s="348">
        <f t="shared" si="17"/>
        <v>35828.263017780293</v>
      </c>
      <c r="N76" s="348">
        <f t="shared" si="17"/>
        <v>36846.942569332467</v>
      </c>
      <c r="O76" s="348">
        <f t="shared" si="17"/>
        <v>38083.098589233865</v>
      </c>
      <c r="P76" s="348">
        <f t="shared" si="17"/>
        <v>39417.156894265667</v>
      </c>
      <c r="Q76" s="348">
        <f t="shared" si="17"/>
        <v>40880.196889810781</v>
      </c>
      <c r="R76" s="348">
        <f t="shared" si="17"/>
        <v>42403.580867473254</v>
      </c>
      <c r="S76" s="348">
        <f t="shared" si="17"/>
        <v>44049.183202667191</v>
      </c>
      <c r="T76" s="348">
        <f t="shared" si="17"/>
        <v>45812.483291082957</v>
      </c>
      <c r="U76" s="348">
        <f t="shared" si="17"/>
        <v>47687.998073431816</v>
      </c>
      <c r="V76" s="348">
        <f t="shared" si="17"/>
        <v>49669.203702955376</v>
      </c>
      <c r="W76" s="348">
        <f t="shared" si="17"/>
        <v>51748.465512881055</v>
      </c>
      <c r="X76" s="348">
        <f t="shared" si="17"/>
        <v>53916.978714835044</v>
      </c>
      <c r="Y76" s="348">
        <f t="shared" si="17"/>
        <v>56164.72246184176</v>
      </c>
      <c r="Z76" s="348">
        <f t="shared" si="17"/>
        <v>58480.430054593118</v>
      </c>
      <c r="AA76" s="348">
        <f t="shared" si="17"/>
        <v>60851.578139357633</v>
      </c>
      <c r="AB76" s="348">
        <f t="shared" si="17"/>
        <v>63264.397722203728</v>
      </c>
      <c r="AC76" s="348">
        <f t="shared" si="17"/>
        <v>65703.909689932392</v>
      </c>
    </row>
    <row r="77" spans="4:30" x14ac:dyDescent="0.2">
      <c r="D77" s="3" t="str">
        <f>D52</f>
        <v>Safety risk</v>
      </c>
      <c r="E77" s="348">
        <f t="shared" ref="E77:AC77" si="18">E63+E71</f>
        <v>449.8280408554495</v>
      </c>
      <c r="F77" s="348">
        <f t="shared" si="18"/>
        <v>495.02330532000599</v>
      </c>
      <c r="G77" s="348">
        <f t="shared" si="18"/>
        <v>304.73857542856217</v>
      </c>
      <c r="H77" s="348">
        <f t="shared" si="18"/>
        <v>313.81500237029184</v>
      </c>
      <c r="I77" s="348">
        <f t="shared" si="18"/>
        <v>328.93917904976564</v>
      </c>
      <c r="J77" s="348">
        <f t="shared" si="18"/>
        <v>350.10168893369229</v>
      </c>
      <c r="K77" s="348">
        <f t="shared" si="18"/>
        <v>377.28305546883325</v>
      </c>
      <c r="L77" s="348">
        <f t="shared" si="18"/>
        <v>144.23270996893541</v>
      </c>
      <c r="M77" s="348">
        <f t="shared" si="18"/>
        <v>183.33465435734803</v>
      </c>
      <c r="N77" s="348">
        <f t="shared" si="18"/>
        <v>228.2998745636632</v>
      </c>
      <c r="O77" s="348">
        <f t="shared" si="18"/>
        <v>279.03216116177413</v>
      </c>
      <c r="P77" s="348">
        <f t="shared" si="18"/>
        <v>335.40740514004858</v>
      </c>
      <c r="Q77" s="348">
        <f t="shared" si="18"/>
        <v>397.27039905372686</v>
      </c>
      <c r="R77" s="348">
        <f t="shared" si="18"/>
        <v>464.43185999842194</v>
      </c>
      <c r="S77" s="348">
        <f t="shared" si="18"/>
        <v>536.6657266184917</v>
      </c>
      <c r="T77" s="348">
        <f t="shared" si="18"/>
        <v>613.70678609304139</v>
      </c>
      <c r="U77" s="348">
        <f t="shared" si="18"/>
        <v>695.24868983316821</v>
      </c>
      <c r="V77" s="348">
        <f t="shared" si="18"/>
        <v>780.9424183037205</v>
      </c>
      <c r="W77" s="348">
        <f t="shared" si="18"/>
        <v>870.39525577766346</v>
      </c>
      <c r="X77" s="348">
        <f t="shared" si="18"/>
        <v>963.1703347728577</v>
      </c>
      <c r="Y77" s="348">
        <f t="shared" si="18"/>
        <v>1058.7868072538315</v>
      </c>
      <c r="Z77" s="348">
        <f t="shared" si="18"/>
        <v>1156.7206952687559</v>
      </c>
      <c r="AA77" s="348">
        <f t="shared" si="18"/>
        <v>1256.4064674260833</v>
      </c>
      <c r="AB77" s="348">
        <f t="shared" si="18"/>
        <v>1357.2393794238894</v>
      </c>
      <c r="AC77" s="348">
        <f t="shared" si="18"/>
        <v>1458.578606700137</v>
      </c>
    </row>
    <row r="78" spans="4:30" x14ac:dyDescent="0.2">
      <c r="D78" s="3" t="str">
        <f>D53</f>
        <v>Unplanned replacement</v>
      </c>
      <c r="E78" s="348">
        <f t="shared" ref="E78:AC78" si="19">E64+E72</f>
        <v>14021.537377661332</v>
      </c>
      <c r="F78" s="348">
        <f t="shared" si="19"/>
        <v>14320.793152048565</v>
      </c>
      <c r="G78" s="348">
        <f t="shared" si="19"/>
        <v>13048.822253361765</v>
      </c>
      <c r="H78" s="348">
        <f t="shared" si="19"/>
        <v>13072.86170267395</v>
      </c>
      <c r="I78" s="348">
        <f t="shared" si="19"/>
        <v>13112.918972016712</v>
      </c>
      <c r="J78" s="348">
        <f t="shared" si="19"/>
        <v>13168.969121149115</v>
      </c>
      <c r="K78" s="348">
        <f t="shared" si="19"/>
        <v>13240.960565277126</v>
      </c>
      <c r="L78" s="348">
        <f t="shared" si="19"/>
        <v>1822.2092958618416</v>
      </c>
      <c r="M78" s="348">
        <f t="shared" si="19"/>
        <v>1925.7730898710795</v>
      </c>
      <c r="N78" s="348">
        <f t="shared" si="19"/>
        <v>2044.8661139102328</v>
      </c>
      <c r="O78" s="348">
        <f t="shared" si="19"/>
        <v>2179.2335516691937</v>
      </c>
      <c r="P78" s="348">
        <f t="shared" si="19"/>
        <v>2328.5466931485907</v>
      </c>
      <c r="Q78" s="348">
        <f t="shared" si="19"/>
        <v>2492.3944623242205</v>
      </c>
      <c r="R78" s="348">
        <f t="shared" si="19"/>
        <v>2670.275532317688</v>
      </c>
      <c r="S78" s="348">
        <f t="shared" si="19"/>
        <v>2861.5911663644833</v>
      </c>
      <c r="T78" s="348">
        <f t="shared" si="19"/>
        <v>3065.6389327471729</v>
      </c>
      <c r="U78" s="348">
        <f t="shared" si="19"/>
        <v>3281.6074492531234</v>
      </c>
      <c r="V78" s="348">
        <f t="shared" si="19"/>
        <v>3508.5723171648524</v>
      </c>
      <c r="W78" s="348">
        <f t="shared" si="19"/>
        <v>3745.4934058368167</v>
      </c>
      <c r="X78" s="348">
        <f t="shared" si="19"/>
        <v>3991.2136461094801</v>
      </c>
      <c r="Y78" s="348">
        <f t="shared" si="19"/>
        <v>4244.4594837472632</v>
      </c>
      <c r="Z78" s="348">
        <f t="shared" si="19"/>
        <v>4503.8431324004741</v>
      </c>
      <c r="AA78" s="348">
        <f t="shared" si="19"/>
        <v>4767.8667489961917</v>
      </c>
      <c r="AB78" s="348">
        <f t="shared" si="19"/>
        <v>5034.9286327675518</v>
      </c>
      <c r="AC78" s="348">
        <f t="shared" si="19"/>
        <v>5303.331522261783</v>
      </c>
    </row>
    <row r="79" spans="4:30" x14ac:dyDescent="0.2">
      <c r="D79" s="3" t="str">
        <f>D54</f>
        <v>Unplanned fault</v>
      </c>
      <c r="E79" s="348">
        <f t="shared" ref="E79:AC79" si="20">E65</f>
        <v>504.05</v>
      </c>
      <c r="F79" s="348">
        <f t="shared" si="20"/>
        <v>504.05</v>
      </c>
      <c r="G79" s="348">
        <f t="shared" si="20"/>
        <v>504.05</v>
      </c>
      <c r="H79" s="348">
        <f t="shared" si="20"/>
        <v>504.05</v>
      </c>
      <c r="I79" s="348">
        <f t="shared" si="20"/>
        <v>504.05</v>
      </c>
      <c r="J79" s="348">
        <f t="shared" si="20"/>
        <v>504.05</v>
      </c>
      <c r="K79" s="348">
        <f t="shared" si="20"/>
        <v>504.05</v>
      </c>
      <c r="L79" s="348">
        <f t="shared" si="20"/>
        <v>59.29999999999999</v>
      </c>
      <c r="M79" s="348">
        <f t="shared" si="20"/>
        <v>59.29999999999999</v>
      </c>
      <c r="N79" s="348">
        <f t="shared" si="20"/>
        <v>59.29999999999999</v>
      </c>
      <c r="O79" s="348">
        <f t="shared" si="20"/>
        <v>59.29999999999999</v>
      </c>
      <c r="P79" s="348">
        <f t="shared" si="20"/>
        <v>59.29999999999999</v>
      </c>
      <c r="Q79" s="348">
        <f t="shared" si="20"/>
        <v>59.29999999999999</v>
      </c>
      <c r="R79" s="348">
        <f t="shared" si="20"/>
        <v>59.29999999999999</v>
      </c>
      <c r="S79" s="348">
        <f t="shared" si="20"/>
        <v>59.29999999999999</v>
      </c>
      <c r="T79" s="348">
        <f t="shared" si="20"/>
        <v>59.29999999999999</v>
      </c>
      <c r="U79" s="348">
        <f t="shared" si="20"/>
        <v>59.29999999999999</v>
      </c>
      <c r="V79" s="348">
        <f t="shared" si="20"/>
        <v>59.29999999999999</v>
      </c>
      <c r="W79" s="348">
        <f t="shared" si="20"/>
        <v>59.29999999999999</v>
      </c>
      <c r="X79" s="348">
        <f t="shared" si="20"/>
        <v>59.29999999999999</v>
      </c>
      <c r="Y79" s="348">
        <f t="shared" si="20"/>
        <v>59.29999999999999</v>
      </c>
      <c r="Z79" s="348">
        <f t="shared" si="20"/>
        <v>59.29999999999999</v>
      </c>
      <c r="AA79" s="348">
        <f t="shared" si="20"/>
        <v>59.29999999999999</v>
      </c>
      <c r="AB79" s="348">
        <f t="shared" si="20"/>
        <v>59.29999999999999</v>
      </c>
      <c r="AC79" s="348">
        <f t="shared" si="20"/>
        <v>59.29999999999999</v>
      </c>
    </row>
    <row r="80" spans="4:30" x14ac:dyDescent="0.2">
      <c r="D80" s="346" t="s">
        <v>265</v>
      </c>
      <c r="E80" s="345">
        <f>SUM(E76:E79)</f>
        <v>237232.38409058619</v>
      </c>
      <c r="F80" s="345">
        <f>SUM(F76:F79)</f>
        <v>245941.25293887852</v>
      </c>
      <c r="G80" s="345">
        <f>SUM(G76:G79)</f>
        <v>251031.34419881951</v>
      </c>
      <c r="H80" s="345">
        <f>SUM(H76:H79)</f>
        <v>257216.18757932322</v>
      </c>
      <c r="I80" s="345">
        <f>SUM(I76:I79)</f>
        <v>262621.87461407471</v>
      </c>
      <c r="J80" s="345">
        <f>SUM(J76:J79)</f>
        <v>270260.96755322593</v>
      </c>
      <c r="K80" s="345">
        <f>SUM(K76:K79)</f>
        <v>279993.98579609889</v>
      </c>
      <c r="L80" s="345">
        <f>SUM(L76:L79)</f>
        <v>36309.454362305063</v>
      </c>
      <c r="M80" s="345">
        <f>SUM(M76:M79)</f>
        <v>37996.670762008725</v>
      </c>
      <c r="N80" s="345">
        <f>SUM(N76:N79)</f>
        <v>39179.408557806368</v>
      </c>
      <c r="O80" s="345">
        <f>SUM(O76:O79)</f>
        <v>40600.664302064841</v>
      </c>
      <c r="P80" s="345">
        <f>SUM(P76:P79)</f>
        <v>42140.410992554309</v>
      </c>
      <c r="Q80" s="345">
        <f>SUM(Q76:Q79)</f>
        <v>43829.161751188731</v>
      </c>
      <c r="R80" s="345">
        <f>SUM(R76:R79)</f>
        <v>45597.588259789372</v>
      </c>
      <c r="S80" s="345">
        <f>SUM(S76:S79)</f>
        <v>47506.740095650166</v>
      </c>
      <c r="T80" s="345">
        <f>SUM(T76:T79)</f>
        <v>49551.12900992317</v>
      </c>
      <c r="U80" s="345">
        <f>SUM(U76:U79)</f>
        <v>51724.154212518115</v>
      </c>
      <c r="V80" s="345">
        <f>SUM(V76:V79)</f>
        <v>54018.018438423947</v>
      </c>
      <c r="W80" s="345">
        <f>SUM(W76:W79)</f>
        <v>56423.654174495539</v>
      </c>
      <c r="X80" s="345">
        <f>SUM(X76:X79)</f>
        <v>58930.662695717379</v>
      </c>
      <c r="Y80" s="345">
        <f>SUM(Y76:Y79)</f>
        <v>61527.268752842858</v>
      </c>
      <c r="Z80" s="345">
        <f>SUM(Z76:Z79)</f>
        <v>64200.293882262355</v>
      </c>
      <c r="AA80" s="345">
        <f>SUM(AA76:AA79)</f>
        <v>66935.151355779904</v>
      </c>
      <c r="AB80" s="345">
        <f>SUM(AB76:AB79)</f>
        <v>69715.865734395178</v>
      </c>
      <c r="AC80" s="345">
        <f>SUM(AC76:AC79)</f>
        <v>72525.119818894309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F972B-C094-4944-A1A4-F0D5D3F70D73}">
  <sheetPr codeName="Sheet12"/>
  <dimension ref="A1:AJ91"/>
  <sheetViews>
    <sheetView showGridLines="0" zoomScale="85" zoomScaleNormal="85" workbookViewId="0">
      <selection activeCell="A2" sqref="A2"/>
    </sheetView>
  </sheetViews>
  <sheetFormatPr defaultColWidth="8.25" defaultRowHeight="12.75" x14ac:dyDescent="0.2"/>
  <cols>
    <col min="1" max="1" width="23.125" style="352" customWidth="1"/>
    <col min="2" max="2" width="12.5" style="352" customWidth="1"/>
    <col min="3" max="3" width="20.25" style="352" customWidth="1"/>
    <col min="4" max="4" width="21.375" style="352" customWidth="1"/>
    <col min="5" max="7" width="13.5" style="352" customWidth="1"/>
    <col min="8" max="8" width="15.875" style="352" customWidth="1"/>
    <col min="9" max="11" width="15.25" style="352" customWidth="1"/>
    <col min="12" max="12" width="13.375" style="352" customWidth="1"/>
    <col min="13" max="13" width="15.25" style="352" customWidth="1"/>
    <col min="14" max="14" width="13.5" style="352" customWidth="1"/>
    <col min="15" max="15" width="15.25" style="352" customWidth="1"/>
    <col min="16" max="16" width="13.5" style="352" customWidth="1"/>
    <col min="17" max="17" width="13.375" style="352" customWidth="1"/>
    <col min="18" max="32" width="14.875" style="352" customWidth="1"/>
    <col min="33" max="36" width="14.875" customWidth="1"/>
    <col min="37" max="16384" width="8.25" style="352"/>
  </cols>
  <sheetData>
    <row r="1" spans="1:36" s="1" customFormat="1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396"/>
      <c r="AE1" s="396"/>
      <c r="AF1" s="396"/>
      <c r="AG1" s="396"/>
    </row>
    <row r="2" spans="1:36" s="1" customFormat="1" ht="18.75" x14ac:dyDescent="0.3">
      <c r="A2" s="56" t="str">
        <f>proj</f>
        <v>EW switchboard and relay replacement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396"/>
      <c r="AE2" s="396"/>
      <c r="AF2" s="396"/>
      <c r="AG2" s="396"/>
    </row>
    <row r="5" spans="1:36" x14ac:dyDescent="0.2">
      <c r="A5" s="365" t="s">
        <v>267</v>
      </c>
      <c r="B5" s="365"/>
      <c r="C5" s="366" t="s">
        <v>268</v>
      </c>
      <c r="D5" s="366"/>
      <c r="E5" s="362"/>
      <c r="F5" s="368" t="s">
        <v>269</v>
      </c>
      <c r="G5" s="369" t="s">
        <v>270</v>
      </c>
      <c r="H5" s="366" t="s">
        <v>271</v>
      </c>
      <c r="I5" s="366" t="s">
        <v>272</v>
      </c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</row>
    <row r="6" spans="1:36" x14ac:dyDescent="0.2">
      <c r="A6" s="370" t="s">
        <v>273</v>
      </c>
      <c r="B6" s="371" t="s">
        <v>316</v>
      </c>
      <c r="C6" s="372" t="s">
        <v>274</v>
      </c>
      <c r="D6" s="353"/>
      <c r="E6" s="362"/>
      <c r="F6" s="372" t="s">
        <v>275</v>
      </c>
      <c r="G6" s="373">
        <v>2.1250000000000002E-3</v>
      </c>
      <c r="H6" s="369">
        <v>1</v>
      </c>
      <c r="I6" s="374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</row>
    <row r="7" spans="1:36" x14ac:dyDescent="0.2">
      <c r="A7" s="370" t="s">
        <v>276</v>
      </c>
      <c r="B7" s="371" t="s">
        <v>277</v>
      </c>
      <c r="C7" s="372" t="s">
        <v>278</v>
      </c>
      <c r="D7" s="353"/>
      <c r="E7" s="362"/>
      <c r="F7" s="372" t="s">
        <v>279</v>
      </c>
      <c r="G7" s="373">
        <v>2.1250000000000002E-3</v>
      </c>
      <c r="H7" s="369">
        <v>1</v>
      </c>
      <c r="I7" s="374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2"/>
    </row>
    <row r="8" spans="1:36" x14ac:dyDescent="0.2">
      <c r="A8" s="375" t="s">
        <v>8</v>
      </c>
      <c r="B8" s="354">
        <v>32.343000000000004</v>
      </c>
      <c r="C8" s="375" t="s">
        <v>280</v>
      </c>
      <c r="D8" s="376">
        <v>3068425.5939479996</v>
      </c>
      <c r="E8" s="362"/>
      <c r="F8" s="372" t="s">
        <v>281</v>
      </c>
      <c r="G8" s="373" t="b">
        <v>1</v>
      </c>
      <c r="H8" s="369">
        <v>1</v>
      </c>
      <c r="I8" s="374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</row>
    <row r="9" spans="1:36" x14ac:dyDescent="0.2">
      <c r="A9" s="375" t="s">
        <v>282</v>
      </c>
      <c r="B9" s="390">
        <v>0.5</v>
      </c>
      <c r="C9" s="375" t="s">
        <v>283</v>
      </c>
      <c r="D9" s="376">
        <v>118600</v>
      </c>
      <c r="E9" s="362"/>
      <c r="F9" s="372" t="s">
        <v>284</v>
      </c>
      <c r="G9" s="377">
        <v>0</v>
      </c>
      <c r="H9" s="369">
        <v>1</v>
      </c>
      <c r="I9" s="374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2"/>
      <c r="AA9" s="362"/>
      <c r="AB9" s="362"/>
      <c r="AC9" s="362"/>
      <c r="AD9" s="362"/>
      <c r="AE9" s="362"/>
      <c r="AF9" s="362"/>
      <c r="AG9" s="362"/>
      <c r="AH9" s="362"/>
      <c r="AI9" s="362"/>
      <c r="AJ9" s="362"/>
    </row>
    <row r="10" spans="1:36" x14ac:dyDescent="0.2">
      <c r="A10" s="378" t="s">
        <v>319</v>
      </c>
      <c r="B10" s="379" t="s">
        <v>285</v>
      </c>
      <c r="C10" s="366" t="s">
        <v>286</v>
      </c>
      <c r="D10" s="365" t="s">
        <v>287</v>
      </c>
      <c r="E10" s="366">
        <v>2025</v>
      </c>
      <c r="F10" s="366">
        <v>2026</v>
      </c>
      <c r="G10" s="366">
        <v>2027</v>
      </c>
      <c r="H10" s="366">
        <v>2028</v>
      </c>
      <c r="I10" s="366">
        <v>2029</v>
      </c>
      <c r="J10" s="366">
        <v>2030</v>
      </c>
      <c r="K10" s="366">
        <v>2031</v>
      </c>
      <c r="L10" s="366">
        <v>2032</v>
      </c>
      <c r="M10" s="366">
        <v>2033</v>
      </c>
      <c r="N10" s="366">
        <v>2034</v>
      </c>
      <c r="O10" s="366">
        <v>2035</v>
      </c>
      <c r="P10" s="366">
        <v>2036</v>
      </c>
      <c r="Q10" s="366">
        <v>2037</v>
      </c>
      <c r="R10" s="366">
        <v>2038</v>
      </c>
      <c r="S10" s="366">
        <v>2039</v>
      </c>
      <c r="T10" s="366">
        <v>2040</v>
      </c>
      <c r="U10" s="366">
        <v>2041</v>
      </c>
      <c r="V10" s="366">
        <v>2042</v>
      </c>
      <c r="W10" s="366">
        <v>2043</v>
      </c>
      <c r="X10" s="366">
        <v>2044</v>
      </c>
      <c r="Y10" s="366">
        <v>2045</v>
      </c>
      <c r="Z10" s="366">
        <v>2046</v>
      </c>
      <c r="AA10" s="366">
        <v>2047</v>
      </c>
      <c r="AB10" s="380">
        <v>2048</v>
      </c>
      <c r="AC10" s="380">
        <v>2049</v>
      </c>
      <c r="AD10" s="380">
        <v>2050</v>
      </c>
      <c r="AE10" s="380">
        <v>2051</v>
      </c>
      <c r="AF10" s="380">
        <v>2052</v>
      </c>
      <c r="AG10" s="380">
        <v>2053</v>
      </c>
      <c r="AH10" s="380">
        <v>2054</v>
      </c>
      <c r="AI10" s="380">
        <v>2055</v>
      </c>
      <c r="AJ10" s="380">
        <v>2056</v>
      </c>
    </row>
    <row r="11" spans="1:36" x14ac:dyDescent="0.2">
      <c r="A11" s="370" t="s">
        <v>288</v>
      </c>
      <c r="B11" s="381" t="b">
        <v>0</v>
      </c>
      <c r="C11" s="382">
        <v>0</v>
      </c>
      <c r="D11" s="370" t="s">
        <v>23</v>
      </c>
      <c r="E11" s="355">
        <v>6404.8481158592467</v>
      </c>
      <c r="F11" s="355">
        <v>6624.597143201875</v>
      </c>
      <c r="G11" s="355">
        <v>6852.9869461629396</v>
      </c>
      <c r="H11" s="355">
        <v>7144.0960140465841</v>
      </c>
      <c r="I11" s="355">
        <v>7335.7844368352626</v>
      </c>
      <c r="J11" s="355">
        <v>7482.0600220458236</v>
      </c>
      <c r="K11" s="355">
        <v>7704.4432964928083</v>
      </c>
      <c r="L11" s="355">
        <v>7994.0684026947538</v>
      </c>
      <c r="M11" s="355">
        <v>8269.2673400917156</v>
      </c>
      <c r="N11" s="355">
        <v>8477.2244457337074</v>
      </c>
      <c r="O11" s="355">
        <v>8477.2244457337074</v>
      </c>
      <c r="P11" s="355">
        <v>8477.2244457337074</v>
      </c>
      <c r="Q11" s="355">
        <v>8477.2244457337074</v>
      </c>
      <c r="R11" s="355">
        <v>8477.2244457337074</v>
      </c>
      <c r="S11" s="355">
        <v>8477.2244457337074</v>
      </c>
      <c r="T11" s="355">
        <v>8477.2244457337074</v>
      </c>
      <c r="U11" s="355">
        <v>8477.2244457337074</v>
      </c>
      <c r="V11" s="355">
        <v>8477.2244457337074</v>
      </c>
      <c r="W11" s="355">
        <v>8477.2244457337074</v>
      </c>
      <c r="X11" s="355">
        <v>8477.2244457337074</v>
      </c>
      <c r="Y11" s="355">
        <v>8477.2244457337074</v>
      </c>
      <c r="Z11" s="355">
        <v>8477.2244457337074</v>
      </c>
      <c r="AA11" s="355">
        <v>8477.2244457337074</v>
      </c>
      <c r="AB11" s="355">
        <v>8477.2244457337074</v>
      </c>
      <c r="AC11" s="355">
        <v>8477.2244457337074</v>
      </c>
      <c r="AD11" s="355">
        <v>8477.2244457337074</v>
      </c>
      <c r="AE11" s="355">
        <v>8477.2244457337074</v>
      </c>
      <c r="AF11" s="355">
        <v>8477.2244457337074</v>
      </c>
      <c r="AG11" s="355">
        <v>8477.2244457337074</v>
      </c>
      <c r="AH11" s="355">
        <v>8477.2244457337074</v>
      </c>
      <c r="AI11" s="355">
        <v>8477.2244457337074</v>
      </c>
      <c r="AJ11" s="355">
        <v>8477.2244457337074</v>
      </c>
    </row>
    <row r="12" spans="1:36" x14ac:dyDescent="0.2">
      <c r="A12" s="370" t="s">
        <v>289</v>
      </c>
      <c r="B12" s="381" t="b">
        <v>1</v>
      </c>
      <c r="C12" s="382">
        <v>50000</v>
      </c>
      <c r="D12" s="370" t="s">
        <v>23</v>
      </c>
      <c r="E12" s="356">
        <v>6971.7167878592481</v>
      </c>
      <c r="F12" s="356">
        <v>7200.5486505721874</v>
      </c>
      <c r="G12" s="356">
        <v>7446.4504878952412</v>
      </c>
      <c r="H12" s="356">
        <v>7768.3879989362122</v>
      </c>
      <c r="I12" s="356">
        <v>7937.6418619136675</v>
      </c>
      <c r="J12" s="356">
        <v>8117.6634073368477</v>
      </c>
      <c r="K12" s="356">
        <v>8334.2149595243263</v>
      </c>
      <c r="L12" s="356">
        <v>8593.7742965333528</v>
      </c>
      <c r="M12" s="356">
        <v>8976.8157843807585</v>
      </c>
      <c r="N12" s="356">
        <v>9108.3646353087024</v>
      </c>
      <c r="O12" s="356">
        <v>9108.3646353087024</v>
      </c>
      <c r="P12" s="356">
        <v>9108.3646353087024</v>
      </c>
      <c r="Q12" s="356">
        <v>9108.3646353087024</v>
      </c>
      <c r="R12" s="356">
        <v>9108.3646353087024</v>
      </c>
      <c r="S12" s="356">
        <v>9108.3646353087024</v>
      </c>
      <c r="T12" s="356">
        <v>9108.3646353087024</v>
      </c>
      <c r="U12" s="356">
        <v>9108.3646353087024</v>
      </c>
      <c r="V12" s="356">
        <v>9108.3646353087024</v>
      </c>
      <c r="W12" s="356">
        <v>9108.3646353087024</v>
      </c>
      <c r="X12" s="356">
        <v>9108.3646353087024</v>
      </c>
      <c r="Y12" s="356">
        <v>9108.3646353087024</v>
      </c>
      <c r="Z12" s="356">
        <v>9108.3646353087024</v>
      </c>
      <c r="AA12" s="356">
        <v>9108.3646353087024</v>
      </c>
      <c r="AB12" s="356">
        <v>9108.3646353087024</v>
      </c>
      <c r="AC12" s="356">
        <v>9108.3646353087024</v>
      </c>
      <c r="AD12" s="356">
        <v>9108.3646353087024</v>
      </c>
      <c r="AE12" s="356">
        <v>9108.3646353087024</v>
      </c>
      <c r="AF12" s="356">
        <v>9108.3646353087024</v>
      </c>
      <c r="AG12" s="356">
        <v>9108.3646353087024</v>
      </c>
      <c r="AH12" s="356">
        <v>9108.3646353087024</v>
      </c>
      <c r="AI12" s="356">
        <v>9108.3646353087024</v>
      </c>
      <c r="AJ12" s="356">
        <v>9108.3646353087024</v>
      </c>
    </row>
    <row r="13" spans="1:36" x14ac:dyDescent="0.2">
      <c r="A13" s="370" t="s">
        <v>290</v>
      </c>
      <c r="B13" s="381" t="b">
        <v>0</v>
      </c>
      <c r="C13" s="382">
        <v>300000</v>
      </c>
      <c r="D13" s="370" t="s">
        <v>23</v>
      </c>
      <c r="E13" s="356">
        <v>6404.8481158592467</v>
      </c>
      <c r="F13" s="356">
        <v>6624.597143201875</v>
      </c>
      <c r="G13" s="356">
        <v>6852.9869461629396</v>
      </c>
      <c r="H13" s="356">
        <v>7144.0960140465841</v>
      </c>
      <c r="I13" s="356">
        <v>7335.7844368352626</v>
      </c>
      <c r="J13" s="356">
        <v>7482.0600220458236</v>
      </c>
      <c r="K13" s="356">
        <v>7704.4432964928083</v>
      </c>
      <c r="L13" s="356">
        <v>7994.0684026947538</v>
      </c>
      <c r="M13" s="356">
        <v>8269.2673400917156</v>
      </c>
      <c r="N13" s="356">
        <v>8477.2244457337074</v>
      </c>
      <c r="O13" s="356">
        <v>8477.2244457337074</v>
      </c>
      <c r="P13" s="356">
        <v>8477.2244457337074</v>
      </c>
      <c r="Q13" s="356">
        <v>8477.2244457337074</v>
      </c>
      <c r="R13" s="356">
        <v>8477.2244457337074</v>
      </c>
      <c r="S13" s="356">
        <v>8477.2244457337074</v>
      </c>
      <c r="T13" s="356">
        <v>8477.2244457337074</v>
      </c>
      <c r="U13" s="356">
        <v>8477.2244457337074</v>
      </c>
      <c r="V13" s="356">
        <v>8477.2244457337074</v>
      </c>
      <c r="W13" s="356">
        <v>8477.2244457337074</v>
      </c>
      <c r="X13" s="356">
        <v>8477.2244457337074</v>
      </c>
      <c r="Y13" s="356">
        <v>8477.2244457337074</v>
      </c>
      <c r="Z13" s="356">
        <v>8477.2244457337074</v>
      </c>
      <c r="AA13" s="356">
        <v>8477.2244457337074</v>
      </c>
      <c r="AB13" s="356">
        <v>8477.2244457337074</v>
      </c>
      <c r="AC13" s="356">
        <v>8477.2244457337074</v>
      </c>
      <c r="AD13" s="356">
        <v>8477.2244457337074</v>
      </c>
      <c r="AE13" s="356">
        <v>8477.2244457337074</v>
      </c>
      <c r="AF13" s="356">
        <v>8477.2244457337074</v>
      </c>
      <c r="AG13" s="356">
        <v>8477.2244457337074</v>
      </c>
      <c r="AH13" s="356">
        <v>8477.2244457337074</v>
      </c>
      <c r="AI13" s="356">
        <v>8477.2244457337074</v>
      </c>
      <c r="AJ13" s="356">
        <v>8477.2244457337074</v>
      </c>
    </row>
    <row r="14" spans="1:36" x14ac:dyDescent="0.2">
      <c r="A14" s="370" t="s">
        <v>291</v>
      </c>
      <c r="B14" s="381" t="b">
        <v>0</v>
      </c>
      <c r="C14" s="382">
        <v>4000</v>
      </c>
      <c r="D14" s="370" t="s">
        <v>292</v>
      </c>
      <c r="E14" s="357">
        <v>4.2500000000000003E-3</v>
      </c>
      <c r="F14" s="357">
        <v>4.2500000000000003E-3</v>
      </c>
      <c r="G14" s="357">
        <v>4.2500000000000003E-3</v>
      </c>
      <c r="H14" s="357">
        <v>4.2500000000000003E-3</v>
      </c>
      <c r="I14" s="357">
        <v>4.2500000000000003E-3</v>
      </c>
      <c r="J14" s="357">
        <v>4.2500000000000003E-3</v>
      </c>
      <c r="K14" s="357">
        <v>4.2500000000000003E-3</v>
      </c>
      <c r="L14" s="357">
        <v>4.2500000000000003E-3</v>
      </c>
      <c r="M14" s="357">
        <v>4.2500000000000003E-3</v>
      </c>
      <c r="N14" s="357">
        <v>4.2500000000000003E-3</v>
      </c>
      <c r="O14" s="357">
        <v>4.2500000000000003E-3</v>
      </c>
      <c r="P14" s="357">
        <v>4.2500000000000003E-3</v>
      </c>
      <c r="Q14" s="357">
        <v>4.2500000000000003E-3</v>
      </c>
      <c r="R14" s="357">
        <v>4.2500000000000003E-3</v>
      </c>
      <c r="S14" s="357">
        <v>4.2500000000000003E-3</v>
      </c>
      <c r="T14" s="357">
        <v>4.2500000000000003E-3</v>
      </c>
      <c r="U14" s="357">
        <v>4.2500000000000003E-3</v>
      </c>
      <c r="V14" s="357">
        <v>4.2500000000000003E-3</v>
      </c>
      <c r="W14" s="357">
        <v>4.2500000000000003E-3</v>
      </c>
      <c r="X14" s="357">
        <v>4.2500000000000003E-3</v>
      </c>
      <c r="Y14" s="357">
        <v>4.2500000000000003E-3</v>
      </c>
      <c r="Z14" s="357">
        <v>4.2500000000000003E-3</v>
      </c>
      <c r="AA14" s="357">
        <v>4.2500000000000003E-3</v>
      </c>
      <c r="AB14" s="357">
        <v>4.2500000000000003E-3</v>
      </c>
      <c r="AC14" s="357">
        <v>4.2500000000000003E-3</v>
      </c>
      <c r="AD14" s="357">
        <v>4.2500000000000003E-3</v>
      </c>
      <c r="AE14" s="357">
        <v>4.2500000000000003E-3</v>
      </c>
      <c r="AF14" s="357">
        <v>4.2500000000000003E-3</v>
      </c>
      <c r="AG14" s="357">
        <v>4.2500000000000003E-3</v>
      </c>
      <c r="AH14" s="357">
        <v>4.2500000000000003E-3</v>
      </c>
      <c r="AI14" s="357">
        <v>4.2500000000000003E-3</v>
      </c>
      <c r="AJ14" s="357">
        <v>4.2500000000000003E-3</v>
      </c>
    </row>
    <row r="15" spans="1:36" x14ac:dyDescent="0.2">
      <c r="A15" s="370" t="s">
        <v>293</v>
      </c>
      <c r="B15" s="381" t="b">
        <v>0</v>
      </c>
      <c r="C15" s="382">
        <v>650</v>
      </c>
      <c r="D15" s="370" t="s">
        <v>294</v>
      </c>
      <c r="E15" s="357">
        <v>4.2500000000000003E-3</v>
      </c>
      <c r="F15" s="357">
        <v>4.2500000000000003E-3</v>
      </c>
      <c r="G15" s="357">
        <v>4.2500000000000003E-3</v>
      </c>
      <c r="H15" s="357">
        <v>4.2500000000000003E-3</v>
      </c>
      <c r="I15" s="357">
        <v>4.2500000000000003E-3</v>
      </c>
      <c r="J15" s="357">
        <v>4.2500000000000003E-3</v>
      </c>
      <c r="K15" s="357">
        <v>4.2500000000000003E-3</v>
      </c>
      <c r="L15" s="357">
        <v>4.2500000000000003E-3</v>
      </c>
      <c r="M15" s="357">
        <v>4.2500000000000003E-3</v>
      </c>
      <c r="N15" s="357">
        <v>4.2500000000000003E-3</v>
      </c>
      <c r="O15" s="357">
        <v>4.2500000000000003E-3</v>
      </c>
      <c r="P15" s="357">
        <v>4.2500000000000003E-3</v>
      </c>
      <c r="Q15" s="357">
        <v>4.2500000000000003E-3</v>
      </c>
      <c r="R15" s="357">
        <v>4.2500000000000003E-3</v>
      </c>
      <c r="S15" s="357">
        <v>4.2500000000000003E-3</v>
      </c>
      <c r="T15" s="357">
        <v>4.2500000000000003E-3</v>
      </c>
      <c r="U15" s="357">
        <v>4.2500000000000003E-3</v>
      </c>
      <c r="V15" s="357">
        <v>4.2500000000000003E-3</v>
      </c>
      <c r="W15" s="357">
        <v>4.2500000000000003E-3</v>
      </c>
      <c r="X15" s="357">
        <v>4.2500000000000003E-3</v>
      </c>
      <c r="Y15" s="357">
        <v>4.2500000000000003E-3</v>
      </c>
      <c r="Z15" s="357">
        <v>4.2500000000000003E-3</v>
      </c>
      <c r="AA15" s="357">
        <v>4.2500000000000003E-3</v>
      </c>
      <c r="AB15" s="357">
        <v>4.2500000000000003E-3</v>
      </c>
      <c r="AC15" s="357">
        <v>4.2500000000000003E-3</v>
      </c>
      <c r="AD15" s="357">
        <v>4.2500000000000003E-3</v>
      </c>
      <c r="AE15" s="357">
        <v>4.2500000000000003E-3</v>
      </c>
      <c r="AF15" s="357">
        <v>4.2500000000000003E-3</v>
      </c>
      <c r="AG15" s="357">
        <v>4.2500000000000003E-3</v>
      </c>
      <c r="AH15" s="357">
        <v>4.2500000000000003E-3</v>
      </c>
      <c r="AI15" s="357">
        <v>4.2500000000000003E-3</v>
      </c>
      <c r="AJ15" s="357">
        <v>4.2500000000000003E-3</v>
      </c>
    </row>
    <row r="16" spans="1:36" x14ac:dyDescent="0.2">
      <c r="A16" s="370" t="s">
        <v>295</v>
      </c>
      <c r="B16" s="383" t="b">
        <v>0</v>
      </c>
      <c r="C16" s="382">
        <v>300000</v>
      </c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/>
    </row>
    <row r="17" spans="1:36" x14ac:dyDescent="0.2">
      <c r="A17" s="370" t="s">
        <v>296</v>
      </c>
      <c r="B17" s="383" t="b">
        <v>0</v>
      </c>
      <c r="C17" s="382">
        <v>500000</v>
      </c>
      <c r="D17" s="370" t="s">
        <v>266</v>
      </c>
      <c r="E17" s="358">
        <v>212652.27264878448</v>
      </c>
      <c r="F17" s="358">
        <v>219847.74528344165</v>
      </c>
      <c r="G17" s="358">
        <v>227404.47419882231</v>
      </c>
      <c r="H17" s="358">
        <v>237118.94008249426</v>
      </c>
      <c r="I17" s="358">
        <v>243101.03845035619</v>
      </c>
      <c r="J17" s="358">
        <v>248159.46338016834</v>
      </c>
      <c r="K17" s="358">
        <v>255295.42100769543</v>
      </c>
      <c r="L17" s="358">
        <v>264371.04066568299</v>
      </c>
      <c r="M17" s="358">
        <v>274318.18538067851</v>
      </c>
      <c r="N17" s="358">
        <v>280302.76039379253</v>
      </c>
      <c r="O17" s="358">
        <v>280302.76039379253</v>
      </c>
      <c r="P17" s="358">
        <v>280302.76039379253</v>
      </c>
      <c r="Q17" s="358">
        <v>280302.76039379253</v>
      </c>
      <c r="R17" s="358">
        <v>280302.76039379253</v>
      </c>
      <c r="S17" s="358">
        <v>280302.76039379253</v>
      </c>
      <c r="T17" s="358">
        <v>280302.76039379253</v>
      </c>
      <c r="U17" s="358">
        <v>280302.76039379253</v>
      </c>
      <c r="V17" s="358">
        <v>280302.76039379253</v>
      </c>
      <c r="W17" s="358">
        <v>280302.76039379253</v>
      </c>
      <c r="X17" s="358">
        <v>280302.76039379253</v>
      </c>
      <c r="Y17" s="358">
        <v>280302.76039379253</v>
      </c>
      <c r="Z17" s="358">
        <v>280302.76039379253</v>
      </c>
      <c r="AA17" s="358">
        <v>280302.76039379253</v>
      </c>
      <c r="AB17" s="358">
        <v>280302.76039379253</v>
      </c>
      <c r="AC17" s="358">
        <v>280302.76039379253</v>
      </c>
      <c r="AD17" s="358">
        <v>280302.76039379253</v>
      </c>
      <c r="AE17" s="358">
        <v>280302.76039379253</v>
      </c>
      <c r="AF17" s="358">
        <v>280302.76039379253</v>
      </c>
      <c r="AG17" s="358">
        <v>280302.76039379253</v>
      </c>
      <c r="AH17" s="358">
        <v>280302.76039379253</v>
      </c>
      <c r="AI17" s="358">
        <v>280302.76039379253</v>
      </c>
      <c r="AJ17" s="358">
        <v>280302.76039379253</v>
      </c>
    </row>
    <row r="18" spans="1:36" x14ac:dyDescent="0.2">
      <c r="A18" s="370" t="s">
        <v>297</v>
      </c>
      <c r="B18" s="381" t="b">
        <v>0</v>
      </c>
      <c r="C18" s="382">
        <v>2557021.3282899996</v>
      </c>
      <c r="D18" s="370" t="s">
        <v>258</v>
      </c>
      <c r="E18" s="342">
        <v>301.7129754450001</v>
      </c>
      <c r="F18" s="342">
        <v>301.7129754450001</v>
      </c>
      <c r="G18" s="342">
        <v>301.7129754450001</v>
      </c>
      <c r="H18" s="342">
        <v>301.7129754450001</v>
      </c>
      <c r="I18" s="342">
        <v>301.7129754450001</v>
      </c>
      <c r="J18" s="342">
        <v>301.7129754450001</v>
      </c>
      <c r="K18" s="342">
        <v>301.7129754450001</v>
      </c>
      <c r="L18" s="342">
        <v>301.7129754450001</v>
      </c>
      <c r="M18" s="342">
        <v>301.7129754450001</v>
      </c>
      <c r="N18" s="342">
        <v>301.7129754450001</v>
      </c>
      <c r="O18" s="342">
        <v>301.7129754450001</v>
      </c>
      <c r="P18" s="342">
        <v>301.7129754450001</v>
      </c>
      <c r="Q18" s="342">
        <v>301.7129754450001</v>
      </c>
      <c r="R18" s="342">
        <v>301.7129754450001</v>
      </c>
      <c r="S18" s="342">
        <v>301.7129754450001</v>
      </c>
      <c r="T18" s="342">
        <v>301.7129754450001</v>
      </c>
      <c r="U18" s="342">
        <v>301.7129754450001</v>
      </c>
      <c r="V18" s="342">
        <v>301.7129754450001</v>
      </c>
      <c r="W18" s="342">
        <v>301.7129754450001</v>
      </c>
      <c r="X18" s="342">
        <v>301.7129754450001</v>
      </c>
      <c r="Y18" s="342">
        <v>301.7129754450001</v>
      </c>
      <c r="Z18" s="342">
        <v>301.7129754450001</v>
      </c>
      <c r="AA18" s="342">
        <v>301.7129754450001</v>
      </c>
      <c r="AB18" s="342">
        <v>301.7129754450001</v>
      </c>
      <c r="AC18" s="342">
        <v>301.7129754450001</v>
      </c>
      <c r="AD18" s="342">
        <v>301.7129754450001</v>
      </c>
      <c r="AE18" s="342">
        <v>301.7129754450001</v>
      </c>
      <c r="AF18" s="342">
        <v>301.7129754450001</v>
      </c>
      <c r="AG18" s="342">
        <v>301.7129754450001</v>
      </c>
      <c r="AH18" s="342">
        <v>301.7129754450001</v>
      </c>
      <c r="AI18" s="342">
        <v>301.7129754450001</v>
      </c>
      <c r="AJ18" s="342">
        <v>301.7129754450001</v>
      </c>
    </row>
    <row r="19" spans="1:36" x14ac:dyDescent="0.2">
      <c r="A19" s="370" t="s">
        <v>298</v>
      </c>
      <c r="B19" s="381" t="b">
        <v>0</v>
      </c>
      <c r="C19" s="382">
        <v>5114042.6565799993</v>
      </c>
      <c r="D19" s="370" t="s">
        <v>259</v>
      </c>
      <c r="E19" s="342">
        <v>13040.808774278999</v>
      </c>
      <c r="F19" s="342">
        <v>13040.808774278999</v>
      </c>
      <c r="G19" s="342">
        <v>13040.808774278999</v>
      </c>
      <c r="H19" s="342">
        <v>13040.808774278999</v>
      </c>
      <c r="I19" s="342">
        <v>13040.808774278999</v>
      </c>
      <c r="J19" s="342">
        <v>13040.808774278999</v>
      </c>
      <c r="K19" s="342">
        <v>13040.808774278999</v>
      </c>
      <c r="L19" s="342">
        <v>13040.808774278999</v>
      </c>
      <c r="M19" s="342">
        <v>13040.808774278999</v>
      </c>
      <c r="N19" s="342">
        <v>13040.808774278999</v>
      </c>
      <c r="O19" s="342">
        <v>13040.808774278999</v>
      </c>
      <c r="P19" s="342">
        <v>13040.808774278999</v>
      </c>
      <c r="Q19" s="342">
        <v>13040.808774278999</v>
      </c>
      <c r="R19" s="342">
        <v>13040.808774278999</v>
      </c>
      <c r="S19" s="342">
        <v>13040.808774278999</v>
      </c>
      <c r="T19" s="342">
        <v>13040.808774278999</v>
      </c>
      <c r="U19" s="342">
        <v>13040.808774278999</v>
      </c>
      <c r="V19" s="342">
        <v>13040.808774278999</v>
      </c>
      <c r="W19" s="342">
        <v>13040.808774278999</v>
      </c>
      <c r="X19" s="342">
        <v>13040.808774278999</v>
      </c>
      <c r="Y19" s="342">
        <v>13040.808774278999</v>
      </c>
      <c r="Z19" s="342">
        <v>13040.808774278999</v>
      </c>
      <c r="AA19" s="342">
        <v>13040.808774278999</v>
      </c>
      <c r="AB19" s="342">
        <v>13040.808774278999</v>
      </c>
      <c r="AC19" s="342">
        <v>13040.808774278999</v>
      </c>
      <c r="AD19" s="342">
        <v>13040.808774278999</v>
      </c>
      <c r="AE19" s="342">
        <v>13040.808774278999</v>
      </c>
      <c r="AF19" s="342">
        <v>13040.808774278999</v>
      </c>
      <c r="AG19" s="342">
        <v>13040.808774278999</v>
      </c>
      <c r="AH19" s="342">
        <v>13040.808774278999</v>
      </c>
      <c r="AI19" s="342">
        <v>13040.808774278999</v>
      </c>
      <c r="AJ19" s="342">
        <v>13040.808774278999</v>
      </c>
    </row>
    <row r="20" spans="1:36" x14ac:dyDescent="0.2">
      <c r="A20" s="370" t="s">
        <v>299</v>
      </c>
      <c r="B20" s="381" t="b">
        <v>0</v>
      </c>
      <c r="C20" s="382">
        <v>0</v>
      </c>
      <c r="D20" s="370" t="s">
        <v>260</v>
      </c>
      <c r="E20" s="342">
        <v>504.05</v>
      </c>
      <c r="F20" s="342">
        <v>504.05</v>
      </c>
      <c r="G20" s="342">
        <v>504.05</v>
      </c>
      <c r="H20" s="342">
        <v>504.05</v>
      </c>
      <c r="I20" s="342">
        <v>504.05</v>
      </c>
      <c r="J20" s="342">
        <v>504.05</v>
      </c>
      <c r="K20" s="342">
        <v>504.05</v>
      </c>
      <c r="L20" s="342">
        <v>504.05</v>
      </c>
      <c r="M20" s="342">
        <v>504.05</v>
      </c>
      <c r="N20" s="342">
        <v>504.05</v>
      </c>
      <c r="O20" s="342">
        <v>504.05</v>
      </c>
      <c r="P20" s="342">
        <v>504.05</v>
      </c>
      <c r="Q20" s="342">
        <v>504.05</v>
      </c>
      <c r="R20" s="342">
        <v>504.05</v>
      </c>
      <c r="S20" s="342">
        <v>504.05</v>
      </c>
      <c r="T20" s="342">
        <v>504.05</v>
      </c>
      <c r="U20" s="342">
        <v>504.05</v>
      </c>
      <c r="V20" s="342">
        <v>504.05</v>
      </c>
      <c r="W20" s="342">
        <v>504.05</v>
      </c>
      <c r="X20" s="342">
        <v>504.05</v>
      </c>
      <c r="Y20" s="342">
        <v>504.05</v>
      </c>
      <c r="Z20" s="342">
        <v>504.05</v>
      </c>
      <c r="AA20" s="342">
        <v>504.05</v>
      </c>
      <c r="AB20" s="342">
        <v>504.05</v>
      </c>
      <c r="AC20" s="342">
        <v>504.05</v>
      </c>
      <c r="AD20" s="342">
        <v>504.05</v>
      </c>
      <c r="AE20" s="342">
        <v>504.05</v>
      </c>
      <c r="AF20" s="342">
        <v>504.05</v>
      </c>
      <c r="AG20" s="342">
        <v>504.05</v>
      </c>
      <c r="AH20" s="342">
        <v>504.05</v>
      </c>
      <c r="AI20" s="342">
        <v>504.05</v>
      </c>
      <c r="AJ20" s="342">
        <v>504.05</v>
      </c>
    </row>
    <row r="21" spans="1:36" x14ac:dyDescent="0.2">
      <c r="A21" s="370" t="s">
        <v>300</v>
      </c>
      <c r="B21" s="381" t="b">
        <v>0</v>
      </c>
      <c r="C21" s="382" t="s">
        <v>136</v>
      </c>
      <c r="D21" s="370" t="s">
        <v>301</v>
      </c>
      <c r="E21" s="359">
        <v>0</v>
      </c>
      <c r="F21" s="359">
        <v>0</v>
      </c>
      <c r="G21" s="359">
        <v>0</v>
      </c>
      <c r="H21" s="359">
        <v>0</v>
      </c>
      <c r="I21" s="359">
        <v>0</v>
      </c>
      <c r="J21" s="359">
        <v>0</v>
      </c>
      <c r="K21" s="359">
        <v>0</v>
      </c>
      <c r="L21" s="359">
        <v>0</v>
      </c>
      <c r="M21" s="359">
        <v>0</v>
      </c>
      <c r="N21" s="359">
        <v>0</v>
      </c>
      <c r="O21" s="359">
        <v>0</v>
      </c>
      <c r="P21" s="359">
        <v>0</v>
      </c>
      <c r="Q21" s="359">
        <v>0</v>
      </c>
      <c r="R21" s="359">
        <v>0</v>
      </c>
      <c r="S21" s="359">
        <v>0</v>
      </c>
      <c r="T21" s="359">
        <v>0</v>
      </c>
      <c r="U21" s="359">
        <v>0</v>
      </c>
      <c r="V21" s="359">
        <v>0</v>
      </c>
      <c r="W21" s="359">
        <v>0</v>
      </c>
      <c r="X21" s="359">
        <v>0</v>
      </c>
      <c r="Y21" s="359">
        <v>0</v>
      </c>
      <c r="Z21" s="359">
        <v>0</v>
      </c>
      <c r="AA21" s="359">
        <v>0</v>
      </c>
      <c r="AB21" s="359">
        <v>0</v>
      </c>
      <c r="AC21" s="359">
        <v>0</v>
      </c>
      <c r="AD21" s="359">
        <v>0</v>
      </c>
      <c r="AE21" s="359">
        <v>0</v>
      </c>
      <c r="AF21" s="359">
        <v>0</v>
      </c>
      <c r="AG21" s="359">
        <v>0</v>
      </c>
      <c r="AH21" s="359">
        <v>0</v>
      </c>
      <c r="AI21" s="359">
        <v>0</v>
      </c>
      <c r="AJ21" s="359">
        <v>0</v>
      </c>
    </row>
    <row r="22" spans="1:36" x14ac:dyDescent="0.2">
      <c r="A22" s="370" t="s">
        <v>302</v>
      </c>
      <c r="B22" s="381" t="b">
        <v>1</v>
      </c>
      <c r="C22" s="382">
        <v>0</v>
      </c>
      <c r="D22" s="370" t="s">
        <v>303</v>
      </c>
      <c r="E22" s="359">
        <v>0</v>
      </c>
      <c r="F22" s="359">
        <v>0</v>
      </c>
      <c r="G22" s="359">
        <v>0</v>
      </c>
      <c r="H22" s="359">
        <v>0</v>
      </c>
      <c r="I22" s="359">
        <v>0</v>
      </c>
      <c r="J22" s="359">
        <v>0</v>
      </c>
      <c r="K22" s="359">
        <v>0</v>
      </c>
      <c r="L22" s="359">
        <v>0</v>
      </c>
      <c r="M22" s="359">
        <v>0</v>
      </c>
      <c r="N22" s="359">
        <v>0</v>
      </c>
      <c r="O22" s="359">
        <v>0</v>
      </c>
      <c r="P22" s="359">
        <v>0</v>
      </c>
      <c r="Q22" s="359">
        <v>0</v>
      </c>
      <c r="R22" s="359">
        <v>0</v>
      </c>
      <c r="S22" s="359">
        <v>0</v>
      </c>
      <c r="T22" s="359">
        <v>0</v>
      </c>
      <c r="U22" s="359">
        <v>0</v>
      </c>
      <c r="V22" s="359">
        <v>0</v>
      </c>
      <c r="W22" s="359">
        <v>0</v>
      </c>
      <c r="X22" s="359">
        <v>0</v>
      </c>
      <c r="Y22" s="359">
        <v>0</v>
      </c>
      <c r="Z22" s="359">
        <v>0</v>
      </c>
      <c r="AA22" s="359">
        <v>0</v>
      </c>
      <c r="AB22" s="359">
        <v>0</v>
      </c>
      <c r="AC22" s="359">
        <v>0</v>
      </c>
      <c r="AD22" s="359">
        <v>0</v>
      </c>
      <c r="AE22" s="359">
        <v>0</v>
      </c>
      <c r="AF22" s="359">
        <v>0</v>
      </c>
      <c r="AG22" s="359">
        <v>0</v>
      </c>
      <c r="AH22" s="359">
        <v>0</v>
      </c>
      <c r="AI22" s="359">
        <v>0</v>
      </c>
      <c r="AJ22" s="359">
        <v>0</v>
      </c>
    </row>
    <row r="23" spans="1:36" x14ac:dyDescent="0.2">
      <c r="A23" s="370" t="s">
        <v>304</v>
      </c>
      <c r="B23" s="383">
        <v>0</v>
      </c>
      <c r="C23" s="382">
        <v>0</v>
      </c>
      <c r="D23" s="370" t="s">
        <v>18</v>
      </c>
      <c r="E23" s="359">
        <v>0</v>
      </c>
      <c r="F23" s="359">
        <v>0</v>
      </c>
      <c r="G23" s="359">
        <v>0</v>
      </c>
      <c r="H23" s="359">
        <v>0</v>
      </c>
      <c r="I23" s="359">
        <v>0</v>
      </c>
      <c r="J23" s="359">
        <v>0</v>
      </c>
      <c r="K23" s="359">
        <v>0</v>
      </c>
      <c r="L23" s="359">
        <v>0</v>
      </c>
      <c r="M23" s="359">
        <v>0</v>
      </c>
      <c r="N23" s="359">
        <v>0</v>
      </c>
      <c r="O23" s="359">
        <v>0</v>
      </c>
      <c r="P23" s="359">
        <v>0</v>
      </c>
      <c r="Q23" s="359">
        <v>0</v>
      </c>
      <c r="R23" s="359">
        <v>0</v>
      </c>
      <c r="S23" s="359">
        <v>0</v>
      </c>
      <c r="T23" s="359">
        <v>0</v>
      </c>
      <c r="U23" s="359">
        <v>0</v>
      </c>
      <c r="V23" s="359">
        <v>0</v>
      </c>
      <c r="W23" s="359">
        <v>0</v>
      </c>
      <c r="X23" s="359">
        <v>0</v>
      </c>
      <c r="Y23" s="359">
        <v>0</v>
      </c>
      <c r="Z23" s="359">
        <v>0</v>
      </c>
      <c r="AA23" s="359">
        <v>0</v>
      </c>
      <c r="AB23" s="359">
        <v>0</v>
      </c>
      <c r="AC23" s="359">
        <v>0</v>
      </c>
      <c r="AD23" s="359">
        <v>0</v>
      </c>
      <c r="AE23" s="359">
        <v>0</v>
      </c>
      <c r="AF23" s="359">
        <v>0</v>
      </c>
      <c r="AG23" s="359">
        <v>0</v>
      </c>
      <c r="AH23" s="359">
        <v>0</v>
      </c>
      <c r="AI23" s="359">
        <v>0</v>
      </c>
      <c r="AJ23" s="359">
        <v>0</v>
      </c>
    </row>
    <row r="24" spans="1:36" x14ac:dyDescent="0.2">
      <c r="A24" s="384"/>
      <c r="B24" s="384"/>
      <c r="C24" s="382">
        <v>0</v>
      </c>
      <c r="D24" s="385" t="s">
        <v>305</v>
      </c>
      <c r="E24" s="386">
        <v>51750.000000000007</v>
      </c>
      <c r="F24" s="386">
        <v>51750.000000000007</v>
      </c>
      <c r="G24" s="386">
        <v>51750.000000000007</v>
      </c>
      <c r="H24" s="386">
        <v>51750.000000000007</v>
      </c>
      <c r="I24" s="386">
        <v>51750.000000000007</v>
      </c>
      <c r="J24" s="386">
        <v>51750.000000000007</v>
      </c>
      <c r="K24" s="386">
        <v>51750.000000000007</v>
      </c>
      <c r="L24" s="386">
        <v>51750.000000000007</v>
      </c>
      <c r="M24" s="386">
        <v>51750.000000000007</v>
      </c>
      <c r="N24" s="386">
        <v>51750.000000000007</v>
      </c>
      <c r="O24" s="386">
        <v>51750.000000000007</v>
      </c>
      <c r="P24" s="386">
        <v>51750.000000000007</v>
      </c>
      <c r="Q24" s="386">
        <v>51750.000000000007</v>
      </c>
      <c r="R24" s="386">
        <v>51750.000000000007</v>
      </c>
      <c r="S24" s="386">
        <v>51750.000000000007</v>
      </c>
      <c r="T24" s="386">
        <v>51750.000000000007</v>
      </c>
      <c r="U24" s="386">
        <v>51750.000000000007</v>
      </c>
      <c r="V24" s="386">
        <v>51750.000000000007</v>
      </c>
      <c r="W24" s="386">
        <v>51750.000000000007</v>
      </c>
      <c r="X24" s="386">
        <v>51750.000000000007</v>
      </c>
      <c r="Y24" s="386">
        <v>51750.000000000007</v>
      </c>
      <c r="Z24" s="386">
        <v>51750.000000000007</v>
      </c>
      <c r="AA24" s="386">
        <v>51750.000000000007</v>
      </c>
      <c r="AB24" s="386">
        <v>51750.000000000007</v>
      </c>
      <c r="AC24" s="386">
        <v>51750.000000000007</v>
      </c>
      <c r="AD24" s="386">
        <v>51750.000000000007</v>
      </c>
      <c r="AE24" s="386">
        <v>51750.000000000007</v>
      </c>
      <c r="AF24" s="386">
        <v>51750.000000000007</v>
      </c>
      <c r="AG24" s="386">
        <v>51750.000000000007</v>
      </c>
      <c r="AH24" s="386">
        <v>51750.000000000007</v>
      </c>
      <c r="AI24" s="386">
        <v>51750.000000000007</v>
      </c>
      <c r="AJ24" s="386">
        <v>51750.000000000007</v>
      </c>
    </row>
    <row r="25" spans="1:36" x14ac:dyDescent="0.2">
      <c r="A25" s="387"/>
      <c r="B25" s="387"/>
      <c r="C25" s="387"/>
      <c r="D25" s="388" t="s">
        <v>306</v>
      </c>
      <c r="E25" s="389">
        <v>278248.84439850849</v>
      </c>
      <c r="F25" s="389">
        <v>285444.31703316566</v>
      </c>
      <c r="G25" s="389">
        <v>293001.04594854632</v>
      </c>
      <c r="H25" s="389">
        <v>302715.51183221827</v>
      </c>
      <c r="I25" s="389">
        <v>308697.61020008021</v>
      </c>
      <c r="J25" s="389">
        <v>313756.03512989235</v>
      </c>
      <c r="K25" s="389">
        <v>320891.99275741942</v>
      </c>
      <c r="L25" s="389">
        <v>329967.61241540703</v>
      </c>
      <c r="M25" s="389">
        <v>339914.75713040255</v>
      </c>
      <c r="N25" s="389">
        <v>345899.33214351657</v>
      </c>
      <c r="O25" s="389">
        <v>345899.33214351657</v>
      </c>
      <c r="P25" s="389">
        <v>345899.33214351657</v>
      </c>
      <c r="Q25" s="389">
        <v>345899.33214351657</v>
      </c>
      <c r="R25" s="389">
        <v>345899.33214351657</v>
      </c>
      <c r="S25" s="389">
        <v>345899.33214351657</v>
      </c>
      <c r="T25" s="389">
        <v>345899.33214351657</v>
      </c>
      <c r="U25" s="389">
        <v>345899.33214351657</v>
      </c>
      <c r="V25" s="389">
        <v>345899.33214351657</v>
      </c>
      <c r="W25" s="389">
        <v>345899.33214351657</v>
      </c>
      <c r="X25" s="389">
        <v>345899.33214351657</v>
      </c>
      <c r="Y25" s="389">
        <v>345899.33214351657</v>
      </c>
      <c r="Z25" s="389">
        <v>345899.33214351657</v>
      </c>
      <c r="AA25" s="389">
        <v>345899.33214351657</v>
      </c>
      <c r="AB25" s="389">
        <v>345899.33214351657</v>
      </c>
      <c r="AC25" s="389">
        <v>345899.33214351657</v>
      </c>
      <c r="AD25" s="389">
        <v>345899.33214351657</v>
      </c>
      <c r="AE25" s="389">
        <v>345899.33214351657</v>
      </c>
      <c r="AF25" s="389">
        <v>345899.33214351657</v>
      </c>
      <c r="AG25" s="389">
        <v>345899.33214351657</v>
      </c>
      <c r="AH25" s="389">
        <v>345899.33214351657</v>
      </c>
      <c r="AI25" s="389">
        <v>345899.33214351657</v>
      </c>
      <c r="AJ25" s="389">
        <v>345899.33214351657</v>
      </c>
    </row>
    <row r="26" spans="1:36" x14ac:dyDescent="0.2">
      <c r="A26" s="362"/>
      <c r="B26" s="362"/>
      <c r="C26" s="36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62"/>
      <c r="AH26" s="362"/>
      <c r="AI26" s="362"/>
      <c r="AJ26" s="362"/>
    </row>
    <row r="27" spans="1:36" x14ac:dyDescent="0.2">
      <c r="A27" s="365" t="s">
        <v>267</v>
      </c>
      <c r="B27" s="365"/>
      <c r="C27" s="366" t="s">
        <v>268</v>
      </c>
      <c r="D27" s="366"/>
      <c r="E27" s="362"/>
      <c r="F27" s="368" t="s">
        <v>269</v>
      </c>
      <c r="G27" s="369" t="s">
        <v>270</v>
      </c>
      <c r="H27" s="366" t="s">
        <v>271</v>
      </c>
      <c r="I27" s="366" t="s">
        <v>272</v>
      </c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2"/>
      <c r="AI27" s="362"/>
      <c r="AJ27" s="362"/>
    </row>
    <row r="28" spans="1:36" x14ac:dyDescent="0.2">
      <c r="A28" s="370" t="s">
        <v>273</v>
      </c>
      <c r="B28" s="371" t="s">
        <v>316</v>
      </c>
      <c r="C28" s="372" t="s">
        <v>274</v>
      </c>
      <c r="D28" s="353"/>
      <c r="E28" s="362"/>
      <c r="F28" s="372" t="s">
        <v>275</v>
      </c>
      <c r="G28" s="373">
        <v>2.5000000000000001E-3</v>
      </c>
      <c r="H28" s="369">
        <v>1</v>
      </c>
      <c r="I28" s="374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 s="362"/>
      <c r="AA28" s="362"/>
      <c r="AB28" s="362"/>
      <c r="AC28" s="362"/>
      <c r="AD28" s="362"/>
      <c r="AE28" s="362"/>
      <c r="AF28" s="362"/>
      <c r="AG28" s="362"/>
      <c r="AH28" s="362"/>
      <c r="AI28" s="362"/>
      <c r="AJ28" s="362"/>
    </row>
    <row r="29" spans="1:36" x14ac:dyDescent="0.2">
      <c r="A29" s="370" t="s">
        <v>276</v>
      </c>
      <c r="B29" s="371" t="s">
        <v>277</v>
      </c>
      <c r="C29" s="372" t="s">
        <v>278</v>
      </c>
      <c r="D29" s="353"/>
      <c r="E29" s="362"/>
      <c r="F29" s="372" t="s">
        <v>279</v>
      </c>
      <c r="G29" s="373">
        <v>2.5000000000000001E-3</v>
      </c>
      <c r="H29" s="369">
        <v>1</v>
      </c>
      <c r="I29" s="374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62"/>
      <c r="AA29" s="362"/>
      <c r="AB29" s="362"/>
      <c r="AC29" s="362"/>
      <c r="AD29" s="362"/>
      <c r="AE29" s="362"/>
      <c r="AF29" s="362"/>
      <c r="AG29" s="362"/>
      <c r="AH29" s="362"/>
      <c r="AI29" s="362"/>
      <c r="AJ29" s="362"/>
    </row>
    <row r="30" spans="1:36" x14ac:dyDescent="0.2">
      <c r="A30" s="375" t="s">
        <v>8</v>
      </c>
      <c r="B30" s="354">
        <v>32.343000000000004</v>
      </c>
      <c r="C30" s="375" t="s">
        <v>280</v>
      </c>
      <c r="D30" s="376">
        <v>3068425.5939479996</v>
      </c>
      <c r="E30" s="362"/>
      <c r="F30" s="372" t="s">
        <v>281</v>
      </c>
      <c r="G30" s="373" t="b">
        <v>1</v>
      </c>
      <c r="H30" s="369">
        <v>1</v>
      </c>
      <c r="I30" s="374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2"/>
      <c r="AA30" s="362"/>
      <c r="AB30" s="362"/>
      <c r="AC30" s="362"/>
      <c r="AD30" s="362"/>
      <c r="AE30" s="362"/>
      <c r="AF30" s="362"/>
      <c r="AG30" s="362"/>
      <c r="AH30" s="362"/>
      <c r="AI30" s="362"/>
      <c r="AJ30" s="362"/>
    </row>
    <row r="31" spans="1:36" x14ac:dyDescent="0.2">
      <c r="A31" s="375" t="s">
        <v>282</v>
      </c>
      <c r="B31" s="390">
        <v>0.5</v>
      </c>
      <c r="C31" s="375" t="s">
        <v>283</v>
      </c>
      <c r="D31" s="376">
        <v>118600</v>
      </c>
      <c r="E31" s="362"/>
      <c r="F31" s="372" t="s">
        <v>284</v>
      </c>
      <c r="G31" s="377">
        <v>0</v>
      </c>
      <c r="H31" s="369">
        <v>1</v>
      </c>
      <c r="I31" s="374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362"/>
      <c r="Z31" s="362"/>
      <c r="AA31" s="362"/>
      <c r="AB31" s="362"/>
      <c r="AC31" s="362"/>
      <c r="AD31" s="362"/>
      <c r="AE31" s="362"/>
      <c r="AF31" s="362"/>
      <c r="AG31" s="362"/>
      <c r="AH31" s="362"/>
      <c r="AI31" s="362"/>
      <c r="AJ31" s="362"/>
    </row>
    <row r="32" spans="1:36" x14ac:dyDescent="0.2">
      <c r="A32" s="378" t="s">
        <v>320</v>
      </c>
      <c r="B32" s="379" t="s">
        <v>285</v>
      </c>
      <c r="C32" s="366" t="s">
        <v>286</v>
      </c>
      <c r="D32" s="365" t="s">
        <v>287</v>
      </c>
      <c r="E32" s="366">
        <v>2025</v>
      </c>
      <c r="F32" s="366">
        <v>2026</v>
      </c>
      <c r="G32" s="366">
        <v>2027</v>
      </c>
      <c r="H32" s="366">
        <v>2028</v>
      </c>
      <c r="I32" s="366">
        <v>2029</v>
      </c>
      <c r="J32" s="366">
        <v>2030</v>
      </c>
      <c r="K32" s="366">
        <v>2031</v>
      </c>
      <c r="L32" s="366">
        <v>2032</v>
      </c>
      <c r="M32" s="366">
        <v>2033</v>
      </c>
      <c r="N32" s="366">
        <v>2034</v>
      </c>
      <c r="O32" s="366">
        <v>2035</v>
      </c>
      <c r="P32" s="366">
        <v>2036</v>
      </c>
      <c r="Q32" s="366">
        <v>2037</v>
      </c>
      <c r="R32" s="366">
        <v>2038</v>
      </c>
      <c r="S32" s="366">
        <v>2039</v>
      </c>
      <c r="T32" s="366">
        <v>2040</v>
      </c>
      <c r="U32" s="366">
        <v>2041</v>
      </c>
      <c r="V32" s="366">
        <v>2042</v>
      </c>
      <c r="W32" s="366">
        <v>2043</v>
      </c>
      <c r="X32" s="366">
        <v>2044</v>
      </c>
      <c r="Y32" s="366">
        <v>2045</v>
      </c>
      <c r="Z32" s="366">
        <v>2046</v>
      </c>
      <c r="AA32" s="366">
        <v>2047</v>
      </c>
      <c r="AB32" s="380">
        <v>2048</v>
      </c>
      <c r="AC32" s="380">
        <v>2049</v>
      </c>
      <c r="AD32" s="380">
        <v>2050</v>
      </c>
      <c r="AE32" s="380">
        <v>2051</v>
      </c>
      <c r="AF32" s="380">
        <v>2052</v>
      </c>
      <c r="AG32" s="380">
        <v>2053</v>
      </c>
      <c r="AH32" s="380">
        <v>2054</v>
      </c>
      <c r="AI32" s="380">
        <v>2055</v>
      </c>
      <c r="AJ32" s="380">
        <v>2056</v>
      </c>
    </row>
    <row r="33" spans="1:36" x14ac:dyDescent="0.2">
      <c r="A33" s="370" t="s">
        <v>288</v>
      </c>
      <c r="B33" s="381" t="b">
        <v>0</v>
      </c>
      <c r="C33" s="382">
        <v>0</v>
      </c>
      <c r="D33" s="370" t="s">
        <v>23</v>
      </c>
      <c r="E33" s="355">
        <v>7543.8711615163875</v>
      </c>
      <c r="F33" s="355">
        <v>7802.7024207591221</v>
      </c>
      <c r="G33" s="355">
        <v>8071.7111339929315</v>
      </c>
      <c r="H33" s="355">
        <v>835.59437681477266</v>
      </c>
      <c r="I33" s="355">
        <v>858.01371267871048</v>
      </c>
      <c r="J33" s="355">
        <v>875.12168670025915</v>
      </c>
      <c r="K33" s="355">
        <v>901.13103528145132</v>
      </c>
      <c r="L33" s="355">
        <v>935.00479198208336</v>
      </c>
      <c r="M33" s="355">
        <v>967.19137317463435</v>
      </c>
      <c r="N33" s="355">
        <v>991.51354624774569</v>
      </c>
      <c r="O33" s="355">
        <v>991.51354624774569</v>
      </c>
      <c r="P33" s="355">
        <v>991.51354624774569</v>
      </c>
      <c r="Q33" s="355">
        <v>991.51354624774569</v>
      </c>
      <c r="R33" s="355">
        <v>991.51354624774569</v>
      </c>
      <c r="S33" s="355">
        <v>991.51354624774569</v>
      </c>
      <c r="T33" s="355">
        <v>991.51354624774569</v>
      </c>
      <c r="U33" s="355">
        <v>991.51354624774569</v>
      </c>
      <c r="V33" s="355">
        <v>991.51354624774569</v>
      </c>
      <c r="W33" s="355">
        <v>991.51354624774569</v>
      </c>
      <c r="X33" s="355">
        <v>991.51354624774569</v>
      </c>
      <c r="Y33" s="355">
        <v>991.51354624774569</v>
      </c>
      <c r="Z33" s="355">
        <v>991.51354624774569</v>
      </c>
      <c r="AA33" s="355">
        <v>991.51354624774569</v>
      </c>
      <c r="AB33" s="355">
        <v>991.51354624774569</v>
      </c>
      <c r="AC33" s="355">
        <v>991.51354624774569</v>
      </c>
      <c r="AD33" s="355">
        <v>991.51354624774569</v>
      </c>
      <c r="AE33" s="355">
        <v>991.51354624774569</v>
      </c>
      <c r="AF33" s="355">
        <v>991.51354624774569</v>
      </c>
      <c r="AG33" s="355">
        <v>991.51354624774569</v>
      </c>
      <c r="AH33" s="355">
        <v>991.51354624774569</v>
      </c>
      <c r="AI33" s="355">
        <v>991.51354624774569</v>
      </c>
      <c r="AJ33" s="355">
        <v>991.51354624774569</v>
      </c>
    </row>
    <row r="34" spans="1:36" x14ac:dyDescent="0.2">
      <c r="A34" s="370" t="s">
        <v>289</v>
      </c>
      <c r="B34" s="381" t="b">
        <v>0</v>
      </c>
      <c r="C34" s="382">
        <v>0</v>
      </c>
      <c r="D34" s="370" t="s">
        <v>23</v>
      </c>
      <c r="E34" s="356">
        <v>8211.5703615163875</v>
      </c>
      <c r="F34" s="356">
        <v>8481.1002497040554</v>
      </c>
      <c r="G34" s="356">
        <v>8770.736132195314</v>
      </c>
      <c r="H34" s="356">
        <v>908.60265378003055</v>
      </c>
      <c r="I34" s="356">
        <v>928.39801596754739</v>
      </c>
      <c r="J34" s="356">
        <v>949.45274733884821</v>
      </c>
      <c r="K34" s="356">
        <v>974.77995615381337</v>
      </c>
      <c r="L34" s="356">
        <v>1005.1372364143436</v>
      </c>
      <c r="M34" s="356">
        <v>1049.9365331957472</v>
      </c>
      <c r="N34" s="356">
        <v>1065.3220499688978</v>
      </c>
      <c r="O34" s="356">
        <v>1065.3220499688978</v>
      </c>
      <c r="P34" s="356">
        <v>1065.3220499688978</v>
      </c>
      <c r="Q34" s="356">
        <v>1065.3220499688978</v>
      </c>
      <c r="R34" s="356">
        <v>1065.3220499688978</v>
      </c>
      <c r="S34" s="356">
        <v>1065.3220499688978</v>
      </c>
      <c r="T34" s="356">
        <v>1065.3220499688978</v>
      </c>
      <c r="U34" s="356">
        <v>1065.3220499688978</v>
      </c>
      <c r="V34" s="356">
        <v>1065.3220499688978</v>
      </c>
      <c r="W34" s="356">
        <v>1065.3220499688978</v>
      </c>
      <c r="X34" s="356">
        <v>1065.3220499688978</v>
      </c>
      <c r="Y34" s="356">
        <v>1065.3220499688978</v>
      </c>
      <c r="Z34" s="356">
        <v>1065.3220499688978</v>
      </c>
      <c r="AA34" s="356">
        <v>1065.3220499688978</v>
      </c>
      <c r="AB34" s="356">
        <v>1065.3220499688978</v>
      </c>
      <c r="AC34" s="356">
        <v>1065.3220499688978</v>
      </c>
      <c r="AD34" s="356">
        <v>1065.3220499688978</v>
      </c>
      <c r="AE34" s="356">
        <v>1065.3220499688978</v>
      </c>
      <c r="AF34" s="356">
        <v>1065.3220499688978</v>
      </c>
      <c r="AG34" s="356">
        <v>1065.3220499688978</v>
      </c>
      <c r="AH34" s="356">
        <v>1065.3220499688978</v>
      </c>
      <c r="AI34" s="356">
        <v>1065.3220499688978</v>
      </c>
      <c r="AJ34" s="356">
        <v>1065.3220499688978</v>
      </c>
    </row>
    <row r="35" spans="1:36" x14ac:dyDescent="0.2">
      <c r="A35" s="370" t="s">
        <v>290</v>
      </c>
      <c r="B35" s="381" t="b">
        <v>0</v>
      </c>
      <c r="C35" s="382">
        <v>300000</v>
      </c>
      <c r="D35" s="370" t="s">
        <v>23</v>
      </c>
      <c r="E35" s="356">
        <v>7543.8711615163875</v>
      </c>
      <c r="F35" s="356">
        <v>7802.7024207591221</v>
      </c>
      <c r="G35" s="356">
        <v>8071.7111339929315</v>
      </c>
      <c r="H35" s="356">
        <v>835.59437681477266</v>
      </c>
      <c r="I35" s="356">
        <v>858.01371267871048</v>
      </c>
      <c r="J35" s="356">
        <v>875.12168670025915</v>
      </c>
      <c r="K35" s="356">
        <v>901.13103528145132</v>
      </c>
      <c r="L35" s="356">
        <v>935.00479198208336</v>
      </c>
      <c r="M35" s="356">
        <v>967.19137317463435</v>
      </c>
      <c r="N35" s="356">
        <v>991.51354624774569</v>
      </c>
      <c r="O35" s="356">
        <v>991.51354624774569</v>
      </c>
      <c r="P35" s="356">
        <v>991.51354624774569</v>
      </c>
      <c r="Q35" s="356">
        <v>991.51354624774569</v>
      </c>
      <c r="R35" s="356">
        <v>991.51354624774569</v>
      </c>
      <c r="S35" s="356">
        <v>991.51354624774569</v>
      </c>
      <c r="T35" s="356">
        <v>991.51354624774569</v>
      </c>
      <c r="U35" s="356">
        <v>991.51354624774569</v>
      </c>
      <c r="V35" s="356">
        <v>991.51354624774569</v>
      </c>
      <c r="W35" s="356">
        <v>991.51354624774569</v>
      </c>
      <c r="X35" s="356">
        <v>991.51354624774569</v>
      </c>
      <c r="Y35" s="356">
        <v>991.51354624774569</v>
      </c>
      <c r="Z35" s="356">
        <v>991.51354624774569</v>
      </c>
      <c r="AA35" s="356">
        <v>991.51354624774569</v>
      </c>
      <c r="AB35" s="356">
        <v>991.51354624774569</v>
      </c>
      <c r="AC35" s="356">
        <v>991.51354624774569</v>
      </c>
      <c r="AD35" s="356">
        <v>991.51354624774569</v>
      </c>
      <c r="AE35" s="356">
        <v>991.51354624774569</v>
      </c>
      <c r="AF35" s="356">
        <v>991.51354624774569</v>
      </c>
      <c r="AG35" s="356">
        <v>991.51354624774569</v>
      </c>
      <c r="AH35" s="356">
        <v>991.51354624774569</v>
      </c>
      <c r="AI35" s="356">
        <v>991.51354624774569</v>
      </c>
      <c r="AJ35" s="356">
        <v>991.51354624774569</v>
      </c>
    </row>
    <row r="36" spans="1:36" x14ac:dyDescent="0.2">
      <c r="A36" s="370" t="s">
        <v>291</v>
      </c>
      <c r="B36" s="381" t="b">
        <v>0</v>
      </c>
      <c r="C36" s="382">
        <v>4000</v>
      </c>
      <c r="D36" s="370" t="s">
        <v>292</v>
      </c>
      <c r="E36" s="357">
        <v>5.0000000000000001E-3</v>
      </c>
      <c r="F36" s="357">
        <v>5.0000000000000001E-3</v>
      </c>
      <c r="G36" s="357">
        <v>5.0000000000000001E-3</v>
      </c>
      <c r="H36" s="357">
        <v>5.0000000000000001E-4</v>
      </c>
      <c r="I36" s="357">
        <v>4.999999999999999E-4</v>
      </c>
      <c r="J36" s="357">
        <v>4.999999999999999E-4</v>
      </c>
      <c r="K36" s="357">
        <v>4.999999999999999E-4</v>
      </c>
      <c r="L36" s="357">
        <v>4.999999999999999E-4</v>
      </c>
      <c r="M36" s="357">
        <v>4.999999999999999E-4</v>
      </c>
      <c r="N36" s="357">
        <v>4.999999999999999E-4</v>
      </c>
      <c r="O36" s="357">
        <v>4.999999999999999E-4</v>
      </c>
      <c r="P36" s="357">
        <v>4.999999999999999E-4</v>
      </c>
      <c r="Q36" s="357">
        <v>4.999999999999999E-4</v>
      </c>
      <c r="R36" s="357">
        <v>4.999999999999999E-4</v>
      </c>
      <c r="S36" s="357">
        <v>4.999999999999999E-4</v>
      </c>
      <c r="T36" s="357">
        <v>4.999999999999999E-4</v>
      </c>
      <c r="U36" s="357">
        <v>4.999999999999999E-4</v>
      </c>
      <c r="V36" s="357">
        <v>4.999999999999999E-4</v>
      </c>
      <c r="W36" s="357">
        <v>4.999999999999999E-4</v>
      </c>
      <c r="X36" s="357">
        <v>4.999999999999999E-4</v>
      </c>
      <c r="Y36" s="357">
        <v>4.999999999999999E-4</v>
      </c>
      <c r="Z36" s="357">
        <v>4.999999999999999E-4</v>
      </c>
      <c r="AA36" s="357">
        <v>4.999999999999999E-4</v>
      </c>
      <c r="AB36" s="357">
        <v>4.999999999999999E-4</v>
      </c>
      <c r="AC36" s="357">
        <v>4.999999999999999E-4</v>
      </c>
      <c r="AD36" s="357">
        <v>4.999999999999999E-4</v>
      </c>
      <c r="AE36" s="357">
        <v>4.999999999999999E-4</v>
      </c>
      <c r="AF36" s="357">
        <v>4.999999999999999E-4</v>
      </c>
      <c r="AG36" s="357">
        <v>4.999999999999999E-4</v>
      </c>
      <c r="AH36" s="357">
        <v>4.999999999999999E-4</v>
      </c>
      <c r="AI36" s="357">
        <v>4.999999999999999E-4</v>
      </c>
      <c r="AJ36" s="357">
        <v>4.999999999999999E-4</v>
      </c>
    </row>
    <row r="37" spans="1:36" x14ac:dyDescent="0.2">
      <c r="A37" s="370" t="s">
        <v>293</v>
      </c>
      <c r="B37" s="381" t="b">
        <v>0</v>
      </c>
      <c r="C37" s="382">
        <v>650</v>
      </c>
      <c r="D37" s="370" t="s">
        <v>294</v>
      </c>
      <c r="E37" s="357">
        <v>5.0000000000000001E-3</v>
      </c>
      <c r="F37" s="357">
        <v>5.0000000000000001E-3</v>
      </c>
      <c r="G37" s="357">
        <v>5.0000000000000001E-3</v>
      </c>
      <c r="H37" s="357">
        <v>4.999999999999999E-4</v>
      </c>
      <c r="I37" s="357">
        <v>4.999999999999999E-4</v>
      </c>
      <c r="J37" s="357">
        <v>4.999999999999999E-4</v>
      </c>
      <c r="K37" s="357">
        <v>4.999999999999999E-4</v>
      </c>
      <c r="L37" s="357">
        <v>4.999999999999999E-4</v>
      </c>
      <c r="M37" s="357">
        <v>4.999999999999999E-4</v>
      </c>
      <c r="N37" s="357">
        <v>4.999999999999999E-4</v>
      </c>
      <c r="O37" s="357">
        <v>4.999999999999999E-4</v>
      </c>
      <c r="P37" s="357">
        <v>4.999999999999999E-4</v>
      </c>
      <c r="Q37" s="357">
        <v>4.999999999999999E-4</v>
      </c>
      <c r="R37" s="357">
        <v>4.999999999999999E-4</v>
      </c>
      <c r="S37" s="357">
        <v>4.999999999999999E-4</v>
      </c>
      <c r="T37" s="357">
        <v>4.999999999999999E-4</v>
      </c>
      <c r="U37" s="357">
        <v>4.999999999999999E-4</v>
      </c>
      <c r="V37" s="357">
        <v>4.999999999999999E-4</v>
      </c>
      <c r="W37" s="357">
        <v>4.999999999999999E-4</v>
      </c>
      <c r="X37" s="357">
        <v>4.999999999999999E-4</v>
      </c>
      <c r="Y37" s="357">
        <v>4.999999999999999E-4</v>
      </c>
      <c r="Z37" s="357">
        <v>4.999999999999999E-4</v>
      </c>
      <c r="AA37" s="357">
        <v>4.999999999999999E-4</v>
      </c>
      <c r="AB37" s="357">
        <v>4.999999999999999E-4</v>
      </c>
      <c r="AC37" s="357">
        <v>4.999999999999999E-4</v>
      </c>
      <c r="AD37" s="357">
        <v>4.999999999999999E-4</v>
      </c>
      <c r="AE37" s="357">
        <v>4.999999999999999E-4</v>
      </c>
      <c r="AF37" s="357">
        <v>4.999999999999999E-4</v>
      </c>
      <c r="AG37" s="357">
        <v>4.999999999999999E-4</v>
      </c>
      <c r="AH37" s="357">
        <v>4.999999999999999E-4</v>
      </c>
      <c r="AI37" s="357">
        <v>4.999999999999999E-4</v>
      </c>
      <c r="AJ37" s="357">
        <v>4.999999999999999E-4</v>
      </c>
    </row>
    <row r="38" spans="1:36" x14ac:dyDescent="0.2">
      <c r="A38" s="370" t="s">
        <v>295</v>
      </c>
      <c r="B38" s="383" t="b">
        <v>0</v>
      </c>
      <c r="C38" s="382">
        <v>300000</v>
      </c>
      <c r="D38" s="370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370"/>
      <c r="AC38" s="370"/>
      <c r="AD38" s="370"/>
      <c r="AE38" s="370"/>
      <c r="AF38" s="370"/>
      <c r="AG38" s="370"/>
      <c r="AH38" s="370"/>
      <c r="AI38" s="370"/>
      <c r="AJ38" s="370"/>
    </row>
    <row r="39" spans="1:36" x14ac:dyDescent="0.2">
      <c r="A39" s="370" t="s">
        <v>296</v>
      </c>
      <c r="B39" s="383" t="b">
        <v>0</v>
      </c>
      <c r="C39" s="382">
        <v>500000</v>
      </c>
      <c r="D39" s="370" t="s">
        <v>266</v>
      </c>
      <c r="E39" s="358">
        <v>250470.04354460456</v>
      </c>
      <c r="F39" s="358">
        <v>258945.23068908209</v>
      </c>
      <c r="G39" s="358">
        <v>267845.92286179133</v>
      </c>
      <c r="H39" s="358">
        <v>27734.020939886395</v>
      </c>
      <c r="I39" s="358">
        <v>28433.669365548791</v>
      </c>
      <c r="J39" s="358">
        <v>29025.287561216646</v>
      </c>
      <c r="K39" s="358">
        <v>29859.889188440422</v>
      </c>
      <c r="L39" s="358">
        <v>30921.348082158303</v>
      </c>
      <c r="M39" s="358">
        <v>32084.738595756055</v>
      </c>
      <c r="N39" s="358">
        <v>32784.679157046805</v>
      </c>
      <c r="O39" s="358">
        <v>32784.679157046805</v>
      </c>
      <c r="P39" s="358">
        <v>32784.679157046805</v>
      </c>
      <c r="Q39" s="358">
        <v>32784.679157046805</v>
      </c>
      <c r="R39" s="358">
        <v>32784.679157046805</v>
      </c>
      <c r="S39" s="358">
        <v>32784.679157046805</v>
      </c>
      <c r="T39" s="358">
        <v>32784.679157046805</v>
      </c>
      <c r="U39" s="358">
        <v>32784.679157046805</v>
      </c>
      <c r="V39" s="358">
        <v>32784.679157046805</v>
      </c>
      <c r="W39" s="358">
        <v>32784.679157046805</v>
      </c>
      <c r="X39" s="358">
        <v>32784.679157046805</v>
      </c>
      <c r="Y39" s="358">
        <v>32784.679157046805</v>
      </c>
      <c r="Z39" s="358">
        <v>32784.679157046805</v>
      </c>
      <c r="AA39" s="358">
        <v>32784.679157046805</v>
      </c>
      <c r="AB39" s="358">
        <v>32784.679157046805</v>
      </c>
      <c r="AC39" s="358">
        <v>32784.679157046805</v>
      </c>
      <c r="AD39" s="358">
        <v>32784.679157046805</v>
      </c>
      <c r="AE39" s="358">
        <v>32784.679157046805</v>
      </c>
      <c r="AF39" s="358">
        <v>32784.679157046805</v>
      </c>
      <c r="AG39" s="358">
        <v>32784.679157046805</v>
      </c>
      <c r="AH39" s="358">
        <v>32784.679157046805</v>
      </c>
      <c r="AI39" s="358">
        <v>32784.679157046805</v>
      </c>
      <c r="AJ39" s="358">
        <v>32784.679157046805</v>
      </c>
    </row>
    <row r="40" spans="1:36" x14ac:dyDescent="0.2">
      <c r="A40" s="370" t="s">
        <v>297</v>
      </c>
      <c r="B40" s="381" t="b">
        <v>0</v>
      </c>
      <c r="C40" s="382">
        <v>2557021.3282899996</v>
      </c>
      <c r="D40" s="370" t="s">
        <v>258</v>
      </c>
      <c r="E40" s="342">
        <v>354.95644170000008</v>
      </c>
      <c r="F40" s="342">
        <v>354.95644170000008</v>
      </c>
      <c r="G40" s="342">
        <v>354.95644170000008</v>
      </c>
      <c r="H40" s="342">
        <v>35.495644170000006</v>
      </c>
      <c r="I40" s="342">
        <v>35.495644169999998</v>
      </c>
      <c r="J40" s="342">
        <v>35.495644169999998</v>
      </c>
      <c r="K40" s="342">
        <v>35.495644169999998</v>
      </c>
      <c r="L40" s="342">
        <v>35.495644169999998</v>
      </c>
      <c r="M40" s="342">
        <v>35.495644169999998</v>
      </c>
      <c r="N40" s="342">
        <v>35.495644169999998</v>
      </c>
      <c r="O40" s="342">
        <v>35.495644169999998</v>
      </c>
      <c r="P40" s="342">
        <v>35.495644169999998</v>
      </c>
      <c r="Q40" s="342">
        <v>35.495644169999998</v>
      </c>
      <c r="R40" s="342">
        <v>35.495644169999998</v>
      </c>
      <c r="S40" s="342">
        <v>35.495644169999998</v>
      </c>
      <c r="T40" s="342">
        <v>35.495644169999998</v>
      </c>
      <c r="U40" s="342">
        <v>35.495644169999998</v>
      </c>
      <c r="V40" s="342">
        <v>35.495644169999998</v>
      </c>
      <c r="W40" s="342">
        <v>35.495644169999998</v>
      </c>
      <c r="X40" s="342">
        <v>35.495644169999998</v>
      </c>
      <c r="Y40" s="342">
        <v>35.495644169999998</v>
      </c>
      <c r="Z40" s="342">
        <v>35.495644169999998</v>
      </c>
      <c r="AA40" s="342">
        <v>35.495644169999998</v>
      </c>
      <c r="AB40" s="342">
        <v>35.495644169999998</v>
      </c>
      <c r="AC40" s="342">
        <v>35.495644169999998</v>
      </c>
      <c r="AD40" s="342">
        <v>35.495644169999998</v>
      </c>
      <c r="AE40" s="342">
        <v>35.495644169999998</v>
      </c>
      <c r="AF40" s="342">
        <v>35.495644169999998</v>
      </c>
      <c r="AG40" s="342">
        <v>35.495644169999998</v>
      </c>
      <c r="AH40" s="342">
        <v>35.495644169999998</v>
      </c>
      <c r="AI40" s="342">
        <v>35.495644169999998</v>
      </c>
      <c r="AJ40" s="342">
        <v>35.495644169999998</v>
      </c>
    </row>
    <row r="41" spans="1:36" x14ac:dyDescent="0.2">
      <c r="A41" s="370" t="s">
        <v>298</v>
      </c>
      <c r="B41" s="381" t="b">
        <v>1</v>
      </c>
      <c r="C41" s="382">
        <v>5114042.6565799993</v>
      </c>
      <c r="D41" s="370" t="s">
        <v>259</v>
      </c>
      <c r="E41" s="342">
        <v>15342.127969739999</v>
      </c>
      <c r="F41" s="342">
        <v>15342.127969739999</v>
      </c>
      <c r="G41" s="342">
        <v>15342.127969739999</v>
      </c>
      <c r="H41" s="342">
        <v>1534.212796974</v>
      </c>
      <c r="I41" s="342">
        <v>1534.2127969739995</v>
      </c>
      <c r="J41" s="342">
        <v>1534.2127969739995</v>
      </c>
      <c r="K41" s="342">
        <v>1534.2127969739995</v>
      </c>
      <c r="L41" s="342">
        <v>1534.2127969739995</v>
      </c>
      <c r="M41" s="342">
        <v>1534.2127969739995</v>
      </c>
      <c r="N41" s="342">
        <v>1534.2127969739995</v>
      </c>
      <c r="O41" s="342">
        <v>1534.2127969739995</v>
      </c>
      <c r="P41" s="342">
        <v>1534.2127969739995</v>
      </c>
      <c r="Q41" s="342">
        <v>1534.2127969739995</v>
      </c>
      <c r="R41" s="342">
        <v>1534.2127969739995</v>
      </c>
      <c r="S41" s="342">
        <v>1534.2127969739995</v>
      </c>
      <c r="T41" s="342">
        <v>1534.2127969739995</v>
      </c>
      <c r="U41" s="342">
        <v>1534.2127969739995</v>
      </c>
      <c r="V41" s="342">
        <v>1534.2127969739995</v>
      </c>
      <c r="W41" s="342">
        <v>1534.2127969739995</v>
      </c>
      <c r="X41" s="342">
        <v>1534.2127969739995</v>
      </c>
      <c r="Y41" s="342">
        <v>1534.2127969739995</v>
      </c>
      <c r="Z41" s="342">
        <v>1534.2127969739995</v>
      </c>
      <c r="AA41" s="342">
        <v>1534.2127969739995</v>
      </c>
      <c r="AB41" s="342">
        <v>1534.2127969739995</v>
      </c>
      <c r="AC41" s="342">
        <v>1534.2127969739995</v>
      </c>
      <c r="AD41" s="342">
        <v>1534.2127969739995</v>
      </c>
      <c r="AE41" s="342">
        <v>1534.2127969739995</v>
      </c>
      <c r="AF41" s="342">
        <v>1534.2127969739995</v>
      </c>
      <c r="AG41" s="342">
        <v>1534.2127969739995</v>
      </c>
      <c r="AH41" s="342">
        <v>1534.2127969739995</v>
      </c>
      <c r="AI41" s="342">
        <v>1534.2127969739995</v>
      </c>
      <c r="AJ41" s="342">
        <v>1534.2127969739995</v>
      </c>
    </row>
    <row r="42" spans="1:36" x14ac:dyDescent="0.2">
      <c r="A42" s="370" t="s">
        <v>299</v>
      </c>
      <c r="B42" s="381" t="b">
        <v>0</v>
      </c>
      <c r="C42" s="382">
        <v>0</v>
      </c>
      <c r="D42" s="370" t="s">
        <v>260</v>
      </c>
      <c r="E42" s="342">
        <v>593</v>
      </c>
      <c r="F42" s="342">
        <v>593</v>
      </c>
      <c r="G42" s="342">
        <v>593</v>
      </c>
      <c r="H42" s="342">
        <v>59.29999999999999</v>
      </c>
      <c r="I42" s="342">
        <v>59.29999999999999</v>
      </c>
      <c r="J42" s="342">
        <v>59.29999999999999</v>
      </c>
      <c r="K42" s="342">
        <v>59.29999999999999</v>
      </c>
      <c r="L42" s="342">
        <v>59.29999999999999</v>
      </c>
      <c r="M42" s="342">
        <v>59.29999999999999</v>
      </c>
      <c r="N42" s="342">
        <v>59.29999999999999</v>
      </c>
      <c r="O42" s="342">
        <v>59.29999999999999</v>
      </c>
      <c r="P42" s="342">
        <v>59.29999999999999</v>
      </c>
      <c r="Q42" s="342">
        <v>59.29999999999999</v>
      </c>
      <c r="R42" s="342">
        <v>59.29999999999999</v>
      </c>
      <c r="S42" s="342">
        <v>59.29999999999999</v>
      </c>
      <c r="T42" s="342">
        <v>59.29999999999999</v>
      </c>
      <c r="U42" s="342">
        <v>59.29999999999999</v>
      </c>
      <c r="V42" s="342">
        <v>59.29999999999999</v>
      </c>
      <c r="W42" s="342">
        <v>59.29999999999999</v>
      </c>
      <c r="X42" s="342">
        <v>59.29999999999999</v>
      </c>
      <c r="Y42" s="342">
        <v>59.29999999999999</v>
      </c>
      <c r="Z42" s="342">
        <v>59.29999999999999</v>
      </c>
      <c r="AA42" s="342">
        <v>59.29999999999999</v>
      </c>
      <c r="AB42" s="342">
        <v>59.29999999999999</v>
      </c>
      <c r="AC42" s="342">
        <v>59.29999999999999</v>
      </c>
      <c r="AD42" s="342">
        <v>59.29999999999999</v>
      </c>
      <c r="AE42" s="342">
        <v>59.29999999999999</v>
      </c>
      <c r="AF42" s="342">
        <v>59.29999999999999</v>
      </c>
      <c r="AG42" s="342">
        <v>59.29999999999999</v>
      </c>
      <c r="AH42" s="342">
        <v>59.29999999999999</v>
      </c>
      <c r="AI42" s="342">
        <v>59.29999999999999</v>
      </c>
      <c r="AJ42" s="342">
        <v>59.29999999999999</v>
      </c>
    </row>
    <row r="43" spans="1:36" x14ac:dyDescent="0.2">
      <c r="A43" s="370" t="s">
        <v>300</v>
      </c>
      <c r="B43" s="381" t="b">
        <v>0</v>
      </c>
      <c r="C43" s="382" t="s">
        <v>136</v>
      </c>
      <c r="D43" s="370" t="s">
        <v>301</v>
      </c>
      <c r="E43" s="359">
        <v>0</v>
      </c>
      <c r="F43" s="359">
        <v>0</v>
      </c>
      <c r="G43" s="359">
        <v>0</v>
      </c>
      <c r="H43" s="359">
        <v>0</v>
      </c>
      <c r="I43" s="359">
        <v>0</v>
      </c>
      <c r="J43" s="359">
        <v>0</v>
      </c>
      <c r="K43" s="359">
        <v>0</v>
      </c>
      <c r="L43" s="359">
        <v>0</v>
      </c>
      <c r="M43" s="359">
        <v>0</v>
      </c>
      <c r="N43" s="359">
        <v>0</v>
      </c>
      <c r="O43" s="359">
        <v>0</v>
      </c>
      <c r="P43" s="359">
        <v>0</v>
      </c>
      <c r="Q43" s="359">
        <v>0</v>
      </c>
      <c r="R43" s="359">
        <v>0</v>
      </c>
      <c r="S43" s="359">
        <v>0</v>
      </c>
      <c r="T43" s="359">
        <v>0</v>
      </c>
      <c r="U43" s="359">
        <v>0</v>
      </c>
      <c r="V43" s="359">
        <v>0</v>
      </c>
      <c r="W43" s="359">
        <v>0</v>
      </c>
      <c r="X43" s="359">
        <v>0</v>
      </c>
      <c r="Y43" s="359">
        <v>0</v>
      </c>
      <c r="Z43" s="359">
        <v>0</v>
      </c>
      <c r="AA43" s="359">
        <v>0</v>
      </c>
      <c r="AB43" s="359">
        <v>0</v>
      </c>
      <c r="AC43" s="359">
        <v>0</v>
      </c>
      <c r="AD43" s="359">
        <v>0</v>
      </c>
      <c r="AE43" s="359">
        <v>0</v>
      </c>
      <c r="AF43" s="359">
        <v>0</v>
      </c>
      <c r="AG43" s="359">
        <v>0</v>
      </c>
      <c r="AH43" s="359">
        <v>0</v>
      </c>
      <c r="AI43" s="359">
        <v>0</v>
      </c>
      <c r="AJ43" s="359">
        <v>0</v>
      </c>
    </row>
    <row r="44" spans="1:36" x14ac:dyDescent="0.2">
      <c r="A44" s="370" t="s">
        <v>302</v>
      </c>
      <c r="B44" s="381" t="b">
        <v>1</v>
      </c>
      <c r="C44" s="382">
        <v>0</v>
      </c>
      <c r="D44" s="370" t="s">
        <v>303</v>
      </c>
      <c r="E44" s="359">
        <v>0</v>
      </c>
      <c r="F44" s="359">
        <v>0</v>
      </c>
      <c r="G44" s="359">
        <v>0</v>
      </c>
      <c r="H44" s="359">
        <v>0</v>
      </c>
      <c r="I44" s="359">
        <v>0</v>
      </c>
      <c r="J44" s="359">
        <v>0</v>
      </c>
      <c r="K44" s="359">
        <v>0</v>
      </c>
      <c r="L44" s="359">
        <v>0</v>
      </c>
      <c r="M44" s="359">
        <v>0</v>
      </c>
      <c r="N44" s="359">
        <v>0</v>
      </c>
      <c r="O44" s="359">
        <v>0</v>
      </c>
      <c r="P44" s="359">
        <v>0</v>
      </c>
      <c r="Q44" s="359">
        <v>0</v>
      </c>
      <c r="R44" s="359">
        <v>0</v>
      </c>
      <c r="S44" s="359">
        <v>0</v>
      </c>
      <c r="T44" s="359">
        <v>0</v>
      </c>
      <c r="U44" s="359">
        <v>0</v>
      </c>
      <c r="V44" s="359">
        <v>0</v>
      </c>
      <c r="W44" s="359">
        <v>0</v>
      </c>
      <c r="X44" s="359">
        <v>0</v>
      </c>
      <c r="Y44" s="359">
        <v>0</v>
      </c>
      <c r="Z44" s="359">
        <v>0</v>
      </c>
      <c r="AA44" s="359">
        <v>0</v>
      </c>
      <c r="AB44" s="359">
        <v>0</v>
      </c>
      <c r="AC44" s="359">
        <v>0</v>
      </c>
      <c r="AD44" s="359">
        <v>0</v>
      </c>
      <c r="AE44" s="359">
        <v>0</v>
      </c>
      <c r="AF44" s="359">
        <v>0</v>
      </c>
      <c r="AG44" s="359">
        <v>0</v>
      </c>
      <c r="AH44" s="359">
        <v>0</v>
      </c>
      <c r="AI44" s="359">
        <v>0</v>
      </c>
      <c r="AJ44" s="359">
        <v>0</v>
      </c>
    </row>
    <row r="45" spans="1:36" x14ac:dyDescent="0.2">
      <c r="A45" s="370" t="s">
        <v>304</v>
      </c>
      <c r="B45" s="383">
        <v>0</v>
      </c>
      <c r="C45" s="382">
        <v>0</v>
      </c>
      <c r="D45" s="370" t="s">
        <v>18</v>
      </c>
      <c r="E45" s="359">
        <v>0</v>
      </c>
      <c r="F45" s="359">
        <v>0</v>
      </c>
      <c r="G45" s="359">
        <v>0</v>
      </c>
      <c r="H45" s="359">
        <v>0</v>
      </c>
      <c r="I45" s="359">
        <v>0</v>
      </c>
      <c r="J45" s="359">
        <v>0</v>
      </c>
      <c r="K45" s="359">
        <v>0</v>
      </c>
      <c r="L45" s="359">
        <v>0</v>
      </c>
      <c r="M45" s="359">
        <v>0</v>
      </c>
      <c r="N45" s="359">
        <v>0</v>
      </c>
      <c r="O45" s="359">
        <v>0</v>
      </c>
      <c r="P45" s="359">
        <v>0</v>
      </c>
      <c r="Q45" s="359">
        <v>0</v>
      </c>
      <c r="R45" s="359">
        <v>0</v>
      </c>
      <c r="S45" s="359">
        <v>0</v>
      </c>
      <c r="T45" s="359">
        <v>0</v>
      </c>
      <c r="U45" s="359">
        <v>0</v>
      </c>
      <c r="V45" s="359">
        <v>0</v>
      </c>
      <c r="W45" s="359">
        <v>0</v>
      </c>
      <c r="X45" s="359">
        <v>0</v>
      </c>
      <c r="Y45" s="359">
        <v>0</v>
      </c>
      <c r="Z45" s="359">
        <v>0</v>
      </c>
      <c r="AA45" s="359">
        <v>0</v>
      </c>
      <c r="AB45" s="359">
        <v>0</v>
      </c>
      <c r="AC45" s="359">
        <v>0</v>
      </c>
      <c r="AD45" s="359">
        <v>0</v>
      </c>
      <c r="AE45" s="359">
        <v>0</v>
      </c>
      <c r="AF45" s="359">
        <v>0</v>
      </c>
      <c r="AG45" s="359">
        <v>0</v>
      </c>
      <c r="AH45" s="359">
        <v>0</v>
      </c>
      <c r="AI45" s="359">
        <v>0</v>
      </c>
      <c r="AJ45" s="359">
        <v>0</v>
      </c>
    </row>
    <row r="46" spans="1:36" x14ac:dyDescent="0.2">
      <c r="A46" s="384"/>
      <c r="B46" s="384"/>
      <c r="C46" s="382">
        <v>0</v>
      </c>
      <c r="D46" s="385" t="s">
        <v>305</v>
      </c>
      <c r="E46" s="386">
        <v>0</v>
      </c>
      <c r="F46" s="386">
        <v>0</v>
      </c>
      <c r="G46" s="386">
        <v>0</v>
      </c>
      <c r="H46" s="386">
        <v>218030.60933156914</v>
      </c>
      <c r="I46" s="386">
        <v>218030.60933156914</v>
      </c>
      <c r="J46" s="386">
        <v>218030.60933156914</v>
      </c>
      <c r="K46" s="386">
        <v>218030.60933156914</v>
      </c>
      <c r="L46" s="386">
        <v>218030.60933156914</v>
      </c>
      <c r="M46" s="386">
        <v>218030.60933156914</v>
      </c>
      <c r="N46" s="386">
        <v>218030.60933156914</v>
      </c>
      <c r="O46" s="386">
        <v>218030.60933156914</v>
      </c>
      <c r="P46" s="386">
        <v>218030.60933156914</v>
      </c>
      <c r="Q46" s="386">
        <v>218030.60933156914</v>
      </c>
      <c r="R46" s="386">
        <v>218030.60933156914</v>
      </c>
      <c r="S46" s="386">
        <v>218030.60933156914</v>
      </c>
      <c r="T46" s="386">
        <v>218030.60933156914</v>
      </c>
      <c r="U46" s="386">
        <v>218030.60933156914</v>
      </c>
      <c r="V46" s="386">
        <v>218030.60933156914</v>
      </c>
      <c r="W46" s="386">
        <v>218030.60933156914</v>
      </c>
      <c r="X46" s="386">
        <v>218030.60933156914</v>
      </c>
      <c r="Y46" s="386">
        <v>218030.60933156914</v>
      </c>
      <c r="Z46" s="386">
        <v>218030.60933156914</v>
      </c>
      <c r="AA46" s="386">
        <v>218030.60933156914</v>
      </c>
      <c r="AB46" s="386">
        <v>218030.60933156914</v>
      </c>
      <c r="AC46" s="386">
        <v>218030.60933156914</v>
      </c>
      <c r="AD46" s="386">
        <v>218030.60933156914</v>
      </c>
      <c r="AE46" s="386">
        <v>218030.60933156914</v>
      </c>
      <c r="AF46" s="386">
        <v>218030.60933156914</v>
      </c>
      <c r="AG46" s="386">
        <v>218030.60933156914</v>
      </c>
      <c r="AH46" s="386">
        <v>218030.60933156914</v>
      </c>
      <c r="AI46" s="386">
        <v>218030.60933156914</v>
      </c>
      <c r="AJ46" s="386">
        <v>218030.60933156914</v>
      </c>
    </row>
    <row r="47" spans="1:36" x14ac:dyDescent="0.2">
      <c r="A47" s="387"/>
      <c r="B47" s="387"/>
      <c r="C47" s="387"/>
      <c r="D47" s="388" t="s">
        <v>306</v>
      </c>
      <c r="E47" s="389">
        <v>266760.12795604457</v>
      </c>
      <c r="F47" s="389">
        <v>275235.31510052207</v>
      </c>
      <c r="G47" s="389">
        <v>284136.00727323134</v>
      </c>
      <c r="H47" s="389">
        <v>247393.63871259952</v>
      </c>
      <c r="I47" s="389">
        <v>248093.28713826192</v>
      </c>
      <c r="J47" s="389">
        <v>248684.90533392978</v>
      </c>
      <c r="K47" s="389">
        <v>249519.50696115356</v>
      </c>
      <c r="L47" s="389">
        <v>250580.96585487144</v>
      </c>
      <c r="M47" s="389">
        <v>251744.35636846919</v>
      </c>
      <c r="N47" s="389">
        <v>252444.29692975996</v>
      </c>
      <c r="O47" s="389">
        <v>252444.29692975996</v>
      </c>
      <c r="P47" s="389">
        <v>252444.29692975996</v>
      </c>
      <c r="Q47" s="389">
        <v>252444.29692975996</v>
      </c>
      <c r="R47" s="389">
        <v>252444.29692975996</v>
      </c>
      <c r="S47" s="389">
        <v>252444.29692975996</v>
      </c>
      <c r="T47" s="389">
        <v>252444.29692975996</v>
      </c>
      <c r="U47" s="389">
        <v>252444.29692975996</v>
      </c>
      <c r="V47" s="389">
        <v>252444.29692975996</v>
      </c>
      <c r="W47" s="389">
        <v>252444.29692975996</v>
      </c>
      <c r="X47" s="389">
        <v>252444.29692975996</v>
      </c>
      <c r="Y47" s="389">
        <v>252444.29692975996</v>
      </c>
      <c r="Z47" s="389">
        <v>252444.29692975996</v>
      </c>
      <c r="AA47" s="389">
        <v>252444.29692975996</v>
      </c>
      <c r="AB47" s="389">
        <v>252444.29692975996</v>
      </c>
      <c r="AC47" s="389">
        <v>252444.29692975996</v>
      </c>
      <c r="AD47" s="389">
        <v>252444.29692975996</v>
      </c>
      <c r="AE47" s="389">
        <v>252444.29692975996</v>
      </c>
      <c r="AF47" s="389">
        <v>252444.29692975996</v>
      </c>
      <c r="AG47" s="389">
        <v>252444.29692975996</v>
      </c>
      <c r="AH47" s="389">
        <v>252444.29692975996</v>
      </c>
      <c r="AI47" s="389">
        <v>252444.29692975996</v>
      </c>
      <c r="AJ47" s="389">
        <v>252444.29692975996</v>
      </c>
    </row>
    <row r="48" spans="1:36" x14ac:dyDescent="0.2">
      <c r="A48" s="362"/>
      <c r="B48" s="362"/>
      <c r="C48" s="362"/>
      <c r="D48" s="362"/>
      <c r="E48" s="362"/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362"/>
      <c r="Q48" s="362"/>
      <c r="R48" s="362"/>
      <c r="S48" s="362"/>
      <c r="T48" s="362"/>
      <c r="U48" s="362"/>
      <c r="V48" s="362"/>
      <c r="W48" s="362"/>
      <c r="X48" s="362"/>
      <c r="Y48" s="362"/>
      <c r="Z48" s="362"/>
      <c r="AA48" s="362"/>
      <c r="AB48" s="362"/>
      <c r="AC48" s="362"/>
      <c r="AD48" s="362"/>
      <c r="AE48" s="362"/>
      <c r="AF48" s="362"/>
      <c r="AG48" s="362"/>
      <c r="AH48" s="362"/>
      <c r="AI48" s="362"/>
      <c r="AJ48" s="362"/>
    </row>
    <row r="49" spans="1:36" x14ac:dyDescent="0.2">
      <c r="A49" s="365" t="s">
        <v>267</v>
      </c>
      <c r="B49" s="365"/>
      <c r="C49" s="366" t="s">
        <v>268</v>
      </c>
      <c r="D49" s="366"/>
      <c r="E49" s="362"/>
      <c r="F49" s="368" t="s">
        <v>269</v>
      </c>
      <c r="G49" s="369" t="s">
        <v>270</v>
      </c>
      <c r="H49" s="366" t="s">
        <v>271</v>
      </c>
      <c r="I49" s="366" t="s">
        <v>272</v>
      </c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62"/>
      <c r="AH49" s="362"/>
      <c r="AI49" s="362"/>
      <c r="AJ49" s="362"/>
    </row>
    <row r="50" spans="1:36" x14ac:dyDescent="0.2">
      <c r="A50" s="370" t="s">
        <v>273</v>
      </c>
      <c r="B50" s="371" t="s">
        <v>316</v>
      </c>
      <c r="C50" s="372" t="s">
        <v>274</v>
      </c>
      <c r="D50" s="353"/>
      <c r="E50" s="362"/>
      <c r="F50" s="372" t="s">
        <v>275</v>
      </c>
      <c r="G50" s="373">
        <v>2.5000000000000001E-3</v>
      </c>
      <c r="H50" s="369">
        <v>1</v>
      </c>
      <c r="I50" s="374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2"/>
      <c r="Y50" s="362"/>
      <c r="Z50" s="362"/>
      <c r="AA50" s="362"/>
      <c r="AB50" s="362"/>
      <c r="AC50" s="362"/>
      <c r="AD50" s="362"/>
      <c r="AE50" s="362"/>
      <c r="AF50" s="362"/>
      <c r="AG50" s="362"/>
      <c r="AH50" s="362"/>
      <c r="AI50" s="362"/>
      <c r="AJ50" s="362"/>
    </row>
    <row r="51" spans="1:36" x14ac:dyDescent="0.2">
      <c r="A51" s="370" t="s">
        <v>276</v>
      </c>
      <c r="B51" s="371" t="s">
        <v>277</v>
      </c>
      <c r="C51" s="372" t="s">
        <v>278</v>
      </c>
      <c r="D51" s="353"/>
      <c r="E51" s="362"/>
      <c r="F51" s="372" t="s">
        <v>279</v>
      </c>
      <c r="G51" s="373">
        <v>2.5000000000000001E-3</v>
      </c>
      <c r="H51" s="369">
        <v>1</v>
      </c>
      <c r="I51" s="374"/>
      <c r="J51" s="362"/>
      <c r="K51" s="362"/>
      <c r="L51" s="362"/>
      <c r="M51" s="362"/>
      <c r="N51" s="362"/>
      <c r="O51" s="362"/>
      <c r="P51" s="362"/>
      <c r="Q51" s="362"/>
      <c r="R51" s="362"/>
      <c r="S51" s="362"/>
      <c r="T51" s="362"/>
      <c r="U51" s="362"/>
      <c r="V51" s="362"/>
      <c r="W51" s="362"/>
      <c r="X51" s="362"/>
      <c r="Y51" s="362"/>
      <c r="Z51" s="362"/>
      <c r="AA51" s="362"/>
      <c r="AB51" s="362"/>
      <c r="AC51" s="362"/>
      <c r="AD51" s="362"/>
      <c r="AE51" s="362"/>
      <c r="AF51" s="362"/>
      <c r="AG51" s="362"/>
      <c r="AH51" s="362"/>
      <c r="AI51" s="362"/>
      <c r="AJ51" s="362"/>
    </row>
    <row r="52" spans="1:36" x14ac:dyDescent="0.2">
      <c r="A52" s="375" t="s">
        <v>8</v>
      </c>
      <c r="B52" s="354">
        <v>32.343000000000004</v>
      </c>
      <c r="C52" s="375" t="s">
        <v>280</v>
      </c>
      <c r="D52" s="376">
        <v>3068425.5939479996</v>
      </c>
      <c r="E52" s="362"/>
      <c r="F52" s="372" t="s">
        <v>281</v>
      </c>
      <c r="G52" s="373" t="b">
        <v>1</v>
      </c>
      <c r="H52" s="369">
        <v>1</v>
      </c>
      <c r="I52" s="374"/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  <c r="AJ52" s="362"/>
    </row>
    <row r="53" spans="1:36" x14ac:dyDescent="0.2">
      <c r="A53" s="375" t="s">
        <v>282</v>
      </c>
      <c r="B53" s="390">
        <v>0.5</v>
      </c>
      <c r="C53" s="375" t="s">
        <v>283</v>
      </c>
      <c r="D53" s="376">
        <v>118600</v>
      </c>
      <c r="E53" s="362"/>
      <c r="F53" s="372" t="s">
        <v>284</v>
      </c>
      <c r="G53" s="377">
        <v>0</v>
      </c>
      <c r="H53" s="369">
        <v>1</v>
      </c>
      <c r="I53" s="374"/>
      <c r="J53" s="362"/>
      <c r="K53" s="362"/>
      <c r="L53" s="362"/>
      <c r="M53" s="362"/>
      <c r="N53" s="362"/>
      <c r="O53" s="362"/>
      <c r="P53" s="362"/>
      <c r="Q53" s="362"/>
      <c r="R53" s="362"/>
      <c r="S53" s="362"/>
      <c r="T53" s="362"/>
      <c r="U53" s="362"/>
      <c r="V53" s="362"/>
      <c r="W53" s="362"/>
      <c r="X53" s="362"/>
      <c r="Y53" s="362"/>
      <c r="Z53" s="362"/>
      <c r="AA53" s="362"/>
      <c r="AB53" s="362"/>
      <c r="AC53" s="362"/>
      <c r="AD53" s="362"/>
      <c r="AE53" s="362"/>
      <c r="AF53" s="362"/>
      <c r="AG53" s="362"/>
      <c r="AH53" s="362"/>
      <c r="AI53" s="362"/>
      <c r="AJ53" s="362"/>
    </row>
    <row r="54" spans="1:36" x14ac:dyDescent="0.2">
      <c r="A54" s="378" t="s">
        <v>321</v>
      </c>
      <c r="B54" s="379" t="s">
        <v>285</v>
      </c>
      <c r="C54" s="366" t="s">
        <v>286</v>
      </c>
      <c r="D54" s="365" t="s">
        <v>287</v>
      </c>
      <c r="E54" s="366">
        <v>2025</v>
      </c>
      <c r="F54" s="366">
        <v>2026</v>
      </c>
      <c r="G54" s="366">
        <v>2027</v>
      </c>
      <c r="H54" s="366">
        <v>2028</v>
      </c>
      <c r="I54" s="366">
        <v>2029</v>
      </c>
      <c r="J54" s="366">
        <v>2030</v>
      </c>
      <c r="K54" s="366">
        <v>2031</v>
      </c>
      <c r="L54" s="366">
        <v>2032</v>
      </c>
      <c r="M54" s="366">
        <v>2033</v>
      </c>
      <c r="N54" s="366">
        <v>2034</v>
      </c>
      <c r="O54" s="366">
        <v>2035</v>
      </c>
      <c r="P54" s="366">
        <v>2036</v>
      </c>
      <c r="Q54" s="366">
        <v>2037</v>
      </c>
      <c r="R54" s="366">
        <v>2038</v>
      </c>
      <c r="S54" s="366">
        <v>2039</v>
      </c>
      <c r="T54" s="366">
        <v>2040</v>
      </c>
      <c r="U54" s="366">
        <v>2041</v>
      </c>
      <c r="V54" s="366">
        <v>2042</v>
      </c>
      <c r="W54" s="366">
        <v>2043</v>
      </c>
      <c r="X54" s="366">
        <v>2044</v>
      </c>
      <c r="Y54" s="366">
        <v>2045</v>
      </c>
      <c r="Z54" s="366">
        <v>2046</v>
      </c>
      <c r="AA54" s="366">
        <v>2047</v>
      </c>
      <c r="AB54" s="380">
        <v>2048</v>
      </c>
      <c r="AC54" s="380">
        <v>2049</v>
      </c>
      <c r="AD54" s="380">
        <v>2050</v>
      </c>
      <c r="AE54" s="380">
        <v>2051</v>
      </c>
      <c r="AF54" s="380">
        <v>2052</v>
      </c>
      <c r="AG54" s="380">
        <v>2053</v>
      </c>
      <c r="AH54" s="380">
        <v>2054</v>
      </c>
      <c r="AI54" s="380">
        <v>2055</v>
      </c>
      <c r="AJ54" s="380">
        <v>2056</v>
      </c>
    </row>
    <row r="55" spans="1:36" x14ac:dyDescent="0.2">
      <c r="A55" s="370" t="s">
        <v>288</v>
      </c>
      <c r="B55" s="381" t="b">
        <v>0</v>
      </c>
      <c r="C55" s="382">
        <v>0</v>
      </c>
      <c r="D55" s="370" t="s">
        <v>23</v>
      </c>
      <c r="E55" s="355">
        <v>7543.8711615163875</v>
      </c>
      <c r="F55" s="355">
        <v>7802.7024207591221</v>
      </c>
      <c r="G55" s="355">
        <v>8071.7111339929315</v>
      </c>
      <c r="H55" s="355">
        <v>8414.5938544362216</v>
      </c>
      <c r="I55" s="355">
        <v>8640.3741325276533</v>
      </c>
      <c r="J55" s="355">
        <v>8812.6648930171177</v>
      </c>
      <c r="K55" s="355">
        <v>9074.5990538975257</v>
      </c>
      <c r="L55" s="355">
        <v>9415.7340433696027</v>
      </c>
      <c r="M55" s="355">
        <v>967.19137317463469</v>
      </c>
      <c r="N55" s="355">
        <v>991.51354624774569</v>
      </c>
      <c r="O55" s="355">
        <v>991.51354624774569</v>
      </c>
      <c r="P55" s="355">
        <v>991.51354624774569</v>
      </c>
      <c r="Q55" s="355">
        <v>991.51354624774569</v>
      </c>
      <c r="R55" s="355">
        <v>991.51354624774569</v>
      </c>
      <c r="S55" s="355">
        <v>991.51354624774569</v>
      </c>
      <c r="T55" s="355">
        <v>991.51354624774569</v>
      </c>
      <c r="U55" s="355">
        <v>991.51354624774569</v>
      </c>
      <c r="V55" s="355">
        <v>991.51354624774569</v>
      </c>
      <c r="W55" s="355">
        <v>991.51354624774569</v>
      </c>
      <c r="X55" s="355">
        <v>991.51354624774569</v>
      </c>
      <c r="Y55" s="355">
        <v>991.51354624774569</v>
      </c>
      <c r="Z55" s="355">
        <v>991.51354624774569</v>
      </c>
      <c r="AA55" s="355">
        <v>991.51354624774569</v>
      </c>
      <c r="AB55" s="355">
        <v>991.51354624774569</v>
      </c>
      <c r="AC55" s="355">
        <v>991.51354624774569</v>
      </c>
      <c r="AD55" s="355">
        <v>991.51354624774569</v>
      </c>
      <c r="AE55" s="355">
        <v>991.51354624774569</v>
      </c>
      <c r="AF55" s="355">
        <v>991.51354624774569</v>
      </c>
      <c r="AG55" s="355">
        <v>991.51354624774569</v>
      </c>
      <c r="AH55" s="355">
        <v>991.51354624774569</v>
      </c>
      <c r="AI55" s="355">
        <v>991.51354624774569</v>
      </c>
      <c r="AJ55" s="355">
        <v>991.51354624774569</v>
      </c>
    </row>
    <row r="56" spans="1:36" x14ac:dyDescent="0.2">
      <c r="A56" s="370" t="s">
        <v>289</v>
      </c>
      <c r="B56" s="381" t="b">
        <v>0</v>
      </c>
      <c r="C56" s="382">
        <v>0</v>
      </c>
      <c r="D56" s="370" t="s">
        <v>23</v>
      </c>
      <c r="E56" s="356">
        <v>8211.5703615163875</v>
      </c>
      <c r="F56" s="356">
        <v>8481.1002497040554</v>
      </c>
      <c r="G56" s="356">
        <v>8770.736132195314</v>
      </c>
      <c r="H56" s="356">
        <v>9149.9306909381157</v>
      </c>
      <c r="I56" s="356">
        <v>9349.2865966488989</v>
      </c>
      <c r="J56" s="356">
        <v>9561.3251980331406</v>
      </c>
      <c r="K56" s="356">
        <v>9816.3906187855355</v>
      </c>
      <c r="L56" s="356">
        <v>10122.112769336041</v>
      </c>
      <c r="M56" s="356">
        <v>1049.9365331957474</v>
      </c>
      <c r="N56" s="356">
        <v>1065.3220499688978</v>
      </c>
      <c r="O56" s="356">
        <v>1065.3220499688978</v>
      </c>
      <c r="P56" s="356">
        <v>1065.3220499688978</v>
      </c>
      <c r="Q56" s="356">
        <v>1065.3220499688978</v>
      </c>
      <c r="R56" s="356">
        <v>1065.3220499688978</v>
      </c>
      <c r="S56" s="356">
        <v>1065.3220499688978</v>
      </c>
      <c r="T56" s="356">
        <v>1065.3220499688978</v>
      </c>
      <c r="U56" s="356">
        <v>1065.3220499688978</v>
      </c>
      <c r="V56" s="356">
        <v>1065.3220499688978</v>
      </c>
      <c r="W56" s="356">
        <v>1065.3220499688978</v>
      </c>
      <c r="X56" s="356">
        <v>1065.3220499688978</v>
      </c>
      <c r="Y56" s="356">
        <v>1065.3220499688978</v>
      </c>
      <c r="Z56" s="356">
        <v>1065.3220499688978</v>
      </c>
      <c r="AA56" s="356">
        <v>1065.3220499688978</v>
      </c>
      <c r="AB56" s="356">
        <v>1065.3220499688978</v>
      </c>
      <c r="AC56" s="356">
        <v>1065.3220499688978</v>
      </c>
      <c r="AD56" s="356">
        <v>1065.3220499688978</v>
      </c>
      <c r="AE56" s="356">
        <v>1065.3220499688978</v>
      </c>
      <c r="AF56" s="356">
        <v>1065.3220499688978</v>
      </c>
      <c r="AG56" s="356">
        <v>1065.3220499688978</v>
      </c>
      <c r="AH56" s="356">
        <v>1065.3220499688978</v>
      </c>
      <c r="AI56" s="356">
        <v>1065.3220499688978</v>
      </c>
      <c r="AJ56" s="356">
        <v>1065.3220499688978</v>
      </c>
    </row>
    <row r="57" spans="1:36" x14ac:dyDescent="0.2">
      <c r="A57" s="370" t="s">
        <v>290</v>
      </c>
      <c r="B57" s="381" t="b">
        <v>0</v>
      </c>
      <c r="C57" s="382">
        <v>300000</v>
      </c>
      <c r="D57" s="370" t="s">
        <v>23</v>
      </c>
      <c r="E57" s="356">
        <v>7543.8711615163875</v>
      </c>
      <c r="F57" s="356">
        <v>7802.7024207591221</v>
      </c>
      <c r="G57" s="356">
        <v>8071.7111339929315</v>
      </c>
      <c r="H57" s="356">
        <v>8414.5938544362216</v>
      </c>
      <c r="I57" s="356">
        <v>8640.3741325276533</v>
      </c>
      <c r="J57" s="356">
        <v>8812.6648930171177</v>
      </c>
      <c r="K57" s="356">
        <v>9074.5990538975257</v>
      </c>
      <c r="L57" s="356">
        <v>9415.7340433696027</v>
      </c>
      <c r="M57" s="356">
        <v>967.19137317463469</v>
      </c>
      <c r="N57" s="356">
        <v>991.51354624774569</v>
      </c>
      <c r="O57" s="356">
        <v>991.51354624774569</v>
      </c>
      <c r="P57" s="356">
        <v>991.51354624774569</v>
      </c>
      <c r="Q57" s="356">
        <v>991.51354624774569</v>
      </c>
      <c r="R57" s="356">
        <v>991.51354624774569</v>
      </c>
      <c r="S57" s="356">
        <v>991.51354624774569</v>
      </c>
      <c r="T57" s="356">
        <v>991.51354624774569</v>
      </c>
      <c r="U57" s="356">
        <v>991.51354624774569</v>
      </c>
      <c r="V57" s="356">
        <v>991.51354624774569</v>
      </c>
      <c r="W57" s="356">
        <v>991.51354624774569</v>
      </c>
      <c r="X57" s="356">
        <v>991.51354624774569</v>
      </c>
      <c r="Y57" s="356">
        <v>991.51354624774569</v>
      </c>
      <c r="Z57" s="356">
        <v>991.51354624774569</v>
      </c>
      <c r="AA57" s="356">
        <v>991.51354624774569</v>
      </c>
      <c r="AB57" s="356">
        <v>991.51354624774569</v>
      </c>
      <c r="AC57" s="356">
        <v>991.51354624774569</v>
      </c>
      <c r="AD57" s="356">
        <v>991.51354624774569</v>
      </c>
      <c r="AE57" s="356">
        <v>991.51354624774569</v>
      </c>
      <c r="AF57" s="356">
        <v>991.51354624774569</v>
      </c>
      <c r="AG57" s="356">
        <v>991.51354624774569</v>
      </c>
      <c r="AH57" s="356">
        <v>991.51354624774569</v>
      </c>
      <c r="AI57" s="356">
        <v>991.51354624774569</v>
      </c>
      <c r="AJ57" s="356">
        <v>991.51354624774569</v>
      </c>
    </row>
    <row r="58" spans="1:36" x14ac:dyDescent="0.2">
      <c r="A58" s="370" t="s">
        <v>291</v>
      </c>
      <c r="B58" s="381" t="b">
        <v>0</v>
      </c>
      <c r="C58" s="382">
        <v>4000</v>
      </c>
      <c r="D58" s="370" t="s">
        <v>292</v>
      </c>
      <c r="E58" s="357">
        <v>5.0000000000000001E-3</v>
      </c>
      <c r="F58" s="357">
        <v>5.0000000000000001E-3</v>
      </c>
      <c r="G58" s="357">
        <v>5.0000000000000001E-3</v>
      </c>
      <c r="H58" s="357">
        <v>5.0000000000000001E-3</v>
      </c>
      <c r="I58" s="357">
        <v>5.0000000000000001E-3</v>
      </c>
      <c r="J58" s="357">
        <v>5.0000000000000001E-3</v>
      </c>
      <c r="K58" s="357">
        <v>5.0000000000000001E-3</v>
      </c>
      <c r="L58" s="357">
        <v>5.0000000000000001E-3</v>
      </c>
      <c r="M58" s="357">
        <v>5.0000000000000001E-4</v>
      </c>
      <c r="N58" s="357">
        <v>4.999999999999999E-4</v>
      </c>
      <c r="O58" s="357">
        <v>4.999999999999999E-4</v>
      </c>
      <c r="P58" s="357">
        <v>4.999999999999999E-4</v>
      </c>
      <c r="Q58" s="357">
        <v>4.999999999999999E-4</v>
      </c>
      <c r="R58" s="357">
        <v>4.999999999999999E-4</v>
      </c>
      <c r="S58" s="357">
        <v>4.999999999999999E-4</v>
      </c>
      <c r="T58" s="357">
        <v>4.999999999999999E-4</v>
      </c>
      <c r="U58" s="357">
        <v>4.999999999999999E-4</v>
      </c>
      <c r="V58" s="357">
        <v>4.999999999999999E-4</v>
      </c>
      <c r="W58" s="357">
        <v>4.999999999999999E-4</v>
      </c>
      <c r="X58" s="357">
        <v>4.999999999999999E-4</v>
      </c>
      <c r="Y58" s="357">
        <v>4.999999999999999E-4</v>
      </c>
      <c r="Z58" s="357">
        <v>4.999999999999999E-4</v>
      </c>
      <c r="AA58" s="357">
        <v>4.999999999999999E-4</v>
      </c>
      <c r="AB58" s="357">
        <v>4.999999999999999E-4</v>
      </c>
      <c r="AC58" s="357">
        <v>4.999999999999999E-4</v>
      </c>
      <c r="AD58" s="357">
        <v>4.999999999999999E-4</v>
      </c>
      <c r="AE58" s="357">
        <v>4.999999999999999E-4</v>
      </c>
      <c r="AF58" s="357">
        <v>4.999999999999999E-4</v>
      </c>
      <c r="AG58" s="357">
        <v>4.999999999999999E-4</v>
      </c>
      <c r="AH58" s="357">
        <v>4.999999999999999E-4</v>
      </c>
      <c r="AI58" s="357">
        <v>4.999999999999999E-4</v>
      </c>
      <c r="AJ58" s="357">
        <v>4.999999999999999E-4</v>
      </c>
    </row>
    <row r="59" spans="1:36" x14ac:dyDescent="0.2">
      <c r="A59" s="370" t="s">
        <v>293</v>
      </c>
      <c r="B59" s="381" t="b">
        <v>0</v>
      </c>
      <c r="C59" s="382">
        <v>650</v>
      </c>
      <c r="D59" s="370" t="s">
        <v>294</v>
      </c>
      <c r="E59" s="357">
        <v>5.0000000000000001E-3</v>
      </c>
      <c r="F59" s="357">
        <v>5.0000000000000001E-3</v>
      </c>
      <c r="G59" s="357">
        <v>5.0000000000000001E-3</v>
      </c>
      <c r="H59" s="357">
        <v>5.0000000000000001E-3</v>
      </c>
      <c r="I59" s="357">
        <v>5.0000000000000001E-3</v>
      </c>
      <c r="J59" s="357">
        <v>5.0000000000000001E-3</v>
      </c>
      <c r="K59" s="357">
        <v>5.0000000000000001E-3</v>
      </c>
      <c r="L59" s="357">
        <v>5.0000000000000001E-3</v>
      </c>
      <c r="M59" s="357">
        <v>4.999999999999999E-4</v>
      </c>
      <c r="N59" s="357">
        <v>4.999999999999999E-4</v>
      </c>
      <c r="O59" s="357">
        <v>4.999999999999999E-4</v>
      </c>
      <c r="P59" s="357">
        <v>4.999999999999999E-4</v>
      </c>
      <c r="Q59" s="357">
        <v>4.999999999999999E-4</v>
      </c>
      <c r="R59" s="357">
        <v>4.999999999999999E-4</v>
      </c>
      <c r="S59" s="357">
        <v>4.999999999999999E-4</v>
      </c>
      <c r="T59" s="357">
        <v>4.999999999999999E-4</v>
      </c>
      <c r="U59" s="357">
        <v>4.999999999999999E-4</v>
      </c>
      <c r="V59" s="357">
        <v>4.999999999999999E-4</v>
      </c>
      <c r="W59" s="357">
        <v>4.999999999999999E-4</v>
      </c>
      <c r="X59" s="357">
        <v>4.999999999999999E-4</v>
      </c>
      <c r="Y59" s="357">
        <v>4.999999999999999E-4</v>
      </c>
      <c r="Z59" s="357">
        <v>4.999999999999999E-4</v>
      </c>
      <c r="AA59" s="357">
        <v>4.999999999999999E-4</v>
      </c>
      <c r="AB59" s="357">
        <v>4.999999999999999E-4</v>
      </c>
      <c r="AC59" s="357">
        <v>4.999999999999999E-4</v>
      </c>
      <c r="AD59" s="357">
        <v>4.999999999999999E-4</v>
      </c>
      <c r="AE59" s="357">
        <v>4.999999999999999E-4</v>
      </c>
      <c r="AF59" s="357">
        <v>4.999999999999999E-4</v>
      </c>
      <c r="AG59" s="357">
        <v>4.999999999999999E-4</v>
      </c>
      <c r="AH59" s="357">
        <v>4.999999999999999E-4</v>
      </c>
      <c r="AI59" s="357">
        <v>4.999999999999999E-4</v>
      </c>
      <c r="AJ59" s="357">
        <v>4.999999999999999E-4</v>
      </c>
    </row>
    <row r="60" spans="1:36" x14ac:dyDescent="0.2">
      <c r="A60" s="370" t="s">
        <v>295</v>
      </c>
      <c r="B60" s="383" t="b">
        <v>0</v>
      </c>
      <c r="C60" s="382">
        <v>300000</v>
      </c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70"/>
      <c r="AG60" s="370"/>
      <c r="AH60" s="370"/>
      <c r="AI60" s="370"/>
      <c r="AJ60" s="370"/>
    </row>
    <row r="61" spans="1:36" x14ac:dyDescent="0.2">
      <c r="A61" s="370" t="s">
        <v>296</v>
      </c>
      <c r="B61" s="383" t="b">
        <v>0</v>
      </c>
      <c r="C61" s="382">
        <v>500000</v>
      </c>
      <c r="D61" s="370" t="s">
        <v>266</v>
      </c>
      <c r="E61" s="358">
        <v>250470.04354460456</v>
      </c>
      <c r="F61" s="358">
        <v>258945.23068908209</v>
      </c>
      <c r="G61" s="358">
        <v>267845.92286179133</v>
      </c>
      <c r="H61" s="358">
        <v>279288.10882492497</v>
      </c>
      <c r="I61" s="358">
        <v>286334.12731646391</v>
      </c>
      <c r="J61" s="358">
        <v>292292.19670839258</v>
      </c>
      <c r="K61" s="358">
        <v>300697.28657515958</v>
      </c>
      <c r="L61" s="358">
        <v>311387.00830488285</v>
      </c>
      <c r="M61" s="358">
        <v>32084.738595756065</v>
      </c>
      <c r="N61" s="358">
        <v>32784.679157046805</v>
      </c>
      <c r="O61" s="358">
        <v>32784.679157046805</v>
      </c>
      <c r="P61" s="358">
        <v>32784.679157046805</v>
      </c>
      <c r="Q61" s="358">
        <v>32784.679157046805</v>
      </c>
      <c r="R61" s="358">
        <v>32784.679157046805</v>
      </c>
      <c r="S61" s="358">
        <v>32784.679157046805</v>
      </c>
      <c r="T61" s="358">
        <v>32784.679157046805</v>
      </c>
      <c r="U61" s="358">
        <v>32784.679157046805</v>
      </c>
      <c r="V61" s="358">
        <v>32784.679157046805</v>
      </c>
      <c r="W61" s="358">
        <v>32784.679157046805</v>
      </c>
      <c r="X61" s="358">
        <v>32784.679157046805</v>
      </c>
      <c r="Y61" s="358">
        <v>32784.679157046805</v>
      </c>
      <c r="Z61" s="358">
        <v>32784.679157046805</v>
      </c>
      <c r="AA61" s="358">
        <v>32784.679157046805</v>
      </c>
      <c r="AB61" s="358">
        <v>32784.679157046805</v>
      </c>
      <c r="AC61" s="358">
        <v>32784.679157046805</v>
      </c>
      <c r="AD61" s="358">
        <v>32784.679157046805</v>
      </c>
      <c r="AE61" s="358">
        <v>32784.679157046805</v>
      </c>
      <c r="AF61" s="358">
        <v>32784.679157046805</v>
      </c>
      <c r="AG61" s="358">
        <v>32784.679157046805</v>
      </c>
      <c r="AH61" s="358">
        <v>32784.679157046805</v>
      </c>
      <c r="AI61" s="358">
        <v>32784.679157046805</v>
      </c>
      <c r="AJ61" s="358">
        <v>32784.679157046805</v>
      </c>
    </row>
    <row r="62" spans="1:36" x14ac:dyDescent="0.2">
      <c r="A62" s="370" t="s">
        <v>297</v>
      </c>
      <c r="B62" s="381" t="b">
        <v>0</v>
      </c>
      <c r="C62" s="382">
        <v>2557021.3282899996</v>
      </c>
      <c r="D62" s="370" t="s">
        <v>258</v>
      </c>
      <c r="E62" s="342">
        <v>354.95644170000008</v>
      </c>
      <c r="F62" s="342">
        <v>354.95644170000008</v>
      </c>
      <c r="G62" s="342">
        <v>354.95644170000008</v>
      </c>
      <c r="H62" s="342">
        <v>354.95644170000008</v>
      </c>
      <c r="I62" s="342">
        <v>354.95644170000008</v>
      </c>
      <c r="J62" s="342">
        <v>354.95644170000008</v>
      </c>
      <c r="K62" s="342">
        <v>354.95644170000008</v>
      </c>
      <c r="L62" s="342">
        <v>354.95644170000008</v>
      </c>
      <c r="M62" s="342">
        <v>35.495644170000006</v>
      </c>
      <c r="N62" s="342">
        <v>35.495644169999998</v>
      </c>
      <c r="O62" s="342">
        <v>35.495644169999998</v>
      </c>
      <c r="P62" s="342">
        <v>35.495644169999998</v>
      </c>
      <c r="Q62" s="342">
        <v>35.495644169999998</v>
      </c>
      <c r="R62" s="342">
        <v>35.495644169999998</v>
      </c>
      <c r="S62" s="342">
        <v>35.495644169999998</v>
      </c>
      <c r="T62" s="342">
        <v>35.495644169999998</v>
      </c>
      <c r="U62" s="342">
        <v>35.495644169999998</v>
      </c>
      <c r="V62" s="342">
        <v>35.495644169999998</v>
      </c>
      <c r="W62" s="342">
        <v>35.495644169999998</v>
      </c>
      <c r="X62" s="342">
        <v>35.495644169999998</v>
      </c>
      <c r="Y62" s="342">
        <v>35.495644169999998</v>
      </c>
      <c r="Z62" s="342">
        <v>35.495644169999998</v>
      </c>
      <c r="AA62" s="342">
        <v>35.495644169999998</v>
      </c>
      <c r="AB62" s="342">
        <v>35.495644169999998</v>
      </c>
      <c r="AC62" s="342">
        <v>35.495644169999998</v>
      </c>
      <c r="AD62" s="342">
        <v>35.495644169999998</v>
      </c>
      <c r="AE62" s="342">
        <v>35.495644169999998</v>
      </c>
      <c r="AF62" s="342">
        <v>35.495644169999998</v>
      </c>
      <c r="AG62" s="342">
        <v>35.495644169999998</v>
      </c>
      <c r="AH62" s="342">
        <v>35.495644169999998</v>
      </c>
      <c r="AI62" s="342">
        <v>35.495644169999998</v>
      </c>
      <c r="AJ62" s="342">
        <v>35.495644169999998</v>
      </c>
    </row>
    <row r="63" spans="1:36" x14ac:dyDescent="0.2">
      <c r="A63" s="370" t="s">
        <v>298</v>
      </c>
      <c r="B63" s="381" t="b">
        <v>1</v>
      </c>
      <c r="C63" s="382">
        <v>5114042.6565799993</v>
      </c>
      <c r="D63" s="370" t="s">
        <v>259</v>
      </c>
      <c r="E63" s="342">
        <v>15342.127969739999</v>
      </c>
      <c r="F63" s="342">
        <v>15342.127969739999</v>
      </c>
      <c r="G63" s="342">
        <v>15342.127969739999</v>
      </c>
      <c r="H63" s="342">
        <v>15342.127969739999</v>
      </c>
      <c r="I63" s="342">
        <v>15342.127969739999</v>
      </c>
      <c r="J63" s="342">
        <v>15342.127969739999</v>
      </c>
      <c r="K63" s="342">
        <v>15342.127969739999</v>
      </c>
      <c r="L63" s="342">
        <v>15342.127969739999</v>
      </c>
      <c r="M63" s="342">
        <v>1534.212796974</v>
      </c>
      <c r="N63" s="342">
        <v>1534.2127969739995</v>
      </c>
      <c r="O63" s="342">
        <v>1534.2127969739995</v>
      </c>
      <c r="P63" s="342">
        <v>1534.2127969739995</v>
      </c>
      <c r="Q63" s="342">
        <v>1534.2127969739995</v>
      </c>
      <c r="R63" s="342">
        <v>1534.2127969739995</v>
      </c>
      <c r="S63" s="342">
        <v>1534.2127969739995</v>
      </c>
      <c r="T63" s="342">
        <v>1534.2127969739995</v>
      </c>
      <c r="U63" s="342">
        <v>1534.2127969739995</v>
      </c>
      <c r="V63" s="342">
        <v>1534.2127969739995</v>
      </c>
      <c r="W63" s="342">
        <v>1534.2127969739995</v>
      </c>
      <c r="X63" s="342">
        <v>1534.2127969739995</v>
      </c>
      <c r="Y63" s="342">
        <v>1534.2127969739995</v>
      </c>
      <c r="Z63" s="342">
        <v>1534.2127969739995</v>
      </c>
      <c r="AA63" s="342">
        <v>1534.2127969739995</v>
      </c>
      <c r="AB63" s="342">
        <v>1534.2127969739995</v>
      </c>
      <c r="AC63" s="342">
        <v>1534.2127969739995</v>
      </c>
      <c r="AD63" s="342">
        <v>1534.2127969739995</v>
      </c>
      <c r="AE63" s="342">
        <v>1534.2127969739995</v>
      </c>
      <c r="AF63" s="342">
        <v>1534.2127969739995</v>
      </c>
      <c r="AG63" s="342">
        <v>1534.2127969739995</v>
      </c>
      <c r="AH63" s="342">
        <v>1534.2127969739995</v>
      </c>
      <c r="AI63" s="342">
        <v>1534.2127969739995</v>
      </c>
      <c r="AJ63" s="342">
        <v>1534.2127969739995</v>
      </c>
    </row>
    <row r="64" spans="1:36" x14ac:dyDescent="0.2">
      <c r="A64" s="370" t="s">
        <v>299</v>
      </c>
      <c r="B64" s="381" t="b">
        <v>0</v>
      </c>
      <c r="C64" s="382">
        <v>0</v>
      </c>
      <c r="D64" s="370" t="s">
        <v>260</v>
      </c>
      <c r="E64" s="342">
        <v>593</v>
      </c>
      <c r="F64" s="342">
        <v>593</v>
      </c>
      <c r="G64" s="342">
        <v>593</v>
      </c>
      <c r="H64" s="342">
        <v>593</v>
      </c>
      <c r="I64" s="342">
        <v>593</v>
      </c>
      <c r="J64" s="342">
        <v>593</v>
      </c>
      <c r="K64" s="342">
        <v>593</v>
      </c>
      <c r="L64" s="342">
        <v>593</v>
      </c>
      <c r="M64" s="342">
        <v>59.29999999999999</v>
      </c>
      <c r="N64" s="342">
        <v>59.29999999999999</v>
      </c>
      <c r="O64" s="342">
        <v>59.29999999999999</v>
      </c>
      <c r="P64" s="342">
        <v>59.29999999999999</v>
      </c>
      <c r="Q64" s="342">
        <v>59.29999999999999</v>
      </c>
      <c r="R64" s="342">
        <v>59.29999999999999</v>
      </c>
      <c r="S64" s="342">
        <v>59.29999999999999</v>
      </c>
      <c r="T64" s="342">
        <v>59.29999999999999</v>
      </c>
      <c r="U64" s="342">
        <v>59.29999999999999</v>
      </c>
      <c r="V64" s="342">
        <v>59.29999999999999</v>
      </c>
      <c r="W64" s="342">
        <v>59.29999999999999</v>
      </c>
      <c r="X64" s="342">
        <v>59.29999999999999</v>
      </c>
      <c r="Y64" s="342">
        <v>59.29999999999999</v>
      </c>
      <c r="Z64" s="342">
        <v>59.29999999999999</v>
      </c>
      <c r="AA64" s="342">
        <v>59.29999999999999</v>
      </c>
      <c r="AB64" s="342">
        <v>59.29999999999999</v>
      </c>
      <c r="AC64" s="342">
        <v>59.29999999999999</v>
      </c>
      <c r="AD64" s="342">
        <v>59.29999999999999</v>
      </c>
      <c r="AE64" s="342">
        <v>59.29999999999999</v>
      </c>
      <c r="AF64" s="342">
        <v>59.29999999999999</v>
      </c>
      <c r="AG64" s="342">
        <v>59.29999999999999</v>
      </c>
      <c r="AH64" s="342">
        <v>59.29999999999999</v>
      </c>
      <c r="AI64" s="342">
        <v>59.29999999999999</v>
      </c>
      <c r="AJ64" s="342">
        <v>59.29999999999999</v>
      </c>
    </row>
    <row r="65" spans="1:36" x14ac:dyDescent="0.2">
      <c r="A65" s="370" t="s">
        <v>300</v>
      </c>
      <c r="B65" s="381" t="b">
        <v>0</v>
      </c>
      <c r="C65" s="382" t="s">
        <v>136</v>
      </c>
      <c r="D65" s="370" t="s">
        <v>301</v>
      </c>
      <c r="E65" s="359">
        <v>0</v>
      </c>
      <c r="F65" s="359">
        <v>0</v>
      </c>
      <c r="G65" s="359">
        <v>0</v>
      </c>
      <c r="H65" s="359">
        <v>0</v>
      </c>
      <c r="I65" s="359">
        <v>0</v>
      </c>
      <c r="J65" s="359">
        <v>0</v>
      </c>
      <c r="K65" s="359">
        <v>0</v>
      </c>
      <c r="L65" s="359">
        <v>0</v>
      </c>
      <c r="M65" s="359">
        <v>0</v>
      </c>
      <c r="N65" s="359">
        <v>0</v>
      </c>
      <c r="O65" s="359">
        <v>0</v>
      </c>
      <c r="P65" s="359">
        <v>0</v>
      </c>
      <c r="Q65" s="359">
        <v>0</v>
      </c>
      <c r="R65" s="359">
        <v>0</v>
      </c>
      <c r="S65" s="359">
        <v>0</v>
      </c>
      <c r="T65" s="359">
        <v>0</v>
      </c>
      <c r="U65" s="359">
        <v>0</v>
      </c>
      <c r="V65" s="359">
        <v>0</v>
      </c>
      <c r="W65" s="359">
        <v>0</v>
      </c>
      <c r="X65" s="359">
        <v>0</v>
      </c>
      <c r="Y65" s="359">
        <v>0</v>
      </c>
      <c r="Z65" s="359">
        <v>0</v>
      </c>
      <c r="AA65" s="359">
        <v>0</v>
      </c>
      <c r="AB65" s="359">
        <v>0</v>
      </c>
      <c r="AC65" s="359">
        <v>0</v>
      </c>
      <c r="AD65" s="359">
        <v>0</v>
      </c>
      <c r="AE65" s="359">
        <v>0</v>
      </c>
      <c r="AF65" s="359">
        <v>0</v>
      </c>
      <c r="AG65" s="359">
        <v>0</v>
      </c>
      <c r="AH65" s="359">
        <v>0</v>
      </c>
      <c r="AI65" s="359">
        <v>0</v>
      </c>
      <c r="AJ65" s="359">
        <v>0</v>
      </c>
    </row>
    <row r="66" spans="1:36" x14ac:dyDescent="0.2">
      <c r="A66" s="370" t="s">
        <v>302</v>
      </c>
      <c r="B66" s="381" t="b">
        <v>1</v>
      </c>
      <c r="C66" s="382">
        <v>0</v>
      </c>
      <c r="D66" s="370" t="s">
        <v>303</v>
      </c>
      <c r="E66" s="359">
        <v>0</v>
      </c>
      <c r="F66" s="359">
        <v>0</v>
      </c>
      <c r="G66" s="359">
        <v>0</v>
      </c>
      <c r="H66" s="359">
        <v>0</v>
      </c>
      <c r="I66" s="359">
        <v>0</v>
      </c>
      <c r="J66" s="359">
        <v>0</v>
      </c>
      <c r="K66" s="359">
        <v>0</v>
      </c>
      <c r="L66" s="359">
        <v>0</v>
      </c>
      <c r="M66" s="359">
        <v>0</v>
      </c>
      <c r="N66" s="359">
        <v>0</v>
      </c>
      <c r="O66" s="359">
        <v>0</v>
      </c>
      <c r="P66" s="359">
        <v>0</v>
      </c>
      <c r="Q66" s="359">
        <v>0</v>
      </c>
      <c r="R66" s="359">
        <v>0</v>
      </c>
      <c r="S66" s="359">
        <v>0</v>
      </c>
      <c r="T66" s="359">
        <v>0</v>
      </c>
      <c r="U66" s="359">
        <v>0</v>
      </c>
      <c r="V66" s="359">
        <v>0</v>
      </c>
      <c r="W66" s="359">
        <v>0</v>
      </c>
      <c r="X66" s="359">
        <v>0</v>
      </c>
      <c r="Y66" s="359">
        <v>0</v>
      </c>
      <c r="Z66" s="359">
        <v>0</v>
      </c>
      <c r="AA66" s="359">
        <v>0</v>
      </c>
      <c r="AB66" s="359">
        <v>0</v>
      </c>
      <c r="AC66" s="359">
        <v>0</v>
      </c>
      <c r="AD66" s="359">
        <v>0</v>
      </c>
      <c r="AE66" s="359">
        <v>0</v>
      </c>
      <c r="AF66" s="359">
        <v>0</v>
      </c>
      <c r="AG66" s="359">
        <v>0</v>
      </c>
      <c r="AH66" s="359">
        <v>0</v>
      </c>
      <c r="AI66" s="359">
        <v>0</v>
      </c>
      <c r="AJ66" s="359">
        <v>0</v>
      </c>
    </row>
    <row r="67" spans="1:36" x14ac:dyDescent="0.2">
      <c r="A67" s="370" t="s">
        <v>304</v>
      </c>
      <c r="B67" s="383">
        <v>0</v>
      </c>
      <c r="C67" s="382">
        <v>0</v>
      </c>
      <c r="D67" s="370" t="s">
        <v>18</v>
      </c>
      <c r="E67" s="359">
        <v>0</v>
      </c>
      <c r="F67" s="359">
        <v>0</v>
      </c>
      <c r="G67" s="359">
        <v>0</v>
      </c>
      <c r="H67" s="359">
        <v>0</v>
      </c>
      <c r="I67" s="359">
        <v>0</v>
      </c>
      <c r="J67" s="359">
        <v>0</v>
      </c>
      <c r="K67" s="359">
        <v>0</v>
      </c>
      <c r="L67" s="359">
        <v>0</v>
      </c>
      <c r="M67" s="359">
        <v>0</v>
      </c>
      <c r="N67" s="359">
        <v>0</v>
      </c>
      <c r="O67" s="359">
        <v>0</v>
      </c>
      <c r="P67" s="359">
        <v>0</v>
      </c>
      <c r="Q67" s="359">
        <v>0</v>
      </c>
      <c r="R67" s="359">
        <v>0</v>
      </c>
      <c r="S67" s="359">
        <v>0</v>
      </c>
      <c r="T67" s="359">
        <v>0</v>
      </c>
      <c r="U67" s="359">
        <v>0</v>
      </c>
      <c r="V67" s="359">
        <v>0</v>
      </c>
      <c r="W67" s="359">
        <v>0</v>
      </c>
      <c r="X67" s="359">
        <v>0</v>
      </c>
      <c r="Y67" s="359">
        <v>0</v>
      </c>
      <c r="Z67" s="359">
        <v>0</v>
      </c>
      <c r="AA67" s="359">
        <v>0</v>
      </c>
      <c r="AB67" s="359">
        <v>0</v>
      </c>
      <c r="AC67" s="359">
        <v>0</v>
      </c>
      <c r="AD67" s="359">
        <v>0</v>
      </c>
      <c r="AE67" s="359">
        <v>0</v>
      </c>
      <c r="AF67" s="359">
        <v>0</v>
      </c>
      <c r="AG67" s="359">
        <v>0</v>
      </c>
      <c r="AH67" s="359">
        <v>0</v>
      </c>
      <c r="AI67" s="359">
        <v>0</v>
      </c>
      <c r="AJ67" s="359">
        <v>0</v>
      </c>
    </row>
    <row r="68" spans="1:36" x14ac:dyDescent="0.2">
      <c r="A68" s="384"/>
      <c r="B68" s="384"/>
      <c r="C68" s="382">
        <v>0</v>
      </c>
      <c r="D68" s="385" t="s">
        <v>305</v>
      </c>
      <c r="E68" s="386">
        <v>0</v>
      </c>
      <c r="F68" s="386">
        <v>0</v>
      </c>
      <c r="G68" s="386">
        <v>0</v>
      </c>
      <c r="H68" s="386">
        <v>0</v>
      </c>
      <c r="I68" s="386">
        <v>0</v>
      </c>
      <c r="J68" s="386">
        <v>0</v>
      </c>
      <c r="K68" s="386">
        <v>0</v>
      </c>
      <c r="L68" s="386">
        <v>0</v>
      </c>
      <c r="M68" s="386">
        <v>218030.60933156914</v>
      </c>
      <c r="N68" s="386">
        <v>218030.60933156914</v>
      </c>
      <c r="O68" s="386">
        <v>218030.60933156914</v>
      </c>
      <c r="P68" s="386">
        <v>218030.60933156914</v>
      </c>
      <c r="Q68" s="386">
        <v>218030.60933156914</v>
      </c>
      <c r="R68" s="386">
        <v>218030.60933156914</v>
      </c>
      <c r="S68" s="386">
        <v>218030.60933156914</v>
      </c>
      <c r="T68" s="386">
        <v>218030.60933156914</v>
      </c>
      <c r="U68" s="386">
        <v>218030.60933156914</v>
      </c>
      <c r="V68" s="386">
        <v>218030.60933156914</v>
      </c>
      <c r="W68" s="386">
        <v>218030.60933156914</v>
      </c>
      <c r="X68" s="386">
        <v>218030.60933156914</v>
      </c>
      <c r="Y68" s="386">
        <v>218030.60933156914</v>
      </c>
      <c r="Z68" s="386">
        <v>218030.60933156914</v>
      </c>
      <c r="AA68" s="386">
        <v>218030.60933156914</v>
      </c>
      <c r="AB68" s="386">
        <v>218030.60933156914</v>
      </c>
      <c r="AC68" s="386">
        <v>218030.60933156914</v>
      </c>
      <c r="AD68" s="386">
        <v>218030.60933156914</v>
      </c>
      <c r="AE68" s="386">
        <v>218030.60933156914</v>
      </c>
      <c r="AF68" s="386">
        <v>218030.60933156914</v>
      </c>
      <c r="AG68" s="386">
        <v>218030.60933156914</v>
      </c>
      <c r="AH68" s="386">
        <v>218030.60933156914</v>
      </c>
      <c r="AI68" s="386">
        <v>218030.60933156914</v>
      </c>
      <c r="AJ68" s="386">
        <v>218030.60933156914</v>
      </c>
    </row>
    <row r="69" spans="1:36" x14ac:dyDescent="0.2">
      <c r="A69" s="387"/>
      <c r="B69" s="387"/>
      <c r="C69" s="387"/>
      <c r="D69" s="388" t="s">
        <v>306</v>
      </c>
      <c r="E69" s="389">
        <v>266760.12795604457</v>
      </c>
      <c r="F69" s="389">
        <v>275235.31510052207</v>
      </c>
      <c r="G69" s="389">
        <v>284136.00727323134</v>
      </c>
      <c r="H69" s="389">
        <v>295578.19323636498</v>
      </c>
      <c r="I69" s="389">
        <v>302624.21172790392</v>
      </c>
      <c r="J69" s="389">
        <v>308582.28111983259</v>
      </c>
      <c r="K69" s="389">
        <v>316987.37098659959</v>
      </c>
      <c r="L69" s="389">
        <v>327677.09271632286</v>
      </c>
      <c r="M69" s="389">
        <v>251744.35636846922</v>
      </c>
      <c r="N69" s="389">
        <v>252444.29692975996</v>
      </c>
      <c r="O69" s="389">
        <v>252444.29692975996</v>
      </c>
      <c r="P69" s="389">
        <v>252444.29692975996</v>
      </c>
      <c r="Q69" s="389">
        <v>252444.29692975996</v>
      </c>
      <c r="R69" s="389">
        <v>252444.29692975996</v>
      </c>
      <c r="S69" s="389">
        <v>252444.29692975996</v>
      </c>
      <c r="T69" s="389">
        <v>252444.29692975996</v>
      </c>
      <c r="U69" s="389">
        <v>252444.29692975996</v>
      </c>
      <c r="V69" s="389">
        <v>252444.29692975996</v>
      </c>
      <c r="W69" s="389">
        <v>252444.29692975996</v>
      </c>
      <c r="X69" s="389">
        <v>252444.29692975996</v>
      </c>
      <c r="Y69" s="389">
        <v>252444.29692975996</v>
      </c>
      <c r="Z69" s="389">
        <v>252444.29692975996</v>
      </c>
      <c r="AA69" s="389">
        <v>252444.29692975996</v>
      </c>
      <c r="AB69" s="389">
        <v>252444.29692975996</v>
      </c>
      <c r="AC69" s="389">
        <v>252444.29692975996</v>
      </c>
      <c r="AD69" s="389">
        <v>252444.29692975996</v>
      </c>
      <c r="AE69" s="389">
        <v>252444.29692975996</v>
      </c>
      <c r="AF69" s="389">
        <v>252444.29692975996</v>
      </c>
      <c r="AG69" s="389">
        <v>252444.29692975996</v>
      </c>
      <c r="AH69" s="389">
        <v>252444.29692975996</v>
      </c>
      <c r="AI69" s="389">
        <v>252444.29692975996</v>
      </c>
      <c r="AJ69" s="389">
        <v>252444.29692975996</v>
      </c>
    </row>
    <row r="70" spans="1:36" x14ac:dyDescent="0.2">
      <c r="A70" s="367"/>
      <c r="B70" s="367"/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</row>
    <row r="71" spans="1:36" x14ac:dyDescent="0.2">
      <c r="A71" s="367"/>
      <c r="B71" s="367"/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</row>
    <row r="72" spans="1:36" x14ac:dyDescent="0.2">
      <c r="A72" s="367"/>
      <c r="B72" s="367"/>
      <c r="C72" s="367"/>
      <c r="D72" s="367"/>
      <c r="E72" s="367"/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</row>
    <row r="73" spans="1:36" x14ac:dyDescent="0.2">
      <c r="A73" s="367"/>
      <c r="B73" s="367"/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367"/>
      <c r="AE73" s="367"/>
      <c r="AF73" s="367"/>
      <c r="AG73" s="367"/>
      <c r="AH73" s="367"/>
      <c r="AI73" s="367"/>
      <c r="AJ73" s="367"/>
    </row>
    <row r="74" spans="1:36" x14ac:dyDescent="0.2">
      <c r="A74" s="367"/>
      <c r="B74" s="367"/>
      <c r="C74" s="367"/>
      <c r="D74" s="367"/>
      <c r="E74" s="367"/>
      <c r="F74" s="367"/>
      <c r="G74" s="367"/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367"/>
      <c r="AE74" s="367"/>
      <c r="AF74" s="367"/>
      <c r="AG74" s="367"/>
      <c r="AH74" s="367"/>
      <c r="AI74" s="367"/>
      <c r="AJ74" s="367"/>
    </row>
    <row r="75" spans="1:36" x14ac:dyDescent="0.2">
      <c r="A75" s="367"/>
      <c r="B75" s="367"/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  <c r="AJ75" s="367"/>
    </row>
    <row r="76" spans="1:36" x14ac:dyDescent="0.2">
      <c r="A76" s="367"/>
      <c r="B76" s="367"/>
      <c r="C76" s="367"/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  <c r="AF76" s="367"/>
      <c r="AG76" s="367"/>
      <c r="AH76" s="367"/>
      <c r="AI76" s="367"/>
      <c r="AJ76" s="367"/>
    </row>
    <row r="77" spans="1:36" x14ac:dyDescent="0.2">
      <c r="A77" s="367"/>
      <c r="B77" s="367"/>
      <c r="C77" s="367"/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67"/>
      <c r="AE77" s="367"/>
      <c r="AF77" s="367"/>
      <c r="AG77" s="367"/>
      <c r="AH77" s="367"/>
      <c r="AI77" s="367"/>
      <c r="AJ77" s="367"/>
    </row>
    <row r="78" spans="1:36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6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6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customFormat="1" x14ac:dyDescent="0.2"/>
    <row r="86" spans="1:32" customFormat="1" x14ac:dyDescent="0.2"/>
    <row r="87" spans="1:32" customFormat="1" x14ac:dyDescent="0.2"/>
    <row r="88" spans="1:32" customFormat="1" x14ac:dyDescent="0.2"/>
    <row r="89" spans="1:32" customFormat="1" x14ac:dyDescent="0.2"/>
    <row r="90" spans="1:32" customFormat="1" x14ac:dyDescent="0.2"/>
    <row r="91" spans="1:32" customFormat="1" x14ac:dyDescent="0.2"/>
  </sheetData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>
      <selection activeCell="A2" sqref="A2"/>
    </sheetView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33" ht="18.75" x14ac:dyDescent="0.3">
      <c r="A1" s="15" t="str">
        <f>bus</f>
        <v>United Energy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</row>
    <row r="2" spans="1:33" ht="18.75" x14ac:dyDescent="0.3">
      <c r="A2" s="56" t="str">
        <f>proj</f>
        <v>EW switchboard and relay replacement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</row>
    <row r="3" spans="1:33" ht="15.75" x14ac:dyDescent="0.25">
      <c r="A3" s="5"/>
    </row>
    <row r="4" spans="1:33" s="1" customFormat="1" ht="15" x14ac:dyDescent="0.2">
      <c r="A4" s="18" t="s">
        <v>201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33" s="1" customFormat="1" x14ac:dyDescent="0.2"/>
    <row r="6" spans="1:3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3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3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33" s="1" customFormat="1" x14ac:dyDescent="0.2">
      <c r="D9" s="12"/>
      <c r="O9"/>
      <c r="P9"/>
      <c r="Q9"/>
      <c r="R9"/>
      <c r="S9"/>
      <c r="T9"/>
      <c r="U9"/>
      <c r="V9"/>
      <c r="W9"/>
    </row>
    <row r="10" spans="1:3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3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3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3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3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3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33" s="22" customFormat="1" x14ac:dyDescent="0.2">
      <c r="A16"/>
      <c r="B16" s="80" t="s">
        <v>186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187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0"/>
    </row>
    <row r="20" spans="1:34" x14ac:dyDescent="0.2">
      <c r="B20" s="81"/>
      <c r="D20" s="41"/>
    </row>
    <row r="21" spans="1:34" x14ac:dyDescent="0.2">
      <c r="B21" s="80" t="s">
        <v>212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213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214</v>
      </c>
      <c r="D23" s="41">
        <f>D22/D21</f>
        <v>1</v>
      </c>
    </row>
    <row r="25" spans="1:34" x14ac:dyDescent="0.2">
      <c r="B25" s="81" t="s">
        <v>238</v>
      </c>
      <c r="C25" s="8" t="str">
        <f>start</f>
        <v>2026-27</v>
      </c>
    </row>
    <row r="28" spans="1:34" s="1" customFormat="1" ht="15" x14ac:dyDescent="0.2">
      <c r="A28" s="18" t="s">
        <v>210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0" t="s">
        <v>1</v>
      </c>
      <c r="C31" s="191" t="s">
        <v>193</v>
      </c>
      <c r="D31" s="192" t="s">
        <v>200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4" t="s">
        <v>131</v>
      </c>
      <c r="C32" s="189">
        <f>Option2!$G$92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4" t="s">
        <v>132</v>
      </c>
      <c r="C33" s="189">
        <f>Option3!$G$92</f>
        <v>1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4" t="s">
        <v>133</v>
      </c>
      <c r="C34" s="189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4" t="s">
        <v>154</v>
      </c>
      <c r="C35" s="189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3" t="s">
        <v>193</v>
      </c>
      <c r="C38" s="193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244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143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154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164</v>
      </c>
      <c r="B70" s="237" t="s">
        <v>211</v>
      </c>
    </row>
    <row r="74" spans="1:4" x14ac:dyDescent="0.2">
      <c r="B74" s="236" t="str">
        <f>IF(AND(SUM(E73:AC73)&lt;&gt;0, A74=0), "!", "")</f>
        <v/>
      </c>
    </row>
    <row r="76" spans="1:4" x14ac:dyDescent="0.2">
      <c r="B76" t="s">
        <v>209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G323"/>
  <sheetViews>
    <sheetView showGridLines="0" topLeftCell="A50" zoomScale="80" zoomScaleNormal="80" workbookViewId="0">
      <selection activeCell="D60" sqref="D60:D67"/>
    </sheetView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33" ht="18.75" x14ac:dyDescent="0.3">
      <c r="A1" s="15" t="str">
        <f>bus</f>
        <v>United Energy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 s="393"/>
      <c r="U1" s="394"/>
      <c r="V1" s="393"/>
      <c r="W1" s="393"/>
      <c r="X1" s="395"/>
      <c r="Y1" s="395"/>
      <c r="Z1" s="395"/>
      <c r="AA1" s="395"/>
      <c r="AB1" s="395"/>
      <c r="AC1" s="395"/>
      <c r="AD1" s="395"/>
      <c r="AE1" s="395"/>
      <c r="AF1" s="395"/>
      <c r="AG1" s="395"/>
    </row>
    <row r="2" spans="1:33" ht="18.75" x14ac:dyDescent="0.3">
      <c r="A2" s="56" t="str">
        <f>proj</f>
        <v>EW switchboard and relay replacement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 s="393"/>
      <c r="U2" s="393"/>
      <c r="V2" s="393"/>
      <c r="W2" s="393"/>
      <c r="X2" s="395"/>
      <c r="Y2" s="395"/>
      <c r="Z2" s="395"/>
      <c r="AA2" s="395"/>
      <c r="AB2" s="395"/>
      <c r="AC2" s="395"/>
      <c r="AD2" s="395"/>
      <c r="AE2" s="395"/>
      <c r="AF2" s="395"/>
      <c r="AG2" s="395"/>
    </row>
    <row r="3" spans="1:33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33" x14ac:dyDescent="0.2">
      <c r="T4"/>
      <c r="U4"/>
      <c r="V4"/>
    </row>
    <row r="5" spans="1:33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33" x14ac:dyDescent="0.2">
      <c r="T6"/>
      <c r="U6"/>
      <c r="V6"/>
    </row>
    <row r="7" spans="1:33" x14ac:dyDescent="0.2">
      <c r="A7" s="14" t="s">
        <v>80</v>
      </c>
      <c r="T7"/>
      <c r="U7"/>
      <c r="V7"/>
    </row>
    <row r="8" spans="1:33" x14ac:dyDescent="0.2">
      <c r="A8" s="59"/>
      <c r="B8" s="59"/>
      <c r="C8" s="53" t="s">
        <v>83</v>
      </c>
      <c r="D8" s="53" t="s">
        <v>199</v>
      </c>
      <c r="F8" s="8" t="s">
        <v>227</v>
      </c>
      <c r="T8"/>
      <c r="U8"/>
      <c r="V8"/>
    </row>
    <row r="9" spans="1:33" x14ac:dyDescent="0.2">
      <c r="A9" s="27" t="s">
        <v>144</v>
      </c>
      <c r="B9" s="86" t="s">
        <v>143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33" x14ac:dyDescent="0.2">
      <c r="A10" s="27" t="s">
        <v>145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33" x14ac:dyDescent="0.2">
      <c r="A11" s="27" t="s">
        <v>146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33" x14ac:dyDescent="0.2">
      <c r="A12" s="27" t="s">
        <v>147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33" x14ac:dyDescent="0.2">
      <c r="A13" s="27" t="s">
        <v>155</v>
      </c>
      <c r="B13" s="86" t="s">
        <v>154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33" x14ac:dyDescent="0.2">
      <c r="T14"/>
      <c r="U14"/>
      <c r="V14"/>
      <c r="W14"/>
      <c r="Z14"/>
      <c r="AA14"/>
    </row>
    <row r="15" spans="1:33" x14ac:dyDescent="0.2">
      <c r="T15"/>
      <c r="U15"/>
      <c r="V15"/>
      <c r="W15"/>
      <c r="Z15"/>
      <c r="AA15"/>
    </row>
    <row r="16" spans="1:33" x14ac:dyDescent="0.2">
      <c r="A16" s="8" t="s">
        <v>223</v>
      </c>
      <c r="D16" s="23" t="s">
        <v>225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221</v>
      </c>
      <c r="B24" s="101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140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188</v>
      </c>
      <c r="C35" s="23">
        <v>1</v>
      </c>
      <c r="T35"/>
      <c r="U35"/>
      <c r="V35"/>
      <c r="W35"/>
    </row>
    <row r="36" spans="1:23" x14ac:dyDescent="0.2">
      <c r="B36" s="23" t="s">
        <v>172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D58" s="362"/>
      <c r="E58"/>
      <c r="F58"/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43</v>
      </c>
      <c r="E59"/>
      <c r="F59"/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409">
        <v>0</v>
      </c>
      <c r="E60"/>
      <c r="F60"/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409">
        <v>38560</v>
      </c>
      <c r="E61"/>
      <c r="F61"/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409">
        <v>862.60284529259377</v>
      </c>
      <c r="E62"/>
      <c r="F62"/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409">
        <v>0</v>
      </c>
      <c r="E63"/>
      <c r="F63"/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409">
        <v>0.34750851315331577</v>
      </c>
      <c r="E64"/>
      <c r="F64"/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409">
        <v>0.34750851315331577</v>
      </c>
      <c r="E65"/>
      <c r="F65"/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409">
        <v>0</v>
      </c>
      <c r="E66"/>
      <c r="F66"/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409">
        <v>0</v>
      </c>
      <c r="E67"/>
      <c r="F67"/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D68" s="362"/>
      <c r="E68"/>
      <c r="F68"/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160</v>
      </c>
      <c r="E69"/>
      <c r="F69"/>
      <c r="O69"/>
      <c r="P69"/>
      <c r="Q69"/>
      <c r="R69"/>
      <c r="S69"/>
      <c r="T69"/>
      <c r="U69"/>
      <c r="V69"/>
      <c r="W69"/>
    </row>
    <row r="70" spans="1:23" x14ac:dyDescent="0.2">
      <c r="B70" s="8" t="s">
        <v>161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162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164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164</v>
      </c>
      <c r="C75" s="151" t="s">
        <v>163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191</v>
      </c>
      <c r="C78" s="8" t="s">
        <v>192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3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3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3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3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3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3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3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3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178</v>
      </c>
      <c r="F92" s="153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179</v>
      </c>
      <c r="F93" s="153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4" t="s">
        <v>157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4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4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160</v>
      </c>
      <c r="R106" s="8" t="s">
        <v>27</v>
      </c>
      <c r="T106" s="8" t="s">
        <v>224</v>
      </c>
      <c r="U106"/>
      <c r="V106" s="8" t="s">
        <v>235</v>
      </c>
      <c r="W106"/>
      <c r="Y106"/>
    </row>
    <row r="107" spans="1:25" x14ac:dyDescent="0.2">
      <c r="B107" s="25" t="s">
        <v>42</v>
      </c>
      <c r="C107" s="129" t="s">
        <v>137</v>
      </c>
      <c r="D107" s="129" t="s">
        <v>230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226</v>
      </c>
      <c r="U107"/>
      <c r="V107" s="23" t="s">
        <v>19</v>
      </c>
      <c r="W107"/>
    </row>
    <row r="108" spans="1:25" x14ac:dyDescent="0.2">
      <c r="B108" s="25" t="s">
        <v>3</v>
      </c>
      <c r="C108" s="129" t="s">
        <v>138</v>
      </c>
      <c r="D108" s="129" t="s">
        <v>231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225</v>
      </c>
      <c r="U108"/>
      <c r="V108" s="23" t="s">
        <v>47</v>
      </c>
      <c r="W108"/>
    </row>
    <row r="109" spans="1:25" x14ac:dyDescent="0.2">
      <c r="B109" s="25" t="s">
        <v>43</v>
      </c>
      <c r="C109" s="129" t="s">
        <v>139</v>
      </c>
      <c r="D109" s="129" t="s">
        <v>232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236</v>
      </c>
      <c r="W109"/>
      <c r="X109"/>
      <c r="Y109"/>
    </row>
    <row r="110" spans="1:25" x14ac:dyDescent="0.2">
      <c r="C110" s="126"/>
      <c r="D110" s="126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6"/>
      <c r="D111" s="126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48"/>
      <c r="W113"/>
      <c r="X113"/>
      <c r="Y113"/>
    </row>
    <row r="114" spans="18:25" x14ac:dyDescent="0.2">
      <c r="R114" s="23"/>
      <c r="U114"/>
      <c r="V114" s="248"/>
      <c r="W114"/>
      <c r="X114"/>
      <c r="Y114"/>
    </row>
    <row r="115" spans="18:25" x14ac:dyDescent="0.2">
      <c r="U115"/>
      <c r="V115" s="248"/>
      <c r="W115"/>
      <c r="X115"/>
      <c r="Y115"/>
    </row>
    <row r="116" spans="18:25" x14ac:dyDescent="0.2">
      <c r="U116"/>
      <c r="V116" s="249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7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23</vt:i4>
      </vt:variant>
    </vt:vector>
  </HeadingPairs>
  <TitlesOfParts>
    <vt:vector size="38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Workings_costs</vt:lpstr>
      <vt:lpstr>Workings_risks</vt:lpstr>
      <vt:lpstr>SWBD risks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2025-01-27T22:45:45Z</dcterms:modified>
</cp:coreProperties>
</file>