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A54FB1AC-63BB-44A5-9211-2F96028F4775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89" r:id="rId1"/>
    <sheet name="United Energy summary" sheetId="88" r:id="rId2"/>
    <sheet name="Piclo Benefits" sheetId="91" r:id="rId3"/>
    <sheet name="Opex Step Change" sheetId="85" r:id="rId4"/>
    <sheet name="Project summary" sheetId="82" r:id="rId5"/>
    <sheet name="Assumptions" sheetId="74" r:id="rId6"/>
    <sheet name="Option 1" sheetId="83" r:id="rId7"/>
    <sheet name="Option 2" sheetId="79" r:id="rId8"/>
  </sheets>
  <definedNames>
    <definedName name="Business" localSheetId="0">Assumptions!$B$8</definedName>
    <definedName name="Business" localSheetId="2">Assumptions!$B$8</definedName>
    <definedName name="Business">Assumptions!$B$8</definedName>
    <definedName name="business_case_dollars" localSheetId="0">Assumptions!$C$36</definedName>
    <definedName name="business_case_dollars" localSheetId="2">Assumptions!$C$36</definedName>
    <definedName name="business_case_dollars">Assumptions!$C$36</definedName>
    <definedName name="_xlnm.Print_Area" localSheetId="4">'Project summary'!$A$1:$J$40</definedName>
    <definedName name="Project_name" localSheetId="0">Assumptions!$B$6</definedName>
    <definedName name="Project_name" localSheetId="2">Assumptions!$B$6</definedName>
    <definedName name="Project_name">Assumptions!$B$6</definedName>
    <definedName name="Real_Discount_rate" localSheetId="0">Assumptions!$B$10</definedName>
    <definedName name="Real_Discount_rate" localSheetId="2">Assumptions!$B$10</definedName>
    <definedName name="Real_Discount_rate">Assumptions!$B$10</definedName>
    <definedName name="years" localSheetId="6">'Option 1'!$P$8:$T$8</definedName>
    <definedName name="years" localSheetId="7">'Option 2'!$P$8:$T$8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88" l="1"/>
  <c r="F34" i="88"/>
  <c r="N62" i="91"/>
  <c r="G12" i="88"/>
  <c r="H12" i="88"/>
  <c r="I12" i="88"/>
  <c r="J12" i="88"/>
  <c r="F12" i="88"/>
  <c r="G11" i="88"/>
  <c r="G14" i="88" s="1"/>
  <c r="H11" i="88"/>
  <c r="H14" i="88" s="1"/>
  <c r="I11" i="88"/>
  <c r="I14" i="88" s="1"/>
  <c r="J11" i="88"/>
  <c r="J14" i="88" s="1"/>
  <c r="F11" i="88"/>
  <c r="G23" i="88"/>
  <c r="H23" i="88"/>
  <c r="I23" i="88"/>
  <c r="J23" i="88"/>
  <c r="F23" i="88"/>
  <c r="G22" i="88"/>
  <c r="H22" i="88"/>
  <c r="H25" i="88" s="1"/>
  <c r="I22" i="88"/>
  <c r="I25" i="88" s="1"/>
  <c r="J22" i="88"/>
  <c r="J25" i="88" s="1"/>
  <c r="F22" i="88"/>
  <c r="F25" i="88" s="1"/>
  <c r="G25" i="88" l="1"/>
  <c r="F27" i="88" s="1"/>
  <c r="F33" i="88" s="1"/>
  <c r="F14" i="88"/>
  <c r="K24" i="88"/>
  <c r="K23" i="88"/>
  <c r="K22" i="88"/>
  <c r="K25" i="88" s="1"/>
  <c r="F37" i="82" l="1"/>
  <c r="F22" i="82"/>
  <c r="D85" i="83"/>
  <c r="D70" i="83"/>
  <c r="D85" i="79"/>
  <c r="D70" i="79"/>
  <c r="K13" i="88"/>
  <c r="D10" i="85"/>
  <c r="E10" i="85"/>
  <c r="F10" i="85"/>
  <c r="G10" i="85"/>
  <c r="D11" i="85"/>
  <c r="E11" i="85"/>
  <c r="F11" i="85"/>
  <c r="G11" i="85"/>
  <c r="D12" i="85"/>
  <c r="E12" i="85"/>
  <c r="F12" i="85"/>
  <c r="G12" i="85"/>
  <c r="C12" i="85"/>
  <c r="C11" i="85"/>
  <c r="C10" i="85"/>
  <c r="G6" i="85"/>
  <c r="F6" i="85"/>
  <c r="E6" i="85"/>
  <c r="D6" i="85"/>
  <c r="C6" i="85"/>
  <c r="B19" i="85"/>
  <c r="B18" i="85"/>
  <c r="B17" i="85"/>
  <c r="A3" i="85"/>
  <c r="A2" i="85"/>
  <c r="A1" i="85"/>
  <c r="N71" i="91"/>
  <c r="N72" i="91" s="1"/>
  <c r="D87" i="91"/>
  <c r="C87" i="91"/>
  <c r="E83" i="91"/>
  <c r="E87" i="91" s="1"/>
  <c r="C79" i="91"/>
  <c r="D79" i="91" s="1"/>
  <c r="E79" i="91" s="1"/>
  <c r="M71" i="91"/>
  <c r="M72" i="91" s="1"/>
  <c r="L71" i="91"/>
  <c r="K71" i="91"/>
  <c r="J71" i="91"/>
  <c r="J72" i="91" s="1"/>
  <c r="I71" i="91"/>
  <c r="I72" i="91" s="1"/>
  <c r="H71" i="91"/>
  <c r="H75" i="91" s="1"/>
  <c r="H78" i="91" s="1"/>
  <c r="G71" i="91"/>
  <c r="G75" i="91" s="1"/>
  <c r="F71" i="91"/>
  <c r="F75" i="91" s="1"/>
  <c r="E71" i="91"/>
  <c r="F49" i="91"/>
  <c r="F48" i="91"/>
  <c r="F47" i="91"/>
  <c r="F46" i="91"/>
  <c r="F45" i="91"/>
  <c r="F44" i="91"/>
  <c r="A1" i="88"/>
  <c r="A3" i="88"/>
  <c r="D6" i="89" a="1"/>
  <c r="D6" i="89" s="1"/>
  <c r="C5" i="89" a="1"/>
  <c r="C5" i="89" s="1"/>
  <c r="K75" i="91" l="1"/>
  <c r="K78" i="91" s="1"/>
  <c r="F78" i="91"/>
  <c r="F79" i="91" s="1"/>
  <c r="F72" i="91"/>
  <c r="F83" i="91" s="1"/>
  <c r="F87" i="91" s="1"/>
  <c r="K72" i="91"/>
  <c r="K83" i="91" s="1"/>
  <c r="K87" i="91" s="1"/>
  <c r="E84" i="91"/>
  <c r="M75" i="91"/>
  <c r="M78" i="91" s="1"/>
  <c r="G78" i="91"/>
  <c r="L75" i="91"/>
  <c r="L78" i="91" s="1"/>
  <c r="O62" i="91"/>
  <c r="G72" i="91"/>
  <c r="G83" i="91" s="1"/>
  <c r="G87" i="91" s="1"/>
  <c r="H72" i="91"/>
  <c r="H83" i="91" s="1"/>
  <c r="H87" i="91" s="1"/>
  <c r="L72" i="91"/>
  <c r="M83" i="91"/>
  <c r="M87" i="91" s="1"/>
  <c r="I83" i="91"/>
  <c r="I87" i="91" s="1"/>
  <c r="J83" i="91"/>
  <c r="J87" i="91" s="1"/>
  <c r="N75" i="91"/>
  <c r="N78" i="91" s="1"/>
  <c r="I75" i="91"/>
  <c r="I78" i="91" s="1"/>
  <c r="J75" i="91"/>
  <c r="J78" i="91" s="1"/>
  <c r="N83" i="91"/>
  <c r="N87" i="91" s="1"/>
  <c r="N18" i="79"/>
  <c r="M18" i="79"/>
  <c r="L18" i="79"/>
  <c r="K18" i="79"/>
  <c r="N10" i="79"/>
  <c r="M10" i="79"/>
  <c r="L10" i="79"/>
  <c r="K10" i="79"/>
  <c r="G79" i="91" l="1"/>
  <c r="H79" i="91" s="1"/>
  <c r="I79" i="91" s="1"/>
  <c r="F37" i="88" s="1"/>
  <c r="F84" i="91"/>
  <c r="G84" i="91" s="1"/>
  <c r="H84" i="91" s="1"/>
  <c r="I84" i="91" s="1"/>
  <c r="J84" i="91" s="1"/>
  <c r="K84" i="91" s="1"/>
  <c r="L83" i="91"/>
  <c r="L87" i="91" s="1"/>
  <c r="P62" i="91"/>
  <c r="O71" i="91"/>
  <c r="F19" i="74"/>
  <c r="F21" i="74" s="1"/>
  <c r="F18" i="74"/>
  <c r="L84" i="91" l="1"/>
  <c r="M84" i="91" s="1"/>
  <c r="N84" i="91" s="1"/>
  <c r="P71" i="91"/>
  <c r="P72" i="91" s="1"/>
  <c r="P83" i="91" s="1"/>
  <c r="P87" i="91" s="1"/>
  <c r="Q62" i="91"/>
  <c r="O75" i="91"/>
  <c r="O78" i="91" s="1"/>
  <c r="O72" i="91"/>
  <c r="O83" i="91" s="1"/>
  <c r="O87" i="91" s="1"/>
  <c r="J79" i="91"/>
  <c r="K79" i="91" s="1"/>
  <c r="L79" i="91" s="1"/>
  <c r="M79" i="91" s="1"/>
  <c r="N79" i="91" s="1"/>
  <c r="P75" i="91" l="1"/>
  <c r="P78" i="91" s="1"/>
  <c r="R62" i="91"/>
  <c r="Q71" i="91"/>
  <c r="Q72" i="91" s="1"/>
  <c r="Q83" i="91" s="1"/>
  <c r="Q87" i="91" s="1"/>
  <c r="O84" i="91"/>
  <c r="P84" i="91" s="1"/>
  <c r="O79" i="91"/>
  <c r="B6" i="85"/>
  <c r="C85" i="83"/>
  <c r="C83" i="83"/>
  <c r="C70" i="83"/>
  <c r="C67" i="83"/>
  <c r="T63" i="83"/>
  <c r="S63" i="83"/>
  <c r="R63" i="83"/>
  <c r="Q63" i="83"/>
  <c r="P63" i="83"/>
  <c r="T60" i="83"/>
  <c r="S60" i="83"/>
  <c r="R60" i="83"/>
  <c r="Q60" i="83"/>
  <c r="P60" i="83"/>
  <c r="T54" i="83"/>
  <c r="S54" i="83"/>
  <c r="R54" i="83"/>
  <c r="Q54" i="83"/>
  <c r="P54" i="83"/>
  <c r="H54" i="83"/>
  <c r="G54" i="83"/>
  <c r="H53" i="83"/>
  <c r="H52" i="83"/>
  <c r="H51" i="83"/>
  <c r="H50" i="83"/>
  <c r="H49" i="83"/>
  <c r="T48" i="83"/>
  <c r="S48" i="83"/>
  <c r="R48" i="83"/>
  <c r="Q48" i="83"/>
  <c r="P48" i="83"/>
  <c r="H48" i="83"/>
  <c r="G48" i="83"/>
  <c r="H47" i="83"/>
  <c r="T46" i="83"/>
  <c r="S46" i="83"/>
  <c r="R46" i="83"/>
  <c r="Q46" i="83"/>
  <c r="P46" i="83"/>
  <c r="H46" i="83"/>
  <c r="G46" i="83"/>
  <c r="H45" i="83"/>
  <c r="T44" i="83"/>
  <c r="S44" i="83"/>
  <c r="R44" i="83"/>
  <c r="Q44" i="83"/>
  <c r="P44" i="83"/>
  <c r="H44" i="83"/>
  <c r="G44" i="83"/>
  <c r="T43" i="83"/>
  <c r="S43" i="83"/>
  <c r="R43" i="83"/>
  <c r="Q43" i="83"/>
  <c r="P43" i="83"/>
  <c r="H43" i="83"/>
  <c r="G43" i="83"/>
  <c r="T42" i="83"/>
  <c r="S42" i="83"/>
  <c r="R42" i="83"/>
  <c r="Q42" i="83"/>
  <c r="P42" i="83"/>
  <c r="H42" i="83"/>
  <c r="G42" i="83"/>
  <c r="H41" i="83"/>
  <c r="H40" i="83"/>
  <c r="T39" i="83"/>
  <c r="S39" i="83"/>
  <c r="R39" i="83"/>
  <c r="Q39" i="83"/>
  <c r="P39" i="83"/>
  <c r="H39" i="83"/>
  <c r="G39" i="83"/>
  <c r="H38" i="83"/>
  <c r="T37" i="83"/>
  <c r="S37" i="83"/>
  <c r="R37" i="83"/>
  <c r="Q37" i="83"/>
  <c r="P37" i="83"/>
  <c r="H37" i="83"/>
  <c r="G37" i="83"/>
  <c r="H36" i="83"/>
  <c r="H35" i="83"/>
  <c r="T34" i="83"/>
  <c r="S34" i="83"/>
  <c r="R34" i="83"/>
  <c r="Q34" i="83"/>
  <c r="P34" i="83"/>
  <c r="H34" i="83"/>
  <c r="G34" i="83"/>
  <c r="T33" i="83"/>
  <c r="S33" i="83"/>
  <c r="R33" i="83"/>
  <c r="Q33" i="83"/>
  <c r="P33" i="83"/>
  <c r="H33" i="83"/>
  <c r="G33" i="83"/>
  <c r="H32" i="83"/>
  <c r="H31" i="83"/>
  <c r="H30" i="83"/>
  <c r="T29" i="83"/>
  <c r="S29" i="83"/>
  <c r="R29" i="83"/>
  <c r="Q29" i="83"/>
  <c r="P29" i="83"/>
  <c r="H29" i="83"/>
  <c r="G29" i="83"/>
  <c r="H28" i="83"/>
  <c r="H27" i="83"/>
  <c r="T26" i="83"/>
  <c r="S26" i="83"/>
  <c r="R26" i="83"/>
  <c r="Q26" i="83"/>
  <c r="P26" i="83"/>
  <c r="H26" i="83"/>
  <c r="G26" i="83"/>
  <c r="H25" i="83"/>
  <c r="T24" i="83"/>
  <c r="S24" i="83"/>
  <c r="R24" i="83"/>
  <c r="Q24" i="83"/>
  <c r="P24" i="83"/>
  <c r="H24" i="83"/>
  <c r="G24" i="83"/>
  <c r="H23" i="83"/>
  <c r="H22" i="83"/>
  <c r="T21" i="83"/>
  <c r="S21" i="83"/>
  <c r="R21" i="83"/>
  <c r="Q21" i="83"/>
  <c r="P21" i="83"/>
  <c r="H21" i="83"/>
  <c r="G21" i="83"/>
  <c r="T20" i="83"/>
  <c r="S20" i="83"/>
  <c r="R20" i="83"/>
  <c r="Q20" i="83"/>
  <c r="P20" i="83"/>
  <c r="H20" i="83"/>
  <c r="G20" i="83"/>
  <c r="H19" i="83"/>
  <c r="H18" i="83"/>
  <c r="H17" i="83"/>
  <c r="H16" i="83"/>
  <c r="H15" i="83"/>
  <c r="H14" i="83"/>
  <c r="T13" i="83"/>
  <c r="S13" i="83"/>
  <c r="R13" i="83"/>
  <c r="Q13" i="83"/>
  <c r="P13" i="83"/>
  <c r="H13" i="83"/>
  <c r="G13" i="83"/>
  <c r="H12" i="83"/>
  <c r="H11" i="83"/>
  <c r="T10" i="83"/>
  <c r="S10" i="83"/>
  <c r="R10" i="83"/>
  <c r="P10" i="83"/>
  <c r="Q10" i="83"/>
  <c r="H10" i="83"/>
  <c r="G10" i="83"/>
  <c r="A5" i="83"/>
  <c r="V3" i="83"/>
  <c r="A2" i="83"/>
  <c r="A1" i="83"/>
  <c r="B19" i="74"/>
  <c r="B18" i="74"/>
  <c r="P79" i="91" l="1"/>
  <c r="Q84" i="91"/>
  <c r="Q75" i="91"/>
  <c r="Q78" i="91" s="1"/>
  <c r="S62" i="91"/>
  <c r="S71" i="91" s="1"/>
  <c r="R71" i="91"/>
  <c r="R72" i="91" s="1"/>
  <c r="Q64" i="83"/>
  <c r="R59" i="83"/>
  <c r="S59" i="83"/>
  <c r="T59" i="83"/>
  <c r="R64" i="83"/>
  <c r="U60" i="83"/>
  <c r="S64" i="83"/>
  <c r="T64" i="83"/>
  <c r="P59" i="83"/>
  <c r="P64" i="83"/>
  <c r="Q59" i="83"/>
  <c r="U63" i="83"/>
  <c r="R75" i="91" l="1"/>
  <c r="R78" i="91" s="1"/>
  <c r="Q79" i="91"/>
  <c r="R83" i="91"/>
  <c r="R87" i="91" s="1"/>
  <c r="S75" i="91"/>
  <c r="S78" i="91" s="1"/>
  <c r="S72" i="91"/>
  <c r="S83" i="91" s="1"/>
  <c r="S87" i="91" s="1"/>
  <c r="U59" i="83"/>
  <c r="U64" i="83"/>
  <c r="B14" i="74"/>
  <c r="R79" i="91" l="1"/>
  <c r="S79" i="91" s="1"/>
  <c r="R84" i="91"/>
  <c r="S84" i="91" s="1"/>
  <c r="G51" i="83"/>
  <c r="G35" i="83"/>
  <c r="G22" i="83"/>
  <c r="G14" i="83"/>
  <c r="G50" i="83"/>
  <c r="G12" i="83"/>
  <c r="G28" i="83"/>
  <c r="G41" i="83"/>
  <c r="G25" i="83"/>
  <c r="G18" i="83"/>
  <c r="G11" i="83"/>
  <c r="G45" i="83"/>
  <c r="G38" i="83"/>
  <c r="G31" i="83"/>
  <c r="G27" i="83"/>
  <c r="G23" i="83"/>
  <c r="G49" i="83"/>
  <c r="G53" i="83"/>
  <c r="G47" i="83"/>
  <c r="G30" i="83"/>
  <c r="G17" i="83"/>
  <c r="G40" i="83"/>
  <c r="G16" i="83"/>
  <c r="G19" i="83"/>
  <c r="G52" i="83"/>
  <c r="G36" i="83"/>
  <c r="G15" i="83"/>
  <c r="G32" i="83"/>
  <c r="D6" i="88"/>
  <c r="C35" i="82"/>
  <c r="C20" i="82"/>
  <c r="A3" i="82"/>
  <c r="R36" i="83" l="1"/>
  <c r="P36" i="83"/>
  <c r="T36" i="83"/>
  <c r="S36" i="83"/>
  <c r="Q36" i="83"/>
  <c r="T38" i="83"/>
  <c r="S38" i="83"/>
  <c r="R38" i="83"/>
  <c r="P38" i="83"/>
  <c r="Q38" i="83"/>
  <c r="P12" i="83"/>
  <c r="T12" i="83"/>
  <c r="S12" i="83"/>
  <c r="R12" i="83"/>
  <c r="Q12" i="83"/>
  <c r="R40" i="83"/>
  <c r="T40" i="83"/>
  <c r="S40" i="83"/>
  <c r="Q40" i="83"/>
  <c r="P40" i="83"/>
  <c r="S45" i="83"/>
  <c r="T45" i="83"/>
  <c r="R45" i="83"/>
  <c r="Q45" i="83"/>
  <c r="P45" i="83"/>
  <c r="T50" i="83"/>
  <c r="S50" i="83"/>
  <c r="R50" i="83"/>
  <c r="Q50" i="83"/>
  <c r="P50" i="83"/>
  <c r="P17" i="83"/>
  <c r="S17" i="83"/>
  <c r="R17" i="83"/>
  <c r="Q17" i="83"/>
  <c r="T17" i="83"/>
  <c r="R11" i="83"/>
  <c r="T11" i="83"/>
  <c r="Q11" i="83"/>
  <c r="S11" i="83"/>
  <c r="P11" i="83"/>
  <c r="P30" i="83"/>
  <c r="T30" i="83"/>
  <c r="S30" i="83"/>
  <c r="R30" i="83"/>
  <c r="Q30" i="83"/>
  <c r="P18" i="83"/>
  <c r="T18" i="83"/>
  <c r="S18" i="83"/>
  <c r="R18" i="83"/>
  <c r="Q18" i="83"/>
  <c r="R52" i="83"/>
  <c r="T52" i="83"/>
  <c r="S52" i="83"/>
  <c r="Q52" i="83"/>
  <c r="P52" i="83"/>
  <c r="Q47" i="83"/>
  <c r="R47" i="83"/>
  <c r="P47" i="83"/>
  <c r="T47" i="83"/>
  <c r="S47" i="83"/>
  <c r="T25" i="83"/>
  <c r="S25" i="83"/>
  <c r="R25" i="83"/>
  <c r="Q25" i="83"/>
  <c r="P25" i="83"/>
  <c r="R53" i="83"/>
  <c r="Q53" i="83"/>
  <c r="T53" i="83"/>
  <c r="P53" i="83"/>
  <c r="S53" i="83"/>
  <c r="S41" i="83"/>
  <c r="Q41" i="83"/>
  <c r="T41" i="83"/>
  <c r="R41" i="83"/>
  <c r="P41" i="83"/>
  <c r="T14" i="83"/>
  <c r="S14" i="83"/>
  <c r="P14" i="83"/>
  <c r="Q14" i="83"/>
  <c r="R14" i="83"/>
  <c r="T19" i="83"/>
  <c r="R19" i="83"/>
  <c r="Q19" i="83"/>
  <c r="P19" i="83"/>
  <c r="S19" i="83"/>
  <c r="T49" i="83"/>
  <c r="S49" i="83"/>
  <c r="P49" i="83"/>
  <c r="R49" i="83"/>
  <c r="Q49" i="83"/>
  <c r="T22" i="83"/>
  <c r="P22" i="83"/>
  <c r="Q22" i="83"/>
  <c r="R22" i="83"/>
  <c r="S22" i="83"/>
  <c r="T32" i="83"/>
  <c r="S32" i="83"/>
  <c r="R32" i="83"/>
  <c r="Q32" i="83"/>
  <c r="P32" i="83"/>
  <c r="S35" i="83"/>
  <c r="R35" i="83"/>
  <c r="Q35" i="83"/>
  <c r="P35" i="83"/>
  <c r="T35" i="83"/>
  <c r="S16" i="83"/>
  <c r="T16" i="83"/>
  <c r="R16" i="83"/>
  <c r="P16" i="83"/>
  <c r="Q16" i="83"/>
  <c r="T23" i="83"/>
  <c r="S23" i="83"/>
  <c r="R23" i="83"/>
  <c r="Q23" i="83"/>
  <c r="P23" i="83"/>
  <c r="R28" i="83"/>
  <c r="T28" i="83"/>
  <c r="S28" i="83"/>
  <c r="P28" i="83"/>
  <c r="Q28" i="83"/>
  <c r="T51" i="83"/>
  <c r="S51" i="83"/>
  <c r="Q51" i="83"/>
  <c r="P51" i="83"/>
  <c r="R51" i="83"/>
  <c r="R15" i="83"/>
  <c r="T15" i="83"/>
  <c r="S15" i="83"/>
  <c r="P15" i="83"/>
  <c r="Q15" i="83"/>
  <c r="T27" i="83"/>
  <c r="S27" i="83"/>
  <c r="P27" i="83"/>
  <c r="Q27" i="83"/>
  <c r="R27" i="83"/>
  <c r="T31" i="83"/>
  <c r="S31" i="83"/>
  <c r="R31" i="83"/>
  <c r="P31" i="83"/>
  <c r="Q31" i="83"/>
  <c r="B21" i="74"/>
  <c r="S58" i="83" l="1"/>
  <c r="Q58" i="83"/>
  <c r="T58" i="83"/>
  <c r="S62" i="83"/>
  <c r="Q62" i="83"/>
  <c r="P62" i="83"/>
  <c r="R62" i="83"/>
  <c r="T62" i="83"/>
  <c r="P58" i="83"/>
  <c r="R58" i="83"/>
  <c r="J25" i="82"/>
  <c r="I25" i="82"/>
  <c r="H25" i="82"/>
  <c r="G25" i="82"/>
  <c r="F25" i="82"/>
  <c r="A2" i="82"/>
  <c r="A1" i="82"/>
  <c r="C85" i="79"/>
  <c r="C83" i="79"/>
  <c r="C35" i="74"/>
  <c r="C36" i="74" s="1"/>
  <c r="S61" i="83" l="1"/>
  <c r="T65" i="83"/>
  <c r="T61" i="83"/>
  <c r="T67" i="83" s="1"/>
  <c r="T68" i="83" s="1"/>
  <c r="R65" i="83"/>
  <c r="Q61" i="83"/>
  <c r="P65" i="83"/>
  <c r="U62" i="83"/>
  <c r="U65" i="83" s="1"/>
  <c r="R61" i="83"/>
  <c r="Q65" i="83"/>
  <c r="S65" i="83"/>
  <c r="P61" i="83"/>
  <c r="P67" i="83" s="1"/>
  <c r="U58" i="83"/>
  <c r="U61" i="83" s="1"/>
  <c r="P79" i="83"/>
  <c r="F16" i="82" s="1"/>
  <c r="R75" i="83"/>
  <c r="H12" i="82" s="1"/>
  <c r="P75" i="83"/>
  <c r="F12" i="82" s="1"/>
  <c r="Q79" i="83"/>
  <c r="G16" i="82" s="1"/>
  <c r="Q80" i="83"/>
  <c r="G17" i="82" s="1"/>
  <c r="Q76" i="83"/>
  <c r="G13" i="82" s="1"/>
  <c r="S75" i="83"/>
  <c r="I12" i="82" s="1"/>
  <c r="P80" i="83"/>
  <c r="F17" i="82" s="1"/>
  <c r="R79" i="83"/>
  <c r="H16" i="82" s="1"/>
  <c r="R76" i="83"/>
  <c r="H13" i="82" s="1"/>
  <c r="S79" i="83"/>
  <c r="I16" i="82" s="1"/>
  <c r="S76" i="83"/>
  <c r="I13" i="82" s="1"/>
  <c r="T79" i="83"/>
  <c r="J16" i="82" s="1"/>
  <c r="T76" i="83"/>
  <c r="J13" i="82" s="1"/>
  <c r="P76" i="83"/>
  <c r="F13" i="82" s="1"/>
  <c r="R80" i="83"/>
  <c r="H17" i="82" s="1"/>
  <c r="P78" i="83"/>
  <c r="F15" i="82" s="1"/>
  <c r="T75" i="83"/>
  <c r="J12" i="82" s="1"/>
  <c r="R74" i="83"/>
  <c r="H11" i="82" s="1"/>
  <c r="Q75" i="83"/>
  <c r="G12" i="82" s="1"/>
  <c r="T80" i="83"/>
  <c r="J17" i="82" s="1"/>
  <c r="S80" i="83"/>
  <c r="I17" i="82" s="1"/>
  <c r="S78" i="83"/>
  <c r="I15" i="82" s="1"/>
  <c r="P74" i="83"/>
  <c r="F11" i="82" s="1"/>
  <c r="R78" i="83"/>
  <c r="H15" i="82" s="1"/>
  <c r="Q78" i="83"/>
  <c r="G15" i="82" s="1"/>
  <c r="T74" i="83"/>
  <c r="J11" i="82" s="1"/>
  <c r="Q74" i="83"/>
  <c r="G11" i="82" s="1"/>
  <c r="S74" i="83"/>
  <c r="I11" i="82" s="1"/>
  <c r="T78" i="83"/>
  <c r="J15" i="82" s="1"/>
  <c r="S67" i="83" l="1"/>
  <c r="S68" i="83" s="1"/>
  <c r="Q67" i="83"/>
  <c r="Q68" i="83" s="1"/>
  <c r="R67" i="83"/>
  <c r="R68" i="83" s="1"/>
  <c r="P68" i="83"/>
  <c r="Q77" i="83"/>
  <c r="T77" i="83"/>
  <c r="U76" i="83"/>
  <c r="Q81" i="83"/>
  <c r="U80" i="83"/>
  <c r="R81" i="83"/>
  <c r="R77" i="83"/>
  <c r="U74" i="83"/>
  <c r="P77" i="83"/>
  <c r="U79" i="83"/>
  <c r="T81" i="83"/>
  <c r="S81" i="83"/>
  <c r="P81" i="83"/>
  <c r="U78" i="83"/>
  <c r="S77" i="83"/>
  <c r="U75" i="83"/>
  <c r="C70" i="79"/>
  <c r="U67" i="83" l="1"/>
  <c r="S83" i="83"/>
  <c r="S84" i="83" s="1"/>
  <c r="P83" i="83"/>
  <c r="P84" i="83" s="1"/>
  <c r="Q83" i="83"/>
  <c r="Q84" i="83" s="1"/>
  <c r="U77" i="83"/>
  <c r="U81" i="83"/>
  <c r="T83" i="83"/>
  <c r="T84" i="83" s="1"/>
  <c r="R83" i="83"/>
  <c r="R84" i="83" s="1"/>
  <c r="A2" i="79"/>
  <c r="A1" i="79"/>
  <c r="A2" i="74"/>
  <c r="A1" i="74"/>
  <c r="C67" i="79"/>
  <c r="H54" i="79"/>
  <c r="G54" i="79"/>
  <c r="T54" i="79" s="1"/>
  <c r="H53" i="79"/>
  <c r="G53" i="79"/>
  <c r="T53" i="79" s="1"/>
  <c r="H52" i="79"/>
  <c r="G52" i="79"/>
  <c r="H51" i="79"/>
  <c r="G51" i="79"/>
  <c r="P51" i="79" s="1"/>
  <c r="H50" i="79"/>
  <c r="G50" i="79"/>
  <c r="H49" i="79"/>
  <c r="G49" i="79"/>
  <c r="T49" i="79" s="1"/>
  <c r="T48" i="79"/>
  <c r="S48" i="79"/>
  <c r="R48" i="79"/>
  <c r="Q48" i="79"/>
  <c r="P48" i="79"/>
  <c r="H48" i="79"/>
  <c r="G48" i="79"/>
  <c r="H47" i="79"/>
  <c r="G47" i="79"/>
  <c r="T47" i="79" s="1"/>
  <c r="T46" i="79"/>
  <c r="S46" i="79"/>
  <c r="R46" i="79"/>
  <c r="Q46" i="79"/>
  <c r="P46" i="79"/>
  <c r="H46" i="79"/>
  <c r="G46" i="79"/>
  <c r="H45" i="79"/>
  <c r="G45" i="79"/>
  <c r="S45" i="79" s="1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H42" i="79"/>
  <c r="G42" i="79"/>
  <c r="S42" i="79" s="1"/>
  <c r="H41" i="79"/>
  <c r="G41" i="79"/>
  <c r="T41" i="79" s="1"/>
  <c r="H40" i="79"/>
  <c r="G40" i="79"/>
  <c r="T40" i="79" s="1"/>
  <c r="H39" i="79"/>
  <c r="G39" i="79"/>
  <c r="S39" i="79" s="1"/>
  <c r="H38" i="79"/>
  <c r="G38" i="79"/>
  <c r="T38" i="79" s="1"/>
  <c r="H37" i="79"/>
  <c r="G37" i="79"/>
  <c r="S37" i="79" s="1"/>
  <c r="H36" i="79"/>
  <c r="G36" i="79"/>
  <c r="H35" i="79"/>
  <c r="G35" i="79"/>
  <c r="R35" i="79" s="1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H32" i="79"/>
  <c r="G32" i="79"/>
  <c r="P32" i="79" s="1"/>
  <c r="H31" i="79"/>
  <c r="G31" i="79"/>
  <c r="H30" i="79"/>
  <c r="G30" i="79"/>
  <c r="T30" i="79" s="1"/>
  <c r="T29" i="79"/>
  <c r="S29" i="79"/>
  <c r="R29" i="79"/>
  <c r="Q29" i="79"/>
  <c r="P29" i="79"/>
  <c r="H29" i="79"/>
  <c r="G29" i="79"/>
  <c r="H28" i="79"/>
  <c r="G28" i="79"/>
  <c r="R28" i="79" s="1"/>
  <c r="H27" i="79"/>
  <c r="G27" i="79"/>
  <c r="T26" i="79"/>
  <c r="S26" i="79"/>
  <c r="R26" i="79"/>
  <c r="Q26" i="79"/>
  <c r="P26" i="79"/>
  <c r="H26" i="79"/>
  <c r="G26" i="79"/>
  <c r="H25" i="79"/>
  <c r="G25" i="79"/>
  <c r="T25" i="79" s="1"/>
  <c r="H24" i="79"/>
  <c r="G24" i="79"/>
  <c r="P24" i="79" s="1"/>
  <c r="H23" i="79"/>
  <c r="G23" i="79"/>
  <c r="H22" i="79"/>
  <c r="G22" i="79"/>
  <c r="T22" i="79" s="1"/>
  <c r="H21" i="79"/>
  <c r="G21" i="79"/>
  <c r="T21" i="79" s="1"/>
  <c r="H20" i="79"/>
  <c r="G20" i="79"/>
  <c r="T20" i="79" s="1"/>
  <c r="H19" i="79"/>
  <c r="G19" i="79"/>
  <c r="S19" i="79" s="1"/>
  <c r="H18" i="79"/>
  <c r="G18" i="79"/>
  <c r="S18" i="79" s="1"/>
  <c r="H17" i="79"/>
  <c r="G17" i="79"/>
  <c r="S17" i="79" s="1"/>
  <c r="H16" i="79"/>
  <c r="G16" i="79"/>
  <c r="T16" i="79" s="1"/>
  <c r="H15" i="79"/>
  <c r="G15" i="79"/>
  <c r="R15" i="79" s="1"/>
  <c r="H14" i="79"/>
  <c r="G14" i="79"/>
  <c r="R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U68" i="83" l="1"/>
  <c r="V68" i="83" s="1"/>
  <c r="U83" i="83"/>
  <c r="P23" i="79"/>
  <c r="S23" i="79"/>
  <c r="R23" i="79"/>
  <c r="Q23" i="79"/>
  <c r="Q27" i="79"/>
  <c r="T27" i="79"/>
  <c r="S27" i="79"/>
  <c r="R27" i="79"/>
  <c r="S31" i="79"/>
  <c r="T31" i="79"/>
  <c r="Q31" i="79"/>
  <c r="P31" i="79"/>
  <c r="R36" i="79"/>
  <c r="Q36" i="79"/>
  <c r="T50" i="79"/>
  <c r="S50" i="79"/>
  <c r="R50" i="79"/>
  <c r="Q50" i="79"/>
  <c r="P50" i="79"/>
  <c r="R52" i="79"/>
  <c r="S52" i="79"/>
  <c r="Q52" i="79"/>
  <c r="Q25" i="79"/>
  <c r="R25" i="79"/>
  <c r="S25" i="79"/>
  <c r="P25" i="79"/>
  <c r="T15" i="79"/>
  <c r="S15" i="79"/>
  <c r="P35" i="79"/>
  <c r="Q35" i="79"/>
  <c r="S35" i="79"/>
  <c r="T35" i="79"/>
  <c r="P20" i="79"/>
  <c r="Q20" i="79"/>
  <c r="R20" i="79"/>
  <c r="S20" i="79"/>
  <c r="P17" i="79"/>
  <c r="Q17" i="79"/>
  <c r="T17" i="79"/>
  <c r="R17" i="79"/>
  <c r="P42" i="79"/>
  <c r="Q42" i="79"/>
  <c r="R42" i="79"/>
  <c r="T42" i="79"/>
  <c r="P54" i="79"/>
  <c r="Q54" i="79"/>
  <c r="R54" i="79"/>
  <c r="S54" i="79"/>
  <c r="P53" i="79"/>
  <c r="Q53" i="79"/>
  <c r="R53" i="79"/>
  <c r="S53" i="79"/>
  <c r="T52" i="79"/>
  <c r="P52" i="79"/>
  <c r="Q51" i="79"/>
  <c r="R51" i="79"/>
  <c r="S51" i="79"/>
  <c r="T51" i="79"/>
  <c r="Q49" i="79"/>
  <c r="R49" i="79"/>
  <c r="P49" i="79"/>
  <c r="S49" i="79"/>
  <c r="P47" i="79"/>
  <c r="Q47" i="79"/>
  <c r="R47" i="79"/>
  <c r="S47" i="79"/>
  <c r="T45" i="79"/>
  <c r="P45" i="79"/>
  <c r="Q45" i="79"/>
  <c r="R45" i="79"/>
  <c r="T39" i="79"/>
  <c r="R39" i="79"/>
  <c r="P39" i="79"/>
  <c r="Q39" i="79"/>
  <c r="Q41" i="79"/>
  <c r="P41" i="79"/>
  <c r="R41" i="79"/>
  <c r="S41" i="79"/>
  <c r="P40" i="79"/>
  <c r="Q40" i="79"/>
  <c r="R40" i="79"/>
  <c r="S40" i="79"/>
  <c r="P38" i="79"/>
  <c r="Q38" i="79"/>
  <c r="S38" i="79"/>
  <c r="R38" i="79"/>
  <c r="T37" i="79"/>
  <c r="P37" i="79"/>
  <c r="Q37" i="79"/>
  <c r="R37" i="79"/>
  <c r="S36" i="79"/>
  <c r="T36" i="79"/>
  <c r="P36" i="79"/>
  <c r="Q32" i="79"/>
  <c r="S32" i="79"/>
  <c r="T32" i="79"/>
  <c r="R32" i="79"/>
  <c r="R31" i="79"/>
  <c r="Q30" i="79"/>
  <c r="P30" i="79"/>
  <c r="R30" i="79"/>
  <c r="S30" i="79"/>
  <c r="Q28" i="79"/>
  <c r="S28" i="79"/>
  <c r="P28" i="79"/>
  <c r="T28" i="79"/>
  <c r="P27" i="79"/>
  <c r="T23" i="79"/>
  <c r="Q22" i="79"/>
  <c r="R22" i="79"/>
  <c r="P22" i="79"/>
  <c r="S22" i="79"/>
  <c r="P19" i="79"/>
  <c r="Q19" i="79"/>
  <c r="T19" i="79"/>
  <c r="R19" i="79"/>
  <c r="Q18" i="79"/>
  <c r="P18" i="79"/>
  <c r="R18" i="79"/>
  <c r="T18" i="79"/>
  <c r="Q16" i="79"/>
  <c r="P16" i="79"/>
  <c r="R16" i="79"/>
  <c r="S16" i="79"/>
  <c r="P15" i="79"/>
  <c r="Q15" i="79"/>
  <c r="S14" i="79"/>
  <c r="T14" i="79"/>
  <c r="P14" i="79"/>
  <c r="Q14" i="79"/>
  <c r="T63" i="79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11" i="79"/>
  <c r="S10" i="79"/>
  <c r="R11" i="79"/>
  <c r="Q10" i="79"/>
  <c r="R10" i="79"/>
  <c r="Q11" i="79"/>
  <c r="P13" i="79"/>
  <c r="Q13" i="79"/>
  <c r="P11" i="79"/>
  <c r="R13" i="79"/>
  <c r="S13" i="79"/>
  <c r="T59" i="79" l="1"/>
  <c r="S63" i="79"/>
  <c r="P63" i="79"/>
  <c r="G13" i="85"/>
  <c r="R63" i="79"/>
  <c r="Q63" i="79"/>
  <c r="U84" i="83"/>
  <c r="V84" i="83" s="1"/>
  <c r="P62" i="79"/>
  <c r="Q62" i="79"/>
  <c r="T64" i="79"/>
  <c r="T62" i="79"/>
  <c r="S62" i="79"/>
  <c r="R62" i="79"/>
  <c r="P64" i="79"/>
  <c r="S64" i="79"/>
  <c r="R64" i="79"/>
  <c r="Q64" i="79"/>
  <c r="T79" i="79"/>
  <c r="J31" i="82" s="1"/>
  <c r="P59" i="79"/>
  <c r="R59" i="79"/>
  <c r="T58" i="79"/>
  <c r="S59" i="79"/>
  <c r="U60" i="79"/>
  <c r="P58" i="79"/>
  <c r="R58" i="79"/>
  <c r="Q58" i="79"/>
  <c r="Q59" i="79"/>
  <c r="S58" i="79"/>
  <c r="P79" i="79" l="1"/>
  <c r="F31" i="82" s="1"/>
  <c r="U63" i="79"/>
  <c r="S79" i="79"/>
  <c r="I31" i="82" s="1"/>
  <c r="T80" i="79"/>
  <c r="J32" i="82" s="1"/>
  <c r="T78" i="79"/>
  <c r="J30" i="82" s="1"/>
  <c r="P78" i="79"/>
  <c r="F30" i="82" s="1"/>
  <c r="Q79" i="79"/>
  <c r="G31" i="82" s="1"/>
  <c r="R80" i="79"/>
  <c r="H32" i="82" s="1"/>
  <c r="Q78" i="79"/>
  <c r="G30" i="82" s="1"/>
  <c r="R78" i="79"/>
  <c r="H30" i="82" s="1"/>
  <c r="F13" i="85"/>
  <c r="E13" i="85"/>
  <c r="R79" i="79"/>
  <c r="H31" i="82" s="1"/>
  <c r="H10" i="85"/>
  <c r="C13" i="85"/>
  <c r="H11" i="85"/>
  <c r="H12" i="85"/>
  <c r="D13" i="85"/>
  <c r="Q65" i="79"/>
  <c r="T65" i="79"/>
  <c r="S78" i="79"/>
  <c r="U62" i="79"/>
  <c r="S65" i="79"/>
  <c r="P65" i="79"/>
  <c r="S80" i="79"/>
  <c r="I32" i="82" s="1"/>
  <c r="P80" i="79"/>
  <c r="F32" i="82" s="1"/>
  <c r="R65" i="79"/>
  <c r="U64" i="79"/>
  <c r="Q80" i="79"/>
  <c r="G32" i="82" s="1"/>
  <c r="H18" i="82"/>
  <c r="J18" i="82"/>
  <c r="P61" i="79"/>
  <c r="S61" i="79"/>
  <c r="T61" i="79"/>
  <c r="Q61" i="79"/>
  <c r="R61" i="79"/>
  <c r="U59" i="79"/>
  <c r="U58" i="79"/>
  <c r="T81" i="79" l="1"/>
  <c r="J33" i="82"/>
  <c r="G17" i="85" s="1"/>
  <c r="K32" i="82"/>
  <c r="H33" i="82"/>
  <c r="E18" i="85" s="1"/>
  <c r="G33" i="82"/>
  <c r="U79" i="79"/>
  <c r="K15" i="82"/>
  <c r="I30" i="82"/>
  <c r="F33" i="82"/>
  <c r="R81" i="79"/>
  <c r="K31" i="82"/>
  <c r="H13" i="85"/>
  <c r="Q67" i="79"/>
  <c r="Q68" i="79" s="1"/>
  <c r="T67" i="79"/>
  <c r="T68" i="79" s="1"/>
  <c r="U78" i="79"/>
  <c r="U65" i="79"/>
  <c r="R67" i="79"/>
  <c r="R68" i="79" s="1"/>
  <c r="P67" i="79"/>
  <c r="P68" i="79" s="1"/>
  <c r="S67" i="79"/>
  <c r="S68" i="79" s="1"/>
  <c r="S81" i="79"/>
  <c r="P81" i="79"/>
  <c r="K17" i="82"/>
  <c r="I18" i="82"/>
  <c r="U80" i="79"/>
  <c r="G18" i="82"/>
  <c r="Q81" i="79"/>
  <c r="K16" i="82"/>
  <c r="F18" i="82"/>
  <c r="U61" i="79"/>
  <c r="G18" i="85" l="1"/>
  <c r="G19" i="85"/>
  <c r="E17" i="85"/>
  <c r="E19" i="85"/>
  <c r="C18" i="85"/>
  <c r="I33" i="82"/>
  <c r="F17" i="85" s="1"/>
  <c r="K30" i="82"/>
  <c r="K33" i="82" s="1"/>
  <c r="D18" i="85"/>
  <c r="D19" i="85"/>
  <c r="D17" i="85"/>
  <c r="C17" i="85"/>
  <c r="C19" i="85"/>
  <c r="U81" i="79"/>
  <c r="U67" i="79"/>
  <c r="U68" i="79" s="1"/>
  <c r="V68" i="79" s="1"/>
  <c r="K18" i="82"/>
  <c r="H6" i="85" l="1"/>
  <c r="G20" i="85"/>
  <c r="F18" i="85"/>
  <c r="H18" i="85" s="1"/>
  <c r="E20" i="85"/>
  <c r="F19" i="85"/>
  <c r="D20" i="85"/>
  <c r="C20" i="85"/>
  <c r="H17" i="85"/>
  <c r="H19" i="85" l="1"/>
  <c r="H20" i="85" s="1"/>
  <c r="K12" i="88"/>
  <c r="F20" i="85"/>
  <c r="T76" i="79" l="1"/>
  <c r="J28" i="82" s="1"/>
  <c r="P76" i="79"/>
  <c r="F28" i="82" s="1"/>
  <c r="Q76" i="79"/>
  <c r="G28" i="82" s="1"/>
  <c r="R76" i="79"/>
  <c r="H28" i="82" s="1"/>
  <c r="S76" i="79"/>
  <c r="I28" i="82" s="1"/>
  <c r="T75" i="79"/>
  <c r="J27" i="82" s="1"/>
  <c r="T74" i="79"/>
  <c r="J26" i="82" s="1"/>
  <c r="S75" i="79"/>
  <c r="I27" i="82" s="1"/>
  <c r="P75" i="79"/>
  <c r="F27" i="82" s="1"/>
  <c r="R75" i="79"/>
  <c r="H27" i="82" s="1"/>
  <c r="S74" i="79"/>
  <c r="I26" i="82" s="1"/>
  <c r="Q74" i="79"/>
  <c r="G26" i="82" s="1"/>
  <c r="R74" i="79"/>
  <c r="H26" i="82" s="1"/>
  <c r="P74" i="79"/>
  <c r="F26" i="82" s="1"/>
  <c r="Q75" i="79"/>
  <c r="G27" i="82" s="1"/>
  <c r="F29" i="82" l="1"/>
  <c r="J14" i="82"/>
  <c r="T77" i="79"/>
  <c r="T83" i="79" s="1"/>
  <c r="T84" i="79" s="1"/>
  <c r="F14" i="82"/>
  <c r="P77" i="79"/>
  <c r="P83" i="79" s="1"/>
  <c r="P84" i="79" s="1"/>
  <c r="H14" i="82"/>
  <c r="R77" i="79"/>
  <c r="R83" i="79" s="1"/>
  <c r="R84" i="79" s="1"/>
  <c r="G14" i="82"/>
  <c r="Q77" i="79"/>
  <c r="Q83" i="79" s="1"/>
  <c r="Q84" i="79" s="1"/>
  <c r="I14" i="82"/>
  <c r="S77" i="79"/>
  <c r="S83" i="79" s="1"/>
  <c r="S84" i="79" s="1"/>
  <c r="U76" i="79"/>
  <c r="U75" i="79"/>
  <c r="U74" i="79"/>
  <c r="F35" i="82" l="1"/>
  <c r="F20" i="82"/>
  <c r="J20" i="82"/>
  <c r="G20" i="82"/>
  <c r="H20" i="82"/>
  <c r="I20" i="82"/>
  <c r="H29" i="82"/>
  <c r="J29" i="82"/>
  <c r="I29" i="82"/>
  <c r="G29" i="82"/>
  <c r="F16" i="88" s="1"/>
  <c r="U77" i="79"/>
  <c r="K11" i="82"/>
  <c r="K12" i="82"/>
  <c r="K13" i="82"/>
  <c r="U83" i="79"/>
  <c r="H35" i="82" l="1"/>
  <c r="I35" i="82"/>
  <c r="J35" i="82"/>
  <c r="K11" i="88"/>
  <c r="K14" i="88" s="1"/>
  <c r="G35" i="82"/>
  <c r="U84" i="79"/>
  <c r="V84" i="79" s="1"/>
  <c r="K14" i="82"/>
  <c r="K20" i="82" s="1"/>
  <c r="L20" i="82" s="1"/>
  <c r="K26" i="82" l="1"/>
  <c r="K27" i="82" l="1"/>
  <c r="K28" i="82" l="1"/>
  <c r="K29" i="82" l="1"/>
  <c r="K35" i="82" l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<sst xmlns="http://schemas.openxmlformats.org/spreadsheetml/2006/main" count="546" uniqueCount="172">
  <si>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</si>
  <si>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</si>
  <si>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</si>
  <si>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</si>
  <si>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</si>
  <si>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</si>
  <si>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</si>
  <si>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</si>
  <si>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</si>
  <si>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</si>
  <si>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</si>
  <si>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</si>
  <si>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</si>
  <si>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</si>
  <si>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</si>
  <si>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</si>
  <si>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</si>
  <si>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</si>
  <si>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</si>
  <si>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</si>
  <si>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</si>
  <si>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</si>
  <si>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</si>
  <si>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</si>
  <si>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</si>
  <si>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</si>
  <si>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</si>
  <si>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</si>
  <si>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</si>
  <si>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Powercor</t>
  </si>
  <si>
    <t>CitiPower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</si>
  <si>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</si>
  <si>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</si>
  <si>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</si>
  <si>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</si>
  <si>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</si>
  <si>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</si>
  <si>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</si>
  <si>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</si>
  <si>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</si>
  <si>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</si>
  <si>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</si>
  <si>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</si>
  <si>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</si>
  <si>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</si>
  <si>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</si>
  <si>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</si>
  <si>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</si>
  <si>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</si>
  <si>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 xml:space="preserve">Procurement platform - Hosted Vendor Solution (1 x VPN license and 1 x UE license) </t>
  </si>
  <si>
    <t>Procurement Platform - Procurement, Requirements, High Level Design</t>
  </si>
  <si>
    <t>Capex</t>
  </si>
  <si>
    <t>Procurement Platform - Detailed Design and Implementation - Internal</t>
  </si>
  <si>
    <t>Procurement Platform - Detailed Design and Implementation - Vendor</t>
  </si>
  <si>
    <t>Procurement Platform - Systems and Data Integration</t>
  </si>
  <si>
    <t>Procurement Platform - Project Management</t>
  </si>
  <si>
    <t>Procurement Platform - IT Support</t>
  </si>
  <si>
    <t>Procurement Platform - Program Development</t>
  </si>
  <si>
    <t>Procurement Platform - Program Operation</t>
  </si>
  <si>
    <t>DRS Platform - On Prem Solution Perpetual License (Vendor) (500MW)</t>
  </si>
  <si>
    <t xml:space="preserve">DRS Platform - On Prem Solution Annual Support 25% (Vendor) </t>
  </si>
  <si>
    <t>DRS Platform - Procurement, Requirements, High Level Design</t>
  </si>
  <si>
    <t>DRS Platform -Detailed Design and Implementation -Internal</t>
  </si>
  <si>
    <t>DRS Platform -Detailed Design and Implementation - Vendor</t>
  </si>
  <si>
    <t>DRS Platform - Systems and Data Integration</t>
  </si>
  <si>
    <t>DRS Platform - IT Infrastructure</t>
  </si>
  <si>
    <t>DRS Platform - Project Management</t>
  </si>
  <si>
    <t>DRS Platform - IT Support</t>
  </si>
  <si>
    <t>Summary</t>
  </si>
  <si>
    <t>Capex &amp; Opex</t>
  </si>
  <si>
    <t>Check</t>
  </si>
  <si>
    <t>Summary for Regulation - for Business Case</t>
  </si>
  <si>
    <t>2026-27</t>
  </si>
  <si>
    <t>2027-28</t>
  </si>
  <si>
    <t>2028-29</t>
  </si>
  <si>
    <t>2029-30</t>
  </si>
  <si>
    <t>2030-31</t>
  </si>
  <si>
    <t>License fee - CP - 15%</t>
  </si>
  <si>
    <t>License fee - PAL - 35%</t>
  </si>
  <si>
    <t>License fee - UE - 50%</t>
  </si>
  <si>
    <t>2024-25</t>
  </si>
  <si>
    <t>2025-26</t>
  </si>
  <si>
    <t>Lagged conversion to Jun 26</t>
  </si>
  <si>
    <t>Allocations (%) for licence costs only</t>
  </si>
  <si>
    <t>Regulatory proposal 2026-31</t>
  </si>
  <si>
    <t>Model number:</t>
  </si>
  <si>
    <t>June 2023</t>
  </si>
  <si>
    <t>June 2024</t>
  </si>
  <si>
    <t>June 2025</t>
  </si>
  <si>
    <t>June 2026</t>
  </si>
  <si>
    <t xml:space="preserve">Establish Piclo Flex </t>
  </si>
  <si>
    <t xml:space="preserve">Maintain Service levels with Non-network platform </t>
  </si>
  <si>
    <t xml:space="preserve">Deferred augmentation due to non-network adoption </t>
  </si>
  <si>
    <t>The following assumptions were used in the modelling:</t>
  </si>
  <si>
    <t>Augex Deferral Benefit</t>
  </si>
  <si>
    <t>Establish conversion of tendered MW to contracted MW for Great Britain</t>
  </si>
  <si>
    <t>Flex initiation</t>
  </si>
  <si>
    <t>Year</t>
  </si>
  <si>
    <t>Contracted (MW)</t>
  </si>
  <si>
    <t>Tendered (MW)</t>
  </si>
  <si>
    <t>Conversion rate</t>
  </si>
  <si>
    <t>Year 1</t>
  </si>
  <si>
    <t>Year 2</t>
  </si>
  <si>
    <t>Year 3</t>
  </si>
  <si>
    <t>Year 4</t>
  </si>
  <si>
    <t>Year 5</t>
  </si>
  <si>
    <t>Year 6</t>
  </si>
  <si>
    <t>Year 7</t>
  </si>
  <si>
    <t># Reporting cycle moved from calendar year to regulatory year</t>
  </si>
  <si>
    <t>*As on date figure</t>
  </si>
  <si>
    <r>
      <t>Source:</t>
    </r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>4th July 2024, https://www.energynetworks.org/publications/open-networks-2024-flexibility-figures</t>
    </r>
  </si>
  <si>
    <t>² National Grid: Live, All time demand, https://grid.iamkate.com/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</si>
  <si>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</si>
  <si>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</si>
  <si>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</si>
  <si>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</si>
  <si>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</si>
  <si>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</si>
  <si>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</si>
  <si>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</si>
  <si>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</si>
  <si>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</si>
  <si>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Tender to Contracted Conversion</t>
  </si>
  <si>
    <t># years deferred</t>
  </si>
  <si>
    <t>Deferred augex</t>
  </si>
  <si>
    <t>Non-network platform</t>
  </si>
  <si>
    <t xml:space="preserve">Piclo Flex enables a reduction in augmentation based on an adoption of non-network solutions. The adoption rate of non-network solutions is informed by the take up observed by UK Power Networks. </t>
  </si>
  <si>
    <t>Base augmentation forecast</t>
  </si>
  <si>
    <t>Proportion of constraints deferred</t>
  </si>
  <si>
    <t>Number of years each deferred constraint is deferred for</t>
  </si>
  <si>
    <t>Annual augex deferral</t>
  </si>
  <si>
    <t>Deferral value (valued at the WACC)</t>
  </si>
  <si>
    <t>Post-deferral augex profile</t>
  </si>
  <si>
    <t>Post-deferral augex expenditure profile</t>
  </si>
  <si>
    <t>Cumulative augex deferred</t>
  </si>
  <si>
    <t>Net annual augex deferred (after re-including deferred expenditure in later years)</t>
  </si>
  <si>
    <t>Financial transactions</t>
  </si>
  <si>
    <t>Non-network solution payment proportion of deferral value</t>
  </si>
  <si>
    <t>Non-network solution annual payment</t>
  </si>
  <si>
    <t>Net benefits</t>
  </si>
  <si>
    <t>Annual net benefits of augex deferral</t>
  </si>
  <si>
    <t>All values $jun 2026</t>
  </si>
  <si>
    <t>Base case augex - Customer electrification, maintain service levels</t>
  </si>
  <si>
    <t>Values are in $June 2026 unless otherwise stated</t>
  </si>
  <si>
    <t>The benefit stream for our non-network platform is the value delivered to customers from the net deferral of augmentation in our customer electrification business case less the cost of fees to third-parties to support non-network service provision</t>
  </si>
  <si>
    <t>Tender to contracted conversion rates are informed by UK experiences, including slow initial market development and then roughly 10 per cent per annum increases following maturity</t>
  </si>
  <si>
    <t>The number of years that augex is deferred is assumed to increase year on year as market maturity scales up and non-network service providers become capable of guaranteeing available services over longer time periods</t>
  </si>
  <si>
    <t>The payment to non-network service providers is assumed to decrease over time as the market matures</t>
  </si>
  <si>
    <t xml:space="preserve">United Energy tender position and take up. </t>
  </si>
  <si>
    <t xml:space="preserve">Unescalated direct OPEX costs </t>
  </si>
  <si>
    <t>Reallocate license fee</t>
  </si>
  <si>
    <t>Total Opex</t>
  </si>
  <si>
    <t>Total license fee</t>
  </si>
  <si>
    <t>Unescalated direct OPEX costs</t>
  </si>
  <si>
    <t>Opex (excl real price escalation)</t>
  </si>
  <si>
    <t>Opex (incl real price escalation) *</t>
  </si>
  <si>
    <t>Totex ($ June 2026)</t>
  </si>
  <si>
    <r>
      <t xml:space="preserve">ENA Great Britain Flexibility experience </t>
    </r>
    <r>
      <rPr>
        <b/>
        <sz val="11"/>
        <color theme="1"/>
        <rFont val="Calibri"/>
        <family val="2"/>
      </rPr>
      <t>¹</t>
    </r>
  </si>
  <si>
    <t>Non-network solution cumulative payment</t>
  </si>
  <si>
    <t>CP, PAL &amp; UE</t>
  </si>
  <si>
    <t>* refer to UE MOD 9.03 - Opex step changes - Jan 2025 - Public for the Real price escalation</t>
  </si>
  <si>
    <t>Opex (incl real price escalation) **</t>
  </si>
  <si>
    <t>Totex</t>
  </si>
  <si>
    <t>($ June 2026)</t>
  </si>
  <si>
    <t>** refer to UE MOD 9.03 - Opex step changes - Jan 2025</t>
  </si>
  <si>
    <t>Escalation:</t>
  </si>
  <si>
    <t>PV</t>
  </si>
  <si>
    <t>PV costs</t>
  </si>
  <si>
    <t>PV benefits</t>
  </si>
  <si>
    <t>United Energy NPV summary</t>
  </si>
  <si>
    <t>Maintain status quo</t>
  </si>
  <si>
    <t>Invest in a non-network marketplace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</si>
</sst>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#,##0;\(#,##0\);\-"/>
    <numFmt numFmtId="175" formatCode="_-&quot;$&quot;* #,##0_-;\-&quot;$&quot;* #,##0_-;_-&quot;$&quot;* &quot;-&quot;??_-;_-@_-"/>
    <numFmt numFmtId="176" formatCode="0.00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57" fillId="10" borderId="0" applyNumberFormat="0" applyBorder="0" applyAlignment="0" applyProtection="0"/>
  </cellStyleXfs>
  <cellXfs count="196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45" fillId="0" borderId="0" xfId="0" applyFont="1"/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6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0" fontId="51" fillId="0" borderId="0" xfId="33" applyFont="1"/>
    <xf numFmtId="0" fontId="52" fillId="0" borderId="0" xfId="33" applyFont="1"/>
    <xf numFmtId="173" fontId="53" fillId="0" borderId="0" xfId="33" applyNumberFormat="1" applyFont="1" applyAlignment="1">
      <alignment horizontal="left"/>
    </xf>
    <xf numFmtId="0" fontId="54" fillId="0" borderId="0" xfId="33" applyFont="1"/>
    <xf numFmtId="0" fontId="55" fillId="0" borderId="5" xfId="0" applyFont="1" applyBorder="1"/>
    <xf numFmtId="2" fontId="51" fillId="0" borderId="0" xfId="33" applyNumberFormat="1" applyFont="1" applyAlignment="1">
      <alignment horizontal="left"/>
    </xf>
    <xf numFmtId="49" fontId="23" fillId="0" borderId="0" xfId="0" applyNumberFormat="1" applyFont="1" applyAlignment="1">
      <alignment horizontal="right"/>
    </xf>
    <xf numFmtId="0" fontId="16" fillId="3" borderId="0" xfId="6" applyFont="1" applyFill="1"/>
    <xf numFmtId="0" fontId="59" fillId="3" borderId="0" xfId="6" applyFont="1" applyFill="1"/>
    <xf numFmtId="0" fontId="15" fillId="3" borderId="0" xfId="6" applyFont="1" applyFill="1"/>
    <xf numFmtId="0" fontId="56" fillId="3" borderId="0" xfId="0" applyFont="1" applyFill="1"/>
    <xf numFmtId="0" fontId="14" fillId="3" borderId="0" xfId="35" applyFont="1" applyFill="1"/>
    <xf numFmtId="0" fontId="0" fillId="0" borderId="0" xfId="0" applyAlignment="1">
      <alignment horizontal="center" vertical="top"/>
    </xf>
    <xf numFmtId="0" fontId="0" fillId="5" borderId="17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right"/>
    </xf>
    <xf numFmtId="1" fontId="0" fillId="5" borderId="17" xfId="0" applyNumberFormat="1" applyFill="1" applyBorder="1"/>
    <xf numFmtId="9" fontId="0" fillId="11" borderId="17" xfId="26" applyFont="1" applyFill="1" applyBorder="1" applyAlignment="1">
      <alignment horizontal="center" vertical="center"/>
    </xf>
    <xf numFmtId="0" fontId="61" fillId="5" borderId="0" xfId="0" applyFont="1" applyFill="1"/>
    <xf numFmtId="0" fontId="0" fillId="5" borderId="0" xfId="0" applyFill="1"/>
    <xf numFmtId="0" fontId="61" fillId="5" borderId="0" xfId="0" applyFont="1" applyFill="1" applyAlignment="1">
      <alignment horizontal="left"/>
    </xf>
    <xf numFmtId="0" fontId="58" fillId="0" borderId="0" xfId="0" applyFont="1"/>
    <xf numFmtId="0" fontId="55" fillId="0" borderId="3" xfId="0" applyFont="1" applyBorder="1" applyAlignment="1">
      <alignment horizontal="right"/>
    </xf>
    <xf numFmtId="0" fontId="55" fillId="0" borderId="0" xfId="0" applyFont="1"/>
    <xf numFmtId="174" fontId="55" fillId="0" borderId="0" xfId="0" applyNumberFormat="1" applyFont="1"/>
    <xf numFmtId="1" fontId="55" fillId="5" borderId="0" xfId="0" applyNumberFormat="1" applyFont="1" applyFill="1"/>
    <xf numFmtId="0" fontId="61" fillId="0" borderId="0" xfId="0" applyFont="1"/>
    <xf numFmtId="9" fontId="61" fillId="0" borderId="0" xfId="0" applyNumberFormat="1" applyFont="1"/>
    <xf numFmtId="9" fontId="55" fillId="0" borderId="0" xfId="26" applyFont="1"/>
    <xf numFmtId="1" fontId="61" fillId="0" borderId="0" xfId="0" applyNumberFormat="1" applyFont="1"/>
    <xf numFmtId="9" fontId="55" fillId="0" borderId="0" xfId="0" applyNumberFormat="1" applyFont="1"/>
    <xf numFmtId="175" fontId="55" fillId="0" borderId="0" xfId="32" applyNumberFormat="1" applyFont="1"/>
    <xf numFmtId="6" fontId="55" fillId="0" borderId="0" xfId="0" applyNumberFormat="1" applyFont="1"/>
    <xf numFmtId="0" fontId="13" fillId="4" borderId="12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2" fillId="0" borderId="18" xfId="0" applyFont="1" applyBorder="1"/>
    <xf numFmtId="175" fontId="55" fillId="0" borderId="0" xfId="0" applyNumberFormat="1" applyFont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right"/>
    </xf>
    <xf numFmtId="176" fontId="55" fillId="0" borderId="0" xfId="26" applyNumberFormat="1" applyFont="1"/>
    <xf numFmtId="175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top"/>
    </xf>
    <xf numFmtId="0" fontId="13" fillId="0" borderId="1" xfId="0" applyFont="1" applyBorder="1" applyProtection="1">
      <protection locked="0"/>
    </xf>
    <xf numFmtId="0" fontId="39" fillId="0" borderId="15" xfId="28" applyFont="1" applyBorder="1" applyAlignment="1" applyProtection="1">
      <alignment horizontal="center"/>
      <protection locked="0"/>
    </xf>
    <xf numFmtId="0" fontId="40" fillId="0" borderId="19" xfId="28" applyFont="1" applyBorder="1" applyAlignment="1">
      <alignment vertical="center"/>
    </xf>
    <xf numFmtId="0" fontId="40" fillId="0" borderId="20" xfId="28" applyFont="1" applyBorder="1" applyAlignment="1">
      <alignment vertical="center"/>
    </xf>
    <xf numFmtId="0" fontId="39" fillId="0" borderId="21" xfId="28" applyFont="1" applyBorder="1" applyAlignment="1" applyProtection="1">
      <alignment horizontal="center"/>
      <protection locked="0"/>
    </xf>
    <xf numFmtId="0" fontId="40" fillId="0" borderId="22" xfId="28" applyFont="1" applyBorder="1" applyAlignment="1" applyProtection="1">
      <alignment horizontal="center"/>
      <protection locked="0"/>
    </xf>
    <xf numFmtId="175" fontId="13" fillId="0" borderId="22" xfId="32" applyNumberFormat="1" applyFont="1" applyFill="1" applyBorder="1" applyAlignment="1" applyProtection="1">
      <alignment horizontal="center"/>
      <protection locked="0"/>
    </xf>
    <xf numFmtId="175" fontId="13" fillId="0" borderId="23" xfId="32" applyNumberFormat="1" applyFont="1" applyFill="1" applyBorder="1" applyAlignment="1" applyProtection="1">
      <alignment horizontal="center"/>
      <protection locked="0"/>
    </xf>
    <xf numFmtId="175" fontId="13" fillId="0" borderId="24" xfId="32" applyNumberFormat="1" applyFont="1" applyFill="1" applyBorder="1" applyAlignment="1" applyProtection="1">
      <alignment horizontal="center"/>
      <protection locked="0"/>
    </xf>
    <xf numFmtId="0" fontId="40" fillId="0" borderId="16" xfId="28" applyFont="1" applyBorder="1" applyAlignment="1" applyProtection="1">
      <alignment horizontal="center"/>
      <protection locked="0"/>
    </xf>
    <xf numFmtId="175" fontId="13" fillId="0" borderId="16" xfId="32" applyNumberFormat="1" applyFont="1" applyFill="1" applyBorder="1" applyAlignment="1" applyProtection="1">
      <alignment horizontal="center"/>
      <protection locked="0"/>
    </xf>
    <xf numFmtId="175" fontId="13" fillId="0" borderId="25" xfId="32" applyNumberFormat="1" applyFont="1" applyFill="1" applyBorder="1" applyAlignment="1" applyProtection="1">
      <alignment horizontal="center"/>
      <protection locked="0"/>
    </xf>
    <xf numFmtId="175" fontId="13" fillId="0" borderId="26" xfId="32" applyNumberFormat="1" applyFont="1" applyFill="1" applyBorder="1" applyAlignment="1" applyProtection="1">
      <alignment horizontal="center"/>
      <protection locked="0"/>
    </xf>
    <xf numFmtId="166" fontId="12" fillId="0" borderId="0" xfId="0" applyNumberFormat="1" applyFont="1"/>
    <xf numFmtId="174" fontId="55" fillId="2" borderId="0" xfId="0" applyNumberFormat="1" applyFont="1" applyFill="1"/>
    <xf numFmtId="9" fontId="61" fillId="2" borderId="0" xfId="0" applyNumberFormat="1" applyFont="1" applyFill="1"/>
    <xf numFmtId="9" fontId="55" fillId="2" borderId="0" xfId="26" applyFont="1" applyFill="1"/>
    <xf numFmtId="1" fontId="61" fillId="2" borderId="0" xfId="0" applyNumberFormat="1" applyFont="1" applyFill="1"/>
    <xf numFmtId="175" fontId="62" fillId="0" borderId="0" xfId="32" applyNumberFormat="1" applyFont="1" applyFill="1"/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49" fontId="31" fillId="2" borderId="1" xfId="26" applyNumberFormat="1" applyFont="1" applyFill="1" applyBorder="1" applyAlignment="1">
      <alignment horizontal="right"/>
    </xf>
    <xf numFmtId="7" fontId="31" fillId="2" borderId="1" xfId="26" applyNumberFormat="1" applyFont="1" applyFill="1" applyBorder="1" applyAlignment="1">
      <alignment horizontal="right"/>
    </xf>
    <xf numFmtId="6" fontId="55" fillId="0" borderId="5" xfId="0" applyNumberFormat="1" applyFont="1" applyBorder="1"/>
    <xf numFmtId="0" fontId="0" fillId="0" borderId="0" xfId="0" applyAlignment="1">
      <alignment horizontal="left" vertical="top" wrapText="1"/>
    </xf>
  </cellXfs>
  <cellStyles count="36">
    <cellStyle name="Accent1" xfId="35" builtinId="29"/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8821C44-AF1E-4FF6-A372-5FF81E930ED9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FCAD2781-6C6E-43BD-A9D5-4219CA35499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6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Flexibility Services in GB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400" b="0" i="0" baseline="0">
                <a:effectLst/>
              </a:rPr>
              <a:t>(Tendered and Contracted Services for delivery in the reporting year)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14033641512721329"/>
          <c:y val="2.9649646816091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Contracted (MW)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116.1</c:v>
              </c:pt>
              <c:pt idx="1">
                <c:v>256.14999999999998</c:v>
              </c:pt>
              <c:pt idx="2">
                <c:v>1165.547</c:v>
              </c:pt>
              <c:pt idx="3">
                <c:v>1869.01</c:v>
              </c:pt>
              <c:pt idx="4">
                <c:v>2349</c:v>
              </c:pt>
              <c:pt idx="5">
                <c:v>3236.64</c:v>
              </c:pt>
              <c:pt idx="6">
                <c:v>3992</c:v>
              </c:pt>
            </c:numLit>
          </c:val>
          <c:extLst>
            <c:ext xmlns:c16="http://schemas.microsoft.com/office/drawing/2014/chart" uri="{C3380CC4-5D6E-409C-BE32-E72D297353CC}">
              <c16:uniqueId val="{00000000-0A6F-4B6A-BDF2-1DDF802B1890}"/>
            </c:ext>
          </c:extLst>
        </c:ser>
        <c:ser>
          <c:idx val="1"/>
          <c:order val="1"/>
          <c:tx>
            <c:v>Tendered (MW)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0</c:v>
              </c:pt>
              <c:pt idx="1">
                <c:v>1306.3491215751517</c:v>
              </c:pt>
              <c:pt idx="2">
                <c:v>2064.52</c:v>
              </c:pt>
              <c:pt idx="3">
                <c:v>3259.54</c:v>
              </c:pt>
              <c:pt idx="4">
                <c:v>4628.26</c:v>
              </c:pt>
              <c:pt idx="5">
                <c:v>6441</c:v>
              </c:pt>
              <c:pt idx="6">
                <c:v>5150.67</c:v>
              </c:pt>
            </c:numLit>
          </c:val>
          <c:extLst>
            <c:ext xmlns:c16="http://schemas.microsoft.com/office/drawing/2014/chart" uri="{C3380CC4-5D6E-409C-BE32-E72D297353CC}">
              <c16:uniqueId val="{00000001-0A6F-4B6A-BDF2-1DDF802B1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203215"/>
        <c:axId val="503203631"/>
      </c:barChart>
      <c:catAx>
        <c:axId val="50320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631"/>
        <c:crosses val="autoZero"/>
        <c:auto val="1"/>
        <c:lblAlgn val="ctr"/>
        <c:lblOffset val="100"/>
        <c:noMultiLvlLbl val="0"/>
      </c:catAx>
      <c:valAx>
        <c:axId val="50320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MW of flexibility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 tender</a:t>
            </a:r>
            <a:r>
              <a:rPr lang="en-US" b="1" baseline="0"/>
              <a:t> to contract conversion ratio in GB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'Piclo Benefits'!$F$42</c:f>
              <c:strCache>
                <c:ptCount val="1"/>
                <c:pt idx="0">
                  <c:v>Conversion rate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'Piclo Benefits'!$F$43:$F$49</c:f>
              <c:numCache>
                <c:formatCode>0%</c:formatCode>
                <c:ptCount val="7"/>
                <c:pt idx="0">
                  <c:v>0</c:v>
                </c:pt>
                <c:pt idx="1">
                  <c:v>0.19608081466854968</c:v>
                </c:pt>
                <c:pt idx="2">
                  <c:v>0.56456076957355705</c:v>
                </c:pt>
                <c:pt idx="3">
                  <c:v>0.57339685967958665</c:v>
                </c:pt>
                <c:pt idx="4">
                  <c:v>0.50753414890261128</c:v>
                </c:pt>
                <c:pt idx="5">
                  <c:v>0.5025058220773172</c:v>
                </c:pt>
                <c:pt idx="6">
                  <c:v>0.77504479999689357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5A-437D-B216-0C82BD70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304608"/>
        <c:axId val="1995525712"/>
      </c:lineChart>
      <c:catAx>
        <c:axId val="18973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525712"/>
        <c:crosses val="autoZero"/>
        <c:auto val="1"/>
        <c:lblAlgn val="ctr"/>
        <c:lblOffset val="100"/>
        <c:tickMarkSkip val="1"/>
        <c:noMultiLvlLbl val="0"/>
      </c:catAx>
      <c:valAx>
        <c:axId val="19955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30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 Augex deferred through</a:t>
            </a:r>
            <a:r>
              <a:rPr lang="en-US" b="1" baseline="0"/>
              <a:t> Flex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'Piclo Benefits'!$B$71</c:f>
              <c:strCache>
                <c:ptCount val="1"/>
                <c:pt idx="0">
                  <c:v>Annual augex deferral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Benefits'!$C$71:$S$71</c:f>
              <c:numCache>
                <c:formatCode>0%</c:formatCode>
                <c:ptCount val="17"/>
                <c:pt idx="2" formatCode="_-&quot;$&quot;* #,##0_-;\-&quot;$&quot;* #,##0_-;_-&quot;$&quot;* &quot;-&quot;??_-;_-@_-">
                  <c:v>0</c:v>
                </c:pt>
                <c:pt idx="3" formatCode="_-&quot;$&quot;* #,##0_-;\-&quot;$&quot;* #,##0_-;_-&quot;$&quot;* &quot;-&quot;??_-;_-@_-">
                  <c:v>8809.5615443425031</c:v>
                </c:pt>
                <c:pt idx="4" formatCode="_-&quot;$&quot;* #,##0_-;\-&quot;$&quot;* #,##0_-;_-&quot;$&quot;* &quot;-&quot;??_-;_-@_-">
                  <c:v>154704.49541284394</c:v>
                </c:pt>
                <c:pt idx="5" formatCode="_-&quot;$&quot;* #,##0_-;\-&quot;$&quot;* #,##0_-;_-&quot;$&quot;* &quot;-&quot;??_-;_-@_-">
                  <c:v>348407.41571100894</c:v>
                </c:pt>
                <c:pt idx="6" formatCode="_-&quot;$&quot;* #,##0_-;\-&quot;$&quot;* #,##0_-;_-&quot;$&quot;* &quot;-&quot;??_-;_-@_-">
                  <c:v>612371.96100917389</c:v>
                </c:pt>
                <c:pt idx="7" formatCode="_-&quot;$&quot;* #,##0_-;\-&quot;$&quot;* #,##0_-;_-&quot;$&quot;* &quot;-&quot;??_-;_-@_-">
                  <c:v>1081857.1311162075</c:v>
                </c:pt>
                <c:pt idx="8" formatCode="_-&quot;$&quot;* #,##0_-;\-&quot;$&quot;* #,##0_-;_-&quot;$&quot;* &quot;-&quot;??_-;_-@_-">
                  <c:v>642453.39067278244</c:v>
                </c:pt>
                <c:pt idx="9" formatCode="_-&quot;$&quot;* #,##0_-;\-&quot;$&quot;* #,##0_-;_-&quot;$&quot;* &quot;-&quot;??_-;_-@_-">
                  <c:v>1645883.9373088675</c:v>
                </c:pt>
                <c:pt idx="10" formatCode="_-&quot;$&quot;* #,##0_-;\-&quot;$&quot;* #,##0_-;_-&quot;$&quot;* &quot;-&quot;??_-;_-@_-">
                  <c:v>1656627.3050458704</c:v>
                </c:pt>
                <c:pt idx="11" formatCode="_-&quot;$&quot;* #,##0_-;\-&quot;$&quot;* #,##0_-;_-&quot;$&quot;* &quot;-&quot;??_-;_-@_-">
                  <c:v>4181318.7232415881</c:v>
                </c:pt>
                <c:pt idx="12" formatCode="_-&quot;$&quot;* #,##0_-;\-&quot;$&quot;* #,##0_-;_-&quot;$&quot;* &quot;-&quot;??_-;_-@_-">
                  <c:v>5226648.4040519847</c:v>
                </c:pt>
                <c:pt idx="13" formatCode="_-&quot;$&quot;* #,##0_-;\-&quot;$&quot;* #,##0_-;_-&quot;$&quot;* &quot;-&quot;??_-;_-@_-">
                  <c:v>6271978.0848623812</c:v>
                </c:pt>
                <c:pt idx="14" formatCode="_-&quot;$&quot;* #,##0_-;\-&quot;$&quot;* #,##0_-;_-&quot;$&quot;* &quot;-&quot;??_-;_-@_-">
                  <c:v>7317307.7656727778</c:v>
                </c:pt>
                <c:pt idx="15" formatCode="_-&quot;$&quot;* #,##0_-;\-&quot;$&quot;* #,##0_-;_-&quot;$&quot;* &quot;-&quot;??_-;_-@_-">
                  <c:v>8362637.4464831762</c:v>
                </c:pt>
                <c:pt idx="16" formatCode="_-&quot;$&quot;* #,##0_-;\-&quot;$&quot;* #,##0_-;_-&quot;$&quot;* &quot;-&quot;??_-;_-@_-">
                  <c:v>8362637.4464831762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A-468A-B72E-D07C57EB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 tender to contract conversion ratio in PC</a:t>
            </a:r>
          </a:p>
        </c:rich>
      </c:tx>
      <c:layout>
        <c:manualLayout>
          <c:xMode val="edge"/>
          <c:yMode val="edge"/>
          <c:x val="0.1410175768845221"/>
          <c:y val="5.5478502080443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'Piclo Benefits'!$B$65</c:f>
              <c:strCache>
                <c:ptCount val="1"/>
                <c:pt idx="0">
                  <c:v>Tender to Contracted Conversion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Benefits'!$C$65:$S$65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60-4E78-97CE-D7EB192B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170064"/>
        <c:axId val="1992823088"/>
      </c:scatterChart>
      <c:valAx>
        <c:axId val="544170064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823088"/>
        <c:crosses val="autoZero"/>
        <c:crossBetween val="midCat"/>
      </c:valAx>
      <c:valAx>
        <c:axId val="199282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7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 Augex deferred through</a:t>
            </a:r>
            <a:r>
              <a:rPr lang="en-US" b="1" baseline="0"/>
              <a:t> Flex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'Piclo Benefits'!$B$79</c:f>
              <c:strCache>
                <c:ptCount val="1"/>
                <c:pt idx="0">
                  <c:v>Cumulative augex deferred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Benefits'!$C$79:$S$79</c:f>
              <c:numCache>
                <c:formatCode>_-"$"* #,##0_-;\-"$"* #,##0_-;_-"$"* "-"??_-;_-@_-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8809.5615443425486</c:v>
                </c:pt>
                <c:pt idx="4">
                  <c:v>154704.49541284388</c:v>
                </c:pt>
                <c:pt idx="5">
                  <c:v>503111.91112385376</c:v>
                </c:pt>
                <c:pt idx="6">
                  <c:v>960779.37672018504</c:v>
                </c:pt>
                <c:pt idx="7">
                  <c:v>1694229.0921253846</c:v>
                </c:pt>
                <c:pt idx="8">
                  <c:v>2336682.482798167</c:v>
                </c:pt>
                <c:pt idx="9">
                  <c:v>3370194.4590978608</c:v>
                </c:pt>
                <c:pt idx="10">
                  <c:v>3944964.6330275233</c:v>
                </c:pt>
                <c:pt idx="11">
                  <c:v>8126283.3562691119</c:v>
                </c:pt>
                <c:pt idx="12">
                  <c:v>12710478.369648315</c:v>
                </c:pt>
                <c:pt idx="13">
                  <c:v>17336572.51720183</c:v>
                </c:pt>
                <c:pt idx="14">
                  <c:v>24653880.282874607</c:v>
                </c:pt>
                <c:pt idx="15">
                  <c:v>33016517.729357783</c:v>
                </c:pt>
                <c:pt idx="16">
                  <c:v>41379155.175840959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4A-4C67-9822-33048C932C16}"/>
            </c:ext>
          </c:extLst>
        </c:ser>
        <c:ser>
          <c:idx val="1"/>
          <c:order val="1"/>
          <c:tx>
            <c:strRef>
              <c:f>'Piclo Benefits'!$B$62</c:f>
              <c:strCache>
                <c:ptCount val="1"/>
                <c:pt idx="0">
                  <c:v>Base case augex - Customer electrification, maintain service levels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Benefits'!$C$62:$S$62</c:f>
              <c:numCache>
                <c:formatCode>0</c:formatCode>
                <c:ptCount val="17"/>
                <c:pt idx="2" formatCode="#,##0;\(#,##0\);\-">
                  <c:v>6993932.3967889864</c:v>
                </c:pt>
                <c:pt idx="3" formatCode="#,##0;\(#,##0\);\-">
                  <c:v>880956.1544342502</c:v>
                </c:pt>
                <c:pt idx="4" formatCode="#,##0;\(#,##0\);\-">
                  <c:v>7735224.7706421968</c:v>
                </c:pt>
                <c:pt idx="5" formatCode="#,##0;\(#,##0\);\-">
                  <c:v>11613580.523700299</c:v>
                </c:pt>
                <c:pt idx="6" formatCode="#,##0;\(#,##0\);\-">
                  <c:v>15309299.025229348</c:v>
                </c:pt>
                <c:pt idx="7" formatCode="#,##0;\(#,##0\);\-">
                  <c:v>21637142.622324146</c:v>
                </c:pt>
                <c:pt idx="8" formatCode="#,##0;\(#,##0\);\-">
                  <c:v>6424533.9067278244</c:v>
                </c:pt>
                <c:pt idx="9" formatCode="#,##0;\(#,##0\);\-">
                  <c:v>8229419.6865443373</c:v>
                </c:pt>
                <c:pt idx="10" formatCode="#,##0;\(#,##0\);\-">
                  <c:v>5522091.0168195684</c:v>
                </c:pt>
                <c:pt idx="11" formatCode="#,##0;\(#,##0\);\-">
                  <c:v>10453296.808103969</c:v>
                </c:pt>
                <c:pt idx="12" formatCode="#,##0;\(#,##0\);\-">
                  <c:v>10453296.808103969</c:v>
                </c:pt>
                <c:pt idx="13" formatCode="#,##0;\(#,##0\);\-">
                  <c:v>10453296.808103969</c:v>
                </c:pt>
                <c:pt idx="14" formatCode="#,##0;\(#,##0\);\-">
                  <c:v>10453296.808103969</c:v>
                </c:pt>
                <c:pt idx="15" formatCode="#,##0;\(#,##0\);\-">
                  <c:v>10453296.808103969</c:v>
                </c:pt>
                <c:pt idx="16" formatCode="#,##0;\(#,##0\);\-">
                  <c:v>10453296.808103969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4A-4C67-9822-33048C93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  <c:max val="1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08C75D40-52AC-4C76-A25C-5F70B6B1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872490</xdr:colOff>
      <xdr:row>19</xdr:row>
      <xdr:rowOff>91442</xdr:rowOff>
    </xdr:from>
    <xdr:to>
      <xdr:col>7</xdr:col>
      <xdr:colOff>837165</xdr:colOff>
      <xdr:row>39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5604B4-2DB4-49EF-8715-271979D07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132397</xdr:colOff>
      <xdr:row>19</xdr:row>
      <xdr:rowOff>107630</xdr:rowOff>
    </xdr:from>
    <xdr:to>
      <xdr:col>13</xdr:col>
      <xdr:colOff>72622</xdr:colOff>
      <xdr:row>39</xdr:row>
      <xdr:rowOff>185630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AE0F67-5D2D-4887-AEF2-CB71623CC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401002</xdr:colOff>
      <xdr:row>88</xdr:row>
      <xdr:rowOff>82867</xdr:rowOff>
    </xdr:from>
    <xdr:to>
      <xdr:col>8</xdr:col>
      <xdr:colOff>955102</xdr:colOff>
      <xdr:row>103</xdr:row>
      <xdr:rowOff>159367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0FD0F4-2B52-47EE-A8F3-29B9863FD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54291</xdr:colOff>
      <xdr:row>88</xdr:row>
      <xdr:rowOff>73342</xdr:rowOff>
    </xdr:from>
    <xdr:to>
      <xdr:col>4</xdr:col>
      <xdr:colOff>46416</xdr:colOff>
      <xdr:row>103</xdr:row>
      <xdr:rowOff>149842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3812DD-7A36-4CF9-8F60-22851ADE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371474</xdr:colOff>
      <xdr:row>88</xdr:row>
      <xdr:rowOff>66675</xdr:rowOff>
    </xdr:from>
    <xdr:to>
      <xdr:col>13</xdr:col>
      <xdr:colOff>925574</xdr:colOff>
      <xdr:row>103</xdr:row>
      <xdr:rowOff>143828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4CB19B-6F56-4B07-B870-6F17E711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598E"/>
    </a:accent1>
    <a:accent2>
      <a:srgbClr val="FF7232"/>
    </a:accent2>
    <a:accent3>
      <a:srgbClr val="A6ACA9"/>
    </a:accent3>
    <a:accent4>
      <a:srgbClr val="FFE600"/>
    </a:accent4>
    <a:accent5>
      <a:srgbClr val="009FE3"/>
    </a:accent5>
    <a:accent6>
      <a:srgbClr val="BECC00"/>
    </a:accent6>
    <a:hlink>
      <a:srgbClr val="009FE3"/>
    </a:hlink>
    <a:folHlink>
      <a:srgbClr val="FF723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FBC-8A9C-481E-9A30-2CA6D874C7F0}">
  <dimension ref="A1:K43"/>
  <sheetViews>
    <sheetView showGridLines="0" workbookViewId="0">
      <selection activeCell="E23" sqref="E23"/>
    </sheetView>
  </sheetViews>
  <sheetFormatPr defaultColWidth="0" defaultRowHeight="12.95" customHeight="1" zeroHeight="1" x14ac:dyDescent="0.2"/>
  <cols>
    <col min="1" max="1" width="12.85546875" style="123" customWidth="1"/>
    <col min="2" max="2" width="2.5703125" style="123" customWidth="1"/>
    <col min="3" max="3" width="16.85546875" style="123" customWidth="1"/>
    <col min="4" max="11" width="10.5703125" style="123" customWidth="1"/>
    <col min="12" max="16384" width="10.5703125" style="123" hidden="1"/>
  </cols>
  <sheetData>
    <row r="1" spans="1:11" ht="1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3.25" x14ac:dyDescent="0.35">
      <c r="A2" s="121"/>
      <c r="B2" s="122"/>
      <c r="C2" s="124" t="s">
        <v>31</v>
      </c>
      <c r="D2" s="125"/>
      <c r="E2" s="125"/>
      <c r="F2" s="122"/>
      <c r="G2" s="122"/>
      <c r="H2" s="122"/>
      <c r="I2" s="122"/>
      <c r="J2" s="122"/>
      <c r="K2" s="122"/>
    </row>
    <row r="3" spans="1:11" ht="15.75" x14ac:dyDescent="0.25">
      <c r="A3" s="121"/>
      <c r="B3" s="122"/>
      <c r="C3" s="126" t="s">
        <v>84</v>
      </c>
      <c r="D3" s="125"/>
      <c r="E3" s="125"/>
      <c r="F3" s="122"/>
      <c r="G3" s="122"/>
      <c r="H3" s="122"/>
      <c r="I3" s="122"/>
      <c r="J3" s="122"/>
      <c r="K3" s="122"/>
    </row>
    <row r="4" spans="1:11" ht="15" x14ac:dyDescent="0.25">
      <c r="A4" s="121"/>
      <c r="B4" s="122"/>
      <c r="C4" s="122"/>
      <c r="D4" s="125"/>
      <c r="E4" s="125"/>
      <c r="F4" s="122"/>
      <c r="G4" s="122"/>
      <c r="H4" s="122"/>
      <c r="I4" s="122"/>
      <c r="J4" s="122"/>
      <c r="K4" s="122"/>
    </row>
    <row r="5" spans="1:11" ht="15" x14ac:dyDescent="0.25">
      <c r="A5" s="121"/>
      <c r="B5" s="122"/>
      <c r="C5" s="12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Non-network platform</v>
      </c>
      <c r="D5" s="122"/>
      <c r="E5" s="122"/>
      <c r="F5" s="122"/>
      <c r="G5" s="122"/>
      <c r="H5" s="122"/>
      <c r="I5" s="122"/>
      <c r="J5" s="122"/>
      <c r="K5" s="122"/>
    </row>
    <row r="6" spans="1:11" ht="15" x14ac:dyDescent="0.25">
      <c r="A6" s="121"/>
      <c r="B6" s="122"/>
      <c r="C6" s="128" t="s">
        <v>85</v>
      </c>
      <c r="D6" s="133" t="str" cm="1">
        <f t="array" aca="1" ref="D6" ca="1">LEFT(_xlfn.TEXTAFTER(CELL("filename")," MOD "),FIND(" - ",_xlfn.TEXTAFTER(CELL("filename")," MOD "),1)-1)</f>
        <v>2.02</v>
      </c>
      <c r="E6" s="128"/>
      <c r="F6" s="122"/>
      <c r="G6" s="122"/>
      <c r="H6" s="122"/>
      <c r="I6" s="122"/>
      <c r="J6" s="122"/>
      <c r="K6" s="122"/>
    </row>
    <row r="7" spans="1:11" ht="15" x14ac:dyDescent="0.25">
      <c r="A7" s="121"/>
      <c r="B7" s="122"/>
      <c r="C7" s="122"/>
      <c r="D7" s="122"/>
      <c r="E7" s="122"/>
      <c r="F7" s="129"/>
      <c r="G7" s="129"/>
      <c r="H7" s="129"/>
      <c r="I7" s="122"/>
      <c r="J7" s="129"/>
      <c r="K7" s="129"/>
    </row>
    <row r="8" spans="1:11" ht="15" x14ac:dyDescent="0.25">
      <c r="A8" s="121"/>
      <c r="B8" s="122"/>
      <c r="C8" s="130">
        <v>45688</v>
      </c>
      <c r="D8" s="122"/>
      <c r="E8" s="122"/>
      <c r="F8" s="129"/>
      <c r="G8" s="129"/>
      <c r="H8" s="129"/>
      <c r="I8" s="122"/>
      <c r="J8" s="129"/>
      <c r="K8" s="129"/>
    </row>
    <row r="9" spans="1:11" ht="15" x14ac:dyDescent="0.25">
      <c r="A9" s="121"/>
      <c r="B9" s="122"/>
      <c r="C9" s="131"/>
      <c r="D9" s="131"/>
      <c r="E9" s="122"/>
      <c r="F9" s="129"/>
      <c r="G9" s="129"/>
      <c r="H9" s="129"/>
      <c r="I9" s="129"/>
      <c r="J9" s="129"/>
      <c r="K9" s="129"/>
    </row>
    <row r="10" spans="1:11" ht="15" x14ac:dyDescent="0.25">
      <c r="A10" s="121"/>
      <c r="B10" s="122"/>
      <c r="C10" s="131"/>
      <c r="D10" s="131"/>
      <c r="E10" s="122"/>
      <c r="F10" s="129"/>
      <c r="G10" s="129"/>
      <c r="H10" s="129"/>
      <c r="I10" s="129"/>
      <c r="J10" s="129"/>
      <c r="K10" s="129"/>
    </row>
    <row r="11" spans="1:11" ht="15" x14ac:dyDescent="0.25">
      <c r="A11" s="121"/>
      <c r="B11" s="122"/>
      <c r="C11" s="131"/>
      <c r="D11" s="131"/>
      <c r="E11" s="122"/>
      <c r="F11" s="129"/>
      <c r="G11" s="129"/>
      <c r="H11" s="129"/>
      <c r="I11" s="129"/>
      <c r="J11" s="129"/>
      <c r="K11" s="129"/>
    </row>
    <row r="12" spans="1:11" ht="15" x14ac:dyDescent="0.25">
      <c r="A12" s="121"/>
      <c r="B12" s="122"/>
      <c r="C12" s="131"/>
      <c r="D12" s="131"/>
      <c r="E12" s="122"/>
      <c r="F12" s="129"/>
      <c r="G12" s="129"/>
      <c r="H12" s="129"/>
      <c r="I12" s="129"/>
      <c r="J12" s="129"/>
      <c r="K12" s="129"/>
    </row>
    <row r="13" spans="1:11" ht="15" x14ac:dyDescent="0.25">
      <c r="A13" s="121"/>
      <c r="B13" s="122"/>
      <c r="C13" s="131"/>
      <c r="D13" s="131"/>
      <c r="E13" s="122"/>
      <c r="F13" s="129"/>
      <c r="G13" s="129"/>
      <c r="H13" s="129"/>
      <c r="I13" s="129"/>
      <c r="J13" s="129"/>
      <c r="K13" s="129"/>
    </row>
    <row r="14" spans="1:11" ht="15" x14ac:dyDescent="0.25">
      <c r="A14" s="121"/>
      <c r="B14" s="122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15" x14ac:dyDescent="0.25">
      <c r="A15" s="121"/>
      <c r="B15" s="122"/>
      <c r="C15" s="127"/>
      <c r="D15" s="129"/>
      <c r="E15" s="129"/>
      <c r="F15" s="129"/>
      <c r="G15" s="129"/>
      <c r="H15" s="129"/>
      <c r="I15" s="129"/>
      <c r="J15" s="129"/>
      <c r="K15" s="129"/>
    </row>
    <row r="16" spans="1:11" ht="15" x14ac:dyDescent="0.25">
      <c r="A16" s="121"/>
      <c r="B16" s="122"/>
      <c r="C16" s="127"/>
      <c r="D16" s="129"/>
      <c r="E16" s="129"/>
      <c r="F16" s="129"/>
      <c r="G16" s="129"/>
      <c r="H16" s="129"/>
      <c r="I16" s="129"/>
      <c r="J16" s="129"/>
      <c r="K16" s="129"/>
    </row>
    <row r="17" spans="1:11" ht="15" x14ac:dyDescent="0.25">
      <c r="A17" s="121"/>
      <c r="B17" s="122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5" x14ac:dyDescent="0.25">
      <c r="A18" s="121"/>
      <c r="B18" s="122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5" x14ac:dyDescent="0.25">
      <c r="A19" s="121"/>
      <c r="B19" s="122"/>
      <c r="C19" s="129"/>
      <c r="D19" s="129"/>
      <c r="E19" s="129"/>
      <c r="F19" s="129"/>
      <c r="H19" s="129"/>
      <c r="I19" s="129"/>
      <c r="J19" s="129"/>
      <c r="K19" s="129"/>
    </row>
    <row r="20" spans="1:11" ht="15" x14ac:dyDescent="0.25">
      <c r="A20" s="121"/>
      <c r="B20" s="122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15" x14ac:dyDescent="0.25">
      <c r="A21" s="121"/>
      <c r="B21" s="122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x14ac:dyDescent="0.25">
      <c r="A22" s="121"/>
      <c r="B22" s="122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15" x14ac:dyDescent="0.25">
      <c r="A23" s="121"/>
      <c r="B23" s="122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5" x14ac:dyDescent="0.25">
      <c r="A24" s="121"/>
      <c r="B24" s="122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5" x14ac:dyDescent="0.25">
      <c r="A25" s="121"/>
      <c r="B25" s="122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15" x14ac:dyDescent="0.25">
      <c r="A26" s="121"/>
      <c r="B26" s="122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15" x14ac:dyDescent="0.25">
      <c r="A27" s="121"/>
      <c r="B27" s="122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15" x14ac:dyDescent="0.25">
      <c r="A28" s="121"/>
      <c r="B28" s="122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" x14ac:dyDescent="0.25">
      <c r="A29" s="121"/>
      <c r="B29" s="122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5" x14ac:dyDescent="0.25">
      <c r="A30" s="121"/>
      <c r="B30" s="122"/>
      <c r="C30" s="129"/>
      <c r="D30" s="122"/>
      <c r="E30" s="129"/>
      <c r="F30" s="129"/>
      <c r="G30" s="129"/>
      <c r="H30" s="129"/>
      <c r="I30" s="129"/>
      <c r="J30" s="129"/>
      <c r="K30" s="129"/>
    </row>
    <row r="31" spans="1:11" ht="1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ht="15" x14ac:dyDescent="0.2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ht="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1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conditionalFormatting sqref="C5">
    <cfRule type="expression" dxfId="15" priority="1">
      <formula>LEFT(C5,1)="&lt;"</formula>
    </cfRule>
  </conditionalFormatting>
  <conditionalFormatting sqref="D6">
    <cfRule type="expression" dxfId="14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4FB-9760-43DA-B1E4-867009138951}">
  <dimension ref="A1:O37"/>
  <sheetViews>
    <sheetView showGridLines="0" tabSelected="1" workbookViewId="0">
      <selection activeCell="H31" sqref="H31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11.28515625" style="1" bestFit="1" customWidth="1"/>
    <col min="13" max="16384" width="9.140625" style="1"/>
  </cols>
  <sheetData>
    <row r="1" spans="1:15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5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5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5" ht="12.75" customHeight="1" x14ac:dyDescent="0.25">
      <c r="E4" s="2"/>
      <c r="O4"/>
    </row>
    <row r="5" spans="1:15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5" ht="12.75" customHeight="1" x14ac:dyDescent="0.25">
      <c r="B6" s="4" t="s">
        <v>0</v>
      </c>
      <c r="D6" s="97" t="str">
        <f>'Project summary'!$D$6</f>
        <v>Option 2</v>
      </c>
      <c r="E6" s="2"/>
      <c r="O6"/>
    </row>
    <row r="7" spans="1:15" ht="12.75" customHeight="1" x14ac:dyDescent="0.25">
      <c r="B7" s="47"/>
      <c r="D7" s="2"/>
      <c r="E7" s="2"/>
      <c r="O7"/>
    </row>
    <row r="8" spans="1:15" ht="12.75" customHeight="1" x14ac:dyDescent="0.25">
      <c r="E8" s="2"/>
      <c r="O8"/>
    </row>
    <row r="9" spans="1:15" ht="12.75" customHeight="1" x14ac:dyDescent="0.25">
      <c r="E9" s="2"/>
      <c r="O9"/>
    </row>
    <row r="10" spans="1:15" ht="12.75" customHeight="1" x14ac:dyDescent="0.25">
      <c r="B10" s="36" t="s">
        <v>1</v>
      </c>
      <c r="C10" s="36"/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O10"/>
    </row>
    <row r="11" spans="1:15" ht="12.75" customHeight="1" x14ac:dyDescent="0.25">
      <c r="C11" s="1" t="s">
        <v>51</v>
      </c>
      <c r="D11" s="109"/>
      <c r="E11" s="2"/>
      <c r="F11" s="6">
        <f>'Project summary'!F14*Assumptions!$B$20</f>
        <v>0</v>
      </c>
      <c r="G11" s="6">
        <f>'Project summary'!G14*Assumptions!$B$20</f>
        <v>0</v>
      </c>
      <c r="H11" s="6">
        <f>'Project summary'!H14*Assumptions!$B$20</f>
        <v>0</v>
      </c>
      <c r="I11" s="6">
        <f>'Project summary'!I14*Assumptions!$B$20</f>
        <v>0</v>
      </c>
      <c r="J11" s="6">
        <f>'Project summary'!J14*Assumptions!$B$20</f>
        <v>0</v>
      </c>
      <c r="K11" s="6">
        <f>SUM(F11:J11)</f>
        <v>0</v>
      </c>
      <c r="O11"/>
    </row>
    <row r="12" spans="1:15" ht="12.75" customHeight="1" x14ac:dyDescent="0.25">
      <c r="C12" s="1" t="s">
        <v>154</v>
      </c>
      <c r="D12" s="109"/>
      <c r="E12" s="2"/>
      <c r="F12" s="6">
        <f>'Project summary'!F18*Assumptions!$B$20</f>
        <v>0</v>
      </c>
      <c r="G12" s="6">
        <f>'Project summary'!G18*Assumptions!$B$20</f>
        <v>0</v>
      </c>
      <c r="H12" s="6">
        <f>'Project summary'!H18*Assumptions!$B$20</f>
        <v>0</v>
      </c>
      <c r="I12" s="6">
        <f>'Project summary'!I18*Assumptions!$B$20</f>
        <v>0</v>
      </c>
      <c r="J12" s="6">
        <f>'Project summary'!J18*Assumptions!$B$20</f>
        <v>0</v>
      </c>
      <c r="K12" s="6">
        <f>SUM(F12:J12)</f>
        <v>0</v>
      </c>
      <c r="O12"/>
    </row>
    <row r="13" spans="1:15" ht="12.75" customHeight="1" x14ac:dyDescent="0.2">
      <c r="C13" s="1" t="s">
        <v>155</v>
      </c>
      <c r="D13" s="109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</row>
    <row r="14" spans="1:15" ht="12.75" customHeight="1" x14ac:dyDescent="0.2">
      <c r="C14" s="103" t="s">
        <v>156</v>
      </c>
      <c r="D14" s="132"/>
      <c r="E14" s="103"/>
      <c r="F14" s="107">
        <f>SUM(F11:F12)</f>
        <v>0</v>
      </c>
      <c r="G14" s="107">
        <f t="shared" ref="G14:K14" si="0">SUM(G11:G12)</f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</row>
    <row r="15" spans="1:15" ht="12.75" customHeight="1" x14ac:dyDescent="0.2">
      <c r="D15" s="109"/>
      <c r="F15" s="6"/>
      <c r="G15" s="6"/>
      <c r="H15" s="6"/>
      <c r="I15" s="6"/>
      <c r="J15" s="6"/>
      <c r="K15" s="6"/>
    </row>
    <row r="16" spans="1:15" ht="12.75" customHeight="1" x14ac:dyDescent="0.2">
      <c r="C16" s="103" t="s">
        <v>166</v>
      </c>
      <c r="D16" s="132"/>
      <c r="E16" s="132"/>
      <c r="F16" s="194">
        <f>NPV(Real_Discount_rate,F14:J14)</f>
        <v>0</v>
      </c>
      <c r="G16" s="6"/>
      <c r="H16" s="6"/>
      <c r="I16" s="6"/>
      <c r="J16" s="6"/>
      <c r="K16" s="6"/>
    </row>
    <row r="17" spans="2:11" ht="12.75" customHeight="1" x14ac:dyDescent="0.2">
      <c r="D17" s="109"/>
      <c r="F17" s="6"/>
      <c r="G17" s="6"/>
      <c r="H17" s="6"/>
      <c r="I17" s="6"/>
      <c r="J17" s="6"/>
      <c r="K17" s="6"/>
    </row>
    <row r="18" spans="2:11" x14ac:dyDescent="0.2">
      <c r="C18" s="1" t="s">
        <v>160</v>
      </c>
    </row>
    <row r="21" spans="2:11" x14ac:dyDescent="0.2">
      <c r="B21" s="36" t="s">
        <v>17</v>
      </c>
      <c r="C21" s="36"/>
      <c r="D21" s="36"/>
      <c r="E21" s="37"/>
      <c r="F21" s="38" t="s">
        <v>3</v>
      </c>
      <c r="G21" s="38" t="s">
        <v>4</v>
      </c>
      <c r="H21" s="38" t="s">
        <v>5</v>
      </c>
      <c r="I21" s="38" t="s">
        <v>6</v>
      </c>
      <c r="J21" s="38" t="s">
        <v>7</v>
      </c>
      <c r="K21" s="75" t="s">
        <v>8</v>
      </c>
    </row>
    <row r="22" spans="2:11" x14ac:dyDescent="0.2">
      <c r="C22" s="1" t="s">
        <v>51</v>
      </c>
      <c r="D22" s="109"/>
      <c r="E22" s="2"/>
      <c r="F22" s="6">
        <f>'Project summary'!F29*Assumptions!$B$20</f>
        <v>1764104.1849977095</v>
      </c>
      <c r="G22" s="6">
        <f>'Project summary'!G29*Assumptions!$B$20</f>
        <v>0</v>
      </c>
      <c r="H22" s="6">
        <f>'Project summary'!H29*Assumptions!$B$20</f>
        <v>0</v>
      </c>
      <c r="I22" s="6">
        <f>'Project summary'!I29*Assumptions!$B$20</f>
        <v>0</v>
      </c>
      <c r="J22" s="6">
        <f>'Project summary'!J29*Assumptions!$B$20</f>
        <v>0</v>
      </c>
      <c r="K22" s="6">
        <f>SUM(F22:J22)</f>
        <v>1764104.1849977095</v>
      </c>
    </row>
    <row r="23" spans="2:11" x14ac:dyDescent="0.2">
      <c r="C23" s="1" t="s">
        <v>154</v>
      </c>
      <c r="D23" s="109"/>
      <c r="E23" s="2"/>
      <c r="F23" s="6">
        <f>'Opex Step Change'!C19</f>
        <v>0</v>
      </c>
      <c r="G23" s="6">
        <f>'Opex Step Change'!D19</f>
        <v>848770.37716590043</v>
      </c>
      <c r="H23" s="6">
        <f>'Opex Step Change'!E19</f>
        <v>848770.37716590043</v>
      </c>
      <c r="I23" s="6">
        <f>'Opex Step Change'!F19</f>
        <v>848770.37716590043</v>
      </c>
      <c r="J23" s="6">
        <f>'Opex Step Change'!G19</f>
        <v>848770.37716590043</v>
      </c>
      <c r="K23" s="6">
        <f>SUM(F23:J23)</f>
        <v>3395081.5086636017</v>
      </c>
    </row>
    <row r="24" spans="2:11" x14ac:dyDescent="0.2">
      <c r="C24" s="1" t="s">
        <v>161</v>
      </c>
      <c r="D24" s="109"/>
      <c r="F24" s="6">
        <v>0</v>
      </c>
      <c r="G24" s="6">
        <v>889629.20172506524</v>
      </c>
      <c r="H24" s="6">
        <v>897791.35485685058</v>
      </c>
      <c r="I24" s="6">
        <v>906889.22380723921</v>
      </c>
      <c r="J24" s="6">
        <v>915672.42174907157</v>
      </c>
      <c r="K24" s="6">
        <f>SUM(F24:J24)</f>
        <v>3609982.2021382269</v>
      </c>
    </row>
    <row r="25" spans="2:11" x14ac:dyDescent="0.2">
      <c r="C25" s="103" t="s">
        <v>162</v>
      </c>
      <c r="D25" s="132" t="s">
        <v>163</v>
      </c>
      <c r="E25" s="103"/>
      <c r="F25" s="107">
        <f>SUM(F22:F23)</f>
        <v>1764104.1849977095</v>
      </c>
      <c r="G25" s="107">
        <f t="shared" ref="G25:K25" si="1">SUM(G22:G23)</f>
        <v>848770.37716590043</v>
      </c>
      <c r="H25" s="107">
        <f t="shared" si="1"/>
        <v>848770.37716590043</v>
      </c>
      <c r="I25" s="107">
        <f t="shared" si="1"/>
        <v>848770.37716590043</v>
      </c>
      <c r="J25" s="107">
        <f t="shared" si="1"/>
        <v>848770.37716590043</v>
      </c>
      <c r="K25" s="107">
        <f t="shared" si="1"/>
        <v>5159185.6936613116</v>
      </c>
    </row>
    <row r="27" spans="2:11" x14ac:dyDescent="0.2">
      <c r="C27" s="103" t="s">
        <v>166</v>
      </c>
      <c r="D27" s="132"/>
      <c r="E27" s="132"/>
      <c r="F27" s="194">
        <f>NPV(Real_Discount_rate,F25:J25)</f>
        <v>4716623.1983108548</v>
      </c>
    </row>
    <row r="29" spans="2:11" x14ac:dyDescent="0.2">
      <c r="C29" s="1" t="s">
        <v>164</v>
      </c>
    </row>
    <row r="32" spans="2:11" x14ac:dyDescent="0.2">
      <c r="B32" s="36" t="s">
        <v>169</v>
      </c>
      <c r="C32" s="36"/>
      <c r="D32" s="36"/>
      <c r="E32" s="37"/>
      <c r="F32" s="38" t="s">
        <v>8</v>
      </c>
    </row>
    <row r="33" spans="3:7" x14ac:dyDescent="0.2">
      <c r="C33" s="1" t="s">
        <v>167</v>
      </c>
      <c r="F33" s="184">
        <f>F27</f>
        <v>4716623.1983108548</v>
      </c>
      <c r="G33" s="184"/>
    </row>
    <row r="34" spans="3:7" x14ac:dyDescent="0.2">
      <c r="C34" s="1" t="s">
        <v>168</v>
      </c>
      <c r="F34" s="184">
        <f>NPV(Real_Discount_rate,SUM('Piclo Benefits'!E87:S87))</f>
        <v>5538792.2826211583</v>
      </c>
      <c r="G34" s="184"/>
    </row>
    <row r="35" spans="3:7" x14ac:dyDescent="0.2">
      <c r="C35" s="1" t="s">
        <v>16</v>
      </c>
      <c r="F35" s="184">
        <f>F34-F33</f>
        <v>822169.08431030344</v>
      </c>
      <c r="G35" s="184"/>
    </row>
    <row r="36" spans="3:7" x14ac:dyDescent="0.2">
      <c r="F36" s="184"/>
      <c r="G36" s="184"/>
    </row>
    <row r="37" spans="3:7" x14ac:dyDescent="0.2">
      <c r="C37" s="1" t="s">
        <v>124</v>
      </c>
      <c r="F37" s="184">
        <f>'Piclo Benefits'!I79</f>
        <v>960779.37672018504</v>
      </c>
      <c r="G37" s="18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54FD-F286-4178-BC07-D496E5075311}">
  <dimension ref="A1:XFD92"/>
  <sheetViews>
    <sheetView showGridLines="0" zoomScale="90" zoomScaleNormal="90" workbookViewId="0">
      <pane xSplit="1" ySplit="6" topLeftCell="B8" activePane="bottomRight" state="frozen"/>
      <selection activeCell="I19" sqref="I19"/>
      <selection pane="topRight" activeCell="I19" sqref="I19"/>
      <selection pane="bottomLeft" activeCell="I19" sqref="I19"/>
      <selection pane="bottomRight" activeCell="M62" sqref="M62"/>
    </sheetView>
  </sheetViews>
  <sheetFormatPr defaultRowHeight="15" x14ac:dyDescent="0.25"/>
  <cols>
    <col min="1" max="1" width="13.28515625" customWidth="1"/>
    <col min="2" max="2" width="28.85546875" customWidth="1"/>
    <col min="3" max="3" width="22.7109375" customWidth="1"/>
    <col min="4" max="4" width="15.7109375" customWidth="1"/>
    <col min="5" max="19" width="14.7109375" customWidth="1"/>
  </cols>
  <sheetData>
    <row r="1" spans="1:22" ht="21" x14ac:dyDescent="0.35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22" ht="18.75" x14ac:dyDescent="0.3">
      <c r="A2" s="137" t="s">
        <v>90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2" x14ac:dyDescent="0.25">
      <c r="A3" s="11" t="s">
        <v>91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5" spans="1:22" s="1" customFormat="1" ht="12.75" x14ac:dyDescent="0.2">
      <c r="A5" s="1" t="s">
        <v>143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7" spans="1:22" x14ac:dyDescent="0.25">
      <c r="A7" s="139"/>
      <c r="B7" s="139" t="s">
        <v>92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9" spans="1:22" x14ac:dyDescent="0.25">
      <c r="B9" t="s">
        <v>144</v>
      </c>
    </row>
    <row r="11" spans="1:22" x14ac:dyDescent="0.25">
      <c r="B11" t="s">
        <v>93</v>
      </c>
    </row>
    <row r="12" spans="1:22" x14ac:dyDescent="0.25">
      <c r="B12" s="140">
        <v>1</v>
      </c>
      <c r="C12" s="195" t="s">
        <v>126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</row>
    <row r="13" spans="1:22" x14ac:dyDescent="0.25">
      <c r="B13" s="140">
        <v>2</v>
      </c>
      <c r="C13" s="170" t="s">
        <v>145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22" x14ac:dyDescent="0.25">
      <c r="B14" s="140">
        <v>3</v>
      </c>
      <c r="C14" s="170" t="s">
        <v>146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22" ht="15" customHeight="1" x14ac:dyDescent="0.25">
      <c r="B15" s="140">
        <v>4</v>
      </c>
      <c r="C15" s="170" t="s">
        <v>147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</row>
    <row r="17" spans="2:16384" s="139" customFormat="1" x14ac:dyDescent="0.25">
      <c r="B17" s="139" t="s">
        <v>94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9" spans="2:16384" x14ac:dyDescent="0.25">
      <c r="B19" t="s">
        <v>95</v>
      </c>
    </row>
    <row r="41" spans="2:6" x14ac:dyDescent="0.25">
      <c r="B41" s="114" t="s">
        <v>157</v>
      </c>
    </row>
    <row r="42" spans="2:6" x14ac:dyDescent="0.25">
      <c r="B42" s="141" t="s">
        <v>96</v>
      </c>
      <c r="C42" s="141" t="s">
        <v>97</v>
      </c>
      <c r="D42" s="141" t="s">
        <v>98</v>
      </c>
      <c r="E42" s="141" t="s">
        <v>99</v>
      </c>
      <c r="F42" s="142" t="s">
        <v>100</v>
      </c>
    </row>
    <row r="43" spans="2:6" x14ac:dyDescent="0.25">
      <c r="B43" s="143" t="s">
        <v>101</v>
      </c>
      <c r="C43" s="143">
        <v>2018</v>
      </c>
      <c r="D43" s="144">
        <v>116.1</v>
      </c>
      <c r="E43" s="144">
        <v>0</v>
      </c>
      <c r="F43" s="145">
        <v>0</v>
      </c>
    </row>
    <row r="44" spans="2:6" x14ac:dyDescent="0.25">
      <c r="B44" s="143" t="s">
        <v>102</v>
      </c>
      <c r="C44" s="143">
        <v>2019</v>
      </c>
      <c r="D44" s="144">
        <v>256.14999999999998</v>
      </c>
      <c r="E44" s="144">
        <v>1306.3491215751517</v>
      </c>
      <c r="F44" s="145">
        <f>D44/E44</f>
        <v>0.19608081466854968</v>
      </c>
    </row>
    <row r="45" spans="2:6" x14ac:dyDescent="0.25">
      <c r="B45" s="143" t="s">
        <v>103</v>
      </c>
      <c r="C45" s="143">
        <v>2020</v>
      </c>
      <c r="D45" s="144">
        <v>1165.547</v>
      </c>
      <c r="E45" s="144">
        <v>2064.52</v>
      </c>
      <c r="F45" s="145">
        <f t="shared" ref="F45:F49" si="0">D45/E45</f>
        <v>0.56456076957355705</v>
      </c>
    </row>
    <row r="46" spans="2:6" x14ac:dyDescent="0.25">
      <c r="B46" s="143" t="s">
        <v>104</v>
      </c>
      <c r="C46" s="143">
        <v>2021</v>
      </c>
      <c r="D46" s="144">
        <v>1869.01</v>
      </c>
      <c r="E46" s="144">
        <v>3259.54</v>
      </c>
      <c r="F46" s="145">
        <f t="shared" si="0"/>
        <v>0.57339685967958665</v>
      </c>
    </row>
    <row r="47" spans="2:6" x14ac:dyDescent="0.25">
      <c r="B47" s="143" t="s">
        <v>105</v>
      </c>
      <c r="C47" s="143">
        <v>2022</v>
      </c>
      <c r="D47" s="144">
        <v>2349</v>
      </c>
      <c r="E47" s="144">
        <v>4628.26</v>
      </c>
      <c r="F47" s="145">
        <f t="shared" si="0"/>
        <v>0.50753414890261128</v>
      </c>
    </row>
    <row r="48" spans="2:6" x14ac:dyDescent="0.25">
      <c r="B48" s="143" t="s">
        <v>106</v>
      </c>
      <c r="C48" s="143">
        <v>2023</v>
      </c>
      <c r="D48" s="144">
        <v>3236.64</v>
      </c>
      <c r="E48" s="144">
        <v>6441</v>
      </c>
      <c r="F48" s="145">
        <f t="shared" si="0"/>
        <v>0.5025058220773172</v>
      </c>
    </row>
    <row r="49" spans="1:19" x14ac:dyDescent="0.25">
      <c r="B49" s="143" t="s">
        <v>107</v>
      </c>
      <c r="C49" s="143">
        <v>2024</v>
      </c>
      <c r="D49" s="144">
        <v>3992</v>
      </c>
      <c r="E49" s="144">
        <v>5150.67</v>
      </c>
      <c r="F49" s="145">
        <f t="shared" si="0"/>
        <v>0.77504479999689357</v>
      </c>
    </row>
    <row r="50" spans="1:19" x14ac:dyDescent="0.25">
      <c r="B50" s="146" t="s">
        <v>108</v>
      </c>
      <c r="C50" s="147"/>
      <c r="D50" s="147"/>
    </row>
    <row r="51" spans="1:19" x14ac:dyDescent="0.25">
      <c r="B51" s="148" t="s">
        <v>109</v>
      </c>
      <c r="C51" s="147"/>
      <c r="D51" s="147"/>
    </row>
    <row r="53" spans="1:19" x14ac:dyDescent="0.25">
      <c r="B53" t="s">
        <v>110</v>
      </c>
    </row>
    <row r="54" spans="1:19" x14ac:dyDescent="0.25">
      <c r="B54" s="149" t="s">
        <v>111</v>
      </c>
    </row>
    <row r="56" spans="1:19" ht="18.75" x14ac:dyDescent="0.3">
      <c r="A56" s="136"/>
      <c r="B56" s="136" t="s">
        <v>148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</row>
    <row r="58" spans="1:19" x14ac:dyDescent="0.25">
      <c r="A58" t="s">
        <v>141</v>
      </c>
    </row>
    <row r="59" spans="1:19" x14ac:dyDescent="0.25">
      <c r="B59" s="76" t="s">
        <v>97</v>
      </c>
      <c r="C59" s="150" t="s">
        <v>80</v>
      </c>
      <c r="D59" s="150" t="s">
        <v>81</v>
      </c>
      <c r="E59" s="150" t="s">
        <v>72</v>
      </c>
      <c r="F59" s="150" t="s">
        <v>73</v>
      </c>
      <c r="G59" s="150" t="s">
        <v>74</v>
      </c>
      <c r="H59" s="150" t="s">
        <v>75</v>
      </c>
      <c r="I59" s="150" t="s">
        <v>76</v>
      </c>
      <c r="J59" s="150" t="s">
        <v>112</v>
      </c>
      <c r="K59" s="150" t="s">
        <v>113</v>
      </c>
      <c r="L59" s="150" t="s">
        <v>114</v>
      </c>
      <c r="M59" s="150" t="s">
        <v>115</v>
      </c>
      <c r="N59" s="150" t="s">
        <v>116</v>
      </c>
      <c r="O59" s="150" t="s">
        <v>117</v>
      </c>
      <c r="P59" s="150" t="s">
        <v>118</v>
      </c>
      <c r="Q59" s="150" t="s">
        <v>119</v>
      </c>
      <c r="R59" s="150" t="s">
        <v>120</v>
      </c>
      <c r="S59" s="150" t="s">
        <v>121</v>
      </c>
    </row>
    <row r="60" spans="1:19" x14ac:dyDescent="0.25"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</row>
    <row r="61" spans="1:19" x14ac:dyDescent="0.25">
      <c r="B61" s="4" t="s">
        <v>127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</row>
    <row r="62" spans="1:19" x14ac:dyDescent="0.25">
      <c r="B62" s="151" t="s">
        <v>142</v>
      </c>
      <c r="C62" s="151"/>
      <c r="D62" s="153"/>
      <c r="E62" s="185">
        <v>6993932.3967889864</v>
      </c>
      <c r="F62" s="185">
        <v>880956.1544342502</v>
      </c>
      <c r="G62" s="185">
        <v>7735224.7706421968</v>
      </c>
      <c r="H62" s="185">
        <v>11613580.523700299</v>
      </c>
      <c r="I62" s="185">
        <v>15309299.025229348</v>
      </c>
      <c r="J62" s="185">
        <v>21637142.622324146</v>
      </c>
      <c r="K62" s="185">
        <v>6424533.9067278244</v>
      </c>
      <c r="L62" s="185">
        <v>8229419.6865443373</v>
      </c>
      <c r="M62" s="185">
        <v>5522091.0168195684</v>
      </c>
      <c r="N62" s="185">
        <f t="shared" ref="N62" si="1">AVERAGE(J62:M62)</f>
        <v>10453296.808103969</v>
      </c>
      <c r="O62" s="185">
        <f>N62</f>
        <v>10453296.808103969</v>
      </c>
      <c r="P62" s="185">
        <f t="shared" ref="P62:S62" si="2">O62</f>
        <v>10453296.808103969</v>
      </c>
      <c r="Q62" s="185">
        <f t="shared" si="2"/>
        <v>10453296.808103969</v>
      </c>
      <c r="R62" s="185">
        <f t="shared" si="2"/>
        <v>10453296.808103969</v>
      </c>
      <c r="S62" s="185">
        <f t="shared" si="2"/>
        <v>10453296.808103969</v>
      </c>
    </row>
    <row r="63" spans="1:19" x14ac:dyDescent="0.25">
      <c r="B63" s="151"/>
      <c r="C63" s="151"/>
      <c r="D63" s="153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</row>
    <row r="64" spans="1:19" x14ac:dyDescent="0.25">
      <c r="B64" s="4" t="s">
        <v>128</v>
      </c>
      <c r="C64" s="151"/>
      <c r="D64" s="153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</row>
    <row r="65" spans="2:19" x14ac:dyDescent="0.25">
      <c r="B65" s="151" t="s">
        <v>122</v>
      </c>
      <c r="C65" s="186">
        <v>0</v>
      </c>
      <c r="D65" s="186">
        <v>0</v>
      </c>
      <c r="E65" s="186">
        <v>0</v>
      </c>
      <c r="F65" s="186">
        <v>0.01</v>
      </c>
      <c r="G65" s="186">
        <v>0.02</v>
      </c>
      <c r="H65" s="186">
        <v>0.03</v>
      </c>
      <c r="I65" s="186">
        <v>0.04</v>
      </c>
      <c r="J65" s="187">
        <v>0.05</v>
      </c>
      <c r="K65" s="187">
        <v>0.1</v>
      </c>
      <c r="L65" s="187">
        <v>0.2</v>
      </c>
      <c r="M65" s="187">
        <v>0.3</v>
      </c>
      <c r="N65" s="187">
        <v>0.4</v>
      </c>
      <c r="O65" s="187">
        <v>0.5</v>
      </c>
      <c r="P65" s="187">
        <v>0.6</v>
      </c>
      <c r="Q65" s="187">
        <v>0.7</v>
      </c>
      <c r="R65" s="187">
        <v>0.8</v>
      </c>
      <c r="S65" s="187">
        <v>0.8</v>
      </c>
    </row>
    <row r="66" spans="2:19" x14ac:dyDescent="0.25">
      <c r="B66" s="151"/>
      <c r="C66" s="154"/>
      <c r="D66" s="155"/>
      <c r="E66" s="155"/>
      <c r="F66" s="155"/>
      <c r="G66" s="155"/>
      <c r="H66" s="155"/>
      <c r="I66" s="155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2:19" x14ac:dyDescent="0.25">
      <c r="B67" s="4" t="s">
        <v>129</v>
      </c>
      <c r="C67" s="154"/>
      <c r="D67" s="155"/>
      <c r="E67" s="155"/>
      <c r="F67" s="155"/>
      <c r="G67" s="155"/>
      <c r="H67" s="155"/>
      <c r="I67" s="155"/>
      <c r="J67" s="156"/>
      <c r="K67" s="156"/>
      <c r="L67" s="156"/>
      <c r="M67" s="156"/>
      <c r="N67" s="156"/>
      <c r="O67" s="156"/>
      <c r="P67" s="156"/>
      <c r="Q67" s="156"/>
      <c r="R67" s="156"/>
      <c r="S67" s="156"/>
    </row>
    <row r="68" spans="2:19" x14ac:dyDescent="0.25">
      <c r="B68" s="151" t="s">
        <v>123</v>
      </c>
      <c r="C68" s="154"/>
      <c r="D68" s="157"/>
      <c r="E68" s="188">
        <v>1</v>
      </c>
      <c r="F68" s="188">
        <v>1</v>
      </c>
      <c r="G68" s="188">
        <v>2</v>
      </c>
      <c r="H68" s="188">
        <v>2</v>
      </c>
      <c r="I68" s="188">
        <v>3</v>
      </c>
      <c r="J68" s="188">
        <v>3</v>
      </c>
      <c r="K68" s="188">
        <v>4</v>
      </c>
      <c r="L68" s="188">
        <v>4</v>
      </c>
      <c r="M68" s="188">
        <v>5</v>
      </c>
      <c r="N68" s="188">
        <v>5</v>
      </c>
      <c r="O68" s="188">
        <v>5</v>
      </c>
      <c r="P68" s="188">
        <v>5</v>
      </c>
      <c r="Q68" s="188">
        <v>5</v>
      </c>
      <c r="R68" s="188">
        <v>5</v>
      </c>
      <c r="S68" s="188">
        <v>5</v>
      </c>
    </row>
    <row r="69" spans="2:19" x14ac:dyDescent="0.25">
      <c r="B69" s="151"/>
      <c r="C69" s="154"/>
      <c r="D69" s="155"/>
      <c r="E69" s="155"/>
      <c r="F69" s="155"/>
      <c r="G69" s="155"/>
      <c r="H69" s="155"/>
      <c r="I69" s="155"/>
      <c r="J69" s="156"/>
      <c r="K69" s="156"/>
      <c r="L69" s="156"/>
      <c r="M69" s="156"/>
      <c r="N69" s="156"/>
      <c r="O69" s="156"/>
      <c r="P69" s="156"/>
      <c r="Q69" s="156"/>
      <c r="R69" s="156"/>
      <c r="S69" s="156"/>
    </row>
    <row r="70" spans="2:19" x14ac:dyDescent="0.25">
      <c r="B70" s="4" t="s">
        <v>130</v>
      </c>
      <c r="C70" s="154"/>
      <c r="D70" s="155"/>
      <c r="E70" s="155"/>
      <c r="F70" s="155"/>
      <c r="G70" s="155"/>
      <c r="H70" s="155"/>
      <c r="I70" s="155"/>
      <c r="J70" s="156"/>
      <c r="K70" s="156"/>
      <c r="L70" s="156"/>
      <c r="M70" s="156"/>
      <c r="N70" s="156"/>
      <c r="O70" s="156"/>
      <c r="P70" s="156"/>
      <c r="Q70" s="156"/>
      <c r="R70" s="156"/>
      <c r="S70" s="156"/>
    </row>
    <row r="71" spans="2:19" x14ac:dyDescent="0.25">
      <c r="B71" s="151" t="s">
        <v>130</v>
      </c>
      <c r="C71" s="151"/>
      <c r="D71" s="158"/>
      <c r="E71" s="159">
        <f t="shared" ref="E71:S71" si="3">E62*E65</f>
        <v>0</v>
      </c>
      <c r="F71" s="159">
        <f t="shared" si="3"/>
        <v>8809.5615443425031</v>
      </c>
      <c r="G71" s="159">
        <f t="shared" si="3"/>
        <v>154704.49541284394</v>
      </c>
      <c r="H71" s="159">
        <f t="shared" si="3"/>
        <v>348407.41571100894</v>
      </c>
      <c r="I71" s="159">
        <f t="shared" si="3"/>
        <v>612371.96100917389</v>
      </c>
      <c r="J71" s="159">
        <f t="shared" si="3"/>
        <v>1081857.1311162075</v>
      </c>
      <c r="K71" s="159">
        <f t="shared" si="3"/>
        <v>642453.39067278244</v>
      </c>
      <c r="L71" s="159">
        <f t="shared" si="3"/>
        <v>1645883.9373088675</v>
      </c>
      <c r="M71" s="159">
        <f t="shared" si="3"/>
        <v>1656627.3050458704</v>
      </c>
      <c r="N71" s="159">
        <f t="shared" si="3"/>
        <v>4181318.7232415881</v>
      </c>
      <c r="O71" s="159">
        <f t="shared" si="3"/>
        <v>5226648.4040519847</v>
      </c>
      <c r="P71" s="159">
        <f t="shared" si="3"/>
        <v>6271978.0848623812</v>
      </c>
      <c r="Q71" s="159">
        <f t="shared" si="3"/>
        <v>7317307.7656727778</v>
      </c>
      <c r="R71" s="159">
        <f t="shared" si="3"/>
        <v>8362637.4464831762</v>
      </c>
      <c r="S71" s="159">
        <f t="shared" si="3"/>
        <v>8362637.4464831762</v>
      </c>
    </row>
    <row r="72" spans="2:19" x14ac:dyDescent="0.25">
      <c r="B72" s="151" t="s">
        <v>131</v>
      </c>
      <c r="C72" s="151"/>
      <c r="D72" s="151"/>
      <c r="E72" s="160">
        <v>0</v>
      </c>
      <c r="F72" s="164">
        <f t="shared" ref="F72:S72" si="4">F71*Real_Discount_rate*F68</f>
        <v>308.33465405198763</v>
      </c>
      <c r="G72" s="164">
        <f t="shared" si="4"/>
        <v>10829.314678899076</v>
      </c>
      <c r="H72" s="164">
        <f t="shared" si="4"/>
        <v>24388.519099770627</v>
      </c>
      <c r="I72" s="164">
        <f t="shared" si="4"/>
        <v>64299.055905963265</v>
      </c>
      <c r="J72" s="164">
        <f t="shared" si="4"/>
        <v>113594.99876720179</v>
      </c>
      <c r="K72" s="164">
        <f t="shared" si="4"/>
        <v>89943.474694189543</v>
      </c>
      <c r="L72" s="164">
        <f t="shared" si="4"/>
        <v>230423.75122324147</v>
      </c>
      <c r="M72" s="164">
        <f t="shared" si="4"/>
        <v>289909.77838302735</v>
      </c>
      <c r="N72" s="164">
        <f t="shared" si="4"/>
        <v>731730.77656727796</v>
      </c>
      <c r="O72" s="164">
        <f t="shared" si="4"/>
        <v>914663.47070909746</v>
      </c>
      <c r="P72" s="164">
        <f t="shared" si="4"/>
        <v>1097596.1648509167</v>
      </c>
      <c r="Q72" s="164">
        <f t="shared" si="4"/>
        <v>1280528.8589927363</v>
      </c>
      <c r="R72" s="164">
        <f t="shared" si="4"/>
        <v>1463461.5531345559</v>
      </c>
      <c r="S72" s="164">
        <f t="shared" si="4"/>
        <v>1463461.5531345559</v>
      </c>
    </row>
    <row r="73" spans="2:19" x14ac:dyDescent="0.25">
      <c r="B73" s="151"/>
      <c r="C73" s="151"/>
      <c r="D73" s="151"/>
      <c r="E73" s="160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2:19" x14ac:dyDescent="0.25">
      <c r="B74" s="4" t="s">
        <v>132</v>
      </c>
      <c r="C74" s="151"/>
      <c r="D74" s="151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</row>
    <row r="75" spans="2:19" x14ac:dyDescent="0.25">
      <c r="B75" s="151" t="s">
        <v>133</v>
      </c>
      <c r="C75" s="151"/>
      <c r="D75" s="151"/>
      <c r="E75" s="160"/>
      <c r="F75" s="160">
        <f>F62-F71+IF(RIGHT(F59,2)-RIGHT(E59,2)=1,E71,0)+IF(RIGHT(F59,2)-RIGHT(D59,2)=2,D71,0)</f>
        <v>872146.59288990765</v>
      </c>
      <c r="G75" s="160">
        <f>G62-G71+IF(RIGHT(G59,2)-RIGHT(F59,2)=1,F71,0)+IF(RIGHT(G59,2)-RIGHT(E59,2)=2,E71,0)</f>
        <v>7589329.8367736954</v>
      </c>
      <c r="H75" s="160">
        <f>H62-H71+IF(G68=1,G71,0)+IF(F68=2,F71,0)+IF(E68=3,E71,0)+IF(D68=4,D71)</f>
        <v>11265173.107989289</v>
      </c>
      <c r="I75" s="160">
        <f t="shared" ref="I75:S75" si="5">I62-I71+IF(H68=1,H71,0)+IF(G68=2,G71,0)+IF(F68=3,F71,0)+IF(E68=4,E71)+IF(D68=D71,0)</f>
        <v>14851631.559633017</v>
      </c>
      <c r="J75" s="160">
        <f t="shared" si="5"/>
        <v>20903692.906918947</v>
      </c>
      <c r="K75" s="160">
        <f t="shared" si="5"/>
        <v>5782080.5160550419</v>
      </c>
      <c r="L75" s="160">
        <f t="shared" si="5"/>
        <v>7195907.7102446435</v>
      </c>
      <c r="M75" s="160">
        <f t="shared" si="5"/>
        <v>4947320.8428899059</v>
      </c>
      <c r="N75" s="160">
        <f t="shared" si="5"/>
        <v>6271978.0848623812</v>
      </c>
      <c r="O75" s="160">
        <f t="shared" si="5"/>
        <v>5869101.7947247671</v>
      </c>
      <c r="P75" s="160">
        <f t="shared" si="5"/>
        <v>5827202.6605504556</v>
      </c>
      <c r="Q75" s="160">
        <f t="shared" si="5"/>
        <v>3135989.0424311915</v>
      </c>
      <c r="R75" s="160">
        <f t="shared" si="5"/>
        <v>2090659.3616207931</v>
      </c>
      <c r="S75" s="160">
        <f t="shared" si="5"/>
        <v>2090659.3616207931</v>
      </c>
    </row>
    <row r="76" spans="2:19" x14ac:dyDescent="0.25">
      <c r="B76" s="151"/>
      <c r="C76" s="151"/>
      <c r="D76" s="151"/>
      <c r="E76" s="160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</row>
    <row r="77" spans="2:19" x14ac:dyDescent="0.25">
      <c r="B77" s="4" t="s">
        <v>134</v>
      </c>
      <c r="C77" s="151"/>
      <c r="D77" s="151"/>
      <c r="E77" s="160"/>
      <c r="F77" s="167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</row>
    <row r="78" spans="2:19" x14ac:dyDescent="0.25">
      <c r="B78" s="151" t="s">
        <v>135</v>
      </c>
      <c r="C78" s="151"/>
      <c r="D78" s="151"/>
      <c r="E78" s="160"/>
      <c r="F78" s="160">
        <f t="shared" ref="F78:S78" si="6">F62-F75</f>
        <v>8809.5615443425486</v>
      </c>
      <c r="G78" s="160">
        <f t="shared" si="6"/>
        <v>145894.93386850134</v>
      </c>
      <c r="H78" s="160">
        <f t="shared" si="6"/>
        <v>348407.41571100987</v>
      </c>
      <c r="I78" s="160">
        <f t="shared" si="6"/>
        <v>457667.46559633128</v>
      </c>
      <c r="J78" s="160">
        <f t="shared" si="6"/>
        <v>733449.71540519968</v>
      </c>
      <c r="K78" s="160">
        <f t="shared" si="6"/>
        <v>642453.39067278244</v>
      </c>
      <c r="L78" s="160">
        <f t="shared" si="6"/>
        <v>1033511.9762996938</v>
      </c>
      <c r="M78" s="160">
        <f t="shared" si="6"/>
        <v>574770.17392966244</v>
      </c>
      <c r="N78" s="160">
        <f t="shared" si="6"/>
        <v>4181318.7232415881</v>
      </c>
      <c r="O78" s="160">
        <f t="shared" si="6"/>
        <v>4584195.0133792022</v>
      </c>
      <c r="P78" s="160">
        <f t="shared" si="6"/>
        <v>4626094.1475535138</v>
      </c>
      <c r="Q78" s="160">
        <f t="shared" si="6"/>
        <v>7317307.7656727778</v>
      </c>
      <c r="R78" s="160">
        <f t="shared" si="6"/>
        <v>8362637.4464831762</v>
      </c>
      <c r="S78" s="160">
        <f t="shared" si="6"/>
        <v>8362637.4464831762</v>
      </c>
    </row>
    <row r="79" spans="2:19" x14ac:dyDescent="0.25">
      <c r="B79" s="151" t="s">
        <v>134</v>
      </c>
      <c r="C79" s="159">
        <f>C71</f>
        <v>0</v>
      </c>
      <c r="D79" s="159">
        <f>C79+D71</f>
        <v>0</v>
      </c>
      <c r="E79" s="159">
        <f>D79+E72</f>
        <v>0</v>
      </c>
      <c r="F79" s="159">
        <f>E79+F78</f>
        <v>8809.5615443425486</v>
      </c>
      <c r="G79" s="159">
        <f t="shared" ref="G79:S79" si="7">F79+G78</f>
        <v>154704.49541284388</v>
      </c>
      <c r="H79" s="159">
        <f t="shared" si="7"/>
        <v>503111.91112385376</v>
      </c>
      <c r="I79" s="159">
        <f>H79+I78</f>
        <v>960779.37672018504</v>
      </c>
      <c r="J79" s="159">
        <f t="shared" si="7"/>
        <v>1694229.0921253846</v>
      </c>
      <c r="K79" s="159">
        <f t="shared" si="7"/>
        <v>2336682.482798167</v>
      </c>
      <c r="L79" s="159">
        <f t="shared" si="7"/>
        <v>3370194.4590978608</v>
      </c>
      <c r="M79" s="159">
        <f t="shared" si="7"/>
        <v>3944964.6330275233</v>
      </c>
      <c r="N79" s="159">
        <f t="shared" si="7"/>
        <v>8126283.3562691119</v>
      </c>
      <c r="O79" s="159">
        <f t="shared" si="7"/>
        <v>12710478.369648315</v>
      </c>
      <c r="P79" s="159">
        <f t="shared" si="7"/>
        <v>17336572.51720183</v>
      </c>
      <c r="Q79" s="159">
        <f t="shared" si="7"/>
        <v>24653880.282874607</v>
      </c>
      <c r="R79" s="159">
        <f t="shared" si="7"/>
        <v>33016517.729357783</v>
      </c>
      <c r="S79" s="159">
        <f t="shared" si="7"/>
        <v>41379155.175840959</v>
      </c>
    </row>
    <row r="80" spans="2:19" x14ac:dyDescent="0.25">
      <c r="B80" s="151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1:19" x14ac:dyDescent="0.25">
      <c r="B81" s="4" t="s">
        <v>136</v>
      </c>
    </row>
    <row r="82" spans="1:19" x14ac:dyDescent="0.25">
      <c r="B82" s="151" t="s">
        <v>137</v>
      </c>
      <c r="D82" s="155">
        <v>0.5</v>
      </c>
      <c r="E82" s="155">
        <v>0.5</v>
      </c>
      <c r="F82" s="155">
        <v>0.5</v>
      </c>
      <c r="G82" s="155">
        <v>0.5</v>
      </c>
      <c r="H82" s="155">
        <v>0.5</v>
      </c>
      <c r="I82" s="155">
        <v>0.5</v>
      </c>
      <c r="J82" s="155">
        <v>0.45</v>
      </c>
      <c r="K82" s="155">
        <v>0.4</v>
      </c>
      <c r="L82" s="155">
        <v>0.35</v>
      </c>
      <c r="M82" s="155">
        <v>0.3</v>
      </c>
      <c r="N82" s="155">
        <v>0.25</v>
      </c>
      <c r="O82" s="155">
        <v>0.25</v>
      </c>
      <c r="P82" s="155">
        <v>0.25</v>
      </c>
      <c r="Q82" s="155">
        <v>0.25</v>
      </c>
      <c r="R82" s="155">
        <v>0.25</v>
      </c>
      <c r="S82" s="155">
        <v>0.25</v>
      </c>
    </row>
    <row r="83" spans="1:19" x14ac:dyDescent="0.25">
      <c r="B83" s="151" t="s">
        <v>138</v>
      </c>
      <c r="D83" s="160"/>
      <c r="E83" s="160">
        <f t="shared" ref="E83:S83" si="8">E82*-E72</f>
        <v>0</v>
      </c>
      <c r="F83" s="160">
        <f t="shared" si="8"/>
        <v>-154.16732702599381</v>
      </c>
      <c r="G83" s="160">
        <f t="shared" si="8"/>
        <v>-5414.6573394495381</v>
      </c>
      <c r="H83" s="160">
        <f t="shared" si="8"/>
        <v>-12194.259549885313</v>
      </c>
      <c r="I83" s="160">
        <f t="shared" si="8"/>
        <v>-32149.527952981633</v>
      </c>
      <c r="J83" s="160">
        <f t="shared" si="8"/>
        <v>-51117.749445240806</v>
      </c>
      <c r="K83" s="160">
        <f t="shared" si="8"/>
        <v>-35977.389877675821</v>
      </c>
      <c r="L83" s="160">
        <f t="shared" si="8"/>
        <v>-80648.312928134517</v>
      </c>
      <c r="M83" s="160">
        <f t="shared" si="8"/>
        <v>-86972.933514908204</v>
      </c>
      <c r="N83" s="160">
        <f t="shared" si="8"/>
        <v>-182932.69414181949</v>
      </c>
      <c r="O83" s="160">
        <f t="shared" si="8"/>
        <v>-228665.86767727436</v>
      </c>
      <c r="P83" s="160">
        <f t="shared" si="8"/>
        <v>-274399.04121272918</v>
      </c>
      <c r="Q83" s="160">
        <f t="shared" si="8"/>
        <v>-320132.21474818408</v>
      </c>
      <c r="R83" s="160">
        <f t="shared" si="8"/>
        <v>-365865.38828363898</v>
      </c>
      <c r="S83" s="160">
        <f t="shared" si="8"/>
        <v>-365865.38828363898</v>
      </c>
    </row>
    <row r="84" spans="1:19" x14ac:dyDescent="0.25">
      <c r="B84" s="151" t="s">
        <v>158</v>
      </c>
      <c r="E84" s="160">
        <f>D84+E83</f>
        <v>0</v>
      </c>
      <c r="F84" s="160">
        <f t="shared" ref="F84:S84" si="9">E84+F83</f>
        <v>-154.16732702599381</v>
      </c>
      <c r="G84" s="160">
        <f t="shared" si="9"/>
        <v>-5568.8246664755316</v>
      </c>
      <c r="H84" s="160">
        <f t="shared" si="9"/>
        <v>-17763.084216360847</v>
      </c>
      <c r="I84" s="160">
        <f t="shared" si="9"/>
        <v>-49912.612169342479</v>
      </c>
      <c r="J84" s="160">
        <f t="shared" si="9"/>
        <v>-101030.36161458329</v>
      </c>
      <c r="K84" s="160">
        <f t="shared" si="9"/>
        <v>-137007.75149225912</v>
      </c>
      <c r="L84" s="160">
        <f t="shared" si="9"/>
        <v>-217656.06442039364</v>
      </c>
      <c r="M84" s="160">
        <f t="shared" si="9"/>
        <v>-304628.99793530186</v>
      </c>
      <c r="N84" s="160">
        <f t="shared" si="9"/>
        <v>-487561.69207712135</v>
      </c>
      <c r="O84" s="160">
        <f t="shared" si="9"/>
        <v>-716227.55975439574</v>
      </c>
      <c r="P84" s="160">
        <f t="shared" si="9"/>
        <v>-990626.60096712492</v>
      </c>
      <c r="Q84" s="160">
        <f t="shared" si="9"/>
        <v>-1310758.815715309</v>
      </c>
      <c r="R84" s="160">
        <f t="shared" si="9"/>
        <v>-1676624.203998948</v>
      </c>
      <c r="S84" s="160">
        <f t="shared" si="9"/>
        <v>-2042489.592282587</v>
      </c>
    </row>
    <row r="85" spans="1:19" x14ac:dyDescent="0.25">
      <c r="B85" s="151"/>
    </row>
    <row r="86" spans="1:19" x14ac:dyDescent="0.25">
      <c r="B86" s="4" t="s">
        <v>139</v>
      </c>
    </row>
    <row r="87" spans="1:19" s="151" customFormat="1" x14ac:dyDescent="0.25">
      <c r="A87"/>
      <c r="B87" s="151" t="s">
        <v>140</v>
      </c>
      <c r="C87" s="189">
        <f>C71+C72</f>
        <v>0</v>
      </c>
      <c r="D87" s="189">
        <f>D71+D72</f>
        <v>0</v>
      </c>
      <c r="E87" s="189">
        <f t="shared" ref="E87:S87" si="10">E72+E83</f>
        <v>0</v>
      </c>
      <c r="F87" s="189">
        <f t="shared" si="10"/>
        <v>154.16732702599381</v>
      </c>
      <c r="G87" s="189">
        <f t="shared" si="10"/>
        <v>5414.6573394495381</v>
      </c>
      <c r="H87" s="189">
        <f t="shared" si="10"/>
        <v>12194.259549885313</v>
      </c>
      <c r="I87" s="189">
        <f t="shared" si="10"/>
        <v>32149.527952981633</v>
      </c>
      <c r="J87" s="189">
        <f t="shared" si="10"/>
        <v>62477.249321960982</v>
      </c>
      <c r="K87" s="189">
        <f t="shared" si="10"/>
        <v>53966.084816513721</v>
      </c>
      <c r="L87" s="189">
        <f t="shared" si="10"/>
        <v>149775.43829510696</v>
      </c>
      <c r="M87" s="189">
        <f t="shared" si="10"/>
        <v>202936.84486811917</v>
      </c>
      <c r="N87" s="189">
        <f t="shared" si="10"/>
        <v>548798.08242545847</v>
      </c>
      <c r="O87" s="189">
        <f t="shared" si="10"/>
        <v>685997.60303182306</v>
      </c>
      <c r="P87" s="189">
        <f t="shared" si="10"/>
        <v>823197.12363818754</v>
      </c>
      <c r="Q87" s="189">
        <f t="shared" si="10"/>
        <v>960396.64424455224</v>
      </c>
      <c r="R87" s="189">
        <f t="shared" si="10"/>
        <v>1097596.1648509169</v>
      </c>
      <c r="S87" s="189">
        <f t="shared" si="10"/>
        <v>1097596.1648509169</v>
      </c>
    </row>
    <row r="88" spans="1:19" x14ac:dyDescent="0.25">
      <c r="B88" s="151"/>
    </row>
    <row r="89" spans="1:19" x14ac:dyDescent="0.25">
      <c r="B89" s="114"/>
      <c r="I89" s="168"/>
      <c r="J89" s="169"/>
    </row>
    <row r="90" spans="1:19" x14ac:dyDescent="0.25">
      <c r="C90" s="160"/>
    </row>
    <row r="91" spans="1:19" x14ac:dyDescent="0.25">
      <c r="C91" s="160"/>
    </row>
    <row r="92" spans="1:19" x14ac:dyDescent="0.25">
      <c r="C92" s="160"/>
    </row>
  </sheetData>
  <mergeCells count="1">
    <mergeCell ref="C12:O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36E5-2643-47EE-B9FD-06E1FE3763A7}">
  <dimension ref="A1:L21"/>
  <sheetViews>
    <sheetView showGridLines="0" workbookViewId="0">
      <selection activeCell="D19" sqref="D19"/>
    </sheetView>
  </sheetViews>
  <sheetFormatPr defaultColWidth="9.140625" defaultRowHeight="12.75" x14ac:dyDescent="0.2"/>
  <cols>
    <col min="1" max="1" width="9" style="1" customWidth="1"/>
    <col min="2" max="2" width="27" style="1" customWidth="1"/>
    <col min="3" max="8" width="12.140625" style="1" customWidth="1"/>
    <col min="9" max="9" width="15.28515625" style="1" customWidth="1"/>
    <col min="10" max="16384" width="9.140625" style="1"/>
  </cols>
  <sheetData>
    <row r="1" spans="1:12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2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2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5" spans="1:12" x14ac:dyDescent="0.2">
      <c r="B5" s="36" t="s">
        <v>149</v>
      </c>
      <c r="C5" s="38" t="s">
        <v>72</v>
      </c>
      <c r="D5" s="38" t="s">
        <v>73</v>
      </c>
      <c r="E5" s="38" t="s">
        <v>74</v>
      </c>
      <c r="F5" s="38" t="s">
        <v>75</v>
      </c>
      <c r="G5" s="38" t="s">
        <v>76</v>
      </c>
      <c r="H5" s="75" t="s">
        <v>8</v>
      </c>
    </row>
    <row r="6" spans="1:12" x14ac:dyDescent="0.2">
      <c r="B6" s="172" t="str">
        <f>Project_name</f>
        <v>Non-network platform</v>
      </c>
      <c r="C6" s="6">
        <f>IF('Project summary'!$D$6="Option 1",'Project summary'!F$18,IF('Project summary'!$D$6="Option 2",'Project summary'!F$33))</f>
        <v>0</v>
      </c>
      <c r="D6" s="6">
        <f>IF('Project summary'!$D$6="Option 1",'Project summary'!G$18,IF('Project summary'!$D$6="Option 2",'Project summary'!G$33))</f>
        <v>2087292.8262752704</v>
      </c>
      <c r="E6" s="6">
        <f>IF('Project summary'!$D$6="Option 1",'Project summary'!H$18,IF('Project summary'!$D$6="Option 2",'Project summary'!H$33))</f>
        <v>2087292.8262752704</v>
      </c>
      <c r="F6" s="6">
        <f>IF('Project summary'!$D$6="Option 1",'Project summary'!I$18,IF('Project summary'!$D$6="Option 2",'Project summary'!I$33))</f>
        <v>2087292.8262752704</v>
      </c>
      <c r="G6" s="6">
        <f>IF('Project summary'!$D$6="Option 1",'Project summary'!J$18,IF('Project summary'!$D$6="Option 2",'Project summary'!J$33))</f>
        <v>2087292.8262752704</v>
      </c>
      <c r="H6" s="6">
        <f>SUM(C6:G6)</f>
        <v>8349171.3051010817</v>
      </c>
    </row>
    <row r="9" spans="1:12" x14ac:dyDescent="0.2">
      <c r="B9" s="173" t="s">
        <v>150</v>
      </c>
      <c r="C9" s="173"/>
      <c r="D9" s="173"/>
      <c r="E9" s="173"/>
      <c r="F9" s="173"/>
      <c r="G9" s="173"/>
      <c r="H9" s="174"/>
    </row>
    <row r="10" spans="1:12" x14ac:dyDescent="0.2">
      <c r="B10" s="175" t="s">
        <v>77</v>
      </c>
      <c r="C10" s="6">
        <f>'Option 2'!P$10*business_case_dollars*Assumptions!$F$19</f>
        <v>0</v>
      </c>
      <c r="D10" s="6">
        <f>'Option 2'!Q$10*business_case_dollars*Assumptions!$F$19</f>
        <v>166936.8969624895</v>
      </c>
      <c r="E10" s="6">
        <f>'Option 2'!R$10*business_case_dollars*Assumptions!$F$19</f>
        <v>166936.8969624895</v>
      </c>
      <c r="F10" s="6">
        <f>'Option 2'!S$10*business_case_dollars*Assumptions!$F$19</f>
        <v>166936.8969624895</v>
      </c>
      <c r="G10" s="6">
        <f>'Option 2'!T$10*business_case_dollars*Assumptions!$F$19</f>
        <v>166936.8969624895</v>
      </c>
      <c r="H10" s="6">
        <f t="shared" ref="H10:H12" si="0">SUM(C10:G10)</f>
        <v>667747.58784995798</v>
      </c>
    </row>
    <row r="11" spans="1:12" x14ac:dyDescent="0.2">
      <c r="B11" s="172" t="s">
        <v>78</v>
      </c>
      <c r="C11" s="6">
        <f>'Option 2'!P$10*business_case_dollars*Assumptions!$F$18</f>
        <v>0</v>
      </c>
      <c r="D11" s="6">
        <f>'Option 2'!Q$10*business_case_dollars*Assumptions!$F$18</f>
        <v>389519.42624580878</v>
      </c>
      <c r="E11" s="6">
        <f>'Option 2'!R$10*business_case_dollars*Assumptions!$F$18</f>
        <v>389519.42624580878</v>
      </c>
      <c r="F11" s="6">
        <f>'Option 2'!S$10*business_case_dollars*Assumptions!$F$18</f>
        <v>389519.42624580878</v>
      </c>
      <c r="G11" s="6">
        <f>'Option 2'!T$10*business_case_dollars*Assumptions!$F$18</f>
        <v>389519.42624580878</v>
      </c>
      <c r="H11" s="6">
        <f t="shared" si="0"/>
        <v>1558077.7049832351</v>
      </c>
    </row>
    <row r="12" spans="1:12" x14ac:dyDescent="0.2">
      <c r="B12" s="172" t="s">
        <v>79</v>
      </c>
      <c r="C12" s="6">
        <f>'Option 2'!P$10*business_case_dollars*Assumptions!$F$20</f>
        <v>0</v>
      </c>
      <c r="D12" s="6">
        <f>'Option 2'!Q$10*business_case_dollars*Assumptions!$F$20</f>
        <v>556456.3232082983</v>
      </c>
      <c r="E12" s="6">
        <f>'Option 2'!R$10*business_case_dollars*Assumptions!$F$20</f>
        <v>556456.3232082983</v>
      </c>
      <c r="F12" s="6">
        <f>'Option 2'!S$10*business_case_dollars*Assumptions!$F$20</f>
        <v>556456.3232082983</v>
      </c>
      <c r="G12" s="6">
        <f>'Option 2'!T$10*business_case_dollars*Assumptions!$F$20</f>
        <v>556456.3232082983</v>
      </c>
      <c r="H12" s="6">
        <f t="shared" si="0"/>
        <v>2225825.2928331932</v>
      </c>
    </row>
    <row r="13" spans="1:12" x14ac:dyDescent="0.2">
      <c r="B13" s="176" t="s">
        <v>152</v>
      </c>
      <c r="C13" s="177">
        <f>SUM(C10:C12)</f>
        <v>0</v>
      </c>
      <c r="D13" s="177">
        <f>SUM(D10:D12)</f>
        <v>1112912.6464165966</v>
      </c>
      <c r="E13" s="177">
        <f t="shared" ref="E13:H13" si="1">SUM(E10:E12)</f>
        <v>1112912.6464165966</v>
      </c>
      <c r="F13" s="177">
        <f t="shared" si="1"/>
        <v>1112912.6464165966</v>
      </c>
      <c r="G13" s="178">
        <f t="shared" si="1"/>
        <v>1112912.6464165966</v>
      </c>
      <c r="H13" s="179">
        <f t="shared" si="1"/>
        <v>4451650.5856663864</v>
      </c>
    </row>
    <row r="16" spans="1:12" x14ac:dyDescent="0.2">
      <c r="B16" s="173" t="s">
        <v>153</v>
      </c>
      <c r="C16" s="173"/>
      <c r="D16" s="173"/>
      <c r="E16" s="173"/>
      <c r="F16" s="173"/>
      <c r="G16" s="173"/>
      <c r="H16" s="174"/>
    </row>
    <row r="17" spans="2:8" x14ac:dyDescent="0.2">
      <c r="B17" s="175" t="str">
        <f>Project_name&amp;" - CP"</f>
        <v>Non-network platform - CP</v>
      </c>
      <c r="C17" s="6">
        <f>(C$6-C$13)*Assumptions!$B$19+C10</f>
        <v>0</v>
      </c>
      <c r="D17" s="6">
        <f>(D$6-D$13)*Assumptions!$B$19+D10</f>
        <v>371556.73473281099</v>
      </c>
      <c r="E17" s="6">
        <f>(E$6-E$13)*Assumptions!$B$19+E10</f>
        <v>371556.73473281099</v>
      </c>
      <c r="F17" s="6">
        <f>(F$6-F$13)*Assumptions!$B$19+F10</f>
        <v>371556.73473281099</v>
      </c>
      <c r="G17" s="6">
        <f>(G$6-G$13)*Assumptions!$B$19+G10</f>
        <v>371556.73473281099</v>
      </c>
      <c r="H17" s="6">
        <f t="shared" ref="H17:H19" si="2">SUM(C17:G17)</f>
        <v>1486226.938931244</v>
      </c>
    </row>
    <row r="18" spans="2:8" x14ac:dyDescent="0.2">
      <c r="B18" s="175" t="str">
        <f>Project_name&amp;" - PAL"</f>
        <v>Non-network platform - PAL</v>
      </c>
      <c r="C18" s="6">
        <f>(C$6-C$13)*Assumptions!$B$18+C11</f>
        <v>0</v>
      </c>
      <c r="D18" s="6">
        <f>(D$6-D$13)*Assumptions!$B$18+D11</f>
        <v>866965.7143765589</v>
      </c>
      <c r="E18" s="6">
        <f>(E$6-E$13)*Assumptions!$B$18+E11</f>
        <v>866965.7143765589</v>
      </c>
      <c r="F18" s="6">
        <f>(F$6-F$13)*Assumptions!$B$18+F11</f>
        <v>866965.7143765589</v>
      </c>
      <c r="G18" s="6">
        <f>(G$6-G$13)*Assumptions!$B$18+G11</f>
        <v>866965.7143765589</v>
      </c>
      <c r="H18" s="6">
        <f t="shared" si="2"/>
        <v>3467862.8575062356</v>
      </c>
    </row>
    <row r="19" spans="2:8" x14ac:dyDescent="0.2">
      <c r="B19" s="175" t="str">
        <f>Project_name&amp;" - UE"</f>
        <v>Non-network platform - UE</v>
      </c>
      <c r="C19" s="6">
        <f>(C$6-C$13)*Assumptions!$B$20+C12</f>
        <v>0</v>
      </c>
      <c r="D19" s="6">
        <f>(D$6-D$13)*Assumptions!$B$20+D12</f>
        <v>848770.37716590043</v>
      </c>
      <c r="E19" s="6">
        <f>(E$6-E$13)*Assumptions!$B$20+E12</f>
        <v>848770.37716590043</v>
      </c>
      <c r="F19" s="6">
        <f>(F$6-F$13)*Assumptions!$B$20+F12</f>
        <v>848770.37716590043</v>
      </c>
      <c r="G19" s="6">
        <f>(G$6-G$13)*Assumptions!$B$20+G12</f>
        <v>848770.37716590043</v>
      </c>
      <c r="H19" s="6">
        <f t="shared" si="2"/>
        <v>3395081.5086636017</v>
      </c>
    </row>
    <row r="20" spans="2:8" ht="13.5" thickBot="1" x14ac:dyDescent="0.25">
      <c r="B20" s="180" t="s">
        <v>151</v>
      </c>
      <c r="C20" s="181">
        <f>SUM(C17:C19)</f>
        <v>0</v>
      </c>
      <c r="D20" s="181">
        <f>SUM(D17:D19)</f>
        <v>2087292.8262752704</v>
      </c>
      <c r="E20" s="181">
        <f t="shared" ref="E20:H20" si="3">SUM(E17:E19)</f>
        <v>2087292.8262752704</v>
      </c>
      <c r="F20" s="181">
        <f t="shared" si="3"/>
        <v>2087292.8262752704</v>
      </c>
      <c r="G20" s="182">
        <f t="shared" si="3"/>
        <v>2087292.8262752704</v>
      </c>
      <c r="H20" s="183">
        <f t="shared" si="3"/>
        <v>8349171.3051010817</v>
      </c>
    </row>
    <row r="21" spans="2:8" ht="13.5" thickTop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18" sqref="F1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171" t="s">
        <v>17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1</v>
      </c>
      <c r="C10" s="36" t="s">
        <v>2</v>
      </c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P10"/>
    </row>
    <row r="11" spans="1:16" ht="12.75" customHeight="1" x14ac:dyDescent="0.25">
      <c r="C11" s="1" t="s">
        <v>9</v>
      </c>
      <c r="D11" s="109" t="s">
        <v>10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11</v>
      </c>
      <c r="D12" s="109" t="s">
        <v>10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100"/>
      <c r="P12"/>
    </row>
    <row r="13" spans="1:16" ht="12.75" customHeight="1" x14ac:dyDescent="0.2">
      <c r="C13" s="1" t="s">
        <v>12</v>
      </c>
      <c r="D13" s="109" t="s">
        <v>10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100"/>
    </row>
    <row r="14" spans="1:16" ht="12.75" customHeight="1" x14ac:dyDescent="0.2">
      <c r="C14" s="103" t="s">
        <v>13</v>
      </c>
      <c r="D14" s="110"/>
      <c r="E14" s="103"/>
      <c r="F14" s="107">
        <f>SUM(F11:F13)</f>
        <v>0</v>
      </c>
      <c r="G14" s="107">
        <f t="shared" ref="G14:K14" si="1">SUM(G11:G13)</f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M14" s="100"/>
    </row>
    <row r="15" spans="1:16" ht="12.75" customHeight="1" x14ac:dyDescent="0.2">
      <c r="C15" s="1" t="s">
        <v>9</v>
      </c>
      <c r="D15" s="109" t="s">
        <v>14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100"/>
    </row>
    <row r="16" spans="1:16" ht="12.75" customHeight="1" x14ac:dyDescent="0.2">
      <c r="C16" s="1" t="s">
        <v>11</v>
      </c>
      <c r="D16" s="109" t="s">
        <v>14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100"/>
    </row>
    <row r="17" spans="2:13" ht="12.75" customHeight="1" x14ac:dyDescent="0.2">
      <c r="C17" s="1" t="s">
        <v>12</v>
      </c>
      <c r="D17" s="109" t="s">
        <v>14</v>
      </c>
      <c r="F17" s="6">
        <f>'Option 1'!P80</f>
        <v>0</v>
      </c>
      <c r="G17" s="6">
        <f>'Option 1'!Q80</f>
        <v>0</v>
      </c>
      <c r="H17" s="6">
        <f>'Option 1'!R80</f>
        <v>0</v>
      </c>
      <c r="I17" s="6">
        <f>'Option 1'!S80</f>
        <v>0</v>
      </c>
      <c r="J17" s="6">
        <f>'Option 1'!T80</f>
        <v>0</v>
      </c>
      <c r="K17" s="6">
        <f t="shared" si="2"/>
        <v>0</v>
      </c>
      <c r="M17" s="100"/>
    </row>
    <row r="18" spans="2:13" ht="12.75" customHeight="1" x14ac:dyDescent="0.2">
      <c r="C18" s="103" t="s">
        <v>15</v>
      </c>
      <c r="D18" s="110"/>
      <c r="E18" s="103"/>
      <c r="F18" s="107">
        <f>SUM(F15:F17)</f>
        <v>0</v>
      </c>
      <c r="G18" s="107">
        <f t="shared" ref="G18:K18" si="3">SUM(G15:G17)</f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M18" s="100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0"/>
    </row>
    <row r="20" spans="2:13" ht="12.75" customHeight="1" x14ac:dyDescent="0.2">
      <c r="C20" s="113" t="str">
        <f>"Total Cost ($ "&amp;Assumptions!$C34&amp;")"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16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17</v>
      </c>
      <c r="C25" s="36" t="s">
        <v>2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8</v>
      </c>
    </row>
    <row r="26" spans="2:13" ht="12.75" customHeight="1" x14ac:dyDescent="0.2">
      <c r="C26" s="1" t="s">
        <v>9</v>
      </c>
      <c r="D26" s="109" t="s">
        <v>10</v>
      </c>
      <c r="E26" s="2"/>
      <c r="F26" s="6">
        <f>'Option 2'!P74</f>
        <v>2430318.0794342486</v>
      </c>
      <c r="G26" s="6">
        <f>'Option 2'!Q74</f>
        <v>0</v>
      </c>
      <c r="H26" s="6">
        <f>'Option 2'!R74</f>
        <v>0</v>
      </c>
      <c r="I26" s="6">
        <f>'Option 2'!S74</f>
        <v>0</v>
      </c>
      <c r="J26" s="6">
        <f>'Option 2'!T74</f>
        <v>0</v>
      </c>
      <c r="K26" s="6">
        <f>SUM(F26:J26)</f>
        <v>2430318.0794342486</v>
      </c>
      <c r="M26" s="100"/>
    </row>
    <row r="27" spans="2:13" x14ac:dyDescent="0.2">
      <c r="C27" s="1" t="s">
        <v>11</v>
      </c>
      <c r="D27" s="109" t="s">
        <v>10</v>
      </c>
      <c r="E27" s="2"/>
      <c r="F27" s="6">
        <f>'Option 2'!P75</f>
        <v>3450029.2038914496</v>
      </c>
      <c r="G27" s="6">
        <f>'Option 2'!Q75</f>
        <v>0</v>
      </c>
      <c r="H27" s="6">
        <f>'Option 2'!R75</f>
        <v>0</v>
      </c>
      <c r="I27" s="6">
        <f>'Option 2'!S75</f>
        <v>0</v>
      </c>
      <c r="J27" s="6">
        <f>'Option 2'!T75</f>
        <v>0</v>
      </c>
      <c r="K27" s="6">
        <f t="shared" ref="K27:K28" si="6">SUM(F27:J27)</f>
        <v>3450029.2038914496</v>
      </c>
      <c r="M27" s="100"/>
    </row>
    <row r="28" spans="2:13" x14ac:dyDescent="0.2">
      <c r="C28" s="1" t="s">
        <v>12</v>
      </c>
      <c r="D28" s="109" t="s">
        <v>10</v>
      </c>
      <c r="F28" s="6">
        <f>'Option 2'!P76</f>
        <v>0</v>
      </c>
      <c r="G28" s="6">
        <f>'Option 2'!Q76</f>
        <v>0</v>
      </c>
      <c r="H28" s="6">
        <f>'Option 2'!R76</f>
        <v>0</v>
      </c>
      <c r="I28" s="6">
        <f>'Option 2'!S76</f>
        <v>0</v>
      </c>
      <c r="J28" s="6">
        <f>'Option 2'!T76</f>
        <v>0</v>
      </c>
      <c r="K28" s="6">
        <f t="shared" si="6"/>
        <v>0</v>
      </c>
      <c r="M28" s="100"/>
    </row>
    <row r="29" spans="2:13" x14ac:dyDescent="0.2">
      <c r="C29" s="103" t="s">
        <v>13</v>
      </c>
      <c r="D29" s="110"/>
      <c r="E29" s="103"/>
      <c r="F29" s="107">
        <f>SUM(F26:F28)</f>
        <v>5880347.2833256982</v>
      </c>
      <c r="G29" s="107">
        <f t="shared" ref="G29" si="7">SUM(G26:G28)</f>
        <v>0</v>
      </c>
      <c r="H29" s="107">
        <f t="shared" ref="H29" si="8">SUM(H26:H28)</f>
        <v>0</v>
      </c>
      <c r="I29" s="107">
        <f t="shared" ref="I29" si="9">SUM(I26:I28)</f>
        <v>0</v>
      </c>
      <c r="J29" s="107">
        <f t="shared" ref="J29" si="10">SUM(J26:J28)</f>
        <v>0</v>
      </c>
      <c r="K29" s="107">
        <f t="shared" ref="K29" si="11">SUM(K26:K28)</f>
        <v>5880347.2833256982</v>
      </c>
      <c r="M29" s="100"/>
    </row>
    <row r="30" spans="2:13" x14ac:dyDescent="0.2">
      <c r="C30" s="1" t="s">
        <v>9</v>
      </c>
      <c r="D30" s="109" t="s">
        <v>14</v>
      </c>
      <c r="F30" s="6">
        <f>'Option 2'!P78</f>
        <v>0</v>
      </c>
      <c r="G30" s="6">
        <f>'Option 2'!Q78</f>
        <v>417923.85665037547</v>
      </c>
      <c r="H30" s="6">
        <f>'Option 2'!R78</f>
        <v>417923.85665037547</v>
      </c>
      <c r="I30" s="6">
        <f>'Option 2'!S78</f>
        <v>417923.85665037547</v>
      </c>
      <c r="J30" s="6">
        <f>'Option 2'!T78</f>
        <v>417923.85665037547</v>
      </c>
      <c r="K30" s="6">
        <f>SUM(F30:J30)</f>
        <v>1671695.4266015019</v>
      </c>
      <c r="M30" s="100"/>
    </row>
    <row r="31" spans="2:13" x14ac:dyDescent="0.2">
      <c r="C31" s="1" t="s">
        <v>11</v>
      </c>
      <c r="D31" s="109" t="s">
        <v>14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100"/>
    </row>
    <row r="32" spans="2:13" x14ac:dyDescent="0.2">
      <c r="C32" s="1" t="s">
        <v>12</v>
      </c>
      <c r="D32" s="109" t="s">
        <v>14</v>
      </c>
      <c r="F32" s="6">
        <f>'Option 2'!P80</f>
        <v>0</v>
      </c>
      <c r="G32" s="6">
        <f>'Option 2'!Q80</f>
        <v>1669368.9696248949</v>
      </c>
      <c r="H32" s="6">
        <f>'Option 2'!R80</f>
        <v>1669368.9696248949</v>
      </c>
      <c r="I32" s="6">
        <f>'Option 2'!S80</f>
        <v>1669368.9696248949</v>
      </c>
      <c r="J32" s="6">
        <f>'Option 2'!T80</f>
        <v>1669368.9696248949</v>
      </c>
      <c r="K32" s="6">
        <f t="shared" si="12"/>
        <v>6677475.8784995796</v>
      </c>
      <c r="M32" s="100"/>
    </row>
    <row r="33" spans="2:13" x14ac:dyDescent="0.2">
      <c r="C33" s="103" t="s">
        <v>15</v>
      </c>
      <c r="D33" s="110"/>
      <c r="E33" s="103"/>
      <c r="F33" s="107">
        <f>SUM(F30:F32)</f>
        <v>0</v>
      </c>
      <c r="G33" s="107">
        <f t="shared" ref="G33" si="13">SUM(G30:G32)</f>
        <v>2087292.8262752704</v>
      </c>
      <c r="H33" s="107">
        <f t="shared" ref="H33" si="14">SUM(H30:H32)</f>
        <v>2087292.8262752704</v>
      </c>
      <c r="I33" s="107">
        <f t="shared" ref="I33" si="15">SUM(I30:I32)</f>
        <v>2087292.8262752704</v>
      </c>
      <c r="J33" s="107">
        <f t="shared" ref="J33" si="16">SUM(J30:J32)</f>
        <v>2087292.8262752704</v>
      </c>
      <c r="K33" s="107">
        <f t="shared" ref="K33" si="17">SUM(K30:K32)</f>
        <v>8349171.3051010817</v>
      </c>
      <c r="M33" s="100"/>
    </row>
    <row r="34" spans="2:13" x14ac:dyDescent="0.2">
      <c r="D34" s="49"/>
      <c r="F34" s="6"/>
      <c r="G34" s="6"/>
      <c r="H34" s="6"/>
      <c r="I34" s="6"/>
      <c r="J34" s="6"/>
      <c r="K34" s="6"/>
      <c r="M34" s="100"/>
    </row>
    <row r="35" spans="2:13" x14ac:dyDescent="0.2">
      <c r="C35" s="113" t="str">
        <f>"Total Cost ($ "&amp;Assumptions!$C$34&amp;")"</f>
        <v>Total Cost ($ June 2026)</v>
      </c>
      <c r="D35" s="21"/>
      <c r="E35" s="21"/>
      <c r="F35" s="22">
        <f t="shared" ref="F35:K35" si="18">F29+F33</f>
        <v>5880347.2833256982</v>
      </c>
      <c r="G35" s="22">
        <f t="shared" si="18"/>
        <v>2087292.8262752704</v>
      </c>
      <c r="H35" s="22">
        <f t="shared" si="18"/>
        <v>2087292.8262752704</v>
      </c>
      <c r="I35" s="22">
        <f t="shared" si="18"/>
        <v>2087292.8262752704</v>
      </c>
      <c r="J35" s="22">
        <f t="shared" si="18"/>
        <v>2087292.8262752704</v>
      </c>
      <c r="K35" s="22">
        <f t="shared" si="18"/>
        <v>14229518.58842678</v>
      </c>
      <c r="L35" s="59">
        <f>K35-'Option 2'!U83</f>
        <v>0</v>
      </c>
    </row>
    <row r="37" spans="2:13" x14ac:dyDescent="0.2">
      <c r="C37" s="54" t="s">
        <v>16</v>
      </c>
      <c r="D37" s="22"/>
      <c r="E37" s="22"/>
      <c r="F37" s="22">
        <f>NPV(Assumptions!$B$10,F35:J35)</f>
        <v>13089023.348601783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331FB-5E70-44E2-B316-03570068F6F8}">
          <x14:formula1>
            <xm:f>Assumptions!$A$24:$A$26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1"/>
  <sheetViews>
    <sheetView showGridLines="0" zoomScale="90" zoomScaleNormal="90" workbookViewId="0">
      <selection activeCell="B10" sqref="B1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Non-network platform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19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18</v>
      </c>
      <c r="B4" s="42" t="s">
        <v>19</v>
      </c>
      <c r="C4" s="27" t="s">
        <v>20</v>
      </c>
      <c r="D4" s="27" t="s">
        <v>21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22</v>
      </c>
      <c r="B6" s="78" t="s">
        <v>125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23</v>
      </c>
      <c r="B8" s="79" t="s">
        <v>159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24</v>
      </c>
      <c r="B10" s="190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25</v>
      </c>
      <c r="B12" s="80" t="s">
        <v>87</v>
      </c>
      <c r="C12" s="44" t="s">
        <v>26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27</v>
      </c>
      <c r="B14" s="191">
        <f>IF(B12="2022/23",C41,C42)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28</v>
      </c>
      <c r="B17" s="76"/>
      <c r="C17" s="76"/>
      <c r="D17" s="76"/>
      <c r="E17" s="53" t="s">
        <v>83</v>
      </c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29</v>
      </c>
      <c r="B18" s="93">
        <f>0.7*0.7</f>
        <v>0.48999999999999994</v>
      </c>
      <c r="E18" s="44" t="s">
        <v>29</v>
      </c>
      <c r="F18" s="93">
        <f>0.5*0.7</f>
        <v>0.35</v>
      </c>
    </row>
    <row r="19" spans="1:12" ht="12.75" customHeight="1" x14ac:dyDescent="0.25">
      <c r="A19" s="44" t="s">
        <v>30</v>
      </c>
      <c r="B19" s="93">
        <f>0.7*0.3</f>
        <v>0.21</v>
      </c>
      <c r="D19" s="44"/>
      <c r="E19" s="44" t="s">
        <v>30</v>
      </c>
      <c r="F19" s="93">
        <f>0.5*0.3</f>
        <v>0.15</v>
      </c>
    </row>
    <row r="20" spans="1:12" ht="12.75" customHeight="1" x14ac:dyDescent="0.25">
      <c r="A20" s="44" t="s">
        <v>31</v>
      </c>
      <c r="B20" s="94">
        <v>0.3</v>
      </c>
      <c r="D20" s="44"/>
      <c r="E20" s="44" t="s">
        <v>31</v>
      </c>
      <c r="F20" s="94">
        <v>0.5</v>
      </c>
    </row>
    <row r="21" spans="1:12" ht="12.75" customHeight="1" x14ac:dyDescent="0.25">
      <c r="A21" s="44"/>
      <c r="B21" s="95">
        <f>SUM(B18:B20)</f>
        <v>1</v>
      </c>
      <c r="D21" s="44"/>
      <c r="E21" s="44"/>
      <c r="F21" s="95">
        <f>SUM(F18:F20)</f>
        <v>1</v>
      </c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1</v>
      </c>
      <c r="B24" s="86" t="s">
        <v>170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17</v>
      </c>
      <c r="B25" s="89" t="s">
        <v>171</v>
      </c>
      <c r="C25" s="90"/>
      <c r="D25" s="90"/>
      <c r="E25" s="90"/>
      <c r="F25" s="90"/>
      <c r="G25" s="91"/>
    </row>
    <row r="26" spans="1:12" ht="12.75" customHeight="1" x14ac:dyDescent="0.25">
      <c r="A26" s="44"/>
      <c r="B26" s="92"/>
      <c r="C26" s="92"/>
      <c r="D26" s="92"/>
      <c r="E26" s="92"/>
      <c r="F26" s="92"/>
      <c r="G26" s="92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39" t="s">
        <v>165</v>
      </c>
      <c r="B28" s="39"/>
      <c r="C28" s="39"/>
      <c r="D28" s="40"/>
      <c r="E28" s="134" t="s">
        <v>86</v>
      </c>
      <c r="F28" s="134" t="s">
        <v>87</v>
      </c>
      <c r="G28" s="134" t="s">
        <v>88</v>
      </c>
      <c r="H28" s="134" t="s">
        <v>89</v>
      </c>
      <c r="I28" s="102"/>
      <c r="J28" s="40"/>
      <c r="K28" s="40"/>
    </row>
    <row r="29" spans="1:12" ht="12.75" customHeight="1" x14ac:dyDescent="0.25">
      <c r="A29" s="115" t="s">
        <v>82</v>
      </c>
      <c r="B29" s="116"/>
      <c r="C29" s="117"/>
      <c r="D29" s="118"/>
      <c r="E29" s="119">
        <v>1.1757125218136175</v>
      </c>
      <c r="F29" s="119">
        <v>1.1129126464165966</v>
      </c>
      <c r="G29" s="119">
        <v>1.050660524730181</v>
      </c>
      <c r="H29" s="119">
        <v>1.014889156509222</v>
      </c>
      <c r="I29" s="120"/>
      <c r="J29" s="118"/>
      <c r="K29" s="118"/>
      <c r="L29" s="64"/>
    </row>
    <row r="30" spans="1:12" ht="12.75" customHeight="1" x14ac:dyDescent="0.25">
      <c r="B30" s="1"/>
      <c r="D30" s="57"/>
      <c r="I30" s="71"/>
      <c r="J30" s="58"/>
      <c r="K30" s="58"/>
    </row>
    <row r="31" spans="1:12" ht="12.75" customHeight="1" x14ac:dyDescent="0.25">
      <c r="A31" s="1"/>
      <c r="B31" s="1"/>
      <c r="D31" s="41"/>
      <c r="I31" s="71"/>
      <c r="J31" s="71"/>
      <c r="K31" s="71"/>
    </row>
    <row r="32" spans="1:12" ht="12.7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2.75" customHeight="1" x14ac:dyDescent="0.25"/>
    <row r="34" spans="1:11" ht="12.75" customHeight="1" x14ac:dyDescent="0.25">
      <c r="A34" s="44" t="s">
        <v>33</v>
      </c>
      <c r="C34" s="192" t="s">
        <v>89</v>
      </c>
      <c r="D34" t="s">
        <v>26</v>
      </c>
    </row>
    <row r="35" spans="1:11" ht="12.75" customHeight="1" x14ac:dyDescent="0.25">
      <c r="A35" s="44" t="s">
        <v>34</v>
      </c>
      <c r="C35" s="43" t="str">
        <f>$B$12</f>
        <v>June 2024</v>
      </c>
    </row>
    <row r="36" spans="1:11" ht="12.75" customHeight="1" x14ac:dyDescent="0.25">
      <c r="A36" s="44" t="s">
        <v>35</v>
      </c>
      <c r="C36" s="96">
        <f>INDEX($E$29:$H$29,MATCH($C$35,$E$28:$H$28))</f>
        <v>1.1129126464165966</v>
      </c>
    </row>
    <row r="37" spans="1:11" ht="12.75" customHeight="1" x14ac:dyDescent="0.25"/>
    <row r="38" spans="1:11" ht="12.75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2.75" customHeight="1" x14ac:dyDescent="0.25"/>
    <row r="40" spans="1:11" ht="12.75" customHeight="1" x14ac:dyDescent="0.25">
      <c r="A40" s="44" t="s">
        <v>36</v>
      </c>
      <c r="C40" s="193" t="s">
        <v>37</v>
      </c>
      <c r="D40" t="s">
        <v>38</v>
      </c>
    </row>
    <row r="41" spans="1:11" ht="12.75" customHeight="1" x14ac:dyDescent="0.25">
      <c r="A41" s="44" t="s">
        <v>34</v>
      </c>
      <c r="C41" s="98">
        <v>135.18960020374115</v>
      </c>
      <c r="D41" t="s">
        <v>39</v>
      </c>
    </row>
    <row r="42" spans="1:11" ht="12.75" customHeight="1" x14ac:dyDescent="0.25">
      <c r="A42" s="44" t="s">
        <v>35</v>
      </c>
      <c r="C42" s="99">
        <v>145.77740895836223</v>
      </c>
      <c r="D42" t="s">
        <v>40</v>
      </c>
    </row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</sheetData>
  <dataValidations count="1">
    <dataValidation type="list" allowBlank="1" showInputMessage="1" showErrorMessage="1" sqref="B12" xr:uid="{F4530B8B-E1E8-402D-B0E6-F53F35029D26}">
      <formula1>$E$28:$F$28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ABF2-E435-468F-9C1D-77CBBBFDA4C9}">
  <dimension ref="A1:Y85"/>
  <sheetViews>
    <sheetView showGridLines="0" zoomScale="90" zoomScaleNormal="9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1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2"/>
      <c r="F8" s="16"/>
      <c r="G8" s="112" t="s">
        <v>48</v>
      </c>
      <c r="H8" s="112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3"/>
      <c r="F9" s="16"/>
    </row>
    <row r="10" spans="1:25" ht="12.75" customHeight="1" x14ac:dyDescent="0.2">
      <c r="A10" s="4"/>
      <c r="C10" s="82"/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/>
      <c r="L10" s="84"/>
      <c r="M10" s="84"/>
      <c r="N10" s="84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2"/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/>
      <c r="K11" s="84"/>
      <c r="L11" s="84"/>
      <c r="M11" s="84"/>
      <c r="N11" s="84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/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/>
      <c r="L12" s="84"/>
      <c r="M12" s="84"/>
      <c r="N12" s="84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/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/>
      <c r="K13" s="84"/>
      <c r="L13" s="84"/>
      <c r="M13" s="84"/>
      <c r="N13" s="84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/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/>
      <c r="K14" s="84"/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/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/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/>
      <c r="L16" s="84"/>
      <c r="M16" s="84"/>
      <c r="N16" s="84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0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3">
        <f t="shared" si="8"/>
        <v>0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:U65" si="11">SUM(Q62:Q64)</f>
        <v>0</v>
      </c>
      <c r="R65" s="22">
        <f t="shared" si="11"/>
        <v>0</v>
      </c>
      <c r="S65" s="22">
        <f t="shared" si="11"/>
        <v>0</v>
      </c>
      <c r="T65" s="22">
        <f t="shared" si="11"/>
        <v>0</v>
      </c>
      <c r="U65" s="22">
        <f t="shared" si="11"/>
        <v>0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0</v>
      </c>
      <c r="Q67" s="8">
        <f t="shared" ref="Q67:T67" si="12">Q61+Q65</f>
        <v>0</v>
      </c>
      <c r="R67" s="8">
        <f t="shared" si="12"/>
        <v>0</v>
      </c>
      <c r="S67" s="8">
        <f t="shared" si="12"/>
        <v>0</v>
      </c>
      <c r="T67" s="8">
        <f t="shared" si="12"/>
        <v>0</v>
      </c>
      <c r="U67" s="74">
        <f t="shared" si="8"/>
        <v>0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3">Q67-SUM(Q$10:Q$54)</f>
        <v>0</v>
      </c>
      <c r="R68" s="46">
        <f t="shared" si="13"/>
        <v>0</v>
      </c>
      <c r="S68" s="46">
        <f t="shared" si="13"/>
        <v>0</v>
      </c>
      <c r="T68" s="46">
        <f t="shared" si="13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0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4">P58*business_case_dollars</f>
        <v>0</v>
      </c>
      <c r="Q74" s="34">
        <f t="shared" si="14"/>
        <v>0</v>
      </c>
      <c r="R74" s="34">
        <f t="shared" si="14"/>
        <v>0</v>
      </c>
      <c r="S74" s="34">
        <f t="shared" si="14"/>
        <v>0</v>
      </c>
      <c r="T74" s="34">
        <f t="shared" si="14"/>
        <v>0</v>
      </c>
      <c r="U74" s="72">
        <f>SUM(P74:T74)</f>
        <v>0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4"/>
        <v>0</v>
      </c>
      <c r="Q75" s="6">
        <f t="shared" si="14"/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73">
        <f t="shared" ref="U75:U83" si="15">SUM(P75:T75)</f>
        <v>0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4"/>
        <v>0</v>
      </c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73">
        <f t="shared" si="15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0</v>
      </c>
      <c r="Q77" s="22">
        <f t="shared" ref="Q77:U77" si="16">SUM(Q74:Q76)</f>
        <v>0</v>
      </c>
      <c r="R77" s="22">
        <f t="shared" si="16"/>
        <v>0</v>
      </c>
      <c r="S77" s="22">
        <f t="shared" si="16"/>
        <v>0</v>
      </c>
      <c r="T77" s="22">
        <f t="shared" si="16"/>
        <v>0</v>
      </c>
      <c r="U77" s="22">
        <f t="shared" si="16"/>
        <v>0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17">P62*business_case_dollars</f>
        <v>0</v>
      </c>
      <c r="Q78" s="34">
        <f t="shared" si="17"/>
        <v>0</v>
      </c>
      <c r="R78" s="34">
        <f t="shared" si="17"/>
        <v>0</v>
      </c>
      <c r="S78" s="34">
        <f t="shared" si="17"/>
        <v>0</v>
      </c>
      <c r="T78" s="34">
        <f t="shared" si="17"/>
        <v>0</v>
      </c>
      <c r="U78" s="72">
        <f>SUM(P78:T78)</f>
        <v>0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17"/>
        <v>0</v>
      </c>
      <c r="Q79" s="6">
        <f t="shared" si="17"/>
        <v>0</v>
      </c>
      <c r="R79" s="6">
        <f t="shared" si="17"/>
        <v>0</v>
      </c>
      <c r="S79" s="6">
        <f t="shared" si="17"/>
        <v>0</v>
      </c>
      <c r="T79" s="6">
        <f t="shared" si="17"/>
        <v>0</v>
      </c>
      <c r="U79" s="73">
        <f t="shared" ref="U79:U80" si="18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17"/>
        <v>0</v>
      </c>
      <c r="Q80" s="6">
        <f t="shared" si="17"/>
        <v>0</v>
      </c>
      <c r="R80" s="6">
        <f t="shared" si="17"/>
        <v>0</v>
      </c>
      <c r="S80" s="6">
        <f t="shared" si="17"/>
        <v>0</v>
      </c>
      <c r="T80" s="6">
        <f t="shared" si="17"/>
        <v>0</v>
      </c>
      <c r="U80" s="73">
        <f t="shared" si="18"/>
        <v>0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:U81" si="19">SUM(Q78:Q80)</f>
        <v>0</v>
      </c>
      <c r="R81" s="22">
        <f t="shared" si="19"/>
        <v>0</v>
      </c>
      <c r="S81" s="22">
        <f t="shared" si="19"/>
        <v>0</v>
      </c>
      <c r="T81" s="22">
        <f t="shared" si="19"/>
        <v>0</v>
      </c>
      <c r="U81" s="22">
        <f t="shared" si="19"/>
        <v>0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0</v>
      </c>
      <c r="Q83" s="8">
        <f t="shared" ref="Q83:T83" si="20">Q77+Q81</f>
        <v>0</v>
      </c>
      <c r="R83" s="8">
        <f t="shared" si="20"/>
        <v>0</v>
      </c>
      <c r="S83" s="8">
        <f t="shared" si="20"/>
        <v>0</v>
      </c>
      <c r="T83" s="8">
        <f t="shared" si="20"/>
        <v>0</v>
      </c>
      <c r="U83" s="74">
        <f t="shared" si="15"/>
        <v>0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NPV(Real_Discount_rate,P83:T83)</f>
        <v>0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13" priority="4">
      <formula>$E10="Contracts"</formula>
    </cfRule>
    <cfRule type="expression" dxfId="12" priority="5">
      <formula>$E10="Materials"</formula>
    </cfRule>
    <cfRule type="expression" dxfId="11" priority="6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7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count="2">
    <dataValidation type="list" allowBlank="1" showInputMessage="1" showErrorMessage="1" sqref="D10:D54" xr:uid="{63E46D7D-8489-4206-A66B-0D52AC286A9D}">
      <formula1>"Capex, Opex"</formula1>
    </dataValidation>
    <dataValidation type="list" allowBlank="1" showInputMessage="1" showErrorMessage="1" sqref="E10:E54" xr:uid="{8340B0B0-C3E9-4976-B82F-3D08DD84F8E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>
      <pane xSplit="2" ySplit="8" topLeftCell="C9" activePane="bottomRight" state="frozen"/>
      <selection activeCell="I19" sqref="I19"/>
      <selection pane="topRight" activeCell="I19" sqref="I19"/>
      <selection pane="bottomLeft" activeCell="I19" sqref="I19"/>
      <selection pane="bottomRigh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1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2"/>
      <c r="F8" s="16"/>
      <c r="G8" s="112" t="s">
        <v>48</v>
      </c>
      <c r="H8" s="112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3"/>
      <c r="F9" s="16"/>
    </row>
    <row r="10" spans="1:25" ht="12.75" customHeight="1" x14ac:dyDescent="0.2">
      <c r="A10" s="4"/>
      <c r="C10" s="82" t="s">
        <v>49</v>
      </c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f>500000*2</f>
        <v>1000000</v>
      </c>
      <c r="L10" s="84">
        <f>500000*2</f>
        <v>1000000</v>
      </c>
      <c r="M10" s="84">
        <f>500000*2</f>
        <v>1000000</v>
      </c>
      <c r="N10" s="84">
        <f>500000*2</f>
        <v>1000000</v>
      </c>
      <c r="O10" s="2"/>
      <c r="P10" s="5">
        <f t="shared" ref="P10:P54" si="0">IF($E10="Labour",$G10*J10,J10)</f>
        <v>0</v>
      </c>
      <c r="Q10" s="5">
        <f t="shared" ref="Q10:Q54" si="1">IF($E10="Labour",$G10*K10,K10)</f>
        <v>1000000</v>
      </c>
      <c r="R10" s="5">
        <f t="shared" ref="R10:R54" si="2">IF($E10="Labour",$G10*L10,L10)</f>
        <v>1000000</v>
      </c>
      <c r="S10" s="5">
        <f t="shared" ref="S10:S54" si="3">IF($E10="Labour",$G10*M10,M10)</f>
        <v>1000000</v>
      </c>
      <c r="T10" s="5">
        <f t="shared" ref="T10:T54" si="4">IF($E10="Labour",$G10*N10,N10)</f>
        <v>1000000</v>
      </c>
    </row>
    <row r="11" spans="1:25" ht="12.75" customHeight="1" x14ac:dyDescent="0.2">
      <c r="A11" s="4"/>
      <c r="C11" s="82" t="s">
        <v>50</v>
      </c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>
        <v>520</v>
      </c>
      <c r="K11" s="84"/>
      <c r="L11" s="84"/>
      <c r="M11" s="84"/>
      <c r="N11" s="84"/>
      <c r="O11" s="2"/>
      <c r="P11" s="5">
        <f t="shared" si="0"/>
        <v>75804.252658348356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 t="s">
        <v>52</v>
      </c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1050</v>
      </c>
      <c r="K12" s="84"/>
      <c r="L12" s="84"/>
      <c r="M12" s="84"/>
      <c r="N12" s="84"/>
      <c r="O12" s="2"/>
      <c r="P12" s="5">
        <f t="shared" si="0"/>
        <v>153066.27940628034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53</v>
      </c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>
        <v>300000</v>
      </c>
      <c r="K13" s="84"/>
      <c r="L13" s="84"/>
      <c r="M13" s="84"/>
      <c r="N13" s="84"/>
      <c r="O13" s="2"/>
      <c r="P13" s="5">
        <f t="shared" si="0"/>
        <v>300000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54</v>
      </c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2050</v>
      </c>
      <c r="K14" s="84"/>
      <c r="L14" s="84"/>
      <c r="M14" s="84"/>
      <c r="N14" s="84"/>
      <c r="O14" s="2"/>
      <c r="P14" s="5">
        <f t="shared" si="0"/>
        <v>298843.68836464256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55</v>
      </c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>
        <v>1200</v>
      </c>
      <c r="K15" s="84"/>
      <c r="L15" s="84"/>
      <c r="M15" s="84"/>
      <c r="N15" s="84"/>
      <c r="O15" s="2"/>
      <c r="P15" s="5">
        <f t="shared" si="0"/>
        <v>174932.89075003468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56</v>
      </c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368</v>
      </c>
      <c r="L16" s="84">
        <v>368</v>
      </c>
      <c r="M16" s="84">
        <v>368</v>
      </c>
      <c r="N16" s="84">
        <v>368</v>
      </c>
      <c r="O16" s="2"/>
      <c r="P16" s="5">
        <f t="shared" si="0"/>
        <v>0</v>
      </c>
      <c r="Q16" s="5">
        <f t="shared" si="1"/>
        <v>53646.086496677301</v>
      </c>
      <c r="R16" s="5">
        <f t="shared" si="2"/>
        <v>53646.086496677301</v>
      </c>
      <c r="S16" s="5">
        <f t="shared" si="3"/>
        <v>53646.086496677301</v>
      </c>
      <c r="T16" s="5">
        <f t="shared" si="4"/>
        <v>53646.086496677301</v>
      </c>
      <c r="Y16"/>
    </row>
    <row r="17" spans="1:25" ht="12.75" customHeight="1" x14ac:dyDescent="0.25">
      <c r="A17" s="4"/>
      <c r="C17" s="82" t="s">
        <v>57</v>
      </c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960</v>
      </c>
      <c r="K17" s="84"/>
      <c r="L17" s="84"/>
      <c r="M17" s="84"/>
      <c r="N17" s="84"/>
      <c r="O17" s="2"/>
      <c r="P17" s="5">
        <f t="shared" si="0"/>
        <v>139946.31260002774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 t="s">
        <v>58</v>
      </c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>
        <f>1840</f>
        <v>1840</v>
      </c>
      <c r="L18" s="84">
        <f>1840</f>
        <v>1840</v>
      </c>
      <c r="M18" s="84">
        <f>1840</f>
        <v>1840</v>
      </c>
      <c r="N18" s="84">
        <f>1840</f>
        <v>1840</v>
      </c>
      <c r="O18" s="2"/>
      <c r="P18" s="5">
        <f t="shared" si="0"/>
        <v>0</v>
      </c>
      <c r="Q18" s="5">
        <f t="shared" si="1"/>
        <v>268230.43248338648</v>
      </c>
      <c r="R18" s="5">
        <f t="shared" si="2"/>
        <v>268230.43248338648</v>
      </c>
      <c r="S18" s="5">
        <f t="shared" si="3"/>
        <v>268230.43248338648</v>
      </c>
      <c r="T18" s="5">
        <f t="shared" si="4"/>
        <v>268230.43248338648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 t="s">
        <v>59</v>
      </c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>
        <v>2000000</v>
      </c>
      <c r="K20" s="84"/>
      <c r="L20" s="84"/>
      <c r="M20" s="84"/>
      <c r="N20" s="84"/>
      <c r="O20" s="2"/>
      <c r="P20" s="5">
        <f t="shared" si="0"/>
        <v>2000000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 t="s">
        <v>60</v>
      </c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>
        <v>0</v>
      </c>
      <c r="K21" s="84">
        <v>500000</v>
      </c>
      <c r="L21" s="84">
        <v>500000</v>
      </c>
      <c r="M21" s="84">
        <v>500000</v>
      </c>
      <c r="N21" s="84">
        <v>500000</v>
      </c>
      <c r="O21" s="2"/>
      <c r="P21" s="5">
        <f t="shared" si="0"/>
        <v>0</v>
      </c>
      <c r="Q21" s="5">
        <f t="shared" si="1"/>
        <v>500000</v>
      </c>
      <c r="R21" s="5">
        <f t="shared" si="2"/>
        <v>500000</v>
      </c>
      <c r="S21" s="5">
        <f t="shared" si="3"/>
        <v>500000</v>
      </c>
      <c r="T21" s="5">
        <f t="shared" si="4"/>
        <v>500000</v>
      </c>
      <c r="Y21"/>
    </row>
    <row r="22" spans="1:25" ht="12.75" customHeight="1" x14ac:dyDescent="0.25">
      <c r="A22" s="4"/>
      <c r="C22" s="82" t="s">
        <v>61</v>
      </c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>
        <v>1500</v>
      </c>
      <c r="K22" s="84"/>
      <c r="L22" s="84"/>
      <c r="M22" s="84"/>
      <c r="N22" s="84"/>
      <c r="O22" s="2"/>
      <c r="P22" s="5">
        <f t="shared" si="0"/>
        <v>218666.11343754333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 t="s">
        <v>62</v>
      </c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>
        <v>3500</v>
      </c>
      <c r="K23" s="84"/>
      <c r="L23" s="84">
        <v>0</v>
      </c>
      <c r="M23" s="84"/>
      <c r="N23" s="84"/>
      <c r="O23" s="2"/>
      <c r="P23" s="5">
        <f t="shared" si="0"/>
        <v>510220.93135426781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 t="s">
        <v>63</v>
      </c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>
        <v>300000</v>
      </c>
      <c r="K24" s="84"/>
      <c r="L24" s="84">
        <v>0</v>
      </c>
      <c r="M24" s="84"/>
      <c r="N24" s="84"/>
      <c r="O24" s="2"/>
      <c r="P24" s="5">
        <f t="shared" si="0"/>
        <v>300000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 t="s">
        <v>64</v>
      </c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>
        <v>3000</v>
      </c>
      <c r="K25" s="84"/>
      <c r="L25" s="84">
        <v>0</v>
      </c>
      <c r="M25" s="84"/>
      <c r="N25" s="84"/>
      <c r="O25" s="2"/>
      <c r="P25" s="5">
        <f t="shared" si="0"/>
        <v>437332.22687508666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 t="s">
        <v>65</v>
      </c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>
        <v>500000</v>
      </c>
      <c r="K26" s="84"/>
      <c r="L26" s="84">
        <v>0</v>
      </c>
      <c r="M26" s="84"/>
      <c r="N26" s="84"/>
      <c r="O26" s="2"/>
      <c r="P26" s="5">
        <f t="shared" si="0"/>
        <v>500000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 t="s">
        <v>66</v>
      </c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>
        <v>1200</v>
      </c>
      <c r="K27" s="84"/>
      <c r="L27" s="84"/>
      <c r="M27" s="84"/>
      <c r="N27" s="84"/>
      <c r="O27" s="2"/>
      <c r="P27" s="5">
        <f t="shared" si="0"/>
        <v>174932.89075003468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 t="s">
        <v>67</v>
      </c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>
        <v>368</v>
      </c>
      <c r="L28" s="84">
        <v>368</v>
      </c>
      <c r="M28" s="84">
        <v>368</v>
      </c>
      <c r="N28" s="84">
        <v>368</v>
      </c>
      <c r="O28" s="2"/>
      <c r="P28" s="5">
        <f t="shared" si="0"/>
        <v>0</v>
      </c>
      <c r="Q28" s="5">
        <f t="shared" si="1"/>
        <v>53646.086496677301</v>
      </c>
      <c r="R28" s="5">
        <f t="shared" si="2"/>
        <v>53646.086496677301</v>
      </c>
      <c r="S28" s="5">
        <f t="shared" si="3"/>
        <v>53646.086496677301</v>
      </c>
      <c r="T28" s="5">
        <f t="shared" si="4"/>
        <v>53646.086496677301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2183745.5861962661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2183745.5861962661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3100000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3100000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5283745.5861962661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5283745.5861962661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375522.6054767411</v>
      </c>
      <c r="R62" s="6">
        <f t="shared" si="10"/>
        <v>375522.6054767411</v>
      </c>
      <c r="S62" s="6">
        <f t="shared" si="10"/>
        <v>375522.6054767411</v>
      </c>
      <c r="T62" s="6">
        <f t="shared" si="10"/>
        <v>375522.6054767411</v>
      </c>
      <c r="U62" s="73">
        <f t="shared" si="8"/>
        <v>1502090.4219069644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1500000</v>
      </c>
      <c r="R64" s="6">
        <f t="shared" si="10"/>
        <v>1500000</v>
      </c>
      <c r="S64" s="6">
        <f t="shared" si="10"/>
        <v>1500000</v>
      </c>
      <c r="T64" s="6">
        <f t="shared" si="10"/>
        <v>1500000</v>
      </c>
      <c r="U64" s="73">
        <f t="shared" si="8"/>
        <v>6000000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" si="11">SUM(Q62:Q64)</f>
        <v>1875522.6054767412</v>
      </c>
      <c r="R65" s="22">
        <f t="shared" ref="R65" si="12">SUM(R62:R64)</f>
        <v>1875522.6054767412</v>
      </c>
      <c r="S65" s="22">
        <f t="shared" ref="S65" si="13">SUM(S62:S64)</f>
        <v>1875522.6054767412</v>
      </c>
      <c r="T65" s="22">
        <f t="shared" ref="T65" si="14">SUM(T62:T64)</f>
        <v>1875522.6054767412</v>
      </c>
      <c r="U65" s="22">
        <f t="shared" ref="U65" si="15">SUM(U62:U64)</f>
        <v>7502090.4219069649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5283745.5861962661</v>
      </c>
      <c r="Q67" s="8">
        <f t="shared" ref="Q67:T67" si="16">Q61+Q65</f>
        <v>1875522.6054767412</v>
      </c>
      <c r="R67" s="8">
        <f t="shared" si="16"/>
        <v>1875522.6054767412</v>
      </c>
      <c r="S67" s="8">
        <f t="shared" si="16"/>
        <v>1875522.6054767412</v>
      </c>
      <c r="T67" s="8">
        <f t="shared" si="16"/>
        <v>1875522.6054767412</v>
      </c>
      <c r="U67" s="74">
        <f t="shared" si="8"/>
        <v>12785836.008103229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7">Q67-SUM(Q$10:Q$54)</f>
        <v>0</v>
      </c>
      <c r="R68" s="46">
        <f t="shared" si="17"/>
        <v>0</v>
      </c>
      <c r="S68" s="46">
        <f t="shared" si="17"/>
        <v>0</v>
      </c>
      <c r="T68" s="46">
        <f t="shared" si="17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11761051.858603975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2430318.0794342486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72">
        <f>SUM(P74:T74)</f>
        <v>2430318.0794342486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8"/>
        <v>3450029.2038914496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3">
        <f t="shared" ref="U75:U83" si="19">SUM(P75:T75)</f>
        <v>3450029.2038914496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3">
        <f t="shared" si="19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5880347.2833256982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5880347.2833256982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25">P62*business_case_dollars</f>
        <v>0</v>
      </c>
      <c r="Q78" s="34">
        <f t="shared" si="25"/>
        <v>417923.85665037547</v>
      </c>
      <c r="R78" s="34">
        <f t="shared" si="25"/>
        <v>417923.85665037547</v>
      </c>
      <c r="S78" s="34">
        <f t="shared" si="25"/>
        <v>417923.85665037547</v>
      </c>
      <c r="T78" s="34">
        <f t="shared" si="25"/>
        <v>417923.85665037547</v>
      </c>
      <c r="U78" s="72">
        <f>SUM(P78:T78)</f>
        <v>1671695.4266015019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3">
        <f t="shared" ref="U79:U80" si="26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25"/>
        <v>0</v>
      </c>
      <c r="Q80" s="6">
        <f t="shared" si="25"/>
        <v>1669368.9696248949</v>
      </c>
      <c r="R80" s="6">
        <f t="shared" si="25"/>
        <v>1669368.9696248949</v>
      </c>
      <c r="S80" s="6">
        <f t="shared" si="25"/>
        <v>1669368.9696248949</v>
      </c>
      <c r="T80" s="6">
        <f t="shared" si="25"/>
        <v>1669368.9696248949</v>
      </c>
      <c r="U80" s="73">
        <f t="shared" si="26"/>
        <v>6677475.8784995796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" si="27">SUM(Q78:Q80)</f>
        <v>2087292.8262752704</v>
      </c>
      <c r="R81" s="22">
        <f t="shared" ref="R81" si="28">SUM(R78:R80)</f>
        <v>2087292.8262752704</v>
      </c>
      <c r="S81" s="22">
        <f t="shared" ref="S81" si="29">SUM(S78:S80)</f>
        <v>2087292.8262752704</v>
      </c>
      <c r="T81" s="22">
        <f t="shared" ref="T81" si="30">SUM(T78:T80)</f>
        <v>2087292.8262752704</v>
      </c>
      <c r="U81" s="22">
        <f t="shared" ref="U81" si="31">SUM(U78:U80)</f>
        <v>8349171.3051010817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5880347.2833256982</v>
      </c>
      <c r="Q83" s="8">
        <f t="shared" ref="Q83:T83" si="32">Q77+Q81</f>
        <v>2087292.8262752704</v>
      </c>
      <c r="R83" s="8">
        <f t="shared" si="32"/>
        <v>2087292.8262752704</v>
      </c>
      <c r="S83" s="8">
        <f t="shared" si="32"/>
        <v>2087292.8262752704</v>
      </c>
      <c r="T83" s="8">
        <f t="shared" si="32"/>
        <v>2087292.8262752704</v>
      </c>
      <c r="U83" s="74">
        <f t="shared" si="19"/>
        <v>14229518.58842678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NPV(Real_Discount_rate,P83:T83)</f>
        <v>13089023.348601783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6" priority="8">
      <formula>$E10="Contracts"</formula>
    </cfRule>
    <cfRule type="expression" dxfId="5" priority="9">
      <formula>$E10="Materials"</formula>
    </cfRule>
    <cfRule type="expression" dxfId="4" priority="10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2">
      <formula>ABS(P84)&gt;0.001</formula>
    </cfRule>
  </conditionalFormatting>
  <conditionalFormatting sqref="V68">
    <cfRule type="expression" dxfId="1" priority="14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Cover</vt:lpstr>
      <vt:lpstr>United Energy summary</vt:lpstr>
      <vt:lpstr>Piclo Benefits</vt:lpstr>
      <vt:lpstr>Opex Step Change</vt:lpstr>
      <vt:lpstr>Project summary</vt:lpstr>
      <vt:lpstr>Assumptions</vt:lpstr>
      <vt:lpstr>Option 1</vt:lpstr>
      <vt:lpstr>Option 2</vt:lpstr>
      <vt:lpstr>Cover!Business</vt:lpstr>
      <vt:lpstr>'Piclo Benefits'!Business</vt:lpstr>
      <vt:lpstr>Business</vt:lpstr>
      <vt:lpstr>Cover!business_case_dollars</vt:lpstr>
      <vt:lpstr>'Piclo Benefits'!business_case_dollars</vt:lpstr>
      <vt:lpstr>business_case_dollars</vt:lpstr>
      <vt:lpstr>'Project summary'!Print_Area</vt:lpstr>
      <vt:lpstr>Cover!Project_name</vt:lpstr>
      <vt:lpstr>'Piclo Benefits'!Project_name</vt:lpstr>
      <vt:lpstr>Project_name</vt:lpstr>
      <vt:lpstr>Cover!Real_Discount_rate</vt:lpstr>
      <vt:lpstr>'Piclo Benefits'!Real_Discount_rate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2025-01-08T22:25:51Z</dcterms:created>
  <dcterms:modified xsi:type="dcterms:W3CDTF">2025-01-26T23:48:33Z</dcterms:modified>
  <cp:category/>
  <cp:contentStatus/>
</cp:coreProperties>
</file>