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C376D1AD-16BF-46B6-92EF-6337C9016B6A}" xr6:coauthVersionLast="47" xr6:coauthVersionMax="47" xr10:uidLastSave="{00000000-0000-0000-0000-000000000000}"/>
  <bookViews>
    <workbookView xWindow="28680" yWindow="-105" windowWidth="29040" windowHeight="15720" xr2:uid="{00000000-000D-0000-FFFF-FFFF00000000}"/>
  </bookViews>
  <sheets>
    <sheet name="Cover" sheetId="14" r:id="rId1"/>
    <sheet name="Calc" sheetId="13" r:id="rId2"/>
  </sheets>
  <definedNames>
    <definedName name="energy" localSheetId="1">Calc!$F$6</definedName>
    <definedName name="maifi_perc" localSheetId="1">Calc!$F$9</definedName>
    <definedName name="mins_pa" localSheetId="1">Calc!$F$8</definedName>
    <definedName name="revenue" localSheetId="1">Calc!$F$7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4" l="1" a="1"/>
  <c r="D6" i="14" s="1"/>
  <c r="C5" i="14" a="1"/>
  <c r="C5" i="14" s="1"/>
  <c r="H44" i="13"/>
  <c r="H43" i="13"/>
  <c r="E44" i="13"/>
  <c r="E43" i="13"/>
  <c r="F14" i="13"/>
  <c r="G14" i="13" s="1"/>
  <c r="H14" i="13" s="1"/>
  <c r="I14" i="13" s="1"/>
  <c r="J14" i="13" s="1"/>
  <c r="K14" i="13" s="1"/>
  <c r="L14" i="13" s="1"/>
  <c r="G44" i="13" s="1"/>
  <c r="E24" i="13"/>
  <c r="F43" i="13" l="1"/>
  <c r="F44" i="13"/>
  <c r="G43" i="13"/>
  <c r="E48" i="13"/>
  <c r="H49" i="13"/>
  <c r="H50" i="13" s="1"/>
  <c r="H48" i="13"/>
  <c r="H24" i="13"/>
  <c r="G24" i="13"/>
  <c r="F24" i="13"/>
  <c r="F8" i="13"/>
  <c r="N24" i="13" l="1"/>
  <c r="E49" i="13"/>
  <c r="F48" i="13" l="1"/>
  <c r="G49" i="13"/>
  <c r="G50" i="13" s="1"/>
  <c r="G48" i="13"/>
  <c r="F49" i="13"/>
  <c r="I49" i="13" s="1"/>
  <c r="E50" i="13"/>
  <c r="I48" i="13" l="1"/>
  <c r="F50" i="13"/>
  <c r="I50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<sst xmlns="http://schemas.openxmlformats.org/spreadsheetml/2006/main" count="67" uniqueCount="46">
  <si>
    <t>CBD</t>
  </si>
  <si>
    <t>Urban</t>
  </si>
  <si>
    <t>Service Target Performance Incentive Scheme - Rate Calculation</t>
  </si>
  <si>
    <t>Assumptions</t>
  </si>
  <si>
    <t>SAIFI ($)</t>
  </si>
  <si>
    <t>SAIDI ($)</t>
  </si>
  <si>
    <t>Proportion of VCR</t>
  </si>
  <si>
    <t>Ave unplanned SAIFI target</t>
  </si>
  <si>
    <t>Ave unplanned SAIDI target</t>
  </si>
  <si>
    <t xml:space="preserve">Ratio of unplanned SAIDI/SAIFI    </t>
  </si>
  <si>
    <t>Ave unplanned MAIFI target</t>
  </si>
  <si>
    <t>Telephone answering</t>
  </si>
  <si>
    <t>Energy (MWh) - Network</t>
  </si>
  <si>
    <t>AER, Value of customer reliability, December 2019</t>
  </si>
  <si>
    <t>Incentive rate</t>
  </si>
  <si>
    <t>SAIFI</t>
  </si>
  <si>
    <t>SAIDI</t>
  </si>
  <si>
    <t>MAIFI</t>
  </si>
  <si>
    <t>Energy (MWh)</t>
  </si>
  <si>
    <t>Ave Customers (#)</t>
  </si>
  <si>
    <t>Ave Minutes per year</t>
  </si>
  <si>
    <t>Calculation - Incentive rates based on AER Guideline VCR</t>
  </si>
  <si>
    <t>Short rural</t>
  </si>
  <si>
    <t>Long rural</t>
  </si>
  <si>
    <t>Network</t>
  </si>
  <si>
    <t>CPI</t>
  </si>
  <si>
    <t>Average FY27-31, from Reset RIN 3.4.1</t>
  </si>
  <si>
    <t>FY27 - 31</t>
  </si>
  <si>
    <t>Smoothed revenue ($'m Jun 2026)</t>
  </si>
  <si>
    <t>MAIFI incentive rate (% of SAIFI)</t>
  </si>
  <si>
    <t>Average FY27-31, from Reset RIN 3.1.1</t>
  </si>
  <si>
    <t>Average FY27-31, from Reset RIN 6.2.4</t>
  </si>
  <si>
    <t>AER VCR ($/MWh) - state wide</t>
  </si>
  <si>
    <t>United Energy</t>
  </si>
  <si>
    <r>
      <t xml:space="preserve">2019
</t>
    </r>
    <r>
      <rPr>
        <b/>
        <i/>
        <sz val="9"/>
        <color theme="1"/>
        <rFont val="Calibri"/>
        <family val="2"/>
      </rPr>
      <t>AER</t>
    </r>
  </si>
  <si>
    <r>
      <t xml:space="preserve">2020
</t>
    </r>
    <r>
      <rPr>
        <b/>
        <i/>
        <sz val="9"/>
        <color theme="1"/>
        <rFont val="Calibri"/>
        <family val="2"/>
      </rPr>
      <t>AER</t>
    </r>
  </si>
  <si>
    <r>
      <t xml:space="preserve">2021
</t>
    </r>
    <r>
      <rPr>
        <b/>
        <i/>
        <sz val="9"/>
        <color theme="1"/>
        <rFont val="Calibri"/>
        <family val="2"/>
      </rPr>
      <t>AER</t>
    </r>
  </si>
  <si>
    <r>
      <t xml:space="preserve">2022
</t>
    </r>
    <r>
      <rPr>
        <b/>
        <i/>
        <sz val="9"/>
        <color theme="1"/>
        <rFont val="Calibri"/>
        <family val="2"/>
      </rPr>
      <t>AER</t>
    </r>
  </si>
  <si>
    <r>
      <t xml:space="preserve">2023
</t>
    </r>
    <r>
      <rPr>
        <b/>
        <i/>
        <sz val="9"/>
        <color theme="1"/>
        <rFont val="Calibri"/>
        <family val="2"/>
      </rPr>
      <t>AER</t>
    </r>
  </si>
  <si>
    <r>
      <t xml:space="preserve">2024
</t>
    </r>
    <r>
      <rPr>
        <b/>
        <i/>
        <sz val="9"/>
        <color theme="1"/>
        <rFont val="Calibri"/>
        <family val="2"/>
      </rPr>
      <t>actual</t>
    </r>
  </si>
  <si>
    <r>
      <t xml:space="preserve">2024
</t>
    </r>
    <r>
      <rPr>
        <b/>
        <i/>
        <sz val="9"/>
        <color theme="1"/>
        <rFont val="Calibri"/>
        <family val="2"/>
      </rPr>
      <t>fcast</t>
    </r>
  </si>
  <si>
    <r>
      <t xml:space="preserve">2025
</t>
    </r>
    <r>
      <rPr>
        <b/>
        <i/>
        <sz val="9"/>
        <color theme="1"/>
        <rFont val="Calibri"/>
        <family val="2"/>
      </rPr>
      <t>fcast</t>
    </r>
  </si>
  <si>
    <t>AER applies annual change in the September quarter CPI</t>
  </si>
  <si>
    <t>UE MOD 10.03 - STPIS targets - Jan2025 - Public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</si>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</sst>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#,##0;[Red]\-&quot;$&quot;#,##0;\ &quot;-&quot;"/>
    <numFmt numFmtId="165" formatCode="#,##0_ ;[Red]\-#,##0\ "/>
    <numFmt numFmtId="166" formatCode="#,##0.0_ ;[Red]\-#,##0.0\ "/>
    <numFmt numFmtId="167" formatCode="0.0%"/>
    <numFmt numFmtId="168" formatCode="0.00;[Red]\-0.00;\ &quot;-&quot;"/>
    <numFmt numFmtId="169" formatCode="0.0000;[Red]\-0.0000;\ &quot;-&quot;"/>
    <numFmt numFmtId="170" formatCode="#,##0_);\(#,##0\);\-\-_)"/>
    <numFmt numFmtId="171" formatCode="#,##0.000_ ;[Red]\-#,##0.000\ "/>
    <numFmt numFmtId="172" formatCode="#,##0.00_ ;[Red]\-#,##0.00\ "/>
    <numFmt numFmtId="173" formatCode="0.0000"/>
    <numFmt numFmtId="174" formatCode="dd\ mmmm\ yyyy"/>
  </numFmts>
  <fonts count="3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2"/>
      <name val="Calibri"/>
      <family val="2"/>
    </font>
    <font>
      <sz val="10"/>
      <color theme="1"/>
      <name val="Verdana"/>
      <family val="2"/>
    </font>
    <font>
      <sz val="10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4"/>
      <color indexed="9"/>
      <name val="Arial"/>
      <family val="2"/>
    </font>
    <font>
      <sz val="10"/>
      <color theme="0"/>
      <name val="Calibri"/>
      <family val="2"/>
      <scheme val="minor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15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5" fillId="2" borderId="0">
      <alignment horizontal="center"/>
    </xf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0" fillId="0" borderId="0"/>
    <xf numFmtId="170" fontId="19" fillId="7" borderId="0"/>
    <xf numFmtId="0" fontId="1" fillId="0" borderId="0"/>
    <xf numFmtId="0" fontId="22" fillId="0" borderId="0"/>
  </cellStyleXfs>
  <cellXfs count="59">
    <xf numFmtId="0" fontId="0" fillId="0" borderId="0" xfId="0"/>
    <xf numFmtId="0" fontId="6" fillId="3" borderId="0" xfId="0" applyFont="1" applyFill="1"/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14" fontId="9" fillId="0" borderId="0" xfId="0" applyNumberFormat="1" applyFont="1" applyAlignment="1">
      <alignment vertical="top"/>
    </xf>
    <xf numFmtId="0" fontId="11" fillId="4" borderId="0" xfId="6" applyFont="1" applyFill="1" applyAlignment="1">
      <alignment horizontal="left" vertical="center"/>
    </xf>
    <xf numFmtId="0" fontId="12" fillId="4" borderId="0" xfId="6" applyFont="1" applyFill="1" applyAlignment="1">
      <alignment horizontal="left" vertical="center"/>
    </xf>
    <xf numFmtId="0" fontId="7" fillId="0" borderId="1" xfId="0" applyFont="1" applyBorder="1"/>
    <xf numFmtId="0" fontId="9" fillId="0" borderId="1" xfId="0" applyFont="1" applyBorder="1"/>
    <xf numFmtId="164" fontId="13" fillId="0" borderId="0" xfId="0" applyNumberFormat="1" applyFont="1" applyAlignment="1">
      <alignment horizontal="right" vertical="top"/>
    </xf>
    <xf numFmtId="3" fontId="7" fillId="0" borderId="0" xfId="0" applyNumberFormat="1" applyFont="1"/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5" applyNumberFormat="1" applyFont="1" applyAlignment="1">
      <alignment horizontal="center"/>
    </xf>
    <xf numFmtId="0" fontId="15" fillId="0" borderId="0" xfId="0" applyFont="1"/>
    <xf numFmtId="4" fontId="13" fillId="0" borderId="0" xfId="0" applyNumberFormat="1" applyFont="1" applyAlignment="1">
      <alignment horizontal="center"/>
    </xf>
    <xf numFmtId="0" fontId="9" fillId="0" borderId="0" xfId="0" applyFont="1"/>
    <xf numFmtId="9" fontId="13" fillId="0" borderId="0" xfId="5" applyFont="1" applyFill="1" applyBorder="1" applyAlignment="1">
      <alignment horizontal="right" vertical="top"/>
    </xf>
    <xf numFmtId="167" fontId="7" fillId="0" borderId="0" xfId="0" applyNumberFormat="1" applyFont="1"/>
    <xf numFmtId="3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1" xfId="0" applyFont="1" applyBorder="1" applyAlignment="1">
      <alignment horizontal="left"/>
    </xf>
    <xf numFmtId="0" fontId="12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10" fontId="17" fillId="5" borderId="0" xfId="5" applyNumberFormat="1" applyFont="1" applyFill="1" applyBorder="1" applyAlignment="1">
      <alignment horizontal="right" vertical="top"/>
    </xf>
    <xf numFmtId="164" fontId="14" fillId="0" borderId="0" xfId="0" applyNumberFormat="1" applyFont="1" applyAlignment="1">
      <alignment horizontal="center" vertical="top"/>
    </xf>
    <xf numFmtId="168" fontId="14" fillId="0" borderId="0" xfId="0" applyNumberFormat="1" applyFont="1" applyAlignment="1">
      <alignment horizontal="center" vertical="top"/>
    </xf>
    <xf numFmtId="169" fontId="14" fillId="0" borderId="0" xfId="0" applyNumberFormat="1" applyFont="1" applyAlignment="1">
      <alignment horizontal="center" vertical="top"/>
    </xf>
    <xf numFmtId="166" fontId="13" fillId="5" borderId="0" xfId="0" applyNumberFormat="1" applyFont="1" applyFill="1" applyAlignment="1">
      <alignment horizontal="center" vertical="top"/>
    </xf>
    <xf numFmtId="165" fontId="13" fillId="5" borderId="0" xfId="0" applyNumberFormat="1" applyFont="1" applyFill="1" applyAlignment="1">
      <alignment horizontal="center" vertical="top"/>
    </xf>
    <xf numFmtId="165" fontId="7" fillId="0" borderId="0" xfId="0" applyNumberFormat="1" applyFont="1" applyAlignment="1">
      <alignment horizontal="center" vertical="top"/>
    </xf>
    <xf numFmtId="164" fontId="13" fillId="5" borderId="0" xfId="0" applyNumberFormat="1" applyFont="1" applyFill="1" applyAlignment="1">
      <alignment horizontal="center" vertical="top"/>
    </xf>
    <xf numFmtId="9" fontId="13" fillId="5" borderId="0" xfId="5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/>
    </xf>
    <xf numFmtId="169" fontId="14" fillId="8" borderId="0" xfId="0" applyNumberFormat="1" applyFont="1" applyFill="1" applyAlignment="1">
      <alignment horizontal="center" vertical="top"/>
    </xf>
    <xf numFmtId="10" fontId="13" fillId="5" borderId="0" xfId="5" applyNumberFormat="1" applyFont="1" applyFill="1"/>
    <xf numFmtId="164" fontId="17" fillId="0" borderId="0" xfId="0" applyNumberFormat="1" applyFont="1" applyAlignment="1">
      <alignment horizontal="right" vertical="top"/>
    </xf>
    <xf numFmtId="171" fontId="13" fillId="5" borderId="0" xfId="0" applyNumberFormat="1" applyFont="1" applyFill="1" applyAlignment="1">
      <alignment horizontal="center" vertical="top"/>
    </xf>
    <xf numFmtId="2" fontId="7" fillId="6" borderId="0" xfId="0" applyNumberFormat="1" applyFont="1" applyFill="1" applyAlignment="1">
      <alignment horizontal="center"/>
    </xf>
    <xf numFmtId="172" fontId="20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left" vertical="top"/>
    </xf>
    <xf numFmtId="173" fontId="7" fillId="0" borderId="0" xfId="0" applyNumberFormat="1" applyFont="1"/>
    <xf numFmtId="0" fontId="9" fillId="0" borderId="1" xfId="0" applyFont="1" applyBorder="1" applyAlignment="1">
      <alignment horizontal="center" wrapText="1"/>
    </xf>
    <xf numFmtId="10" fontId="13" fillId="0" borderId="0" xfId="5" applyNumberFormat="1" applyFont="1" applyFill="1"/>
    <xf numFmtId="9" fontId="7" fillId="0" borderId="0" xfId="5" applyFont="1" applyAlignment="1">
      <alignment horizontal="center"/>
    </xf>
    <xf numFmtId="0" fontId="1" fillId="9" borderId="0" xfId="8" applyFill="1"/>
    <xf numFmtId="0" fontId="1" fillId="0" borderId="0" xfId="8"/>
    <xf numFmtId="0" fontId="22" fillId="0" borderId="0" xfId="9"/>
    <xf numFmtId="0" fontId="23" fillId="0" borderId="0" xfId="8" applyFont="1"/>
    <xf numFmtId="0" fontId="24" fillId="0" borderId="0" xfId="8" applyFont="1"/>
    <xf numFmtId="0" fontId="25" fillId="0" borderId="0" xfId="8" applyFont="1"/>
    <xf numFmtId="0" fontId="26" fillId="0" borderId="0" xfId="8" applyFont="1"/>
    <xf numFmtId="0" fontId="27" fillId="0" borderId="0" xfId="8" applyFont="1"/>
    <xf numFmtId="2" fontId="27" fillId="0" borderId="0" xfId="8" applyNumberFormat="1" applyFont="1" applyAlignment="1">
      <alignment horizontal="left"/>
    </xf>
    <xf numFmtId="0" fontId="28" fillId="0" borderId="0" xfId="8" applyFont="1"/>
    <xf numFmtId="174" fontId="29" fillId="0" borderId="0" xfId="8" applyNumberFormat="1" applyFont="1" applyAlignment="1">
      <alignment horizontal="left"/>
    </xf>
    <xf numFmtId="0" fontId="30" fillId="0" borderId="0" xfId="8" applyFont="1"/>
  </cellXfs>
  <cellStyles count="10">
    <cellStyle name="Header1" xfId="7" xr:uid="{80AA7845-BCE0-4B1F-A7B6-7BD9AB539BFE}"/>
    <cellStyle name="Heading 4 2" xfId="1" xr:uid="{00000000-0005-0000-0000-000000000000}"/>
    <cellStyle name="Input2" xfId="2" xr:uid="{00000000-0005-0000-0000-000001000000}"/>
    <cellStyle name="Normal" xfId="0" builtinId="0"/>
    <cellStyle name="Normal 2" xfId="3" xr:uid="{00000000-0005-0000-0000-000003000000}"/>
    <cellStyle name="Normal 2 4" xfId="9" xr:uid="{70BE2D75-09D2-4026-B1B7-4A0E7DCF0FD4}"/>
    <cellStyle name="Normal 3" xfId="4" xr:uid="{00000000-0005-0000-0000-000004000000}"/>
    <cellStyle name="Normal 3 3" xfId="8" xr:uid="{869525A4-EB1F-459D-8C7A-C658E60477DC}"/>
    <cellStyle name="Normal 5" xfId="6" xr:uid="{00000000-0005-0000-0000-000005000000}"/>
    <cellStyle name="Percent" xfId="5" builtinId="5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66FF"/>
      <color rgb="FFFFFF99"/>
      <color rgb="FF66FF33"/>
      <color rgb="FFFFFF00"/>
      <color rgb="FFFFFFFF"/>
      <color rgb="FFCCFFFF"/>
      <color rgb="FFFF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12D92569-CD7C-4F05-BB11-4083B9FF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9E6B-DB10-461E-BDD1-63414CE18CF5}">
  <sheetPr>
    <tabColor theme="1" tint="0.34998626667073579"/>
  </sheetPr>
  <dimension ref="A1:K43"/>
  <sheetViews>
    <sheetView showGridLines="0" tabSelected="1" workbookViewId="0">
      <selection activeCell="E24" sqref="E24"/>
    </sheetView>
  </sheetViews>
  <sheetFormatPr defaultColWidth="0" defaultRowHeight="12.75" customHeight="1" zeroHeight="1" x14ac:dyDescent="0.2"/>
  <cols>
    <col min="1" max="1" width="10.875" style="49" customWidth="1"/>
    <col min="2" max="2" width="2.125" style="49" customWidth="1"/>
    <col min="3" max="3" width="14.25" style="49" customWidth="1"/>
    <col min="4" max="11" width="9" style="49" customWidth="1"/>
    <col min="12" max="16384" width="9" style="49" hidden="1"/>
  </cols>
  <sheetData>
    <row r="1" spans="1:11" ht="15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3.25" x14ac:dyDescent="0.35">
      <c r="A2" s="47"/>
      <c r="B2" s="48"/>
      <c r="C2" s="50" t="s">
        <v>33</v>
      </c>
      <c r="D2" s="51"/>
      <c r="E2" s="51"/>
      <c r="F2" s="48"/>
      <c r="G2" s="48"/>
      <c r="H2" s="48"/>
      <c r="I2" s="48"/>
      <c r="J2" s="48"/>
      <c r="K2" s="48"/>
    </row>
    <row r="3" spans="1:11" ht="15.75" x14ac:dyDescent="0.25">
      <c r="A3" s="47"/>
      <c r="B3" s="48"/>
      <c r="C3" s="52" t="s">
        <v>44</v>
      </c>
      <c r="D3" s="51"/>
      <c r="E3" s="51"/>
      <c r="F3" s="48"/>
      <c r="G3" s="48"/>
      <c r="H3" s="48"/>
      <c r="I3" s="48"/>
      <c r="J3" s="48"/>
      <c r="K3" s="48"/>
    </row>
    <row r="4" spans="1:11" ht="15" x14ac:dyDescent="0.25">
      <c r="A4" s="47"/>
      <c r="B4" s="48"/>
      <c r="C4" s="48"/>
      <c r="D4" s="51"/>
      <c r="E4" s="51"/>
      <c r="F4" s="48"/>
      <c r="G4" s="48"/>
      <c r="H4" s="48"/>
      <c r="I4" s="48"/>
      <c r="J4" s="48"/>
      <c r="K4" s="48"/>
    </row>
    <row r="5" spans="1:11" ht="15" x14ac:dyDescent="0.25">
      <c r="A5" s="47"/>
      <c r="B5" s="48"/>
      <c r="C5" s="53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STPIS incentives</v>
      </c>
      <c r="D5" s="48"/>
      <c r="E5" s="48"/>
      <c r="F5" s="48"/>
      <c r="G5" s="48"/>
      <c r="H5" s="48"/>
      <c r="I5" s="48"/>
      <c r="J5" s="48"/>
      <c r="K5" s="48"/>
    </row>
    <row r="6" spans="1:11" ht="15" x14ac:dyDescent="0.25">
      <c r="A6" s="47"/>
      <c r="B6" s="48"/>
      <c r="C6" s="54" t="s">
        <v>45</v>
      </c>
      <c r="D6" s="55" t="str" cm="1">
        <f t="array" aca="1" ref="D6" ca="1">LEFT(_xlfn.TEXTAFTER(CELL("filename")," MOD "),FIND(" - ",_xlfn.TEXTAFTER(CELL("filename")," MOD "),1)-1)</f>
        <v>10.02</v>
      </c>
      <c r="E6" s="54"/>
      <c r="F6" s="48"/>
      <c r="G6" s="48"/>
      <c r="H6" s="48"/>
      <c r="I6" s="48"/>
      <c r="J6" s="48"/>
      <c r="K6" s="48"/>
    </row>
    <row r="7" spans="1:11" ht="15" x14ac:dyDescent="0.25">
      <c r="A7" s="47"/>
      <c r="B7" s="48"/>
      <c r="C7" s="48"/>
      <c r="D7" s="48"/>
      <c r="E7" s="48"/>
      <c r="F7" s="56"/>
      <c r="G7" s="56"/>
      <c r="H7" s="56"/>
      <c r="I7" s="48"/>
      <c r="J7" s="56"/>
      <c r="K7" s="56"/>
    </row>
    <row r="8" spans="1:11" ht="15" x14ac:dyDescent="0.25">
      <c r="A8" s="47"/>
      <c r="B8" s="48"/>
      <c r="C8" s="57">
        <v>45688</v>
      </c>
      <c r="D8" s="48"/>
      <c r="E8" s="48"/>
      <c r="F8" s="56"/>
      <c r="G8" s="56"/>
      <c r="H8" s="56"/>
      <c r="I8" s="48"/>
      <c r="J8" s="56"/>
      <c r="K8" s="56"/>
    </row>
    <row r="9" spans="1:11" ht="15" x14ac:dyDescent="0.25">
      <c r="A9" s="47"/>
      <c r="B9" s="48"/>
      <c r="C9" s="58"/>
      <c r="D9" s="58"/>
      <c r="E9" s="48"/>
      <c r="F9" s="56"/>
      <c r="G9" s="56"/>
      <c r="H9" s="56"/>
      <c r="I9" s="56"/>
      <c r="J9" s="56"/>
      <c r="K9" s="56"/>
    </row>
    <row r="10" spans="1:11" ht="15" x14ac:dyDescent="0.25">
      <c r="A10" s="47"/>
      <c r="B10" s="48"/>
      <c r="C10" s="58"/>
      <c r="D10" s="58"/>
      <c r="E10" s="48"/>
      <c r="F10" s="56"/>
      <c r="G10" s="56"/>
      <c r="H10" s="56"/>
      <c r="I10" s="56"/>
      <c r="J10" s="56"/>
      <c r="K10" s="56"/>
    </row>
    <row r="11" spans="1:11" ht="15" x14ac:dyDescent="0.25">
      <c r="A11" s="47"/>
      <c r="B11" s="48"/>
      <c r="C11" s="58"/>
      <c r="D11" s="58"/>
      <c r="E11" s="48"/>
      <c r="F11" s="56"/>
      <c r="G11" s="56"/>
      <c r="H11" s="56"/>
      <c r="I11" s="56"/>
      <c r="J11" s="56"/>
      <c r="K11" s="56"/>
    </row>
    <row r="12" spans="1:11" ht="15" x14ac:dyDescent="0.25">
      <c r="A12" s="47"/>
      <c r="B12" s="48"/>
      <c r="C12" s="58"/>
      <c r="D12" s="58"/>
      <c r="E12" s="48"/>
      <c r="F12" s="56"/>
      <c r="G12" s="56"/>
      <c r="H12" s="56"/>
      <c r="I12" s="56"/>
      <c r="J12" s="56"/>
      <c r="K12" s="56"/>
    </row>
    <row r="13" spans="1:11" ht="15" x14ac:dyDescent="0.25">
      <c r="A13" s="47"/>
      <c r="B13" s="48"/>
      <c r="C13" s="58"/>
      <c r="D13" s="58"/>
      <c r="E13" s="48"/>
      <c r="F13" s="56"/>
      <c r="G13" s="56"/>
      <c r="H13" s="56"/>
      <c r="I13" s="56"/>
      <c r="J13" s="56"/>
      <c r="K13" s="56"/>
    </row>
    <row r="14" spans="1:11" ht="15" x14ac:dyDescent="0.25">
      <c r="A14" s="47"/>
      <c r="B14" s="48"/>
      <c r="C14" s="56"/>
      <c r="D14" s="56"/>
      <c r="E14" s="56"/>
      <c r="F14" s="56"/>
      <c r="G14" s="56"/>
      <c r="H14" s="56"/>
      <c r="I14" s="56"/>
      <c r="J14" s="56"/>
      <c r="K14" s="56"/>
    </row>
    <row r="15" spans="1:11" ht="15" x14ac:dyDescent="0.25">
      <c r="A15" s="47"/>
      <c r="B15" s="48"/>
      <c r="C15" s="53"/>
      <c r="D15" s="56"/>
      <c r="E15" s="56"/>
      <c r="F15" s="56"/>
      <c r="G15" s="56"/>
      <c r="H15" s="56"/>
      <c r="I15" s="56"/>
      <c r="J15" s="56"/>
      <c r="K15" s="56"/>
    </row>
    <row r="16" spans="1:11" ht="15" x14ac:dyDescent="0.25">
      <c r="A16" s="47"/>
      <c r="B16" s="48"/>
      <c r="C16" s="53"/>
      <c r="D16" s="56"/>
      <c r="E16" s="56"/>
      <c r="F16" s="56"/>
      <c r="G16" s="56"/>
      <c r="H16" s="56"/>
      <c r="I16" s="56"/>
      <c r="J16" s="56"/>
      <c r="K16" s="56"/>
    </row>
    <row r="17" spans="1:11" ht="15" x14ac:dyDescent="0.25">
      <c r="A17" s="47"/>
      <c r="B17" s="48"/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15" x14ac:dyDescent="0.25">
      <c r="A18" s="47"/>
      <c r="B18" s="48"/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15" x14ac:dyDescent="0.25">
      <c r="A19" s="47"/>
      <c r="B19" s="48"/>
      <c r="C19" s="56"/>
      <c r="D19" s="56"/>
      <c r="E19" s="56"/>
      <c r="F19" s="56"/>
      <c r="H19" s="56"/>
      <c r="I19" s="56"/>
      <c r="J19" s="56"/>
      <c r="K19" s="56"/>
    </row>
    <row r="20" spans="1:11" ht="15" x14ac:dyDescent="0.25">
      <c r="A20" s="47"/>
      <c r="B20" s="48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15" x14ac:dyDescent="0.25">
      <c r="A21" s="47"/>
      <c r="B21" s="48"/>
      <c r="C21" s="56"/>
      <c r="D21" s="56"/>
      <c r="E21" s="56"/>
      <c r="F21" s="56"/>
      <c r="G21" s="56"/>
      <c r="H21" s="56"/>
      <c r="I21" s="56"/>
      <c r="J21" s="56"/>
      <c r="K21" s="56"/>
    </row>
    <row r="22" spans="1:11" ht="15" x14ac:dyDescent="0.25">
      <c r="A22" s="47"/>
      <c r="B22" s="48"/>
      <c r="C22" s="56"/>
      <c r="D22" s="56"/>
      <c r="E22" s="56"/>
      <c r="F22" s="56"/>
      <c r="G22" s="56"/>
      <c r="H22" s="56"/>
      <c r="I22" s="56"/>
      <c r="J22" s="56"/>
      <c r="K22" s="56"/>
    </row>
    <row r="23" spans="1:11" ht="15" x14ac:dyDescent="0.25">
      <c r="A23" s="47"/>
      <c r="B23" s="48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5" x14ac:dyDescent="0.25">
      <c r="A24" s="47"/>
      <c r="B24" s="48"/>
      <c r="C24" s="56"/>
      <c r="D24" s="56"/>
      <c r="E24" s="56"/>
      <c r="F24" s="56"/>
      <c r="G24" s="56"/>
      <c r="H24" s="56"/>
      <c r="I24" s="56"/>
      <c r="J24" s="56"/>
      <c r="K24" s="56"/>
    </row>
    <row r="25" spans="1:11" ht="15" x14ac:dyDescent="0.25">
      <c r="A25" s="47"/>
      <c r="B25" s="48"/>
      <c r="C25" s="56"/>
      <c r="D25" s="56"/>
      <c r="E25" s="56"/>
      <c r="F25" s="56"/>
      <c r="G25" s="56"/>
      <c r="H25" s="56"/>
      <c r="I25" s="56"/>
      <c r="J25" s="56"/>
      <c r="K25" s="56"/>
    </row>
    <row r="26" spans="1:11" ht="15" x14ac:dyDescent="0.25">
      <c r="A26" s="47"/>
      <c r="B26" s="48"/>
      <c r="C26" s="56"/>
      <c r="D26" s="56"/>
      <c r="E26" s="56"/>
      <c r="F26" s="56"/>
      <c r="G26" s="56"/>
      <c r="H26" s="56"/>
      <c r="I26" s="56"/>
      <c r="J26" s="56"/>
      <c r="K26" s="56"/>
    </row>
    <row r="27" spans="1:11" ht="15" x14ac:dyDescent="0.25">
      <c r="A27" s="47"/>
      <c r="B27" s="48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15" x14ac:dyDescent="0.25">
      <c r="A28" s="47"/>
      <c r="B28" s="48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15" x14ac:dyDescent="0.25">
      <c r="A29" s="47"/>
      <c r="B29" s="48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15" x14ac:dyDescent="0.25">
      <c r="A30" s="47"/>
      <c r="B30" s="48"/>
      <c r="C30" s="56"/>
      <c r="D30" s="48"/>
      <c r="E30" s="56"/>
      <c r="F30" s="56"/>
      <c r="G30" s="56"/>
      <c r="H30" s="56"/>
      <c r="I30" s="56"/>
      <c r="J30" s="56"/>
      <c r="K30" s="56"/>
    </row>
    <row r="31" spans="1:11" ht="15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5" x14ac:dyDescent="0.2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ht="15" x14ac:dyDescent="0.2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ht="15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ht="15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1" ht="15" x14ac:dyDescent="0.2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ht="15" x14ac:dyDescent="0.25">
      <c r="A37" s="47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15" x14ac:dyDescent="0.25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ht="15" x14ac:dyDescent="0.25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1" ht="15" x14ac:dyDescent="0.25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1" ht="15" x14ac:dyDescent="0.25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1" ht="15" x14ac:dyDescent="0.25">
      <c r="A42" s="47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1" ht="15" x14ac:dyDescent="0.25">
      <c r="A43" s="47"/>
      <c r="B43" s="48"/>
      <c r="C43" s="48"/>
      <c r="D43" s="48"/>
      <c r="E43" s="48"/>
      <c r="F43" s="48"/>
      <c r="G43" s="48"/>
      <c r="H43" s="48"/>
      <c r="I43" s="48"/>
      <c r="J43" s="48"/>
      <c r="K43" s="48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9D06-FEA8-4A53-A503-0D2171D60E24}">
  <dimension ref="A1:AB51"/>
  <sheetViews>
    <sheetView showGridLines="0" zoomScale="90" zoomScaleNormal="90" workbookViewId="0">
      <selection activeCell="L25" sqref="L25"/>
    </sheetView>
  </sheetViews>
  <sheetFormatPr defaultColWidth="9" defaultRowHeight="12.75" x14ac:dyDescent="0.2"/>
  <cols>
    <col min="1" max="1" width="5.625" style="2" customWidth="1"/>
    <col min="2" max="2" width="27.875" style="2" customWidth="1"/>
    <col min="3" max="4" width="11.125" style="2" customWidth="1"/>
    <col min="5" max="5" width="10.875" style="2" customWidth="1"/>
    <col min="6" max="6" width="9" style="2" customWidth="1"/>
    <col min="7" max="8" width="9" style="2"/>
    <col min="9" max="9" width="10.5" style="2" bestFit="1" customWidth="1"/>
    <col min="10" max="12" width="10.5" style="2" customWidth="1"/>
    <col min="13" max="13" width="9" style="2"/>
    <col min="14" max="14" width="14.75" style="2" bestFit="1" customWidth="1"/>
    <col min="15" max="16384" width="9" style="2"/>
  </cols>
  <sheetData>
    <row r="1" spans="1:28" s="3" customFormat="1" ht="18.75" x14ac:dyDescent="0.3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</row>
    <row r="2" spans="1:28" s="3" customFormat="1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  <c r="AA2" s="2"/>
      <c r="AB2" s="2"/>
    </row>
    <row r="3" spans="1:28" x14ac:dyDescent="0.2">
      <c r="A3" s="4"/>
    </row>
    <row r="4" spans="1:28" x14ac:dyDescent="0.2">
      <c r="A4" s="7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8" x14ac:dyDescent="0.2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8" x14ac:dyDescent="0.2">
      <c r="B6" s="2" t="s">
        <v>12</v>
      </c>
      <c r="F6" s="31">
        <v>8727651.7219628282</v>
      </c>
      <c r="N6" s="42" t="s">
        <v>26</v>
      </c>
      <c r="O6" s="15"/>
      <c r="P6" s="10"/>
      <c r="Q6" s="10"/>
      <c r="R6" s="10"/>
      <c r="S6" s="10"/>
      <c r="T6" s="10"/>
      <c r="U6" s="10"/>
      <c r="V6" s="10"/>
      <c r="W6" s="10"/>
      <c r="X6" s="10"/>
    </row>
    <row r="7" spans="1:28" x14ac:dyDescent="0.2">
      <c r="B7" s="2" t="s">
        <v>28</v>
      </c>
      <c r="F7" s="31">
        <v>556.05186932477022</v>
      </c>
      <c r="N7" s="42" t="s">
        <v>30</v>
      </c>
    </row>
    <row r="8" spans="1:28" x14ac:dyDescent="0.2">
      <c r="B8" s="2" t="s">
        <v>20</v>
      </c>
      <c r="F8" s="31">
        <f>365.25*24*60</f>
        <v>525960</v>
      </c>
      <c r="R8" s="10"/>
    </row>
    <row r="9" spans="1:28" x14ac:dyDescent="0.2">
      <c r="B9" s="2" t="s">
        <v>29</v>
      </c>
      <c r="F9" s="34">
        <v>0.08</v>
      </c>
      <c r="H9" s="15"/>
      <c r="R9" s="10"/>
    </row>
    <row r="10" spans="1:28" x14ac:dyDescent="0.2">
      <c r="H10" s="15"/>
    </row>
    <row r="11" spans="1:28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8" ht="24.75" x14ac:dyDescent="0.2">
      <c r="A12" s="4"/>
      <c r="B12" s="8"/>
      <c r="C12" s="8"/>
      <c r="D12" s="8"/>
      <c r="E12" s="44" t="s">
        <v>34</v>
      </c>
      <c r="F12" s="44" t="s">
        <v>35</v>
      </c>
      <c r="G12" s="44" t="s">
        <v>36</v>
      </c>
      <c r="H12" s="44" t="s">
        <v>37</v>
      </c>
      <c r="I12" s="44" t="s">
        <v>38</v>
      </c>
      <c r="J12" s="44" t="s">
        <v>39</v>
      </c>
      <c r="K12" s="44" t="s">
        <v>40</v>
      </c>
      <c r="L12" s="44" t="s">
        <v>41</v>
      </c>
    </row>
    <row r="13" spans="1:28" ht="12.75" customHeight="1" x14ac:dyDescent="0.2">
      <c r="A13" s="5"/>
      <c r="B13" s="2" t="s">
        <v>25</v>
      </c>
      <c r="E13" s="13"/>
      <c r="F13" s="45">
        <v>6.8999999999999999E-3</v>
      </c>
      <c r="G13" s="45">
        <v>3.0099999999999998E-2</v>
      </c>
      <c r="H13" s="45">
        <v>7.2700000000000001E-2</v>
      </c>
      <c r="I13" s="45">
        <v>5.3699999999999998E-2</v>
      </c>
      <c r="J13" s="37">
        <v>2.8500000000000001E-2</v>
      </c>
      <c r="K13" s="37">
        <v>0.03</v>
      </c>
      <c r="L13" s="37">
        <v>0.03</v>
      </c>
      <c r="N13" s="15" t="s">
        <v>42</v>
      </c>
    </row>
    <row r="14" spans="1:28" ht="12.75" customHeight="1" x14ac:dyDescent="0.2">
      <c r="B14" s="2" t="s">
        <v>32</v>
      </c>
      <c r="E14" s="33">
        <v>41210</v>
      </c>
      <c r="F14" s="38">
        <f t="shared" ref="F14:L14" si="0">E14*(1+F$13)</f>
        <v>41494.348999999995</v>
      </c>
      <c r="G14" s="38">
        <f t="shared" si="0"/>
        <v>42743.328904899994</v>
      </c>
      <c r="H14" s="38">
        <f t="shared" si="0"/>
        <v>45850.768916286223</v>
      </c>
      <c r="I14" s="38">
        <f t="shared" si="0"/>
        <v>48312.955207090796</v>
      </c>
      <c r="J14" s="38">
        <f t="shared" si="0"/>
        <v>49689.874430492884</v>
      </c>
      <c r="K14" s="38">
        <f t="shared" si="0"/>
        <v>51180.570663407671</v>
      </c>
      <c r="L14" s="38">
        <f t="shared" si="0"/>
        <v>52715.987783309902</v>
      </c>
      <c r="N14" s="15" t="s">
        <v>13</v>
      </c>
    </row>
    <row r="15" spans="1:28" ht="12.75" customHeight="1" x14ac:dyDescent="0.2">
      <c r="G15" s="10"/>
      <c r="H15" s="10"/>
      <c r="I15" s="15"/>
      <c r="J15" s="15"/>
      <c r="K15" s="15"/>
      <c r="L15" s="15"/>
    </row>
    <row r="16" spans="1:28" ht="12.75" customHeight="1" x14ac:dyDescent="0.2">
      <c r="G16" s="10"/>
      <c r="H16" s="10"/>
      <c r="I16" s="15"/>
      <c r="J16" s="15"/>
      <c r="K16" s="15"/>
      <c r="L16" s="15"/>
    </row>
    <row r="17" spans="2:24" x14ac:dyDescent="0.2">
      <c r="N17" s="10"/>
      <c r="O17" s="15"/>
      <c r="P17" s="10"/>
      <c r="Q17" s="10"/>
      <c r="R17" s="10"/>
      <c r="S17" s="10"/>
      <c r="T17" s="10"/>
      <c r="U17" s="10"/>
      <c r="V17" s="10"/>
      <c r="W17" s="10"/>
      <c r="X17" s="10"/>
    </row>
    <row r="18" spans="2:24" x14ac:dyDescent="0.2">
      <c r="B18" s="8"/>
      <c r="C18" s="8"/>
      <c r="D18" s="8"/>
      <c r="E18" s="12" t="s">
        <v>0</v>
      </c>
      <c r="F18" s="12" t="s">
        <v>1</v>
      </c>
      <c r="G18" s="12" t="s">
        <v>22</v>
      </c>
      <c r="H18" s="12" t="s">
        <v>23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4" x14ac:dyDescent="0.2">
      <c r="B19" s="2" t="s">
        <v>19</v>
      </c>
      <c r="E19" s="31">
        <v>0</v>
      </c>
      <c r="F19" s="31">
        <v>690890.56046686193</v>
      </c>
      <c r="G19" s="31">
        <v>69082.916754306279</v>
      </c>
      <c r="H19" s="31">
        <v>0</v>
      </c>
      <c r="N19" s="42" t="s">
        <v>31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4" x14ac:dyDescent="0.2">
      <c r="F20" s="17"/>
      <c r="G20" s="10"/>
      <c r="H20" s="10"/>
      <c r="I20" s="10"/>
      <c r="J20" s="10"/>
      <c r="K20" s="10"/>
      <c r="L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2:24" x14ac:dyDescent="0.2">
      <c r="F21" s="17"/>
      <c r="G21" s="10"/>
      <c r="H21" s="10"/>
      <c r="I21" s="10"/>
      <c r="J21" s="10"/>
      <c r="K21" s="10"/>
      <c r="L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2:24" x14ac:dyDescent="0.2">
      <c r="F22" s="17"/>
      <c r="G22" s="10"/>
      <c r="H22" s="10"/>
      <c r="I22" s="10"/>
      <c r="J22" s="10"/>
      <c r="K22" s="10"/>
      <c r="L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2:24" x14ac:dyDescent="0.2">
      <c r="B23" s="8"/>
      <c r="C23" s="8"/>
      <c r="D23" s="8"/>
      <c r="E23" s="12" t="s">
        <v>0</v>
      </c>
      <c r="F23" s="12" t="s">
        <v>1</v>
      </c>
      <c r="G23" s="12" t="s">
        <v>22</v>
      </c>
      <c r="H23" s="12" t="s">
        <v>23</v>
      </c>
      <c r="I23" s="10"/>
      <c r="J23" s="10"/>
      <c r="K23" s="10"/>
      <c r="L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2:24" x14ac:dyDescent="0.2">
      <c r="B24" s="2" t="s">
        <v>18</v>
      </c>
      <c r="E24" s="32">
        <f>energy*E19/SUM($E$19:$H$19)</f>
        <v>0</v>
      </c>
      <c r="F24" s="32">
        <f>energy*F19/SUM($E$19:$H$19)</f>
        <v>7934292.9332146384</v>
      </c>
      <c r="G24" s="32">
        <f>energy*G19/SUM($E$19:$H$19)</f>
        <v>793358.78874818969</v>
      </c>
      <c r="H24" s="32">
        <f>energy*H19/SUM($E$19:$H$19)</f>
        <v>0</v>
      </c>
      <c r="I24" s="18"/>
      <c r="J24" s="18"/>
      <c r="K24" s="18"/>
      <c r="L24" s="18"/>
      <c r="N24" s="41">
        <f>E24/SUM($E$24:$H$24)</f>
        <v>0</v>
      </c>
      <c r="O24" s="41"/>
      <c r="P24" s="41"/>
      <c r="Q24" s="41"/>
    </row>
    <row r="25" spans="2:24" x14ac:dyDescent="0.2">
      <c r="E25" s="46"/>
      <c r="F25" s="46"/>
      <c r="G25" s="46"/>
      <c r="H25" s="46"/>
      <c r="I25" s="18"/>
      <c r="J25" s="18"/>
      <c r="K25" s="18"/>
      <c r="L25" s="18"/>
      <c r="N25" s="10"/>
    </row>
    <row r="28" spans="2:24" x14ac:dyDescent="0.2">
      <c r="B28" s="23"/>
      <c r="C28" s="23"/>
      <c r="D28" s="23"/>
      <c r="E28" s="12" t="s">
        <v>0</v>
      </c>
      <c r="F28" s="12" t="s">
        <v>1</v>
      </c>
      <c r="G28" s="12" t="s">
        <v>22</v>
      </c>
      <c r="H28" s="12" t="s">
        <v>23</v>
      </c>
      <c r="N28" s="15"/>
    </row>
    <row r="29" spans="2:24" x14ac:dyDescent="0.2">
      <c r="B29" s="2" t="s">
        <v>9</v>
      </c>
      <c r="E29" s="30">
        <v>1.5</v>
      </c>
      <c r="F29" s="30">
        <v>1.5</v>
      </c>
      <c r="G29" s="30">
        <v>1.5</v>
      </c>
      <c r="H29" s="30">
        <v>1.5</v>
      </c>
    </row>
    <row r="32" spans="2:24" x14ac:dyDescent="0.2">
      <c r="F32" s="11"/>
    </row>
    <row r="33" spans="1:21" x14ac:dyDescent="0.2">
      <c r="E33" s="20" t="s">
        <v>27</v>
      </c>
      <c r="F33" s="20"/>
      <c r="G33" s="21"/>
      <c r="H33" s="22"/>
    </row>
    <row r="34" spans="1:21" x14ac:dyDescent="0.2">
      <c r="B34" s="8"/>
      <c r="C34" s="8"/>
      <c r="D34" s="8"/>
      <c r="E34" s="35" t="s">
        <v>23</v>
      </c>
      <c r="F34" s="12" t="s">
        <v>1</v>
      </c>
      <c r="G34" s="12" t="s">
        <v>22</v>
      </c>
      <c r="H34" s="35" t="s">
        <v>23</v>
      </c>
    </row>
    <row r="35" spans="1:21" x14ac:dyDescent="0.2">
      <c r="B35" s="2" t="s">
        <v>8</v>
      </c>
      <c r="E35" s="40"/>
      <c r="F35" s="39">
        <v>31.695312845637847</v>
      </c>
      <c r="G35" s="39">
        <v>91.637028678454271</v>
      </c>
      <c r="H35" s="40"/>
      <c r="N35" s="15" t="s">
        <v>43</v>
      </c>
    </row>
    <row r="36" spans="1:21" x14ac:dyDescent="0.2">
      <c r="B36" s="2" t="s">
        <v>7</v>
      </c>
      <c r="E36" s="40"/>
      <c r="F36" s="39">
        <v>0.43090717775485726</v>
      </c>
      <c r="G36" s="39">
        <v>1.3493161471016966</v>
      </c>
      <c r="H36" s="40"/>
    </row>
    <row r="37" spans="1:21" x14ac:dyDescent="0.2">
      <c r="B37" s="2" t="s">
        <v>10</v>
      </c>
      <c r="E37" s="40"/>
      <c r="F37" s="39">
        <v>0.87140616460390385</v>
      </c>
      <c r="G37" s="39">
        <v>2.7572860978451175</v>
      </c>
      <c r="H37" s="40"/>
    </row>
    <row r="38" spans="1:21" x14ac:dyDescent="0.2">
      <c r="F38" s="16"/>
      <c r="G38" s="16"/>
      <c r="H38" s="16"/>
    </row>
    <row r="39" spans="1:21" x14ac:dyDescent="0.2">
      <c r="E39" s="11"/>
    </row>
    <row r="40" spans="1:21" x14ac:dyDescent="0.2">
      <c r="A40" s="7" t="s">
        <v>21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2" spans="1:21" x14ac:dyDescent="0.2">
      <c r="B42" s="9" t="s">
        <v>6</v>
      </c>
      <c r="C42" s="9"/>
      <c r="D42" s="9"/>
      <c r="E42" s="12" t="s">
        <v>0</v>
      </c>
      <c r="F42" s="12" t="s">
        <v>1</v>
      </c>
      <c r="G42" s="12" t="s">
        <v>22</v>
      </c>
      <c r="H42" s="12" t="s">
        <v>23</v>
      </c>
    </row>
    <row r="43" spans="1:21" x14ac:dyDescent="0.2">
      <c r="B43" s="2" t="s">
        <v>5</v>
      </c>
      <c r="E43" s="27">
        <f>IF(E35=0,0,$L$14*(1-(1/(1+E$29))))</f>
        <v>0</v>
      </c>
      <c r="F43" s="27">
        <f>IF(F35=0,0,$L$14*(1-(1/(1+F$29))))</f>
        <v>31629.592669985941</v>
      </c>
      <c r="G43" s="27">
        <f>IF(G35=0,0,$L$14*(1-(1/(1+G$29))))</f>
        <v>31629.592669985941</v>
      </c>
      <c r="H43" s="27">
        <f>IF(H35=0,0,$L$14*(1-(1/(1+H$29))))</f>
        <v>0</v>
      </c>
    </row>
    <row r="44" spans="1:21" x14ac:dyDescent="0.2">
      <c r="B44" s="2" t="s">
        <v>4</v>
      </c>
      <c r="E44" s="27">
        <f>IF(E36=0,0, $L$14/(1+E$29))</f>
        <v>0</v>
      </c>
      <c r="F44" s="27">
        <f>IF(F36=0,0, $L$14/(1+F$29))</f>
        <v>21086.395113323961</v>
      </c>
      <c r="G44" s="27">
        <f>IF(G36=0,0, $L$14/(1+G$29))</f>
        <v>21086.395113323961</v>
      </c>
      <c r="H44" s="27">
        <f>IF(H36=0,0, $L$14/(1+H$29))</f>
        <v>0</v>
      </c>
    </row>
    <row r="45" spans="1:21" x14ac:dyDescent="0.2">
      <c r="E45" s="27"/>
      <c r="F45" s="27"/>
      <c r="G45" s="27"/>
      <c r="H45" s="27"/>
    </row>
    <row r="46" spans="1:21" x14ac:dyDescent="0.2">
      <c r="F46" s="13"/>
      <c r="G46" s="13"/>
    </row>
    <row r="47" spans="1:21" x14ac:dyDescent="0.2">
      <c r="B47" s="9" t="s">
        <v>14</v>
      </c>
      <c r="C47" s="9"/>
      <c r="D47" s="9"/>
      <c r="E47" s="12" t="s">
        <v>0</v>
      </c>
      <c r="F47" s="12" t="s">
        <v>1</v>
      </c>
      <c r="G47" s="12" t="s">
        <v>22</v>
      </c>
      <c r="H47" s="12" t="s">
        <v>23</v>
      </c>
      <c r="I47" s="12" t="s">
        <v>24</v>
      </c>
    </row>
    <row r="48" spans="1:21" x14ac:dyDescent="0.2">
      <c r="B48" s="2" t="s">
        <v>16</v>
      </c>
      <c r="E48" s="29">
        <f>IF(E43=0,0,((E43*E$24)/(revenue*1000000))/mins_pa)*100</f>
        <v>0</v>
      </c>
      <c r="F48" s="29">
        <f>IF(F43=0,0,((F43*F$24)/(revenue*1000000))/mins_pa)*100</f>
        <v>8.5809191056952214E-2</v>
      </c>
      <c r="G48" s="29">
        <f>IF(G43=0,0,((G43*G$24)/(revenue*1000000))/mins_pa)*100</f>
        <v>8.5801566003970951E-3</v>
      </c>
      <c r="H48" s="28">
        <f>IF(H43=0,0,((H43*H$24)/(revenue*1000000))/mins_pa)</f>
        <v>0</v>
      </c>
      <c r="I48" s="43">
        <f>F48*$F$24/SUM($F$24:$G$24)+G48*$G$24/SUM($F$24:$G$24)</f>
        <v>7.8788936905602416E-2</v>
      </c>
      <c r="Q48" s="19"/>
      <c r="R48" s="19"/>
      <c r="S48" s="19"/>
    </row>
    <row r="49" spans="2:19" x14ac:dyDescent="0.2">
      <c r="B49" s="2" t="s">
        <v>15</v>
      </c>
      <c r="E49" s="36">
        <f>IF(E44=0,0,((E44*E$24)/(revenue*1000000))/mins_pa*(E$35/E$36))*100</f>
        <v>0</v>
      </c>
      <c r="F49" s="36">
        <f>IF(F44=0,0,((F44*F$24)/(revenue*1000000))/mins_pa*(F$35/F$36))*100</f>
        <v>4.2077881207917942</v>
      </c>
      <c r="G49" s="36">
        <f>IF(G44=0,0,((G44*G$24)/(revenue*1000000))/mins_pa*(G$35/G$36))*100</f>
        <v>0.38847335525979221</v>
      </c>
      <c r="H49" s="28">
        <f>IF(H44=0,0,((H44*H$24)/(revenue*1000000))/mins_pa*(H$35/H$36))</f>
        <v>0</v>
      </c>
      <c r="I49" s="43">
        <f>F49*$F$24/SUM($F$24:$G$24)+G49*$G$24/SUM($F$24:$G$24)</f>
        <v>3.8606057362558213</v>
      </c>
      <c r="Q49" s="19"/>
      <c r="R49" s="19"/>
      <c r="S49" s="19"/>
    </row>
    <row r="50" spans="2:19" x14ac:dyDescent="0.2">
      <c r="B50" s="2" t="s">
        <v>17</v>
      </c>
      <c r="E50" s="36">
        <f>E49*maifi_perc</f>
        <v>0</v>
      </c>
      <c r="F50" s="36">
        <f>F49*maifi_perc</f>
        <v>0.33662304966334355</v>
      </c>
      <c r="G50" s="29">
        <f>G49*maifi_perc</f>
        <v>3.1077868420783378E-2</v>
      </c>
      <c r="H50" s="28">
        <f>H49*maifi_perc</f>
        <v>0</v>
      </c>
      <c r="I50" s="43">
        <f>F50*$F$24/SUM($F$24:$G$24)+G50*$G$24/SUM($F$24:$G$24)</f>
        <v>0.30884845890046575</v>
      </c>
      <c r="Q50" s="19"/>
      <c r="R50" s="19"/>
      <c r="S50" s="19"/>
    </row>
    <row r="51" spans="2:19" x14ac:dyDescent="0.2">
      <c r="B51" s="2" t="s">
        <v>11</v>
      </c>
      <c r="F51" s="14"/>
      <c r="G51" s="14"/>
      <c r="I51" s="26">
        <v>-4.0000000000000002E-4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Cover</vt:lpstr>
      <vt:lpstr>Calc</vt:lpstr>
      <vt:lpstr>Calc!energy</vt:lpstr>
      <vt:lpstr>Calc!maifi_perc</vt:lpstr>
      <vt:lpstr>Calc!mins_pa</vt:lpstr>
      <vt:lpstr>Calc!revenue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2020-01-24T01:07:15Z</dcterms:created>
  <dcterms:modified xsi:type="dcterms:W3CDTF">2025-01-20T13:37:30Z</dcterms:modified>
</cp:coreProperties>
</file>