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\JEN Reset RIN\"/>
    </mc:Choice>
  </mc:AlternateContent>
  <xr:revisionPtr revIDLastSave="0" documentId="8_{83DEA9BF-69DC-41EA-AE77-D932E0D3AFC2}" xr6:coauthVersionLast="47" xr6:coauthVersionMax="47" xr10:uidLastSave="{00000000-0000-0000-0000-000000000000}"/>
  <bookViews>
    <workbookView xWindow="6204" yWindow="2880" windowWidth="26376" windowHeight="13608" tabRatio="691" firstSheet="2" activeTab="3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definedNames>
    <definedName name="dollars">'Lookup | Tables'!$E$7</definedName>
    <definedName name="factor">'Lookup | Tables'!#REF!</definedName>
    <definedName name="millions">'Lookup | Tables'!$E$9</definedName>
    <definedName name="Nominal_to_Real">#REF!</definedName>
    <definedName name="number">'Lookup | Tables'!#REF!</definedName>
    <definedName name="percent" localSheetId="5">#REF!</definedName>
    <definedName name="percent">'Lookup | Tables'!#REF!</definedName>
    <definedName name="thousands">'Lookup | Tables'!$E$8</definedName>
    <definedName name="unit">'Lookup | Tables'!#REF!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4" l="1"/>
  <c r="E44" i="4" s="1"/>
  <c r="F44" i="4" s="1"/>
  <c r="G44" i="4" s="1"/>
  <c r="H44" i="4" s="1"/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L22" i="13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C10" i="13"/>
  <c r="G8" i="4"/>
  <c r="F8" i="4"/>
  <c r="E8" i="4"/>
  <c r="F9" i="4"/>
  <c r="C47" i="4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I15" i="13" l="1"/>
  <c r="I24" i="3"/>
  <c r="H24" i="3"/>
  <c r="D10" i="4"/>
  <c r="D12" i="4" s="1"/>
  <c r="G10" i="13"/>
  <c r="H10" i="13" s="1"/>
  <c r="I10" i="13" s="1"/>
  <c r="J10" i="13" s="1"/>
  <c r="K10" i="13" s="1"/>
  <c r="L10" i="13" s="1"/>
  <c r="I31" i="3" s="1"/>
  <c r="E10" i="4"/>
  <c r="G11" i="4"/>
  <c r="F11" i="4"/>
  <c r="E11" i="4"/>
  <c r="F19" i="4"/>
  <c r="E19" i="4" s="1"/>
  <c r="D19" i="4" s="1"/>
  <c r="E25" i="4"/>
  <c r="E27" i="4" s="1"/>
  <c r="N14" i="13"/>
  <c r="J15" i="13" l="1"/>
  <c r="J24" i="3"/>
  <c r="F10" i="4"/>
  <c r="F12" i="4" s="1"/>
  <c r="F20" i="4" s="1"/>
  <c r="F13" i="4"/>
  <c r="G13" i="4"/>
  <c r="E13" i="4"/>
  <c r="E18" i="4" s="1"/>
  <c r="E21" i="4" s="1"/>
  <c r="H13" i="4"/>
  <c r="D21" i="4"/>
  <c r="D20" i="4"/>
  <c r="H31" i="3"/>
  <c r="E12" i="4"/>
  <c r="G14" i="4" s="1"/>
  <c r="N22" i="13"/>
  <c r="F25" i="4" s="1"/>
  <c r="F27" i="4" s="1"/>
  <c r="M10" i="13"/>
  <c r="N10" i="13" s="1"/>
  <c r="K31" i="3" s="1"/>
  <c r="O14" i="13"/>
  <c r="O22" i="13" s="1"/>
  <c r="K15" i="13" l="1"/>
  <c r="K24" i="3"/>
  <c r="G10" i="4"/>
  <c r="G12" i="4" s="1"/>
  <c r="G20" i="4" s="1"/>
  <c r="G15" i="4"/>
  <c r="G18" i="4" s="1"/>
  <c r="G21" i="4" s="1"/>
  <c r="H15" i="4"/>
  <c r="H14" i="4"/>
  <c r="E20" i="4"/>
  <c r="F14" i="4"/>
  <c r="F18" i="4" s="1"/>
  <c r="F21" i="4" s="1"/>
  <c r="J31" i="3"/>
  <c r="O10" i="13"/>
  <c r="P10" i="13" s="1"/>
  <c r="P14" i="13"/>
  <c r="G25" i="4"/>
  <c r="G27" i="4" s="1"/>
  <c r="H16" i="4" l="1"/>
  <c r="H18" i="4" s="1"/>
  <c r="H21" i="4" s="1"/>
  <c r="D38" i="4" s="1"/>
  <c r="L24" i="3"/>
  <c r="D32" i="4" s="1"/>
  <c r="D33" i="4" s="1"/>
  <c r="H10" i="4"/>
  <c r="H12" i="4" s="1"/>
  <c r="H20" i="4" s="1"/>
  <c r="L15" i="13"/>
  <c r="H32" i="3"/>
  <c r="D26" i="4" s="1"/>
  <c r="D28" i="4" s="1"/>
  <c r="P22" i="13"/>
  <c r="H25" i="4" s="1"/>
  <c r="H27" i="4" s="1"/>
  <c r="L31" i="3"/>
  <c r="M15" i="13" l="1"/>
  <c r="I32" i="3"/>
  <c r="E26" i="4" s="1"/>
  <c r="E28" i="4" s="1"/>
  <c r="N15" i="13" l="1"/>
  <c r="J32" i="3"/>
  <c r="F26" i="4" s="1"/>
  <c r="F28" i="4" s="1"/>
  <c r="O15" i="13" l="1"/>
  <c r="K32" i="3"/>
  <c r="G26" i="4" s="1"/>
  <c r="G28" i="4" s="1"/>
  <c r="P15" i="13" l="1"/>
  <c r="L32" i="3"/>
  <c r="H26" i="4" s="1"/>
  <c r="H28" i="4" s="1"/>
  <c r="D35" i="4" s="1"/>
  <c r="D37" i="4" l="1"/>
  <c r="D39" i="4" s="1"/>
  <c r="D45" i="4" s="1"/>
  <c r="J8" i="10" l="1"/>
  <c r="E45" i="4"/>
  <c r="D36" i="4"/>
  <c r="K8" i="10" l="1"/>
  <c r="F45" i="4"/>
  <c r="G45" i="4" l="1"/>
  <c r="L8" i="10"/>
  <c r="H45" i="4" l="1"/>
  <c r="N8" i="10" s="1"/>
  <c r="M8" i="10"/>
  <c r="O8" i="10" l="1"/>
  <c r="D47" i="4"/>
  <c r="B1" i="2"/>
  <c r="B1" i="13" l="1"/>
  <c r="B1" i="10"/>
  <c r="B1" i="4"/>
  <c r="B1" i="9"/>
  <c r="B1" i="5"/>
  <c r="B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<sst xmlns="http://schemas.openxmlformats.org/spreadsheetml/2006/main" count="277" uniqueCount="145">
  <si>
    <t>Index</t>
  </si>
  <si>
    <t>All terms and definitions are as per the AER's Capital expenditure sharing scheme.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</si>
  <si>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</si>
  <si>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</si>
  <si>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</si>
  <si>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</si>
  <si>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</si>
  <si>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</si>
  <si>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</si>
  <si>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</si>
  <si>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</si>
  <si>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</si>
  <si>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</si>
  <si>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</si>
  <si>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</si>
  <si>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</si>
  <si>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</si>
  <si>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</si>
  <si>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</si>
  <si>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</si>
  <si>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 or calculation</t>
  </si>
  <si>
    <t>NSP Name</t>
  </si>
  <si>
    <t>Determination stage</t>
  </si>
  <si>
    <t>Regulatory proposal</t>
  </si>
  <si>
    <t>Determination years</t>
  </si>
  <si>
    <t>Draft decision</t>
  </si>
  <si>
    <t>First year of regulatory period</t>
  </si>
  <si>
    <t>Revised proposal</t>
  </si>
  <si>
    <t>Final decision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</si>
  <si>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</si>
  <si>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</si>
  <si>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</si>
  <si>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</si>
  <si>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</si>
  <si>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</si>
  <si>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</si>
  <si>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</si>
  <si>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Actual or estimate year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</si>
  <si>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</si>
  <si>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</si>
  <si>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</si>
  <si>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</si>
  <si>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</si>
  <si>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</si>
  <si>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</si>
  <si>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</si>
  <si>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</si>
  <si>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</si>
  <si>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</si>
  <si>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</si>
  <si>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DNSP/AER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</si>
  <si>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</si>
  <si>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</si>
  <si>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</si>
  <si>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</si>
  <si>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</si>
  <si>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</si>
  <si>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 (includes customer contributions)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</si>
  <si>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</si>
  <si>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</si>
  <si>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</si>
  <si>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</si>
  <si>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</si>
  <si>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 (includes customer contributions)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</si>
  <si>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</si>
  <si>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</si>
  <si>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</si>
  <si>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</si>
  <si>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</si>
  <si>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</si>
  <si>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</si>
  <si>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</si>
  <si>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</si>
  <si>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</si>
  <si>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</si>
  <si>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</si>
  <si>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</si>
  <si>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</si>
  <si>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</si>
  <si>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</si>
  <si>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</si>
  <si>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</si>
  <si>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</si>
  <si>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</si>
  <si>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</si>
  <si>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</si>
  <si>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</si>
  <si>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</si>
  <si>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</si>
  <si>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</si>
  <si>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</si>
  <si>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</si>
  <si>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</si>
  <si>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Forecast capex</t>
  </si>
  <si>
    <t>Underspend or Overspend, %</t>
  </si>
  <si>
    <t>Relevant sharing ratio</t>
  </si>
  <si>
    <t>Total underspend (NPV) adjusted for deferrals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</si>
  <si>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</si>
  <si>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</si>
  <si>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</si>
  <si>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</si>
  <si>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</si>
  <si>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</si>
  <si>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</si>
  <si>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2024-25</t>
  </si>
  <si>
    <t>Note. The dollar base should be consistent with the post tax revenue model</t>
  </si>
  <si>
    <t>Revenue Adjustments</t>
  </si>
  <si>
    <t>Total</t>
  </si>
  <si>
    <t>CESS increments as per NER 6.4.3(a)(5)</t>
  </si>
  <si>
    <t>Internal Link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</si>
  <si>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</si>
  <si>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</si>
  <si>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</si>
  <si>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</si>
  <si>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</si>
  <si>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</si>
  <si>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</si>
  <si>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</si>
  <si>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Actual</t>
  </si>
  <si>
    <t>Estimate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</si>
  <si>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</si>
  <si>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</si>
  <si>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</si>
  <si>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</si>
  <si>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</si>
  <si>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</si>
  <si>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</si>
  <si>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</si>
  <si>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</si>
  <si>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</si>
  <si>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</si>
  <si>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</si>
  <si>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</si>
  <si>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</si>
  <si>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</si>
  <si>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</si>
  <si>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</si>
  <si>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</si>
  <si>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</si>
  <si>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</si>
  <si>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2025-26</t>
  </si>
  <si>
    <t>Jemena Electricity</t>
  </si>
  <si>
    <t>2027-31</t>
  </si>
  <si>
    <t>2026-27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</si>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</sst>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90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39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189" fontId="20" fillId="55" borderId="26" xfId="55" applyNumberFormat="1" applyFont="1" applyFill="1" applyBorder="1" applyAlignment="1" applyProtection="1">
      <alignment horizontal="center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Alignment="1" applyProtection="1">
      <alignment horizont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8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0" fontId="3" fillId="56" borderId="36" xfId="0" applyFont="1" applyFill="1" applyBorder="1" applyAlignment="1">
      <alignment horizontal="center" vertical="center"/>
    </xf>
    <xf numFmtId="0" fontId="16" fillId="56" borderId="2" xfId="0" applyFont="1" applyFill="1" applyBorder="1" applyAlignment="1">
      <alignment horizontal="left" vertical="center"/>
    </xf>
    <xf numFmtId="0" fontId="3" fillId="56" borderId="2" xfId="0" applyFont="1" applyFill="1" applyBorder="1" applyAlignment="1">
      <alignment horizontal="left" vertical="center"/>
    </xf>
    <xf numFmtId="0" fontId="3" fillId="56" borderId="39" xfId="0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6"/>
  <sheetViews>
    <sheetView zoomScale="130" zoomScaleNormal="130" workbookViewId="0">
      <selection activeCell="D10" sqref="D10"/>
    </sheetView>
  </sheetViews>
  <sheetFormatPr defaultColWidth="0" defaultRowHeight="18" customHeight="1" zeroHeight="1"/>
  <cols>
    <col min="1" max="2" width="1.21875" style="2" customWidth="1"/>
    <col min="3" max="3" width="26.44140625" style="1" customWidth="1"/>
    <col min="4" max="4" width="79.21875" style="1" customWidth="1"/>
    <col min="5" max="5" width="2.77734375" style="1" customWidth="1"/>
    <col min="6" max="6" width="2.77734375" style="2" customWidth="1"/>
    <col min="7" max="28" width="12.77734375" style="2" hidden="1" customWidth="1"/>
    <col min="29" max="16384" width="9.21875" style="2" hidden="1"/>
  </cols>
  <sheetData>
    <row r="1" spans="1:13" s="5" customFormat="1" ht="18" customHeight="1">
      <c r="B1" s="3" t="str">
        <f>'Input | General'!$B$1</f>
        <v>Jemena Electricity 2027-31 Regulatory proposal - Capital expenditure sharing scheme model</v>
      </c>
      <c r="D1" s="4"/>
      <c r="E1" s="4"/>
    </row>
    <row r="2" spans="1:13" ht="18" customHeight="1">
      <c r="B2" s="28" t="s">
        <v>0</v>
      </c>
    </row>
    <row r="3" spans="1:13" ht="18" customHeight="1">
      <c r="B3" s="28"/>
    </row>
    <row r="4" spans="1:13" ht="18" customHeight="1">
      <c r="A4" s="185"/>
      <c r="B4" s="186"/>
      <c r="C4" s="187" t="s">
        <v>1</v>
      </c>
      <c r="D4" s="187"/>
      <c r="E4" s="187"/>
      <c r="F4" s="188"/>
    </row>
    <row r="5" spans="1:13" ht="14.55" customHeight="1">
      <c r="C5" s="2"/>
    </row>
    <row r="6" spans="1:13" s="8" customFormat="1" ht="12.75" customHeight="1">
      <c r="C6" s="23" t="s">
        <v>2</v>
      </c>
      <c r="D6" s="7"/>
      <c r="E6" s="7"/>
    </row>
    <row r="7" spans="1:13" ht="11.25" customHeight="1"/>
    <row r="8" spans="1:13" ht="11.25" customHeight="1">
      <c r="C8" s="25" t="s">
        <v>3</v>
      </c>
      <c r="D8" s="25" t="s">
        <v>4</v>
      </c>
      <c r="E8" s="25"/>
    </row>
    <row r="9" spans="1:13" ht="11.25" customHeight="1">
      <c r="C9" s="103" t="s">
        <v>5</v>
      </c>
      <c r="D9" s="26" t="s">
        <v>6</v>
      </c>
      <c r="E9" s="26"/>
      <c r="F9" s="24"/>
      <c r="G9" s="24"/>
      <c r="H9" s="24"/>
      <c r="I9" s="24"/>
      <c r="J9" s="24"/>
      <c r="K9" s="24"/>
      <c r="L9" s="24"/>
      <c r="M9" s="24"/>
    </row>
    <row r="10" spans="1:13" ht="11.25" customHeight="1">
      <c r="C10" s="103" t="s">
        <v>7</v>
      </c>
      <c r="D10" s="26" t="s">
        <v>8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1:13" ht="11.25" customHeight="1">
      <c r="C11" s="103" t="s">
        <v>9</v>
      </c>
      <c r="D11" s="26" t="s">
        <v>10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1:13" ht="11.25" customHeight="1">
      <c r="C12" s="103" t="s">
        <v>11</v>
      </c>
      <c r="D12" s="26" t="s">
        <v>12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1:13" ht="11.25" customHeight="1">
      <c r="C13" s="103" t="s">
        <v>13</v>
      </c>
      <c r="D13" s="26" t="s">
        <v>14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1:13" ht="11.25" customHeight="1">
      <c r="C14" s="103" t="s">
        <v>15</v>
      </c>
      <c r="D14" s="26" t="s">
        <v>16</v>
      </c>
      <c r="E14" s="26"/>
      <c r="F14" s="24"/>
      <c r="G14" s="24"/>
      <c r="H14" s="24"/>
      <c r="I14" s="24"/>
      <c r="J14" s="24"/>
      <c r="K14" s="24"/>
      <c r="L14" s="24"/>
      <c r="M14" s="24"/>
    </row>
    <row r="15" spans="1:13" ht="12.75" customHeight="1"/>
    <row r="16" spans="1:13" s="8" customFormat="1" ht="12.75" customHeight="1">
      <c r="C16" s="23" t="s">
        <v>17</v>
      </c>
      <c r="D16" s="7"/>
      <c r="E16" s="7"/>
    </row>
  </sheetData>
  <hyperlinks>
    <hyperlink ref="C9" location="'Input | General'!A1" display="Input | General" xr:uid="{00000000-0004-0000-0000-000000000000}"/>
    <hyperlink ref="C11" location="'Input | Reported Capex'!A1" display="Input | Reported Capex" xr:uid="{00000000-0004-0000-0000-000001000000}"/>
    <hyperlink ref="C10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Index!A1" display="Output | Models" xr:uid="{00000000-0004-0000-0000-000004000000}"/>
    <hyperlink ref="C14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zoomScale="130" zoomScaleNormal="130" workbookViewId="0">
      <selection activeCell="D9" sqref="D9"/>
    </sheetView>
  </sheetViews>
  <sheetFormatPr defaultColWidth="0" defaultRowHeight="0" customHeight="1" zeroHeight="1"/>
  <cols>
    <col min="1" max="2" width="1.21875" style="11" customWidth="1"/>
    <col min="3" max="3" width="56.77734375" style="12" customWidth="1"/>
    <col min="4" max="4" width="14.77734375" style="11" customWidth="1"/>
    <col min="5" max="8" width="12.77734375" style="11" customWidth="1"/>
    <col min="9" max="10" width="9.21875" style="11" customWidth="1"/>
    <col min="11" max="12" width="2.77734375" style="11" customWidth="1"/>
    <col min="13" max="22" width="9.21875" style="11" hidden="1" customWidth="1"/>
    <col min="23" max="16384" width="12.77734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Jemena Electricity 2027-31 Regulatory proposal - Capital expenditure sharing scheme model</v>
      </c>
      <c r="F1" s="99"/>
      <c r="G1" s="100" t="s">
        <v>18</v>
      </c>
      <c r="H1" s="136" t="s">
        <v>19</v>
      </c>
      <c r="I1" s="175" t="s">
        <v>20</v>
      </c>
      <c r="M1" s="101"/>
    </row>
    <row r="2" spans="1:13" s="2" customFormat="1" ht="18" customHeight="1">
      <c r="B2" s="10" t="s">
        <v>5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5</v>
      </c>
    </row>
    <row r="5" spans="1:13" s="24" customFormat="1" ht="11.25" customHeight="1">
      <c r="C5" s="25"/>
    </row>
    <row r="6" spans="1:13" s="71" customFormat="1" ht="11.25" customHeight="1">
      <c r="C6" s="70" t="s">
        <v>21</v>
      </c>
      <c r="D6" s="137" t="s">
        <v>141</v>
      </c>
      <c r="J6" s="80"/>
      <c r="K6" s="80"/>
      <c r="L6" s="80"/>
      <c r="M6" s="80"/>
    </row>
    <row r="7" spans="1:13" s="71" customFormat="1" ht="11.25" customHeight="1">
      <c r="C7" s="70" t="s">
        <v>22</v>
      </c>
      <c r="D7" s="137" t="s">
        <v>23</v>
      </c>
      <c r="I7" s="80"/>
      <c r="J7" s="176" t="s">
        <v>23</v>
      </c>
      <c r="K7" s="80"/>
      <c r="L7" s="80"/>
    </row>
    <row r="8" spans="1:13" s="71" customFormat="1" ht="11.25" customHeight="1">
      <c r="C8" s="70" t="s">
        <v>24</v>
      </c>
      <c r="D8" s="137" t="s">
        <v>142</v>
      </c>
      <c r="J8" s="176" t="s">
        <v>25</v>
      </c>
      <c r="K8" s="80"/>
      <c r="L8" s="80"/>
      <c r="M8" s="80"/>
    </row>
    <row r="9" spans="1:13" s="71" customFormat="1" ht="11.25" customHeight="1">
      <c r="C9" s="70" t="s">
        <v>26</v>
      </c>
      <c r="D9" s="155" t="s">
        <v>143</v>
      </c>
      <c r="J9" s="176" t="s">
        <v>27</v>
      </c>
      <c r="K9" s="80"/>
      <c r="L9" s="80"/>
      <c r="M9" s="80"/>
    </row>
    <row r="10" spans="1:13" s="71" customFormat="1" ht="11.25" customHeight="1">
      <c r="C10" s="70"/>
      <c r="J10" s="176" t="s">
        <v>28</v>
      </c>
      <c r="K10" s="80"/>
      <c r="L10" s="80"/>
      <c r="M10" s="80"/>
    </row>
    <row r="11" spans="1:13" s="71" customFormat="1" ht="11.25" customHeight="1">
      <c r="C11" s="90" t="s">
        <v>29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30</v>
      </c>
      <c r="E12" s="72" t="s">
        <v>31</v>
      </c>
      <c r="F12" s="72" t="s">
        <v>32</v>
      </c>
      <c r="G12" s="72" t="s">
        <v>33</v>
      </c>
      <c r="H12" s="72" t="s">
        <v>34</v>
      </c>
      <c r="J12" s="80"/>
      <c r="K12" s="80"/>
      <c r="L12" s="80"/>
      <c r="M12" s="80"/>
    </row>
    <row r="13" spans="1:13" s="71" customFormat="1" ht="11.25" customHeight="1">
      <c r="C13" s="70" t="s">
        <v>35</v>
      </c>
      <c r="D13" s="156" t="str">
        <f t="shared" ref="D13:F13" si="0">IF(LEN(E13)&gt;4,CONCATENATE(LEFT(E13,4)-1&amp;"–"&amp;IF(RIGHT(E13,2)="00","99",IF(RIGHT(E13,2)-1&lt;10,"0","")&amp;RIGHT(E13,2)-1)),E13-1)</f>
        <v>2021–22</v>
      </c>
      <c r="E13" s="156" t="str">
        <f t="shared" si="0"/>
        <v>2022–23</v>
      </c>
      <c r="F13" s="156" t="str">
        <f t="shared" si="0"/>
        <v>2023–24</v>
      </c>
      <c r="G13" s="156" t="str">
        <f>IF(LEN(H13)&gt;4,CONCATENATE(LEFT(H13,4)-1&amp;"–"&amp;IF(RIGHT(H13,2)="00","99",IF(RIGHT(H13,2)-1&lt;10,"0","")&amp;RIGHT(H13,2)-1)),H13-1)</f>
        <v>2024–25</v>
      </c>
      <c r="H13" s="156" t="str">
        <f>IF(LEN(D9)&gt;4,CONCATENATE(LEFT(D9,4)-1&amp;"–"&amp;IF(RIGHT(D9,2)="00","99",IF(RIGHT(D9,2)-1&lt;10,"0","")&amp;RIGHT(D9,2)-1)),D9-1)</f>
        <v>2025–26</v>
      </c>
      <c r="J13" s="80"/>
      <c r="K13" s="80"/>
      <c r="L13" s="80"/>
      <c r="M13" s="80"/>
    </row>
    <row r="14" spans="1:13" s="71" customFormat="1" ht="11.25" customHeight="1">
      <c r="C14" s="70" t="s">
        <v>36</v>
      </c>
      <c r="D14" s="137" t="s">
        <v>144</v>
      </c>
      <c r="E14" s="137" t="s">
        <v>144</v>
      </c>
      <c r="F14" s="137" t="s">
        <v>144</v>
      </c>
      <c r="G14" s="137" t="s">
        <v>144</v>
      </c>
      <c r="H14" s="137" t="s">
        <v>144</v>
      </c>
      <c r="J14" s="80"/>
      <c r="K14" s="80"/>
      <c r="L14" s="80"/>
      <c r="M14" s="80"/>
    </row>
    <row r="15" spans="1:13" s="71" customFormat="1" ht="11.25" customHeight="1">
      <c r="C15" s="70" t="s">
        <v>37</v>
      </c>
      <c r="D15" s="137" t="s">
        <v>118</v>
      </c>
      <c r="E15" s="137" t="s">
        <v>118</v>
      </c>
      <c r="F15" s="137" t="s">
        <v>118</v>
      </c>
      <c r="G15" s="137" t="s">
        <v>119</v>
      </c>
      <c r="H15" s="137" t="s">
        <v>119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30</v>
      </c>
      <c r="E17" s="72" t="s">
        <v>31</v>
      </c>
      <c r="F17" s="72" t="s">
        <v>32</v>
      </c>
      <c r="G17" s="72" t="s">
        <v>33</v>
      </c>
      <c r="H17" s="72" t="s">
        <v>34</v>
      </c>
      <c r="J17" s="80"/>
      <c r="K17" s="80"/>
      <c r="L17" s="80"/>
      <c r="M17" s="80"/>
    </row>
    <row r="18" spans="1:13" s="71" customFormat="1" ht="11.25" customHeight="1">
      <c r="C18" s="70" t="s">
        <v>38</v>
      </c>
      <c r="D18" s="156" t="str">
        <f>D9</f>
        <v>2026-27</v>
      </c>
      <c r="E18" s="156" t="str">
        <f>IF(LEN(D18)&gt;4,CONCATENATE(LEFT(D18,4)+1&amp;"–"&amp;IF(RIGHT(D18,2)+1&gt;9,"","0")&amp;RIGHT(D18,2)+1),D18+1)</f>
        <v>2027–28</v>
      </c>
      <c r="F18" s="156" t="str">
        <f t="shared" ref="F18:H18" si="1">IF(LEN(E18)&gt;4,CONCATENATE(LEFT(E18,4)+1&amp;"–"&amp;IF(RIGHT(E18,2)+1&gt;9,"","0")&amp;RIGHT(E18,2)+1),E18+1)</f>
        <v>2028–29</v>
      </c>
      <c r="G18" s="156" t="str">
        <f t="shared" si="1"/>
        <v>2029–30</v>
      </c>
      <c r="H18" s="156" t="str">
        <f t="shared" si="1"/>
        <v>2030–31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17</v>
      </c>
    </row>
    <row r="22" spans="1:13" ht="18" hidden="1" customHeight="1"/>
  </sheetData>
  <dataValidations count="2">
    <dataValidation type="list" allowBlank="1" showInputMessage="1" showErrorMessage="1" sqref="D14:H15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J8" sqref="J8"/>
    </sheetView>
  </sheetViews>
  <sheetFormatPr defaultColWidth="0" defaultRowHeight="18" customHeight="1" zeroHeight="1"/>
  <cols>
    <col min="1" max="2" width="1.21875" style="19" customWidth="1"/>
    <col min="3" max="3" width="36.77734375" style="19" customWidth="1"/>
    <col min="4" max="5" width="22.77734375" style="19" customWidth="1"/>
    <col min="6" max="6" width="12.77734375" style="19" customWidth="1"/>
    <col min="7" max="12" width="12.77734375" style="2" customWidth="1"/>
    <col min="13" max="13" width="12.5546875" style="17" customWidth="1"/>
    <col min="14" max="16" width="12.77734375" style="19" customWidth="1"/>
    <col min="17" max="18" width="2.77734375" style="19" customWidth="1"/>
    <col min="19" max="32" width="12.77734375" style="19" hidden="1" customWidth="1"/>
    <col min="33" max="16384" width="9.21875" style="19" hidden="1"/>
  </cols>
  <sheetData>
    <row r="1" spans="1:20" s="2" customFormat="1" ht="18" customHeight="1">
      <c r="B1" s="3" t="str">
        <f>'Input | General'!$B$1</f>
        <v>Jemena Electricity 2027-31 Regulatory proposal - Capital expenditure sharing scheme model</v>
      </c>
      <c r="D1" s="3"/>
      <c r="E1" s="3"/>
      <c r="F1" s="3"/>
      <c r="G1" s="99"/>
      <c r="H1" s="100" t="s">
        <v>18</v>
      </c>
      <c r="I1" s="136" t="s">
        <v>19</v>
      </c>
      <c r="J1" s="175" t="s">
        <v>20</v>
      </c>
      <c r="K1" s="134"/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39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40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41</v>
      </c>
      <c r="E6" s="76" t="s">
        <v>42</v>
      </c>
      <c r="F6" s="76"/>
      <c r="N6" s="2"/>
    </row>
    <row r="7" spans="1:20" ht="11.25" customHeight="1">
      <c r="A7" s="2"/>
      <c r="B7" s="2"/>
      <c r="C7" s="13"/>
      <c r="D7" s="80"/>
      <c r="E7" s="80"/>
      <c r="F7" s="153" t="str">
        <f>IF(LEN(G7)&gt;4,CONCATENATE(LEFT(G7,4)-1&amp;"–"&amp;IF(RIGHT(G7,2)="00","99",IF(RIGHT(G7,2)-1&lt;10,"0","")&amp;RIGHT(G7,2)-1)),G7-1)</f>
        <v>2020–21</v>
      </c>
      <c r="G7" s="154" t="str">
        <f>'Input | General'!D13</f>
        <v>2021–22</v>
      </c>
      <c r="H7" s="154" t="str">
        <f>'Input | General'!E13</f>
        <v>2022–23</v>
      </c>
      <c r="I7" s="154" t="str">
        <f>'Input | General'!F13</f>
        <v>2023–24</v>
      </c>
      <c r="J7" s="154" t="str">
        <f>'Input | General'!G13</f>
        <v>2024–25</v>
      </c>
      <c r="K7" s="154" t="str">
        <f>'Input | General'!H13</f>
        <v>2025–26</v>
      </c>
      <c r="L7" s="154" t="str">
        <f>'Input | General'!D18</f>
        <v>2026-27</v>
      </c>
      <c r="M7" s="154" t="str">
        <f>'Input | General'!E18</f>
        <v>2027–28</v>
      </c>
      <c r="N7" s="154" t="str">
        <f>'Input | General'!F18</f>
        <v>2028–29</v>
      </c>
      <c r="O7" s="154" t="str">
        <f>'Input | General'!G18</f>
        <v>2029–30</v>
      </c>
      <c r="P7" s="154" t="str">
        <f>'Input | General'!H18</f>
        <v>2030–31</v>
      </c>
    </row>
    <row r="8" spans="1:20" ht="11.25" customHeight="1">
      <c r="A8" s="2"/>
      <c r="B8" s="2"/>
      <c r="C8" s="81" t="s">
        <v>43</v>
      </c>
      <c r="D8" s="79" t="s">
        <v>44</v>
      </c>
      <c r="E8" s="79" t="s">
        <v>45</v>
      </c>
      <c r="F8" s="79"/>
      <c r="G8" s="138">
        <v>8.6058519793459354E-3</v>
      </c>
      <c r="H8" s="138">
        <v>3.4982935153583528E-2</v>
      </c>
      <c r="I8" s="138">
        <v>7.8318219291014124E-2</v>
      </c>
      <c r="J8" s="138">
        <v>4.0519877675840865E-2</v>
      </c>
      <c r="K8" s="138">
        <v>2.5999999999999999E-2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46</v>
      </c>
      <c r="D9" s="79" t="s">
        <v>44</v>
      </c>
      <c r="E9" s="79" t="s">
        <v>45</v>
      </c>
      <c r="F9" s="79"/>
      <c r="G9" s="119"/>
      <c r="H9" s="119"/>
      <c r="I9" s="119"/>
      <c r="J9" s="119"/>
      <c r="K9" s="119"/>
      <c r="L9" s="138">
        <v>2.4999999999999911E-2</v>
      </c>
      <c r="M9" s="157">
        <f t="shared" ref="M9:P9" si="0">L9</f>
        <v>2.4999999999999911E-2</v>
      </c>
      <c r="N9" s="157">
        <f t="shared" si="0"/>
        <v>2.4999999999999911E-2</v>
      </c>
      <c r="O9" s="157">
        <f t="shared" si="0"/>
        <v>2.4999999999999911E-2</v>
      </c>
      <c r="P9" s="157">
        <f t="shared" si="0"/>
        <v>2.4999999999999911E-2</v>
      </c>
    </row>
    <row r="10" spans="1:20" ht="11.25" customHeight="1">
      <c r="A10" s="2"/>
      <c r="B10" s="2"/>
      <c r="C10" s="125" t="str">
        <f>"CPI Index (base year "&amp;F7&amp;")"</f>
        <v>CPI Index (base year 2020–21)</v>
      </c>
      <c r="D10" s="79" t="s">
        <v>44</v>
      </c>
      <c r="E10" s="79" t="s">
        <v>0</v>
      </c>
      <c r="F10" s="159">
        <v>1</v>
      </c>
      <c r="G10" s="160">
        <f>IF(G7&lt;&gt;"",(F10*(1+G8)),"")</f>
        <v>1.0086058519793459</v>
      </c>
      <c r="H10" s="160">
        <f>IF(H7&lt;&gt;"",(G10*(1+H8)),"")</f>
        <v>1.0438898450946643</v>
      </c>
      <c r="I10" s="160">
        <f>IF(I7&lt;&gt;"",(H10*(1+I8)),"")</f>
        <v>1.1256454388984509</v>
      </c>
      <c r="J10" s="160">
        <f>IF(J7&lt;&gt;"",(I10*(1+J8)),"")</f>
        <v>1.1712564543889843</v>
      </c>
      <c r="K10" s="160">
        <f>IF(K7&lt;&gt;"",(J10*(1+K8)),"")</f>
        <v>1.201709122203098</v>
      </c>
      <c r="L10" s="160">
        <f t="shared" ref="L10:P10" si="1">IF(L7&lt;&gt;"",(K10*(1+L9)),"")</f>
        <v>1.2317518502581752</v>
      </c>
      <c r="M10" s="160">
        <f t="shared" si="1"/>
        <v>1.2625456465146294</v>
      </c>
      <c r="N10" s="160">
        <f t="shared" si="1"/>
        <v>1.2941092876774951</v>
      </c>
      <c r="O10" s="160">
        <f t="shared" si="1"/>
        <v>1.3264620198694324</v>
      </c>
      <c r="P10" s="160">
        <f t="shared" si="1"/>
        <v>1.3596235703661681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43</v>
      </c>
      <c r="D13" s="79" t="s">
        <v>47</v>
      </c>
      <c r="E13" s="79" t="s">
        <v>45</v>
      </c>
      <c r="F13" s="79"/>
      <c r="G13" s="138">
        <v>8.6058519793459354E-3</v>
      </c>
      <c r="H13" s="138">
        <v>3.4982935153583528E-2</v>
      </c>
      <c r="I13" s="138">
        <v>7.8318219291014124E-2</v>
      </c>
      <c r="J13" s="138">
        <v>4.0519877675840865E-2</v>
      </c>
      <c r="K13" s="138">
        <v>2.5999999999999999E-2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46</v>
      </c>
      <c r="D14" s="79" t="s">
        <v>47</v>
      </c>
      <c r="E14" s="79" t="s">
        <v>45</v>
      </c>
      <c r="F14" s="79"/>
      <c r="G14" s="88"/>
      <c r="H14" s="88"/>
      <c r="I14" s="88"/>
      <c r="J14" s="88"/>
      <c r="K14" s="88"/>
      <c r="L14" s="138">
        <v>0</v>
      </c>
      <c r="M14" s="157">
        <f t="shared" ref="M14:P14" si="2">L14</f>
        <v>0</v>
      </c>
      <c r="N14" s="157">
        <f t="shared" si="2"/>
        <v>0</v>
      </c>
      <c r="O14" s="157">
        <f t="shared" si="2"/>
        <v>0</v>
      </c>
      <c r="P14" s="157">
        <f t="shared" si="2"/>
        <v>0</v>
      </c>
    </row>
    <row r="15" spans="1:20" ht="11.25" customHeight="1">
      <c r="A15" s="2"/>
      <c r="B15" s="2"/>
      <c r="C15" s="125" t="str">
        <f>"CPI Index (base year "&amp;F7&amp;")"</f>
        <v>CPI Index (base year 2020–21)</v>
      </c>
      <c r="D15" s="79" t="s">
        <v>47</v>
      </c>
      <c r="E15" s="79" t="s">
        <v>0</v>
      </c>
      <c r="F15" s="159">
        <v>1</v>
      </c>
      <c r="G15" s="160">
        <f>IF(G7&lt;&gt;"",(F15*(1+G13)),"")</f>
        <v>1.0086058519793459</v>
      </c>
      <c r="H15" s="160">
        <f>IF(H7&lt;&gt;"",(G15*(1+H13)),"")</f>
        <v>1.0438898450946643</v>
      </c>
      <c r="I15" s="160">
        <f>IF(I7&lt;&gt;"",(H15*(1+I13)),"")</f>
        <v>1.1256454388984509</v>
      </c>
      <c r="J15" s="160">
        <f>IF(J7&lt;&gt;"",(I15*(1+J13)),"")</f>
        <v>1.1712564543889843</v>
      </c>
      <c r="K15" s="160">
        <f>IF(K7&lt;&gt;"",(J15*(1+K13)),"")</f>
        <v>1.201709122203098</v>
      </c>
      <c r="L15" s="160">
        <f t="shared" ref="L15:P15" si="3">IF(L7&lt;&gt;"",(K15*(1+L14)),"")</f>
        <v>1.201709122203098</v>
      </c>
      <c r="M15" s="160">
        <f t="shared" si="3"/>
        <v>1.201709122203098</v>
      </c>
      <c r="N15" s="160">
        <f t="shared" si="3"/>
        <v>1.201709122203098</v>
      </c>
      <c r="O15" s="160">
        <f t="shared" si="3"/>
        <v>1.201709122203098</v>
      </c>
      <c r="P15" s="160">
        <f t="shared" si="3"/>
        <v>1.201709122203098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48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41</v>
      </c>
      <c r="E19" s="76" t="s">
        <v>42</v>
      </c>
      <c r="F19" s="80"/>
      <c r="G19" s="87" t="str">
        <f>G7</f>
        <v>2021–22</v>
      </c>
      <c r="H19" s="87" t="str">
        <f t="shared" ref="H19:P19" si="4">H7</f>
        <v>2022–23</v>
      </c>
      <c r="I19" s="87" t="str">
        <f t="shared" si="4"/>
        <v>2023–24</v>
      </c>
      <c r="J19" s="87" t="str">
        <f t="shared" si="4"/>
        <v>2024–25</v>
      </c>
      <c r="K19" s="87" t="str">
        <f t="shared" si="4"/>
        <v>2025–26</v>
      </c>
      <c r="L19" s="87" t="str">
        <f t="shared" si="4"/>
        <v>2026-27</v>
      </c>
      <c r="M19" s="87" t="str">
        <f t="shared" si="4"/>
        <v>2027–28</v>
      </c>
      <c r="N19" s="87" t="str">
        <f t="shared" si="4"/>
        <v>2028–29</v>
      </c>
      <c r="O19" s="87" t="str">
        <f t="shared" si="4"/>
        <v>2029–30</v>
      </c>
      <c r="P19" s="87" t="str">
        <f t="shared" si="4"/>
        <v>2030–31</v>
      </c>
    </row>
    <row r="20" spans="1:16" ht="11.25" customHeight="1">
      <c r="C20" s="81" t="s">
        <v>49</v>
      </c>
      <c r="D20" s="79" t="s">
        <v>50</v>
      </c>
      <c r="E20" s="79" t="s">
        <v>45</v>
      </c>
      <c r="F20" s="80"/>
      <c r="G20" s="138">
        <v>2.8504498758880059E-2</v>
      </c>
      <c r="H20" s="138">
        <v>2.7262194883109325E-2</v>
      </c>
      <c r="I20" s="138">
        <v>2.7897299349873395E-2</v>
      </c>
      <c r="J20" s="138">
        <v>2.8472802080846016E-2</v>
      </c>
      <c r="K20" s="138">
        <v>2.8671841661771946E-2</v>
      </c>
      <c r="L20" s="88"/>
      <c r="M20" s="88"/>
      <c r="N20" s="88"/>
      <c r="O20" s="88"/>
      <c r="P20" s="88"/>
    </row>
    <row r="21" spans="1:16" ht="11.25" customHeight="1">
      <c r="C21" s="133" t="s">
        <v>51</v>
      </c>
      <c r="D21" s="79" t="s">
        <v>50</v>
      </c>
      <c r="E21" s="79" t="s">
        <v>45</v>
      </c>
      <c r="F21" s="80"/>
      <c r="G21" s="80"/>
      <c r="H21" s="80"/>
      <c r="I21" s="80"/>
      <c r="J21" s="80"/>
      <c r="K21" s="80"/>
      <c r="L21" s="138">
        <v>3.3360111906140279E-2</v>
      </c>
      <c r="M21" s="138">
        <v>3.4114343192793856E-2</v>
      </c>
      <c r="N21" s="138">
        <v>3.4842359072833375E-2</v>
      </c>
      <c r="O21" s="138">
        <v>3.5865570378881273E-2</v>
      </c>
      <c r="P21" s="138">
        <v>3.7559400842101229E-2</v>
      </c>
    </row>
    <row r="22" spans="1:16" ht="11.25" customHeight="1">
      <c r="C22" s="81" t="s">
        <v>52</v>
      </c>
      <c r="D22" s="79" t="s">
        <v>53</v>
      </c>
      <c r="E22" s="79" t="s">
        <v>45</v>
      </c>
      <c r="F22" s="80"/>
      <c r="G22" s="158">
        <f>IF(AND(G13&lt;&gt;"",G20&lt;&gt;""),((1+G20)*(1+G13)-1),"")</f>
        <v>3.7355656235290358E-2</v>
      </c>
      <c r="H22" s="158">
        <f>IF(AND(H13&lt;&gt;"",H20&lt;&gt;""),((1+H20)*(1+H13)-1),"")</f>
        <v>6.3198841632432945E-2</v>
      </c>
      <c r="I22" s="158">
        <f>IF(AND(I13&lt;&gt;"",I20&lt;&gt;""),((1+I20)*(1+I13)-1),"")</f>
        <v>0.10840038544899788</v>
      </c>
      <c r="J22" s="158">
        <f>IF(AND(J13&lt;&gt;"",J20&lt;&gt;""),((1+J20)*(1+J13)-1),"")</f>
        <v>7.014639421409119E-2</v>
      </c>
      <c r="K22" s="158">
        <f>IF(AND(K13&lt;&gt;"",K20&lt;&gt;""),((1+K20)*(1+K13)-1),"")</f>
        <v>5.5417309544978144E-2</v>
      </c>
      <c r="L22" s="158">
        <f>IF(AND(L14&lt;&gt;"",L21&lt;&gt;""),((1+L21)*(1+L14)-1),"")</f>
        <v>3.3360111906140189E-2</v>
      </c>
      <c r="M22" s="158">
        <f t="shared" ref="M22:P22" si="5">IF(AND(M14&lt;&gt;"",M21&lt;&gt;""),((1+M21)*(1+M14)-1),"")</f>
        <v>3.4114343192793939E-2</v>
      </c>
      <c r="N22" s="158">
        <f t="shared" si="5"/>
        <v>3.4842359072833284E-2</v>
      </c>
      <c r="O22" s="158">
        <f t="shared" si="5"/>
        <v>3.5865570378881273E-2</v>
      </c>
      <c r="P22" s="158">
        <f t="shared" si="5"/>
        <v>3.7559400842101187E-2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17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86"/>
      <c r="I26" s="86"/>
      <c r="J26" s="86"/>
      <c r="K26" s="86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tabSelected="1" workbookViewId="0">
      <selection activeCell="J13" sqref="J13"/>
    </sheetView>
  </sheetViews>
  <sheetFormatPr defaultColWidth="0" defaultRowHeight="18" customHeight="1" zeroHeight="1"/>
  <cols>
    <col min="1" max="2" width="1.21875" style="2" customWidth="1"/>
    <col min="3" max="3" width="49.77734375" style="13" customWidth="1"/>
    <col min="4" max="4" width="23.77734375" style="13" customWidth="1"/>
    <col min="5" max="5" width="13.44140625" style="13" customWidth="1"/>
    <col min="6" max="6" width="20.5546875" style="13" customWidth="1"/>
    <col min="7" max="7" width="2.77734375" style="13" customWidth="1"/>
    <col min="8" max="12" width="13.77734375" style="2" bestFit="1" customWidth="1"/>
    <col min="13" max="14" width="2.77734375" style="2" customWidth="1"/>
    <col min="15" max="23" width="0" style="2" hidden="1" customWidth="1"/>
    <col min="24" max="16384" width="12.77734375" style="2" hidden="1"/>
  </cols>
  <sheetData>
    <row r="1" spans="2:14" ht="18" customHeight="1">
      <c r="B1" s="3" t="str">
        <f>'Input | General'!$B$1</f>
        <v>Jemena Electricity 2027-31 Regulatory proposal - Capital expenditure sharing scheme model</v>
      </c>
      <c r="D1" s="3"/>
      <c r="E1" s="3"/>
      <c r="F1" s="3"/>
      <c r="G1" s="3"/>
      <c r="H1" s="99"/>
      <c r="I1" s="100" t="s">
        <v>18</v>
      </c>
      <c r="J1" s="136" t="s">
        <v>19</v>
      </c>
      <c r="K1" s="175" t="s">
        <v>20</v>
      </c>
      <c r="L1" s="80"/>
    </row>
    <row r="2" spans="2:14" ht="18" customHeight="1">
      <c r="B2" s="10" t="s">
        <v>54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55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41</v>
      </c>
      <c r="E6" s="76" t="s">
        <v>42</v>
      </c>
      <c r="F6" s="76" t="s">
        <v>56</v>
      </c>
      <c r="G6" s="65"/>
      <c r="H6" s="87" t="str">
        <f>IF('Input | General'!D14="Yes",'Input | General'!D13,"n/a")</f>
        <v>2021–22</v>
      </c>
      <c r="I6" s="87" t="str">
        <f>IF('Input | General'!E14="Yes",'Input | General'!E13,"n/a")</f>
        <v>2022–23</v>
      </c>
      <c r="J6" s="87" t="str">
        <f>IF('Input | General'!F14="Yes",'Input | General'!F13,"n/a")</f>
        <v>2023–24</v>
      </c>
      <c r="K6" s="87" t="str">
        <f>IF('Input | General'!G14="Yes",'Input | General'!G13,"n/a")</f>
        <v>2024–25</v>
      </c>
      <c r="L6" s="87" t="str">
        <f>IF('Input | General'!H14="Yes",'Input | General'!H13,"n/a")</f>
        <v>2025–26</v>
      </c>
    </row>
    <row r="7" spans="2:14" s="69" customFormat="1" ht="10.5" customHeight="1"/>
    <row r="8" spans="2:14" ht="10.5" customHeight="1">
      <c r="C8" s="81" t="s">
        <v>57</v>
      </c>
      <c r="D8" s="79" t="s">
        <v>47</v>
      </c>
      <c r="E8" s="79" t="s">
        <v>58</v>
      </c>
      <c r="F8" s="79" t="str">
        <f>'Input | Inflation and Disc Rate'!$F$7</f>
        <v>2020–21</v>
      </c>
      <c r="G8" s="69"/>
      <c r="H8" s="139">
        <v>189.23598187367938</v>
      </c>
      <c r="I8" s="139">
        <v>189.96305928886323</v>
      </c>
      <c r="J8" s="139">
        <v>185.67716673958017</v>
      </c>
      <c r="K8" s="139">
        <v>234.81741004117777</v>
      </c>
      <c r="L8" s="139">
        <v>281.34436767750537</v>
      </c>
    </row>
    <row r="9" spans="2:14" ht="10.5" customHeight="1">
      <c r="C9" s="81" t="s">
        <v>59</v>
      </c>
      <c r="D9" s="79" t="s">
        <v>47</v>
      </c>
      <c r="E9" s="79" t="s">
        <v>58</v>
      </c>
      <c r="F9" s="79" t="str">
        <f>'Input | Inflation and Disc Rate'!$F$7</f>
        <v>2020–21</v>
      </c>
      <c r="G9" s="69"/>
      <c r="H9" s="139">
        <v>32.871188666185297</v>
      </c>
      <c r="I9" s="139">
        <v>38.404751736373541</v>
      </c>
      <c r="J9" s="139">
        <v>47.184110465619014</v>
      </c>
      <c r="K9" s="139">
        <v>86.026956555641846</v>
      </c>
      <c r="L9" s="139">
        <v>131.49615425901933</v>
      </c>
    </row>
    <row r="10" spans="2:14" ht="10.5" customHeight="1">
      <c r="C10" s="81" t="s">
        <v>60</v>
      </c>
      <c r="D10" s="79" t="s">
        <v>47</v>
      </c>
      <c r="E10" s="79" t="s">
        <v>58</v>
      </c>
      <c r="F10" s="79" t="str">
        <f>'Input | Inflation and Disc Rate'!$F$7</f>
        <v>2020–21</v>
      </c>
      <c r="G10" s="69"/>
      <c r="H10" s="139">
        <v>0.19061951563957624</v>
      </c>
      <c r="I10" s="139">
        <v>6.920654008691976E-2</v>
      </c>
      <c r="J10" s="139">
        <v>8.1966966186347384E-2</v>
      </c>
      <c r="K10" s="139">
        <v>6.303310639010902E-2</v>
      </c>
      <c r="L10" s="139">
        <v>8.8323300076591671E-2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61</v>
      </c>
      <c r="D12" s="77" t="s">
        <v>53</v>
      </c>
      <c r="E12" s="174" t="s">
        <v>58</v>
      </c>
      <c r="F12" s="163" t="str">
        <f>'Input | Inflation and Disc Rate'!$F$7</f>
        <v>2020–21</v>
      </c>
      <c r="G12" s="69"/>
      <c r="H12" s="161">
        <f>IF(H6="", "", H8-H9-H10)</f>
        <v>156.17417369185449</v>
      </c>
      <c r="I12" s="161">
        <f t="shared" ref="I12:L12" si="0">IF(I6="", "", I8-I9-I10)</f>
        <v>151.48910101240276</v>
      </c>
      <c r="J12" s="161">
        <f t="shared" si="0"/>
        <v>138.4110893077748</v>
      </c>
      <c r="K12" s="161">
        <f t="shared" si="0"/>
        <v>148.7274203791458</v>
      </c>
      <c r="L12" s="161">
        <f t="shared" si="0"/>
        <v>149.75989011840946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62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41</v>
      </c>
      <c r="E16" s="76" t="s">
        <v>42</v>
      </c>
      <c r="F16" s="76" t="s">
        <v>56</v>
      </c>
      <c r="G16" s="65"/>
      <c r="H16" s="87" t="str">
        <f>H6</f>
        <v>2021–22</v>
      </c>
      <c r="I16" s="87" t="str">
        <f t="shared" ref="I16:L16" si="1">I6</f>
        <v>2022–23</v>
      </c>
      <c r="J16" s="87" t="str">
        <f t="shared" si="1"/>
        <v>2023–24</v>
      </c>
      <c r="K16" s="87" t="str">
        <f t="shared" si="1"/>
        <v>2024–25</v>
      </c>
      <c r="L16" s="87" t="str">
        <f t="shared" si="1"/>
        <v>2025–26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0.5" customHeight="1">
      <c r="B18" s="74"/>
      <c r="C18" s="81" t="s">
        <v>63</v>
      </c>
      <c r="D18" s="79" t="s">
        <v>47</v>
      </c>
      <c r="E18" s="79" t="s">
        <v>58</v>
      </c>
      <c r="F18" s="79" t="s">
        <v>64</v>
      </c>
      <c r="G18" s="69"/>
      <c r="H18" s="139">
        <v>180.1880639</v>
      </c>
      <c r="I18" s="139">
        <v>220.21209786999998</v>
      </c>
      <c r="J18" s="139">
        <v>231.66824429999991</v>
      </c>
      <c r="K18" s="139">
        <v>273.35851628789146</v>
      </c>
      <c r="L18" s="139">
        <v>388.14997451832477</v>
      </c>
    </row>
    <row r="19" spans="2:14" ht="10.5" customHeight="1">
      <c r="B19" s="74"/>
      <c r="C19" s="81" t="s">
        <v>59</v>
      </c>
      <c r="D19" s="79" t="s">
        <v>47</v>
      </c>
      <c r="E19" s="79" t="s">
        <v>58</v>
      </c>
      <c r="F19" s="79" t="s">
        <v>64</v>
      </c>
      <c r="G19" s="69"/>
      <c r="H19" s="139">
        <v>40.273638509999991</v>
      </c>
      <c r="I19" s="139">
        <v>63.306936940000028</v>
      </c>
      <c r="J19" s="139">
        <v>86.811393819999992</v>
      </c>
      <c r="K19" s="139">
        <v>155.55675025712628</v>
      </c>
      <c r="L19" s="139">
        <v>178.27388553272451</v>
      </c>
    </row>
    <row r="20" spans="2:14" ht="10.5" customHeight="1">
      <c r="B20" s="74"/>
      <c r="C20" s="126" t="s">
        <v>60</v>
      </c>
      <c r="D20" s="79" t="s">
        <v>47</v>
      </c>
      <c r="E20" s="79" t="s">
        <v>58</v>
      </c>
      <c r="F20" s="79" t="s">
        <v>64</v>
      </c>
      <c r="G20" s="127"/>
      <c r="H20" s="140">
        <v>0.41294468000000006</v>
      </c>
      <c r="I20" s="139">
        <v>0.27738953000000005</v>
      </c>
      <c r="J20" s="139">
        <v>0.23260700000000001</v>
      </c>
      <c r="K20" s="139">
        <v>0.50802606070390033</v>
      </c>
      <c r="L20" s="139">
        <v>0.39517821664463126</v>
      </c>
    </row>
    <row r="21" spans="2:14" ht="10.5" customHeight="1">
      <c r="B21" s="74"/>
      <c r="C21" s="135" t="s">
        <v>65</v>
      </c>
      <c r="D21" s="79" t="s">
        <v>47</v>
      </c>
      <c r="E21" s="79" t="s">
        <v>58</v>
      </c>
      <c r="F21" s="79" t="s">
        <v>64</v>
      </c>
      <c r="G21" s="127"/>
      <c r="H21" s="140">
        <v>0</v>
      </c>
      <c r="I21" s="139">
        <v>0</v>
      </c>
      <c r="J21" s="139">
        <v>0</v>
      </c>
      <c r="K21" s="139">
        <v>0</v>
      </c>
      <c r="L21" s="139">
        <v>0</v>
      </c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66</v>
      </c>
      <c r="D23" s="77" t="s">
        <v>53</v>
      </c>
      <c r="E23" s="174" t="s">
        <v>58</v>
      </c>
      <c r="F23" s="174" t="s">
        <v>64</v>
      </c>
      <c r="G23" s="69"/>
      <c r="H23" s="161">
        <f>IF(H16="", "", H18-H19-H20-H21)</f>
        <v>139.50148071000001</v>
      </c>
      <c r="I23" s="161">
        <f t="shared" ref="I23:L23" si="2">IF(I16="", "", I18-I19-I20-I21)</f>
        <v>156.62777139999997</v>
      </c>
      <c r="J23" s="161">
        <f t="shared" si="2"/>
        <v>144.62424347999993</v>
      </c>
      <c r="K23" s="161">
        <f t="shared" si="2"/>
        <v>117.29373997006128</v>
      </c>
      <c r="L23" s="161">
        <f t="shared" si="2"/>
        <v>209.48091076895562</v>
      </c>
    </row>
    <row r="24" spans="2:14" ht="10.5" customHeight="1">
      <c r="B24" s="74"/>
      <c r="C24" s="78" t="s">
        <v>66</v>
      </c>
      <c r="D24" s="77" t="s">
        <v>53</v>
      </c>
      <c r="E24" s="174" t="s">
        <v>58</v>
      </c>
      <c r="F24" s="163" t="str">
        <f>'Input | Inflation and Disc Rate'!$F$7</f>
        <v>2020–21</v>
      </c>
      <c r="G24" s="69"/>
      <c r="H24" s="161">
        <f>H23/'Input | Inflation and Disc Rate'!G15</f>
        <v>138.31119503841299</v>
      </c>
      <c r="I24" s="161">
        <f>I23/'Input | Inflation and Disc Rate'!H15</f>
        <v>150.04243228920032</v>
      </c>
      <c r="J24" s="161">
        <f>J23/'Input | Inflation and Disc Rate'!I15</f>
        <v>128.4811704310091</v>
      </c>
      <c r="K24" s="161">
        <f>K23/'Input | Inflation and Disc Rate'!J15</f>
        <v>100.14351641823015</v>
      </c>
      <c r="L24" s="161">
        <f>L23/'Input | Inflation and Disc Rate'!K15</f>
        <v>174.31914836837842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67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2026-27</v>
      </c>
      <c r="I28" s="68" t="str">
        <f>'Input | General'!E18</f>
        <v>2027–28</v>
      </c>
      <c r="J28" s="68" t="str">
        <f>'Input | General'!F18</f>
        <v>2028–29</v>
      </c>
      <c r="K28" s="68" t="str">
        <f>'Input | General'!G18</f>
        <v>2029–30</v>
      </c>
      <c r="L28" s="68" t="str">
        <f>'Input | General'!H18</f>
        <v>2030–31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68</v>
      </c>
      <c r="D30" s="79" t="s">
        <v>44</v>
      </c>
      <c r="E30" s="79" t="s">
        <v>58</v>
      </c>
      <c r="F30" s="79" t="s">
        <v>64</v>
      </c>
      <c r="G30" s="69"/>
      <c r="H30" s="139">
        <v>5.4531919740428503</v>
      </c>
      <c r="I30" s="139">
        <v>6.050544800887617</v>
      </c>
      <c r="J30" s="139">
        <v>7.2154911679481009</v>
      </c>
      <c r="K30" s="139">
        <v>13.378319741967159</v>
      </c>
      <c r="L30" s="139">
        <v>3.6702672701411565</v>
      </c>
    </row>
    <row r="31" spans="2:14" ht="11.25" customHeight="1">
      <c r="C31" s="85" t="s">
        <v>68</v>
      </c>
      <c r="D31" s="66" t="s">
        <v>53</v>
      </c>
      <c r="E31" s="79" t="s">
        <v>58</v>
      </c>
      <c r="F31" s="163" t="str">
        <f>F24</f>
        <v>2020–21</v>
      </c>
      <c r="G31" s="69"/>
      <c r="H31" s="162">
        <f>IF(H30&lt;&gt;"",H30/('Input | Inflation and Disc Rate'!K10*(1+'Input | Inflation and Disc Rate'!L9)^0.5),"")</f>
        <v>4.4821820933666867</v>
      </c>
      <c r="I31" s="162">
        <f>IF(I30&lt;&gt;"",I30/('Input | Inflation and Disc Rate'!L10*(1+'Input | Inflation and Disc Rate'!M9)^0.5),"")</f>
        <v>4.8518718883502103</v>
      </c>
      <c r="J31" s="162">
        <f>IF(J30&lt;&gt;"",J30/('Input | Inflation and Disc Rate'!M10*(1+'Input | Inflation and Disc Rate'!N9)^0.5),"")</f>
        <v>5.6449081271799173</v>
      </c>
      <c r="K31" s="162">
        <f>IF(K30&lt;&gt;"",K30/('Input | Inflation and Disc Rate'!N10*(1+'Input | Inflation and Disc Rate'!O9)^0.5),"")</f>
        <v>10.211009602054233</v>
      </c>
      <c r="L31" s="162">
        <f>IF(L30&lt;&gt;"",L30/('Input | Inflation and Disc Rate'!O10*(1+'Input | Inflation and Disc Rate'!P9)^0.5),"")</f>
        <v>2.7330082249091139</v>
      </c>
    </row>
    <row r="32" spans="2:14" ht="11.25" customHeight="1">
      <c r="C32" s="85" t="s">
        <v>68</v>
      </c>
      <c r="D32" s="66" t="s">
        <v>47</v>
      </c>
      <c r="E32" s="79" t="s">
        <v>58</v>
      </c>
      <c r="F32" s="79" t="s">
        <v>64</v>
      </c>
      <c r="G32" s="69"/>
      <c r="H32" s="162">
        <f>IF(H30&lt;&gt;"",H31*'Input | Inflation and Disc Rate'!K15*(1+'Input | Inflation and Disc Rate'!L14)^0.5,"")</f>
        <v>5.3862791089741258</v>
      </c>
      <c r="I32" s="162">
        <f>IF(I30&lt;&gt;"",I31*'Input | Inflation and Disc Rate'!L15*(1+'Input | Inflation and Disc Rate'!M14)^0.5,"")</f>
        <v>5.8305387079912192</v>
      </c>
      <c r="J32" s="162">
        <f>IF(J30&lt;&gt;"",J31*'Input | Inflation and Disc Rate'!M15*(1+'Input | Inflation and Disc Rate'!N14)^0.5,"")</f>
        <v>6.7835375904305124</v>
      </c>
      <c r="K32" s="162">
        <f>IF(K30&lt;&gt;"",K31*'Input | Inflation and Disc Rate'!N15*(1+'Input | Inflation and Disc Rate'!O14)^0.5,"")</f>
        <v>12.270663385691996</v>
      </c>
      <c r="L32" s="162">
        <f>IF(L30&lt;&gt;"",L31*'Input | Inflation and Disc Rate'!O15*(1+'Input | Inflation and Disc Rate'!P14)^0.5,"")</f>
        <v>3.2842809149293783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17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7" type="noConversion"/>
  <conditionalFormatting sqref="H20:H21">
    <cfRule type="expression" dxfId="8" priority="7">
      <formula>IF($H$6&lt;&gt;"","FALSE","TRUE")</formula>
    </cfRule>
  </conditionalFormatting>
  <conditionalFormatting sqref="H8:L10">
    <cfRule type="expression" dxfId="7" priority="3">
      <formula>IF($H$6&lt;&gt;"","FALSE","TRUE")</formula>
    </cfRule>
  </conditionalFormatting>
  <conditionalFormatting sqref="H18:L19">
    <cfRule type="expression" dxfId="6" priority="12">
      <formula>IF($H$6&lt;&gt;"","FALSE","TRUE")</formula>
    </cfRule>
  </conditionalFormatting>
  <conditionalFormatting sqref="H30:L30">
    <cfRule type="expression" dxfId="5" priority="1">
      <formula>IF($H$6&lt;&gt;"","FALSE","TRUE")</formula>
    </cfRule>
  </conditionalFormatting>
  <conditionalFormatting sqref="I20:L21">
    <cfRule type="expression" dxfId="4" priority="2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="115" zoomScaleNormal="115" workbookViewId="0">
      <selection activeCell="M17" sqref="M17"/>
    </sheetView>
  </sheetViews>
  <sheetFormatPr defaultColWidth="0" defaultRowHeight="0" customHeight="1" zeroHeight="1"/>
  <cols>
    <col min="1" max="2" width="1.21875" style="2" customWidth="1"/>
    <col min="3" max="3" width="73.77734375" style="9" customWidth="1"/>
    <col min="4" max="8" width="12.77734375" style="2" customWidth="1"/>
    <col min="9" max="9" width="2.21875" style="2" customWidth="1"/>
    <col min="10" max="10" width="12.77734375" style="1" customWidth="1"/>
    <col min="11" max="12" width="12.77734375" style="2" customWidth="1"/>
    <col min="13" max="13" width="13.5546875" style="2" customWidth="1"/>
    <col min="14" max="14" width="12.77734375" style="2" customWidth="1"/>
    <col min="15" max="16" width="2.77734375" style="2" customWidth="1"/>
    <col min="17" max="16383" width="0" style="2" hidden="1"/>
    <col min="16384" max="16384" width="12.77734375" style="2" hidden="1"/>
  </cols>
  <sheetData>
    <row r="1" spans="2:23" ht="18" customHeight="1">
      <c r="B1" s="3" t="str">
        <f>'Input | General'!$B$1</f>
        <v>Jemena Electricity 2027-31 Regulatory proposal - Capital expenditure sharing scheme model</v>
      </c>
      <c r="C1" s="2"/>
      <c r="J1" s="117"/>
      <c r="K1" s="100" t="s">
        <v>18</v>
      </c>
      <c r="L1" s="136" t="s">
        <v>19</v>
      </c>
      <c r="M1" s="175" t="s">
        <v>20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69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70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71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72</v>
      </c>
      <c r="D7" s="87" t="str">
        <f>IF('Input | General'!D14="Yes",'Input | General'!D13,"n/a")</f>
        <v>2021–22</v>
      </c>
      <c r="E7" s="87" t="str">
        <f>IF('Input | General'!E14="Yes",'Input | General'!E13,"n/a")</f>
        <v>2022–23</v>
      </c>
      <c r="F7" s="87" t="str">
        <f>IF('Input | General'!F14="Yes",'Input | General'!F13,"n/a")</f>
        <v>2023–24</v>
      </c>
      <c r="G7" s="87" t="str">
        <f>IF('Input | General'!G14="Yes",'Input | General'!G13,"n/a")</f>
        <v>2024–25</v>
      </c>
      <c r="H7" s="128" t="str">
        <f>IF('Input | General'!H14="Yes",'Input | General'!H13,"n/a")</f>
        <v>2025–26</v>
      </c>
      <c r="I7" s="93"/>
    </row>
    <row r="8" spans="2:23" ht="11.25" customHeight="1">
      <c r="C8" s="111" t="s">
        <v>73</v>
      </c>
      <c r="D8" s="144">
        <f>'Input | Inflation and Disc Rate'!G20</f>
        <v>2.8504498758880059E-2</v>
      </c>
      <c r="E8" s="145">
        <f>'Input | Inflation and Disc Rate'!H20</f>
        <v>2.7262194883109325E-2</v>
      </c>
      <c r="F8" s="145">
        <f>'Input | Inflation and Disc Rate'!I20</f>
        <v>2.7897299349873395E-2</v>
      </c>
      <c r="G8" s="145">
        <f>'Input | Inflation and Disc Rate'!J20</f>
        <v>2.8472802080846016E-2</v>
      </c>
      <c r="H8" s="146">
        <f>'Input | Inflation and Disc Rate'!K20</f>
        <v>2.8671841661771946E-2</v>
      </c>
      <c r="I8" s="93"/>
      <c r="J8" s="80"/>
      <c r="K8" s="80"/>
    </row>
    <row r="9" spans="2:23" ht="11.25" customHeight="1">
      <c r="C9" s="131" t="s">
        <v>74</v>
      </c>
      <c r="D9" s="145">
        <f>'Input | Inflation and Disc Rate'!G22</f>
        <v>3.7355656235290358E-2</v>
      </c>
      <c r="E9" s="145">
        <f>'Input | Inflation and Disc Rate'!H22</f>
        <v>6.3198841632432945E-2</v>
      </c>
      <c r="F9" s="145">
        <f>'Input | Inflation and Disc Rate'!I22</f>
        <v>0.10840038544899788</v>
      </c>
      <c r="G9" s="145">
        <f>'Input | Inflation and Disc Rate'!J22</f>
        <v>7.014639421409119E-2</v>
      </c>
      <c r="H9" s="146">
        <f>'Input | Inflation and Disc Rate'!K22</f>
        <v>5.5417309544978144E-2</v>
      </c>
      <c r="I9" s="93"/>
      <c r="J9" s="80"/>
      <c r="K9" s="80"/>
    </row>
    <row r="10" spans="2:23" ht="11.25" customHeight="1">
      <c r="C10" s="109" t="s">
        <v>75</v>
      </c>
      <c r="D10" s="147">
        <f>'Input | Reported Capex'!H$12*'Input | Inflation and Disc Rate'!G$15*(1+'Input | Inflation and Disc Rate'!G$20)^0.5</f>
        <v>159.74739993343991</v>
      </c>
      <c r="E10" s="148">
        <f>'Input | Reported Capex'!I$12*'Input | Inflation and Disc Rate'!H$15*(1+'Input | Inflation and Disc Rate'!H$20)^0.5</f>
        <v>160.27903313994065</v>
      </c>
      <c r="F10" s="148">
        <f>'Input | Reported Capex'!J$12*'Input | Inflation and Disc Rate'!I$15*(1+'Input | Inflation and Disc Rate'!I$20)^0.5</f>
        <v>157.96008728237274</v>
      </c>
      <c r="G10" s="148">
        <f>'Input | Reported Capex'!K$12*'Input | Inflation and Disc Rate'!J$15*(1+'Input | Inflation and Disc Rate'!J$20)^0.5</f>
        <v>176.66049708792812</v>
      </c>
      <c r="H10" s="149">
        <f>'Input | Reported Capex'!L$12*'Input | Inflation and Disc Rate'!K$15*(1+'Input | Inflation and Disc Rate'!K$20)^0.5</f>
        <v>182.52959769418169</v>
      </c>
      <c r="I10" s="93"/>
      <c r="J10" s="80"/>
      <c r="K10" s="80"/>
      <c r="N10" s="124"/>
    </row>
    <row r="11" spans="2:23" ht="11.25" customHeight="1">
      <c r="C11" s="109" t="s">
        <v>76</v>
      </c>
      <c r="D11" s="150">
        <f>'Input | Reported Capex'!H23*(1+D$9)^0.5</f>
        <v>142.08317620997417</v>
      </c>
      <c r="E11" s="148">
        <f>'Input | Reported Capex'!I23*(1+E$9)^0.5</f>
        <v>161.50129755162192</v>
      </c>
      <c r="F11" s="148">
        <f>'Input | Reported Capex'!J23*(1+F$9)^0.5</f>
        <v>152.26126522406861</v>
      </c>
      <c r="G11" s="148">
        <f>'Input | Reported Capex'!K23*(1+G$9)^0.5</f>
        <v>121.33788774390548</v>
      </c>
      <c r="H11" s="149">
        <f>'Input | Reported Capex'!L23*(1+H$9)^0.5</f>
        <v>215.20708240647804</v>
      </c>
      <c r="I11" s="93"/>
      <c r="J11" s="80"/>
      <c r="K11" s="80"/>
    </row>
    <row r="12" spans="2:23" s="14" customFormat="1" ht="11.25" customHeight="1">
      <c r="C12" s="109" t="s">
        <v>77</v>
      </c>
      <c r="D12" s="177">
        <f>(D10-D11)</f>
        <v>17.664223723465739</v>
      </c>
      <c r="E12" s="178">
        <f>(E10-E11)</f>
        <v>-1.222264411681266</v>
      </c>
      <c r="F12" s="178">
        <f t="shared" ref="F12:H12" si="0">(F10-F11)</f>
        <v>5.6988220583041311</v>
      </c>
      <c r="G12" s="178">
        <f t="shared" si="0"/>
        <v>55.322609344022638</v>
      </c>
      <c r="H12" s="179">
        <f t="shared" si="0"/>
        <v>-32.677484712296348</v>
      </c>
      <c r="I12" s="93"/>
      <c r="J12" s="80"/>
      <c r="K12" s="80"/>
    </row>
    <row r="13" spans="2:23" ht="11.25" customHeight="1">
      <c r="C13" s="109" t="s">
        <v>78</v>
      </c>
      <c r="D13" s="89"/>
      <c r="E13" s="178">
        <f>$D$12*$E$8</f>
        <v>0.48156550960796601</v>
      </c>
      <c r="F13" s="178">
        <f>$D$12*$F$8*(1+'Input | Inflation and Disc Rate'!H13)</f>
        <v>0.51002317250592766</v>
      </c>
      <c r="G13" s="178">
        <f>$D$12*$G$8*(1+'Input | Inflation and Disc Rate'!H13)*(1+'Input | Inflation and Disc Rate'!I13)</f>
        <v>0.56131273835746798</v>
      </c>
      <c r="H13" s="179">
        <f>$D$12*$H$8*(1+'Input | Inflation and Disc Rate'!H13)*(1+'Input | Inflation and Disc Rate'!I13)*(1+'Input | Inflation and Disc Rate'!J13)</f>
        <v>0.58813992213894173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79</v>
      </c>
      <c r="D14" s="89"/>
      <c r="E14" s="130"/>
      <c r="F14" s="178">
        <f>$E$12*F$8</f>
        <v>-3.4097876177369167E-2</v>
      </c>
      <c r="G14" s="178">
        <f>$E$12*G$8*(1+'Input | Inflation and Disc Rate'!I13)</f>
        <v>-3.752686795631921E-2</v>
      </c>
      <c r="H14" s="179">
        <f>$E$12*H$8*(1+'Input | Inflation and Disc Rate'!I13)*(1+'Input | Inflation and Disc Rate'!J13)</f>
        <v>-3.9320413897131506E-2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80</v>
      </c>
      <c r="D15" s="89"/>
      <c r="E15" s="129"/>
      <c r="F15" s="129"/>
      <c r="G15" s="178">
        <f>$F$12*G$8</f>
        <v>0.16226143256005304</v>
      </c>
      <c r="H15" s="179">
        <f>$F$12*$H$8*(1+'Input | Inflation and Disc Rate'!J13)</f>
        <v>0.17001649845196867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81</v>
      </c>
      <c r="D16" s="89"/>
      <c r="E16" s="129"/>
      <c r="F16" s="129"/>
      <c r="G16" s="129"/>
      <c r="H16" s="179">
        <f>$G$12*$H$8</f>
        <v>1.5862010954278822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82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83</v>
      </c>
      <c r="D18" s="180">
        <f>SUM(D13:D17)</f>
        <v>0</v>
      </c>
      <c r="E18" s="181">
        <f>SUM(E13:E17)</f>
        <v>0.48156550960796601</v>
      </c>
      <c r="F18" s="181">
        <f t="shared" ref="F18:H18" si="1">SUM(F13:F17)</f>
        <v>0.47592529632855851</v>
      </c>
      <c r="G18" s="181">
        <f t="shared" si="1"/>
        <v>0.68604730296120175</v>
      </c>
      <c r="H18" s="182">
        <f t="shared" si="1"/>
        <v>2.3050371021216609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84</v>
      </c>
      <c r="D19" s="180">
        <f>E19*(1+E$9)</f>
        <v>1.3310015708178631</v>
      </c>
      <c r="E19" s="181">
        <f>F19*(1+F$9)</f>
        <v>1.2518839550034182</v>
      </c>
      <c r="F19" s="181">
        <f>G19*(1+G$9)</f>
        <v>1.1294510282006958</v>
      </c>
      <c r="G19" s="181">
        <f>H19*(1+H$9)</f>
        <v>1.0554173095449781</v>
      </c>
      <c r="H19" s="183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85</v>
      </c>
      <c r="D20" s="177">
        <f>D12*D19</f>
        <v>23.511109523211061</v>
      </c>
      <c r="E20" s="178">
        <f>E12*E19</f>
        <v>-1.5301332057554695</v>
      </c>
      <c r="F20" s="178">
        <f t="shared" ref="F20:H20" si="2">F12*F19</f>
        <v>6.4365404332844065</v>
      </c>
      <c r="G20" s="178">
        <f t="shared" si="2"/>
        <v>58.388439510876239</v>
      </c>
      <c r="H20" s="179">
        <f t="shared" si="2"/>
        <v>-32.677484712296348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86</v>
      </c>
      <c r="D21" s="180">
        <f>D18*D19</f>
        <v>0</v>
      </c>
      <c r="E21" s="181">
        <f>E18*E19</f>
        <v>0.60286413476125711</v>
      </c>
      <c r="F21" s="181">
        <f t="shared" ref="F21:H21" si="3">F18*F19</f>
        <v>0.53753431528501128</v>
      </c>
      <c r="G21" s="181">
        <f t="shared" si="3"/>
        <v>0.72406619871190003</v>
      </c>
      <c r="H21" s="182">
        <f t="shared" si="3"/>
        <v>2.3050371021216609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87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72</v>
      </c>
      <c r="D24" s="105" t="str">
        <f>'Input | General'!$D$18</f>
        <v>2026-27</v>
      </c>
      <c r="E24" s="105" t="str">
        <f>'Input | General'!$E$18</f>
        <v>2027–28</v>
      </c>
      <c r="F24" s="105" t="str">
        <f>'Input | General'!$F$18</f>
        <v>2028–29</v>
      </c>
      <c r="G24" s="105" t="str">
        <f>'Input | General'!$G$18</f>
        <v>2029–30</v>
      </c>
      <c r="H24" s="106" t="str">
        <f>'Input | General'!$H$18</f>
        <v>2030–31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88</v>
      </c>
      <c r="D25" s="151">
        <f>'Input | Inflation and Disc Rate'!L$22</f>
        <v>3.3360111906140189E-2</v>
      </c>
      <c r="E25" s="151">
        <f>'Input | Inflation and Disc Rate'!M$22</f>
        <v>3.4114343192793939E-2</v>
      </c>
      <c r="F25" s="151">
        <f>'Input | Inflation and Disc Rate'!N$22</f>
        <v>3.4842359072833284E-2</v>
      </c>
      <c r="G25" s="151">
        <f>'Input | Inflation and Disc Rate'!O$22</f>
        <v>3.5865570378881273E-2</v>
      </c>
      <c r="H25" s="152">
        <f>'Input | Inflation and Disc Rate'!P$22</f>
        <v>3.7559400842101187E-2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89</v>
      </c>
      <c r="D26" s="148">
        <f>'Input | Reported Capex'!H32</f>
        <v>5.3862791089741258</v>
      </c>
      <c r="E26" s="148">
        <f>'Input | Reported Capex'!I32</f>
        <v>5.8305387079912192</v>
      </c>
      <c r="F26" s="148">
        <f>'Input | Reported Capex'!J32</f>
        <v>6.7835375904305124</v>
      </c>
      <c r="G26" s="148">
        <f>'Input | Reported Capex'!K32</f>
        <v>12.270663385691996</v>
      </c>
      <c r="H26" s="149">
        <f>'Input | Reported Capex'!L32</f>
        <v>3.2842809149293783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90</v>
      </c>
      <c r="D27" s="178">
        <f>1/(1+D25)^(0.5)</f>
        <v>0.9837260072527797</v>
      </c>
      <c r="E27" s="178">
        <f>1/((1+E25)^(0.5)*(1+D25))</f>
        <v>0.9516210178908846</v>
      </c>
      <c r="F27" s="178">
        <f>1/((1+F25)^(0.5)*(1+E25)*(1+D25))</f>
        <v>0.91990429356211578</v>
      </c>
      <c r="G27" s="178">
        <f>1/((1+G25)^(0.5)*(1+F25)*(1+E25)*(1+D25))</f>
        <v>0.88849266744479727</v>
      </c>
      <c r="H27" s="179">
        <f>1/((1+H25)^(0.5)*(1+G25)*(1+F25)*(1+E25)*(1+D25))</f>
        <v>0.85702928849753091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91</v>
      </c>
      <c r="D28" s="181">
        <f>D26*D27</f>
        <v>5.2986228418201762</v>
      </c>
      <c r="E28" s="181">
        <f t="shared" ref="E28:G28" si="4">E26*E27</f>
        <v>5.5484631801508071</v>
      </c>
      <c r="F28" s="181">
        <f t="shared" si="4"/>
        <v>6.2402053549770375</v>
      </c>
      <c r="G28" s="181">
        <f t="shared" si="4"/>
        <v>10.902394442870689</v>
      </c>
      <c r="H28" s="182">
        <f>H26*H27</f>
        <v>2.8147249357479449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92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93</v>
      </c>
      <c r="D31" s="164">
        <f>SUM('Input | Reported Capex'!H12:L12)</f>
        <v>744.56167450958719</v>
      </c>
      <c r="E31" s="92"/>
      <c r="F31" s="92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76</v>
      </c>
      <c r="D32" s="165">
        <f>SUM('Input | Reported Capex'!H24:L24)</f>
        <v>691.29746254523093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94</v>
      </c>
      <c r="D33" s="184">
        <f>(D31-D32)/D31</f>
        <v>7.1537676176307699E-2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95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96</v>
      </c>
      <c r="D35" s="164">
        <f>SUM(D20:H20)-SUM(D28:H28)</f>
        <v>23.32406079375324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97</v>
      </c>
      <c r="D36" s="165">
        <f>D35-D37</f>
        <v>16.32684255562727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98</v>
      </c>
      <c r="D37" s="165">
        <f>D34*D35</f>
        <v>6.9972182381259715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99</v>
      </c>
      <c r="D38" s="165">
        <f>SUM(D21:H21)</f>
        <v>4.1695017508798298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100</v>
      </c>
      <c r="D39" s="166">
        <f>D37-D38</f>
        <v>2.8277164872461418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101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2026-27</v>
      </c>
      <c r="E43" s="104" t="str">
        <f>'Input | General'!E18</f>
        <v>2027–28</v>
      </c>
      <c r="F43" s="104" t="str">
        <f>'Input | General'!F18</f>
        <v>2028–29</v>
      </c>
      <c r="G43" s="104" t="str">
        <f>'Input | General'!G18</f>
        <v>2029–30</v>
      </c>
      <c r="H43" s="104" t="str">
        <f>'Input | General'!H18</f>
        <v>2030–31</v>
      </c>
    </row>
    <row r="44" spans="2:15" s="24" customFormat="1" ht="11.25" customHeight="1">
      <c r="C44" s="96" t="s">
        <v>102</v>
      </c>
      <c r="D44" s="172">
        <f>1/(1+'Input | Inflation and Disc Rate'!L21)</f>
        <v>0.96771685734549595</v>
      </c>
      <c r="E44" s="171">
        <f>D44/(1+'Input | Inflation and Disc Rate'!M21)</f>
        <v>0.93579289728996706</v>
      </c>
      <c r="F44" s="171">
        <f>E44/(1+'Input | Inflation and Disc Rate'!N21)</f>
        <v>0.90428545863583554</v>
      </c>
      <c r="G44" s="171">
        <f>F44/(1+'Input | Inflation and Disc Rate'!O21)</f>
        <v>0.87297568767063216</v>
      </c>
      <c r="H44" s="171">
        <f>G44/(1+'Input | Inflation and Disc Rate'!P21)</f>
        <v>0.84137417767321077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7">
        <f>D39/(SUM(D44:H44))</f>
        <v>0.62530423904756705</v>
      </c>
      <c r="E45" s="167">
        <f>D45</f>
        <v>0.62530423904756705</v>
      </c>
      <c r="F45" s="167">
        <f t="shared" ref="F45:H45" si="5">E45</f>
        <v>0.62530423904756705</v>
      </c>
      <c r="G45" s="167">
        <f t="shared" si="5"/>
        <v>0.62530423904756705</v>
      </c>
      <c r="H45" s="168">
        <f t="shared" si="5"/>
        <v>0.62530423904756705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9">
        <f>SUM(D45:H45)</f>
        <v>3.1265211952378351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17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/>
  </sheetViews>
  <sheetFormatPr defaultColWidth="0" defaultRowHeight="11.25" customHeight="1" zeroHeight="1"/>
  <cols>
    <col min="1" max="2" width="1.21875" style="43" customWidth="1"/>
    <col min="3" max="3" width="36" style="43" customWidth="1"/>
    <col min="4" max="4" width="23.77734375" style="45" customWidth="1"/>
    <col min="5" max="5" width="13.5546875" style="45" customWidth="1"/>
    <col min="6" max="6" width="9.21875" style="45" customWidth="1"/>
    <col min="7" max="9" width="2.77734375" style="45" customWidth="1"/>
    <col min="10" max="15" width="9.21875" style="43" customWidth="1"/>
    <col min="16" max="17" width="3" style="43" customWidth="1"/>
    <col min="18" max="24" width="9.21875" style="43" hidden="1" customWidth="1"/>
    <col min="25" max="48" width="0" style="43" hidden="1" customWidth="1"/>
    <col min="49" max="16384" width="0" style="43" hidden="1"/>
  </cols>
  <sheetData>
    <row r="1" spans="1:27" s="29" customFormat="1" ht="19.2">
      <c r="B1" s="3" t="str">
        <f>'Input | General'!$B$1</f>
        <v>Jemena Electricity 2027-31 Regulatory proposal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18</v>
      </c>
      <c r="L1" s="136" t="s">
        <v>19</v>
      </c>
      <c r="M1" s="175" t="s">
        <v>20</v>
      </c>
      <c r="R1" s="101"/>
      <c r="S1" s="80"/>
      <c r="T1" s="80"/>
      <c r="U1" s="80"/>
      <c r="V1" s="80"/>
      <c r="W1" s="80"/>
    </row>
    <row r="2" spans="1:27" s="50" customFormat="1" ht="13.8" thickBot="1">
      <c r="B2" s="51" t="s">
        <v>13</v>
      </c>
      <c r="C2" s="51"/>
      <c r="D2" s="51"/>
      <c r="E2" s="51"/>
      <c r="F2" s="52"/>
      <c r="G2" s="52"/>
      <c r="H2" s="52"/>
      <c r="I2" s="52"/>
    </row>
    <row r="3" spans="1:27" s="53" customFormat="1" ht="10.199999999999999">
      <c r="D3" s="54"/>
      <c r="E3" s="54"/>
      <c r="F3" s="54"/>
      <c r="G3" s="54"/>
      <c r="H3" s="54"/>
      <c r="I3" s="54"/>
      <c r="J3" s="189"/>
      <c r="K3" s="189"/>
      <c r="L3" s="189"/>
      <c r="M3" s="54"/>
      <c r="N3" s="189"/>
      <c r="O3" s="189"/>
      <c r="P3" s="189"/>
      <c r="Q3" s="189"/>
      <c r="R3" s="189"/>
      <c r="S3" s="189"/>
      <c r="T3" s="189"/>
      <c r="U3" s="55"/>
      <c r="V3" s="55"/>
      <c r="W3" s="55"/>
      <c r="X3" s="55"/>
      <c r="Y3" s="55"/>
      <c r="Z3" s="55"/>
      <c r="AA3" s="55"/>
    </row>
    <row r="4" spans="1:27" s="42" customFormat="1" ht="13.2">
      <c r="A4" s="34"/>
      <c r="B4" s="35" t="s">
        <v>103</v>
      </c>
      <c r="C4" s="34"/>
      <c r="D4" s="34"/>
      <c r="E4" s="141" t="s">
        <v>58</v>
      </c>
      <c r="F4" s="141" t="s">
        <v>104</v>
      </c>
      <c r="G4" s="36"/>
      <c r="H4" s="36"/>
      <c r="I4" s="36"/>
      <c r="J4" s="56" t="s">
        <v>105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106</v>
      </c>
      <c r="D6" s="59" t="s">
        <v>41</v>
      </c>
      <c r="E6" s="59" t="s">
        <v>42</v>
      </c>
      <c r="F6" s="59" t="s">
        <v>56</v>
      </c>
      <c r="H6" s="59"/>
      <c r="I6" s="59"/>
      <c r="J6" s="60" t="str">
        <f>'Calc | CESS Revenue Increments'!D43</f>
        <v>2026-27</v>
      </c>
      <c r="K6" s="60" t="str">
        <f>'Calc | CESS Revenue Increments'!E43</f>
        <v>2027–28</v>
      </c>
      <c r="L6" s="60" t="str">
        <f>'Calc | CESS Revenue Increments'!F43</f>
        <v>2028–29</v>
      </c>
      <c r="M6" s="60" t="str">
        <f>'Calc | CESS Revenue Increments'!G43</f>
        <v>2029–30</v>
      </c>
      <c r="N6" s="60" t="str">
        <f>'Calc | CESS Revenue Increments'!H43</f>
        <v>2030–31</v>
      </c>
      <c r="O6" s="60" t="s">
        <v>107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108</v>
      </c>
      <c r="D8" s="27" t="s">
        <v>11</v>
      </c>
      <c r="E8" s="45" t="str">
        <f>$E$4</f>
        <v>$millions</v>
      </c>
      <c r="F8" s="45" t="str">
        <f>$F$4</f>
        <v>2024-25</v>
      </c>
      <c r="H8" s="59"/>
      <c r="I8" s="59"/>
      <c r="J8" s="162">
        <f>'Calc | CESS Revenue Increments'!D45</f>
        <v>0.62530423904756705</v>
      </c>
      <c r="K8" s="162">
        <f>'Calc | CESS Revenue Increments'!E45</f>
        <v>0.62530423904756705</v>
      </c>
      <c r="L8" s="162">
        <f>'Calc | CESS Revenue Increments'!F45</f>
        <v>0.62530423904756705</v>
      </c>
      <c r="M8" s="162">
        <f>'Calc | CESS Revenue Increments'!G45</f>
        <v>0.62530423904756705</v>
      </c>
      <c r="N8" s="162">
        <f>'Calc | CESS Revenue Increments'!H45</f>
        <v>0.62530423904756705</v>
      </c>
      <c r="O8" s="170">
        <f>SUM(J8:N8)</f>
        <v>3.1265211952378351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.2">
      <c r="A11" s="34"/>
      <c r="B11" s="35" t="s">
        <v>17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.199999999999999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>
      <selection activeCell="K1" sqref="K1"/>
    </sheetView>
  </sheetViews>
  <sheetFormatPr defaultColWidth="0" defaultRowHeight="11.25" customHeight="1" zeroHeight="1"/>
  <cols>
    <col min="1" max="2" width="1.21875" style="43" customWidth="1"/>
    <col min="3" max="3" width="56.44140625" style="43" customWidth="1"/>
    <col min="4" max="4" width="9.21875" style="44" customWidth="1"/>
    <col min="5" max="5" width="14.21875" style="45" customWidth="1"/>
    <col min="6" max="7" width="4.5546875" style="43" customWidth="1"/>
    <col min="8" max="12" width="9.21875" style="43" customWidth="1"/>
    <col min="13" max="14" width="2.77734375" style="43" customWidth="1"/>
    <col min="15" max="22" width="9.2187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6">
      <c r="B1" s="3" t="str">
        <f>'Input | General'!$B$1</f>
        <v>Jemena Electricity 2027-31 Regulatory proposal - Capital expenditure sharing scheme model</v>
      </c>
      <c r="C1" s="30"/>
      <c r="D1" s="31"/>
      <c r="E1" s="31"/>
      <c r="F1" s="31"/>
      <c r="G1" s="31"/>
      <c r="H1" s="99"/>
      <c r="I1" s="100" t="s">
        <v>18</v>
      </c>
      <c r="J1" s="136" t="s">
        <v>19</v>
      </c>
      <c r="K1" s="143" t="s">
        <v>109</v>
      </c>
      <c r="P1" s="101"/>
      <c r="Q1" s="80"/>
      <c r="R1" s="80"/>
      <c r="S1" s="80"/>
      <c r="T1" s="80"/>
      <c r="U1" s="80"/>
    </row>
    <row r="2" spans="1:29" s="29" customFormat="1" ht="13.2">
      <c r="B2" s="32" t="s">
        <v>15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.2">
      <c r="A4" s="34"/>
      <c r="B4" s="35" t="s">
        <v>110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.199999999999999"/>
    <row r="6" spans="1:29" ht="10.199999999999999">
      <c r="C6" s="46" t="s">
        <v>111</v>
      </c>
      <c r="D6" s="47"/>
      <c r="E6" s="47" t="s">
        <v>112</v>
      </c>
      <c r="F6" s="47"/>
    </row>
    <row r="7" spans="1:29" ht="10.199999999999999">
      <c r="C7" s="48" t="s">
        <v>113</v>
      </c>
      <c r="D7" s="45"/>
      <c r="E7" s="142" t="s">
        <v>114</v>
      </c>
    </row>
    <row r="8" spans="1:29" ht="10.199999999999999">
      <c r="C8" s="48" t="s">
        <v>115</v>
      </c>
      <c r="D8" s="45"/>
      <c r="E8" s="142" t="s">
        <v>116</v>
      </c>
    </row>
    <row r="9" spans="1:29" ht="10.199999999999999">
      <c r="C9" s="48" t="s">
        <v>117</v>
      </c>
      <c r="D9" s="45"/>
      <c r="E9" s="142" t="s">
        <v>58</v>
      </c>
      <c r="S9" s="49"/>
    </row>
    <row r="10" spans="1:29" ht="10.199999999999999">
      <c r="D10" s="43"/>
      <c r="E10" s="43"/>
    </row>
    <row r="11" spans="1:29" ht="10.199999999999999">
      <c r="C11" s="48" t="s">
        <v>118</v>
      </c>
      <c r="D11" s="45"/>
      <c r="E11" s="142" t="s">
        <v>118</v>
      </c>
    </row>
    <row r="12" spans="1:29" ht="10.199999999999999">
      <c r="C12" s="48" t="s">
        <v>119</v>
      </c>
      <c r="D12" s="45"/>
      <c r="E12" s="142" t="s">
        <v>119</v>
      </c>
    </row>
    <row r="13" spans="1:29" ht="10.199999999999999">
      <c r="C13" s="48" t="s">
        <v>120</v>
      </c>
      <c r="D13" s="45"/>
      <c r="E13" s="142" t="s">
        <v>121</v>
      </c>
    </row>
    <row r="14" spans="1:29" ht="10.199999999999999">
      <c r="C14" s="48"/>
      <c r="D14" s="45"/>
      <c r="E14" s="43"/>
    </row>
    <row r="15" spans="1:29" ht="10.199999999999999">
      <c r="C15" s="48"/>
      <c r="D15" s="45"/>
      <c r="E15" s="43"/>
    </row>
    <row r="16" spans="1:29" s="42" customFormat="1" ht="13.2">
      <c r="A16" s="34"/>
      <c r="B16" s="35" t="s">
        <v>122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.199999999999999"/>
    <row r="18" spans="3:19" ht="10.199999999999999">
      <c r="C18" s="46" t="str">
        <f>B16</f>
        <v>Years</v>
      </c>
      <c r="D18" s="47"/>
      <c r="E18" s="47" t="s">
        <v>112</v>
      </c>
      <c r="F18" s="47"/>
    </row>
    <row r="19" spans="3:19" ht="10.199999999999999">
      <c r="C19" s="48" t="s">
        <v>120</v>
      </c>
      <c r="D19" s="47"/>
      <c r="E19" s="142" t="s">
        <v>121</v>
      </c>
      <c r="F19" s="47"/>
    </row>
    <row r="20" spans="3:19" ht="10.199999999999999">
      <c r="C20" s="48" t="s">
        <v>64</v>
      </c>
      <c r="D20" s="45"/>
      <c r="E20" s="142" t="s">
        <v>64</v>
      </c>
      <c r="F20" s="47"/>
    </row>
    <row r="21" spans="3:19" ht="10.199999999999999">
      <c r="C21" s="48" t="s">
        <v>123</v>
      </c>
      <c r="D21" s="45"/>
      <c r="E21" s="142" t="s">
        <v>123</v>
      </c>
      <c r="F21" s="47"/>
    </row>
    <row r="22" spans="3:19" ht="10.199999999999999">
      <c r="C22" s="48" t="s">
        <v>124</v>
      </c>
      <c r="D22" s="45"/>
      <c r="E22" s="142" t="s">
        <v>124</v>
      </c>
      <c r="F22" s="47"/>
    </row>
    <row r="23" spans="3:19" ht="10.199999999999999">
      <c r="C23" s="48" t="s">
        <v>125</v>
      </c>
      <c r="D23" s="45"/>
      <c r="E23" s="142" t="s">
        <v>125</v>
      </c>
    </row>
    <row r="24" spans="3:19" ht="10.199999999999999">
      <c r="C24" s="48" t="s">
        <v>126</v>
      </c>
      <c r="D24" s="45"/>
      <c r="E24" s="142" t="s">
        <v>126</v>
      </c>
    </row>
    <row r="25" spans="3:19" ht="10.199999999999999">
      <c r="C25" s="48" t="s">
        <v>127</v>
      </c>
      <c r="D25" s="45"/>
      <c r="E25" s="142" t="s">
        <v>127</v>
      </c>
      <c r="S25" s="49"/>
    </row>
    <row r="26" spans="3:19" ht="10.199999999999999">
      <c r="C26" s="48" t="s">
        <v>128</v>
      </c>
      <c r="D26" s="45"/>
      <c r="E26" s="142" t="s">
        <v>128</v>
      </c>
      <c r="S26" s="49"/>
    </row>
    <row r="27" spans="3:19" ht="10.199999999999999">
      <c r="C27" s="48" t="s">
        <v>129</v>
      </c>
      <c r="D27" s="45"/>
      <c r="E27" s="142" t="s">
        <v>129</v>
      </c>
      <c r="S27" s="49"/>
    </row>
    <row r="28" spans="3:19" ht="10.199999999999999">
      <c r="C28" s="48" t="s">
        <v>130</v>
      </c>
      <c r="D28" s="45"/>
      <c r="E28" s="142" t="s">
        <v>130</v>
      </c>
      <c r="S28" s="49"/>
    </row>
    <row r="29" spans="3:19" ht="10.199999999999999">
      <c r="C29" s="48" t="s">
        <v>131</v>
      </c>
      <c r="D29" s="45"/>
      <c r="E29" s="142" t="s">
        <v>131</v>
      </c>
      <c r="S29" s="49"/>
    </row>
    <row r="30" spans="3:19" ht="10.199999999999999">
      <c r="C30" s="48" t="s">
        <v>132</v>
      </c>
      <c r="D30" s="45"/>
      <c r="E30" s="142" t="s">
        <v>132</v>
      </c>
      <c r="S30" s="49"/>
    </row>
    <row r="31" spans="3:19" ht="10.199999999999999">
      <c r="C31" s="48" t="s">
        <v>133</v>
      </c>
      <c r="D31" s="45"/>
      <c r="E31" s="142" t="s">
        <v>133</v>
      </c>
      <c r="S31" s="49"/>
    </row>
    <row r="32" spans="3:19" ht="10.199999999999999">
      <c r="C32" s="48" t="s">
        <v>134</v>
      </c>
      <c r="D32" s="45"/>
      <c r="E32" s="142" t="s">
        <v>134</v>
      </c>
      <c r="S32" s="49"/>
    </row>
    <row r="33" spans="1:29" ht="10.199999999999999">
      <c r="C33" s="48" t="s">
        <v>135</v>
      </c>
      <c r="D33" s="45"/>
      <c r="E33" s="142" t="s">
        <v>135</v>
      </c>
      <c r="S33" s="49"/>
    </row>
    <row r="34" spans="1:29" ht="10.199999999999999">
      <c r="C34" s="48" t="s">
        <v>136</v>
      </c>
      <c r="D34" s="45"/>
      <c r="E34" s="142" t="s">
        <v>136</v>
      </c>
      <c r="S34" s="49"/>
    </row>
    <row r="35" spans="1:29" ht="10.199999999999999">
      <c r="C35" s="48" t="s">
        <v>137</v>
      </c>
      <c r="D35" s="45"/>
      <c r="E35" s="142" t="s">
        <v>137</v>
      </c>
      <c r="S35" s="49"/>
    </row>
    <row r="36" spans="1:29" ht="10.199999999999999">
      <c r="C36" s="48" t="s">
        <v>138</v>
      </c>
      <c r="D36" s="45"/>
      <c r="E36" s="142" t="s">
        <v>138</v>
      </c>
      <c r="S36" s="49"/>
    </row>
    <row r="37" spans="1:29" ht="10.199999999999999">
      <c r="C37" s="48" t="s">
        <v>139</v>
      </c>
      <c r="D37" s="45"/>
      <c r="E37" s="142" t="s">
        <v>139</v>
      </c>
      <c r="S37" s="49"/>
    </row>
    <row r="38" spans="1:29" ht="10.199999999999999">
      <c r="C38" s="48" t="s">
        <v>104</v>
      </c>
      <c r="D38" s="45"/>
      <c r="E38" s="142" t="s">
        <v>104</v>
      </c>
    </row>
    <row r="39" spans="1:29" ht="10.199999999999999">
      <c r="C39" s="48" t="s">
        <v>140</v>
      </c>
      <c r="D39" s="45"/>
      <c r="E39" s="173" t="s">
        <v>140</v>
      </c>
    </row>
    <row r="40" spans="1:29" s="42" customFormat="1" ht="13.2">
      <c r="A40" s="34"/>
      <c r="B40" s="35" t="s">
        <v>17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O15">
    <cfRule type="expression" dxfId="3" priority="8" stopIfTrue="1">
      <formula>#REF!="Actual"</formula>
    </cfRule>
  </conditionalFormatting>
  <conditionalFormatting sqref="O38:O39">
    <cfRule type="expression" dxfId="2" priority="7" stopIfTrue="1">
      <formula>#REF!="Actual"</formula>
    </cfRule>
  </conditionalFormatting>
  <conditionalFormatting sqref="O11:P15">
    <cfRule type="expression" dxfId="1" priority="9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Props1.xml><?xml version="1.0" encoding="utf-8"?>
<ds:datastoreItem xmlns:ds="http://schemas.openxmlformats.org/officeDocument/2006/customXml" ds:itemID="{EF3CEE58-F4A1-404F-A52B-441B929C0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876c-ba06-4341-9d47-b53ee198fe78"/>
    <ds:schemaRef ds:uri="cce62ca5-22ea-47d8-bfd0-cf180537c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14CDB8-EC0E-4036-B744-DACF5CFED3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0C6E2-D523-48F8-B9CE-4E189F46A580}">
  <ds:schemaRefs>
    <ds:schemaRef ds:uri="58dd876c-ba06-4341-9d47-b53ee198fe7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cce62ca5-22ea-47d8-bfd0-cf180537c997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Qld SA DxTx Reset RINs</dc:title>
  <dc:subject>202403 - Preliminary RIN - based on Qld_SA 2026-30</dc:subject>
  <dc:creator>AER</dc:creator>
  <cp:keywords>DNSP; CESS; 2027-31</cp:keywords>
  <dc:description/>
  <cp:lastModifiedBy>Matt McQuarrie</cp:lastModifiedBy>
  <cp:revision/>
  <dcterms:created xsi:type="dcterms:W3CDTF">2017-09-22T02:00:05Z</dcterms:created>
  <dcterms:modified xsi:type="dcterms:W3CDTF">2025-01-31T10:27:24Z</dcterms:modified>
  <cp:category>DNSP;CESS;2027-31</cp:category>
  <cp:contentStatus>202403 - Preliminary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2024-07-17T02:32:51Z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f6907b70-0483-4f98-a717-bb0b137ae254</vt:lpwstr>
  </property>
  <property fmtid="{D5CDD505-2E9C-101B-9397-08002B2CF9AE}" pid="9" name="MSIP_Label_d9d5a995-dfdf-4407-9a97-edbbc68c9f53_ContentBits">
    <vt:lpwstr>0</vt:lpwstr>
  </property>
  <property fmtid="{D5CDD505-2E9C-101B-9397-08002B2CF9AE}" pid="10" name="ContentTypeId">
    <vt:lpwstr>0x010100BE463E5E62BF724086D347C959262467</vt:lpwstr>
  </property>
  <property fmtid="{D5CDD505-2E9C-101B-9397-08002B2CF9AE}" pid="11" name="MediaServiceImageTags">
    <vt:lpwstr/>
  </property>
</Properties>
</file>