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Price Reviews\02. GAAR\2026-30\05. Revenue Scenarios\GAAR - Revised Proposal - Jan 2025\03. Model suite\02. Public (no links)\"/>
    </mc:Choice>
  </mc:AlternateContent>
  <xr:revisionPtr revIDLastSave="0" documentId="13_ncr:1_{BA032F68-A885-49C6-8F11-A1CD6ED72132}" xr6:coauthVersionLast="47" xr6:coauthVersionMax="47" xr10:uidLastSave="{00000000-0000-0000-0000-000000000000}"/>
  <bookViews>
    <workbookView xWindow="30600" yWindow="-120" windowWidth="29040" windowHeight="15840" tabRatio="804" xr2:uid="{00000000-000D-0000-FFFF-FFFF00000000}"/>
  </bookViews>
  <sheets>
    <sheet name="Change Log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Input|UAG" sheetId="60" r:id="rId8"/>
    <sheet name="Calc|Opex forecast" sheetId="42" r:id="rId9"/>
    <sheet name="Output|Models" sheetId="44" r:id="rId10"/>
    <sheet name="Lookup|Tables" sheetId="4" r:id="rId11"/>
    <sheet name="Check|List" sheetId="16" r:id="rId12"/>
  </sheet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123Graph_A" localSheetId="7" hidden="1">#REF!</definedName>
    <definedName name="__123Graph_A" hidden="1">#REF!</definedName>
    <definedName name="__123Graph_AARREARSB" hidden="1">#REF!</definedName>
    <definedName name="__123Graph_AARREARSG" hidden="1">#REF!</definedName>
    <definedName name="__123Graph_AARREARSS" hidden="1">#REF!</definedName>
    <definedName name="__123Graph_AARREARST" hidden="1">#REF!</definedName>
    <definedName name="__123Graph_ARECOVERIESG" hidden="1">#REF!</definedName>
    <definedName name="__123Graph_ARECOVERIESS" hidden="1">#REF!</definedName>
    <definedName name="__123Graph_AREFFO" hidden="1">#REF!</definedName>
    <definedName name="__123Graph_AVISITSFO" hidden="1">#REF!</definedName>
    <definedName name="__123Graph_BARREARSB" hidden="1">#REF!</definedName>
    <definedName name="__123Graph_BARREARSG" hidden="1">#REF!</definedName>
    <definedName name="__123Graph_BARREARSS" hidden="1">#REF!</definedName>
    <definedName name="__123Graph_BARREARST" hidden="1">#REF!</definedName>
    <definedName name="__123Graph_BRECOVERIESG" hidden="1">#REF!</definedName>
    <definedName name="__123Graph_BRECOVERIESS" hidden="1">#REF!</definedName>
    <definedName name="__123Graph_BREFFO" hidden="1">#REF!</definedName>
    <definedName name="__123Graph_BVISITSFO" hidden="1">#REF!</definedName>
    <definedName name="__123Graph_CRECOVERIESG" hidden="1">#REF!</definedName>
    <definedName name="__123Graph_CRECOVERIESS" hidden="1">#REF!</definedName>
    <definedName name="__123Graph_CVISITSFO" hidden="1">#REF!</definedName>
    <definedName name="__123Graph_CWH2" localSheetId="7" hidden="1">#REF!</definedName>
    <definedName name="__123Graph_CWH2" hidden="1">#REF!</definedName>
    <definedName name="__123Graph_CWH3" localSheetId="7" hidden="1">#REF!</definedName>
    <definedName name="__123Graph_CWH3" hidden="1">#REF!</definedName>
    <definedName name="__123Graph_DARREARSB" hidden="1">#REF!</definedName>
    <definedName name="__123Graph_DARREARSG" hidden="1">#REF!</definedName>
    <definedName name="__123Graph_DARREARSS" hidden="1">#REF!</definedName>
    <definedName name="__123Graph_DARREARST" hidden="1">#REF!</definedName>
    <definedName name="__123Graph_DRECOVERIESG" hidden="1">#REF!</definedName>
    <definedName name="__123Graph_DRECOVERIESS" hidden="1">#REF!</definedName>
    <definedName name="__123Graph_DREFFO" hidden="1">#REF!</definedName>
    <definedName name="__123Graph_DVISITSFO" hidden="1">#REF!</definedName>
    <definedName name="__123Graph_X" localSheetId="7" hidden="1">#REF!</definedName>
    <definedName name="__123Graph_X" hidden="1">#REF!</definedName>
    <definedName name="__123Graph_XARREARSB" hidden="1">#REF!</definedName>
    <definedName name="__123Graph_XARREARSG" hidden="1">#REF!</definedName>
    <definedName name="__123Graph_XARREARSS" hidden="1">#REF!</definedName>
    <definedName name="__123Graph_XARREARST" hidden="1">#REF!</definedName>
    <definedName name="__123Graph_XRECOVERIESG" hidden="1">#REF!</definedName>
    <definedName name="__123Graph_XRECOVERIESS" hidden="1">#REF!</definedName>
    <definedName name="__123Graph_XVISITSFO" hidden="1">#REF!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__LTR" hidden="1">#REF!</definedName>
    <definedName name="_10__123Graph_D__LTR" hidden="1">#REF!</definedName>
    <definedName name="_101__123Graph_ACHART_2" localSheetId="7" hidden="1">#REF!</definedName>
    <definedName name="_101__123Graph_ACHART_2" hidden="1">#REF!</definedName>
    <definedName name="_109__123Graph_ACHART_3" localSheetId="7" hidden="1">#REF!</definedName>
    <definedName name="_109__123Graph_ACHART_3" hidden="1">#REF!</definedName>
    <definedName name="_11__123Graph_DO_S_GAS" hidden="1">#REF!</definedName>
    <definedName name="_110__123Graph_ACHART_30" localSheetId="7" hidden="1">#REF!</definedName>
    <definedName name="_110__123Graph_ACHART_30" hidden="1">#REF!</definedName>
    <definedName name="_111__123Graph_ACHART_31" localSheetId="7" hidden="1">#REF!</definedName>
    <definedName name="_111__123Graph_ACHART_31" hidden="1">#REF!</definedName>
    <definedName name="_112__123Graph_ACHART_35" localSheetId="7" hidden="1">#REF!</definedName>
    <definedName name="_112__123Graph_ACHART_35" hidden="1">#REF!</definedName>
    <definedName name="_116__123Graph_ACHART_3" localSheetId="7" hidden="1">#REF!</definedName>
    <definedName name="_116__123Graph_ACHART_3" hidden="1">#REF!</definedName>
    <definedName name="_117__123Graph_ACHART_30" localSheetId="7" hidden="1">#REF!</definedName>
    <definedName name="_117__123Graph_ACHART_30" hidden="1">#REF!</definedName>
    <definedName name="_118__123Graph_ACHART_31" localSheetId="7" hidden="1">#REF!</definedName>
    <definedName name="_118__123Graph_ACHART_31" hidden="1">#REF!</definedName>
    <definedName name="_119__123Graph_ACHART_35" localSheetId="7" hidden="1">#REF!</definedName>
    <definedName name="_119__123Graph_ACHART_35" hidden="1">#REF!</definedName>
    <definedName name="_12__123Graph_DT_OVER" hidden="1">#REF!</definedName>
    <definedName name="_126__123Graph_ACHART_4" localSheetId="7" hidden="1">#REF!</definedName>
    <definedName name="_126__123Graph_ACHART_4" hidden="1">#REF!</definedName>
    <definedName name="_134__123Graph_ACHART_4" localSheetId="7" hidden="1">#REF!</definedName>
    <definedName name="_134__123Graph_ACHART_4" hidden="1">#REF!</definedName>
    <definedName name="_14__123Graph_ACHART_1" localSheetId="7" hidden="1">#REF!</definedName>
    <definedName name="_14__123Graph_ACHART_1" hidden="1">#REF!</definedName>
    <definedName name="_140__123Graph_ACHART_5" localSheetId="7" hidden="1">#REF!</definedName>
    <definedName name="_140__123Graph_ACHART_5" hidden="1">#REF!</definedName>
    <definedName name="_149__123Graph_ACHART_5" localSheetId="7" hidden="1">#REF!</definedName>
    <definedName name="_149__123Graph_ACHART_5" hidden="1">#REF!</definedName>
    <definedName name="_15__123Graph_ACHART_1" localSheetId="7" hidden="1">#REF!</definedName>
    <definedName name="_15__123Graph_ACHART_1" hidden="1">#REF!</definedName>
    <definedName name="_154__123Graph_ACHART_6" localSheetId="7" hidden="1">#REF!</definedName>
    <definedName name="_154__123Graph_ACHART_6" hidden="1">#REF!</definedName>
    <definedName name="_155__123Graph_ACHART_62" localSheetId="7" hidden="1">#REF!</definedName>
    <definedName name="_155__123Graph_ACHART_62" hidden="1">#REF!</definedName>
    <definedName name="_156__123Graph_ACHART_66" localSheetId="7" hidden="1">#REF!</definedName>
    <definedName name="_156__123Graph_ACHART_66" hidden="1">#REF!</definedName>
    <definedName name="_157__123Graph_ACHART_68" localSheetId="7" hidden="1">#REF!</definedName>
    <definedName name="_157__123Graph_ACHART_68" hidden="1">#REF!</definedName>
    <definedName name="_158__123Graph_ACHART_69" localSheetId="7" hidden="1">#REF!</definedName>
    <definedName name="_158__123Graph_ACHART_69" hidden="1">#REF!</definedName>
    <definedName name="_164__123Graph_ACHART_6" localSheetId="7" hidden="1">#REF!</definedName>
    <definedName name="_164__123Graph_ACHART_6" hidden="1">#REF!</definedName>
    <definedName name="_165__123Graph_ACHART_62" localSheetId="7" hidden="1">#REF!</definedName>
    <definedName name="_165__123Graph_ACHART_62" hidden="1">#REF!</definedName>
    <definedName name="_166__123Graph_ACHART_66" localSheetId="7" hidden="1">#REF!</definedName>
    <definedName name="_166__123Graph_ACHART_66" hidden="1">#REF!</definedName>
    <definedName name="_167__123Graph_ACHART_68" localSheetId="7" hidden="1">#REF!</definedName>
    <definedName name="_167__123Graph_ACHART_68" hidden="1">#REF!</definedName>
    <definedName name="_168__123Graph_ACHART_69" localSheetId="7" hidden="1">#REF!</definedName>
    <definedName name="_168__123Graph_ACHART_69" hidden="1">#REF!</definedName>
    <definedName name="_172__123Graph_ACHART_7" localSheetId="7" hidden="1">#REF!</definedName>
    <definedName name="_172__123Graph_ACHART_7" hidden="1">#REF!</definedName>
    <definedName name="_173__123Graph_ACHART_70" localSheetId="7" hidden="1">#REF!</definedName>
    <definedName name="_173__123Graph_ACHART_70" hidden="1">#REF!</definedName>
    <definedName name="_174__123Graph_ACHART_71" localSheetId="7" hidden="1">#REF!</definedName>
    <definedName name="_174__123Graph_ACHART_71" hidden="1">#REF!</definedName>
    <definedName name="_183__123Graph_ACHART_7" localSheetId="7" hidden="1">#REF!</definedName>
    <definedName name="_183__123Graph_ACHART_7" hidden="1">#REF!</definedName>
    <definedName name="_184__123Graph_ACHART_70" localSheetId="7" hidden="1">#REF!</definedName>
    <definedName name="_184__123Graph_ACHART_70" hidden="1">#REF!</definedName>
    <definedName name="_185__123Graph_ACHART_71" localSheetId="7" hidden="1">#REF!</definedName>
    <definedName name="_185__123Graph_ACHART_71" hidden="1">#REF!</definedName>
    <definedName name="_188__123Graph_ACHART_8" localSheetId="7" hidden="1">#REF!</definedName>
    <definedName name="_188__123Graph_ACHART_8" hidden="1">#REF!</definedName>
    <definedName name="_2__123Graph_AO_S_GAS" hidden="1">#REF!</definedName>
    <definedName name="_200__123Graph_ACHART_8" localSheetId="7" hidden="1">#REF!</definedName>
    <definedName name="_200__123Graph_ACHART_8" hidden="1">#REF!</definedName>
    <definedName name="_202__123Graph_ACHART_9" localSheetId="7" hidden="1">#REF!</definedName>
    <definedName name="_202__123Graph_ACHART_9" hidden="1">#REF!</definedName>
    <definedName name="_210__123Graph_BCHART_1" localSheetId="7" hidden="1">#REF!</definedName>
    <definedName name="_210__123Graph_BCHART_1" hidden="1">#REF!</definedName>
    <definedName name="_215__123Graph_ACHART_9" localSheetId="7" hidden="1">#REF!</definedName>
    <definedName name="_215__123Graph_ACHART_9" hidden="1">#REF!</definedName>
    <definedName name="_223__123Graph_BCHART_1" localSheetId="7" hidden="1">#REF!</definedName>
    <definedName name="_223__123Graph_BCHART_1" hidden="1">#REF!</definedName>
    <definedName name="_224__123Graph_BCHART_10" localSheetId="7" hidden="1">#REF!</definedName>
    <definedName name="_224__123Graph_BCHART_10" hidden="1">#REF!</definedName>
    <definedName name="_238__123Graph_BCHART_10" localSheetId="7" hidden="1">#REF!</definedName>
    <definedName name="_238__123Graph_BCHART_10" hidden="1">#REF!</definedName>
    <definedName name="_238__123Graph_BCHART_11" localSheetId="7" hidden="1">#REF!</definedName>
    <definedName name="_238__123Graph_BCHART_11" hidden="1">#REF!</definedName>
    <definedName name="_239__123Graph_BCHART_12" localSheetId="7" hidden="1">#REF!</definedName>
    <definedName name="_239__123Graph_BCHART_12" hidden="1">#REF!</definedName>
    <definedName name="_253__123Graph_BCHART_11" localSheetId="7" hidden="1">#REF!</definedName>
    <definedName name="_253__123Graph_BCHART_11" hidden="1">#REF!</definedName>
    <definedName name="_254__123Graph_BCHART_12" localSheetId="7" hidden="1">#REF!</definedName>
    <definedName name="_254__123Graph_BCHART_12" hidden="1">#REF!</definedName>
    <definedName name="_257__123Graph_BCHART_13" localSheetId="7" hidden="1">#REF!</definedName>
    <definedName name="_257__123Graph_BCHART_13" hidden="1">#REF!</definedName>
    <definedName name="_258__123Graph_BCHART_15" localSheetId="7" hidden="1">#REF!</definedName>
    <definedName name="_258__123Graph_BCHART_15" hidden="1">#REF!</definedName>
    <definedName name="_259__123Graph_BCHART_16" localSheetId="7" hidden="1">#REF!</definedName>
    <definedName name="_259__123Graph_BCHART_16" hidden="1">#REF!</definedName>
    <definedName name="_273__123Graph_BCHART_13" localSheetId="7" hidden="1">#REF!</definedName>
    <definedName name="_273__123Graph_BCHART_13" hidden="1">#REF!</definedName>
    <definedName name="_273__123Graph_BCHART_2" localSheetId="7" hidden="1">#REF!</definedName>
    <definedName name="_273__123Graph_BCHART_2" hidden="1">#REF!</definedName>
    <definedName name="_274__123Graph_BCHART_15" localSheetId="7" hidden="1">#REF!</definedName>
    <definedName name="_274__123Graph_BCHART_15" hidden="1">#REF!</definedName>
    <definedName name="_275__123Graph_BCHART_16" localSheetId="7" hidden="1">#REF!</definedName>
    <definedName name="_275__123Graph_BCHART_16" hidden="1">#REF!</definedName>
    <definedName name="_28__123Graph_ACHART_10" localSheetId="7" hidden="1">#REF!</definedName>
    <definedName name="_28__123Graph_ACHART_10" hidden="1">#REF!</definedName>
    <definedName name="_287__123Graph_BCHART_3" localSheetId="7" hidden="1">#REF!</definedName>
    <definedName name="_287__123Graph_BCHART_3" hidden="1">#REF!</definedName>
    <definedName name="_288__123Graph_BCHART_30" localSheetId="7" hidden="1">#REF!</definedName>
    <definedName name="_288__123Graph_BCHART_30" hidden="1">#REF!</definedName>
    <definedName name="_289__123Graph_BCHART_31" localSheetId="7" hidden="1">#REF!</definedName>
    <definedName name="_289__123Graph_BCHART_31" hidden="1">#REF!</definedName>
    <definedName name="_290__123Graph_BCHART_2" localSheetId="7" hidden="1">#REF!</definedName>
    <definedName name="_290__123Graph_BCHART_2" hidden="1">#REF!</definedName>
    <definedName name="_290__123Graph_BCHART_35" localSheetId="7" hidden="1">#REF!</definedName>
    <definedName name="_290__123Graph_BCHART_35" hidden="1">#REF!</definedName>
    <definedName name="_3__123Graph_AT_OVER" hidden="1">#REF!</definedName>
    <definedName name="_30__123Graph_ACHART_10" localSheetId="7" hidden="1">#REF!</definedName>
    <definedName name="_30__123Graph_ACHART_10" hidden="1">#REF!</definedName>
    <definedName name="_304__123Graph_BCHART_4" localSheetId="7" hidden="1">#REF!</definedName>
    <definedName name="_304__123Graph_BCHART_4" hidden="1">#REF!</definedName>
    <definedName name="_305__123Graph_BCHART_3" localSheetId="7" hidden="1">#REF!</definedName>
    <definedName name="_305__123Graph_BCHART_3" hidden="1">#REF!</definedName>
    <definedName name="_306__123Graph_BCHART_30" localSheetId="7" hidden="1">#REF!</definedName>
    <definedName name="_306__123Graph_BCHART_30" hidden="1">#REF!</definedName>
    <definedName name="_307__123Graph_BCHART_31" localSheetId="7" hidden="1">#REF!</definedName>
    <definedName name="_307__123Graph_BCHART_31" hidden="1">#REF!</definedName>
    <definedName name="_308__123Graph_BCHART_35" localSheetId="7" hidden="1">#REF!</definedName>
    <definedName name="_308__123Graph_BCHART_35" hidden="1">#REF!</definedName>
    <definedName name="_318__123Graph_BCHART_5" localSheetId="7" hidden="1">#REF!</definedName>
    <definedName name="_318__123Graph_BCHART_5" hidden="1">#REF!</definedName>
    <definedName name="_323__123Graph_BCHART_4" localSheetId="7" hidden="1">#REF!</definedName>
    <definedName name="_323__123Graph_BCHART_4" hidden="1">#REF!</definedName>
    <definedName name="_332__123Graph_BCHART_6" localSheetId="7" hidden="1">#REF!</definedName>
    <definedName name="_332__123Graph_BCHART_6" hidden="1">#REF!</definedName>
    <definedName name="_333__123Graph_BCHART_62" localSheetId="7" hidden="1">#REF!</definedName>
    <definedName name="_333__123Graph_BCHART_62" hidden="1">#REF!</definedName>
    <definedName name="_334__123Graph_BCHART_66" localSheetId="7" hidden="1">#REF!</definedName>
    <definedName name="_334__123Graph_BCHART_66" hidden="1">#REF!</definedName>
    <definedName name="_335__123Graph_BCHART_68" localSheetId="7" hidden="1">#REF!</definedName>
    <definedName name="_335__123Graph_BCHART_68" hidden="1">#REF!</definedName>
    <definedName name="_336__123Graph_BCHART_69" localSheetId="7" hidden="1">#REF!</definedName>
    <definedName name="_336__123Graph_BCHART_69" hidden="1">#REF!</definedName>
    <definedName name="_338__123Graph_BCHART_5" localSheetId="7" hidden="1">#REF!</definedName>
    <definedName name="_338__123Graph_BCHART_5" hidden="1">#REF!</definedName>
    <definedName name="_353__123Graph_BCHART_6" localSheetId="7" hidden="1">#REF!</definedName>
    <definedName name="_353__123Graph_BCHART_6" hidden="1">#REF!</definedName>
    <definedName name="_354__123Graph_BCHART_62" localSheetId="7" hidden="1">#REF!</definedName>
    <definedName name="_354__123Graph_BCHART_62" hidden="1">#REF!</definedName>
    <definedName name="_354__123Graph_BCHART_7" localSheetId="7" hidden="1">#REF!</definedName>
    <definedName name="_354__123Graph_BCHART_7" hidden="1">#REF!</definedName>
    <definedName name="_355__123Graph_BCHART_66" localSheetId="7" hidden="1">#REF!</definedName>
    <definedName name="_355__123Graph_BCHART_66" hidden="1">#REF!</definedName>
    <definedName name="_355__123Graph_BCHART_70" localSheetId="7" hidden="1">#REF!</definedName>
    <definedName name="_355__123Graph_BCHART_70" hidden="1">#REF!</definedName>
    <definedName name="_356__123Graph_BCHART_68" localSheetId="7" hidden="1">#REF!</definedName>
    <definedName name="_356__123Graph_BCHART_68" hidden="1">#REF!</definedName>
    <definedName name="_356__123Graph_BCHART_71" localSheetId="7" hidden="1">#REF!</definedName>
    <definedName name="_356__123Graph_BCHART_71" hidden="1">#REF!</definedName>
    <definedName name="_357__123Graph_BCHART_69" localSheetId="7" hidden="1">#REF!</definedName>
    <definedName name="_357__123Graph_BCHART_69" hidden="1">#REF!</definedName>
    <definedName name="_374__123Graph_BCHART_8" localSheetId="7" hidden="1">#REF!</definedName>
    <definedName name="_374__123Graph_BCHART_8" hidden="1">#REF!</definedName>
    <definedName name="_376__123Graph_BCHART_7" localSheetId="7" hidden="1">#REF!</definedName>
    <definedName name="_376__123Graph_BCHART_7" hidden="1">#REF!</definedName>
    <definedName name="_377__123Graph_BCHART_70" localSheetId="7" hidden="1">#REF!</definedName>
    <definedName name="_377__123Graph_BCHART_70" hidden="1">#REF!</definedName>
    <definedName name="_378__123Graph_BCHART_71" localSheetId="7" hidden="1">#REF!</definedName>
    <definedName name="_378__123Graph_BCHART_71" hidden="1">#REF!</definedName>
    <definedName name="_388__123Graph_BCHART_9" localSheetId="7" hidden="1">#REF!</definedName>
    <definedName name="_388__123Graph_BCHART_9" hidden="1">#REF!</definedName>
    <definedName name="_396__123Graph_CCHART_1" localSheetId="7" hidden="1">#REF!</definedName>
    <definedName name="_396__123Graph_CCHART_1" hidden="1">#REF!</definedName>
    <definedName name="_397__123Graph_BCHART_8" localSheetId="7" hidden="1">#REF!</definedName>
    <definedName name="_397__123Graph_BCHART_8" hidden="1">#REF!</definedName>
    <definedName name="_4__123Graph_B__LTR" hidden="1">#REF!</definedName>
    <definedName name="_404__123Graph_CCHART_10" localSheetId="7" hidden="1">#REF!</definedName>
    <definedName name="_404__123Graph_CCHART_10" hidden="1">#REF!</definedName>
    <definedName name="_412__123Graph_BCHART_9" localSheetId="7" hidden="1">#REF!</definedName>
    <definedName name="_412__123Graph_BCHART_9" hidden="1">#REF!</definedName>
    <definedName name="_418__123Graph_CCHART_11" localSheetId="7" hidden="1">#REF!</definedName>
    <definedName name="_418__123Graph_CCHART_11" hidden="1">#REF!</definedName>
    <definedName name="_419__123Graph_CCHART_12" localSheetId="7" hidden="1">#REF!</definedName>
    <definedName name="_419__123Graph_CCHART_12" hidden="1">#REF!</definedName>
    <definedName name="_42__123Graph_ACHART_11" localSheetId="7" hidden="1">#REF!</definedName>
    <definedName name="_42__123Graph_ACHART_11" hidden="1">#REF!</definedName>
    <definedName name="_420__123Graph_CCHART_1" localSheetId="7" hidden="1">#REF!</definedName>
    <definedName name="_420__123Graph_CCHART_1" hidden="1">#REF!</definedName>
    <definedName name="_420__123Graph_CCHART_13" localSheetId="7" hidden="1">#REF!</definedName>
    <definedName name="_420__123Graph_CCHART_13" hidden="1">#REF!</definedName>
    <definedName name="_421__123Graph_CCHART_14" localSheetId="7" hidden="1">#REF!</definedName>
    <definedName name="_421__123Graph_CCHART_14" hidden="1">#REF!</definedName>
    <definedName name="_422__123Graph_CCHART_15" localSheetId="7" hidden="1">#REF!</definedName>
    <definedName name="_422__123Graph_CCHART_15" hidden="1">#REF!</definedName>
    <definedName name="_423__123Graph_CCHART_16" localSheetId="7" hidden="1">#REF!</definedName>
    <definedName name="_423__123Graph_CCHART_16" hidden="1">#REF!</definedName>
    <definedName name="_428__123Graph_CCHART_10" localSheetId="7" hidden="1">#REF!</definedName>
    <definedName name="_428__123Graph_CCHART_10" hidden="1">#REF!</definedName>
    <definedName name="_437__123Graph_CCHART_2" localSheetId="7" hidden="1">#REF!</definedName>
    <definedName name="_437__123Graph_CCHART_2" hidden="1">#REF!</definedName>
    <definedName name="_443__123Graph_CCHART_11" localSheetId="7" hidden="1">#REF!</definedName>
    <definedName name="_443__123Graph_CCHART_11" hidden="1">#REF!</definedName>
    <definedName name="_444__123Graph_CCHART_12" localSheetId="7" hidden="1">#REF!</definedName>
    <definedName name="_444__123Graph_CCHART_12" hidden="1">#REF!</definedName>
    <definedName name="_445__123Graph_CCHART_13" localSheetId="7" hidden="1">#REF!</definedName>
    <definedName name="_445__123Graph_CCHART_13" hidden="1">#REF!</definedName>
    <definedName name="_445__123Graph_CCHART_3" localSheetId="7" hidden="1">#REF!</definedName>
    <definedName name="_445__123Graph_CCHART_3" hidden="1">#REF!</definedName>
    <definedName name="_446__123Graph_CCHART_14" localSheetId="7" hidden="1">#REF!</definedName>
    <definedName name="_446__123Graph_CCHART_14" hidden="1">#REF!</definedName>
    <definedName name="_447__123Graph_CCHART_15" localSheetId="7" hidden="1">#REF!</definedName>
    <definedName name="_447__123Graph_CCHART_15" hidden="1">#REF!</definedName>
    <definedName name="_448__123Graph_CCHART_16" localSheetId="7" hidden="1">#REF!</definedName>
    <definedName name="_448__123Graph_CCHART_16" hidden="1">#REF!</definedName>
    <definedName name="_45__123Graph_ACHART_11" localSheetId="7" hidden="1">#REF!</definedName>
    <definedName name="_45__123Graph_ACHART_11" hidden="1">#REF!</definedName>
    <definedName name="_453__123Graph_CCHART_4" localSheetId="7" hidden="1">#REF!</definedName>
    <definedName name="_453__123Graph_CCHART_4" hidden="1">#REF!</definedName>
    <definedName name="_461__123Graph_CCHART_5" localSheetId="7" hidden="1">#REF!</definedName>
    <definedName name="_461__123Graph_CCHART_5" hidden="1">#REF!</definedName>
    <definedName name="_463__123Graph_CCHART_2" localSheetId="7" hidden="1">#REF!</definedName>
    <definedName name="_463__123Graph_CCHART_2" hidden="1">#REF!</definedName>
    <definedName name="_469__123Graph_CCHART_6" localSheetId="7" hidden="1">#REF!</definedName>
    <definedName name="_469__123Graph_CCHART_6" hidden="1">#REF!</definedName>
    <definedName name="_470__123Graph_CCHART_62" localSheetId="7" hidden="1">#REF!</definedName>
    <definedName name="_470__123Graph_CCHART_62" hidden="1">#REF!</definedName>
    <definedName name="_471__123Graph_CCHART_3" localSheetId="7" hidden="1">#REF!</definedName>
    <definedName name="_471__123Graph_CCHART_3" hidden="1">#REF!</definedName>
    <definedName name="_471__123Graph_CCHART_66" localSheetId="7" hidden="1">#REF!</definedName>
    <definedName name="_471__123Graph_CCHART_66" hidden="1">#REF!</definedName>
    <definedName name="_472__123Graph_CCHART_68" localSheetId="7" hidden="1">#REF!</definedName>
    <definedName name="_472__123Graph_CCHART_68" hidden="1">#REF!</definedName>
    <definedName name="_473__123Graph_CCHART_69" localSheetId="7" hidden="1">#REF!</definedName>
    <definedName name="_473__123Graph_CCHART_69" hidden="1">#REF!</definedName>
    <definedName name="_479__123Graph_CCHART_4" localSheetId="7" hidden="1">#REF!</definedName>
    <definedName name="_479__123Graph_CCHART_4" hidden="1">#REF!</definedName>
    <definedName name="_481__123Graph_CCHART_7" localSheetId="7" hidden="1">#REF!</definedName>
    <definedName name="_481__123Graph_CCHART_7" hidden="1">#REF!</definedName>
    <definedName name="_482__123Graph_CCHART_70" localSheetId="7" hidden="1">#REF!</definedName>
    <definedName name="_482__123Graph_CCHART_70" hidden="1">#REF!</definedName>
    <definedName name="_487__123Graph_CCHART_5" localSheetId="7" hidden="1">#REF!</definedName>
    <definedName name="_487__123Graph_CCHART_5" hidden="1">#REF!</definedName>
    <definedName name="_490__123Graph_CCHART_8" localSheetId="7" hidden="1">#REF!</definedName>
    <definedName name="_490__123Graph_CCHART_8" hidden="1">#REF!</definedName>
    <definedName name="_495__123Graph_CCHART_6" localSheetId="7" hidden="1">#REF!</definedName>
    <definedName name="_495__123Graph_CCHART_6" hidden="1">#REF!</definedName>
    <definedName name="_496__123Graph_CCHART_62" localSheetId="7" hidden="1">#REF!</definedName>
    <definedName name="_496__123Graph_CCHART_62" hidden="1">#REF!</definedName>
    <definedName name="_497__123Graph_CCHART_66" localSheetId="7" hidden="1">#REF!</definedName>
    <definedName name="_497__123Graph_CCHART_66" hidden="1">#REF!</definedName>
    <definedName name="_498__123Graph_CCHART_68" localSheetId="7" hidden="1">#REF!</definedName>
    <definedName name="_498__123Graph_CCHART_68" hidden="1">#REF!</definedName>
    <definedName name="_498__123Graph_CCHART_9" localSheetId="7" hidden="1">#REF!</definedName>
    <definedName name="_498__123Graph_CCHART_9" hidden="1">#REF!</definedName>
    <definedName name="_499__123Graph_CCHART_69" localSheetId="7" hidden="1">#REF!</definedName>
    <definedName name="_499__123Graph_CCHART_69" hidden="1">#REF!</definedName>
    <definedName name="_499__123Graph_DCHART_1" localSheetId="7" hidden="1">#REF!</definedName>
    <definedName name="_499__123Graph_DCHART_1" hidden="1">#REF!</definedName>
    <definedName name="_5__123Graph_BO_S_GAS" hidden="1">#REF!</definedName>
    <definedName name="_507__123Graph_CCHART_7" localSheetId="7" hidden="1">#REF!</definedName>
    <definedName name="_507__123Graph_CCHART_7" hidden="1">#REF!</definedName>
    <definedName name="_507__123Graph_DCHART_10" localSheetId="7" hidden="1">#REF!</definedName>
    <definedName name="_507__123Graph_DCHART_10" hidden="1">#REF!</definedName>
    <definedName name="_508__123Graph_CCHART_70" localSheetId="7" hidden="1">#REF!</definedName>
    <definedName name="_508__123Graph_CCHART_70" hidden="1">#REF!</definedName>
    <definedName name="_508__123Graph_DCHART_11" localSheetId="7" hidden="1">#REF!</definedName>
    <definedName name="_508__123Graph_DCHART_11" hidden="1">#REF!</definedName>
    <definedName name="_509__123Graph_DCHART_13" localSheetId="7" hidden="1">#REF!</definedName>
    <definedName name="_509__123Graph_DCHART_13" hidden="1">#REF!</definedName>
    <definedName name="_510__123Graph_DCHART_16" localSheetId="7" hidden="1">#REF!</definedName>
    <definedName name="_510__123Graph_DCHART_16" hidden="1">#REF!</definedName>
    <definedName name="_511__123Graph_DCHART_2" localSheetId="7" hidden="1">#REF!</definedName>
    <definedName name="_511__123Graph_DCHART_2" hidden="1">#REF!</definedName>
    <definedName name="_512__123Graph_DCHART_66" localSheetId="7" hidden="1">#REF!</definedName>
    <definedName name="_512__123Graph_DCHART_66" hidden="1">#REF!</definedName>
    <definedName name="_513__123Graph_DCHART_68" localSheetId="7" hidden="1">#REF!</definedName>
    <definedName name="_513__123Graph_DCHART_68" hidden="1">#REF!</definedName>
    <definedName name="_514__123Graph_DCHART_70" localSheetId="7" hidden="1">#REF!</definedName>
    <definedName name="_514__123Graph_DCHART_70" hidden="1">#REF!</definedName>
    <definedName name="_516__123Graph_CCHART_8" localSheetId="7" hidden="1">#REF!</definedName>
    <definedName name="_516__123Graph_CCHART_8" hidden="1">#REF!</definedName>
    <definedName name="_522__123Graph_ECHART_10" localSheetId="7" hidden="1">#REF!</definedName>
    <definedName name="_522__123Graph_ECHART_10" hidden="1">#REF!</definedName>
    <definedName name="_523__123Graph_ECHART_11" localSheetId="7" hidden="1">#REF!</definedName>
    <definedName name="_523__123Graph_ECHART_11" hidden="1">#REF!</definedName>
    <definedName name="_524__123Graph_CCHART_9" localSheetId="7" hidden="1">#REF!</definedName>
    <definedName name="_524__123Graph_CCHART_9" hidden="1">#REF!</definedName>
    <definedName name="_524__123Graph_ECHART_2" localSheetId="7" hidden="1">#REF!</definedName>
    <definedName name="_524__123Graph_ECHART_2" hidden="1">#REF!</definedName>
    <definedName name="_525__123Graph_DCHART_1" localSheetId="7" hidden="1">#REF!</definedName>
    <definedName name="_525__123Graph_DCHART_1" hidden="1">#REF!</definedName>
    <definedName name="_525__123Graph_ECHART_66" localSheetId="7" hidden="1">#REF!</definedName>
    <definedName name="_525__123Graph_ECHART_66" hidden="1">#REF!</definedName>
    <definedName name="_526__123Graph_ECHART_68" localSheetId="7" hidden="1">#REF!</definedName>
    <definedName name="_526__123Graph_ECHART_68" hidden="1">#REF!</definedName>
    <definedName name="_533__123Graph_DCHART_10" localSheetId="7" hidden="1">#REF!</definedName>
    <definedName name="_533__123Graph_DCHART_10" hidden="1">#REF!</definedName>
    <definedName name="_534__123Graph_DCHART_11" localSheetId="7" hidden="1">#REF!</definedName>
    <definedName name="_534__123Graph_DCHART_11" hidden="1">#REF!</definedName>
    <definedName name="_534__123Graph_FCHART_10" localSheetId="7" hidden="1">#REF!</definedName>
    <definedName name="_534__123Graph_FCHART_10" hidden="1">#REF!</definedName>
    <definedName name="_535__123Graph_DCHART_13" localSheetId="7" hidden="1">#REF!</definedName>
    <definedName name="_535__123Graph_DCHART_13" hidden="1">#REF!</definedName>
    <definedName name="_536__123Graph_DCHART_16" localSheetId="7" hidden="1">#REF!</definedName>
    <definedName name="_536__123Graph_DCHART_16" hidden="1">#REF!</definedName>
    <definedName name="_537__123Graph_DCHART_2" localSheetId="7" hidden="1">#REF!</definedName>
    <definedName name="_537__123Graph_DCHART_2" hidden="1">#REF!</definedName>
    <definedName name="_538__123Graph_DCHART_66" localSheetId="7" hidden="1">#REF!</definedName>
    <definedName name="_538__123Graph_DCHART_66" hidden="1">#REF!</definedName>
    <definedName name="_539__123Graph_DCHART_68" localSheetId="7" hidden="1">#REF!</definedName>
    <definedName name="_539__123Graph_DCHART_68" hidden="1">#REF!</definedName>
    <definedName name="_540__123Graph_DCHART_70" localSheetId="7" hidden="1">#REF!</definedName>
    <definedName name="_540__123Graph_DCHART_70" hidden="1">#REF!</definedName>
    <definedName name="_548__123Graph_ECHART_10" localSheetId="7" hidden="1">#REF!</definedName>
    <definedName name="_548__123Graph_ECHART_10" hidden="1">#REF!</definedName>
    <definedName name="_548__123Graph_XCHART_10" localSheetId="7" hidden="1">#REF!</definedName>
    <definedName name="_548__123Graph_XCHART_10" hidden="1">#REF!</definedName>
    <definedName name="_549__123Graph_ECHART_11" localSheetId="7" hidden="1">#REF!</definedName>
    <definedName name="_549__123Graph_ECHART_11" hidden="1">#REF!</definedName>
    <definedName name="_550__123Graph_ECHART_2" localSheetId="7" hidden="1">#REF!</definedName>
    <definedName name="_550__123Graph_ECHART_2" hidden="1">#REF!</definedName>
    <definedName name="_551__123Graph_ECHART_66" localSheetId="7" hidden="1">#REF!</definedName>
    <definedName name="_551__123Graph_ECHART_66" hidden="1">#REF!</definedName>
    <definedName name="_552__123Graph_ECHART_68" localSheetId="7" hidden="1">#REF!</definedName>
    <definedName name="_552__123Graph_ECHART_68" hidden="1">#REF!</definedName>
    <definedName name="_560__123Graph_FCHART_10" localSheetId="7" hidden="1">#REF!</definedName>
    <definedName name="_560__123Graph_FCHART_10" hidden="1">#REF!</definedName>
    <definedName name="_562__123Graph_XCHART_11" localSheetId="7" hidden="1">#REF!</definedName>
    <definedName name="_562__123Graph_XCHART_11" hidden="1">#REF!</definedName>
    <definedName name="_563__123Graph_XCHART_12" localSheetId="7" hidden="1">#REF!</definedName>
    <definedName name="_563__123Graph_XCHART_12" hidden="1">#REF!</definedName>
    <definedName name="_564__123Graph_XCHART_13" localSheetId="7" hidden="1">#REF!</definedName>
    <definedName name="_564__123Graph_XCHART_13" hidden="1">#REF!</definedName>
    <definedName name="_565__123Graph_XCHART_14" localSheetId="7" hidden="1">#REF!</definedName>
    <definedName name="_565__123Graph_XCHART_14" hidden="1">#REF!</definedName>
    <definedName name="_566__123Graph_XCHART_15" localSheetId="7" hidden="1">#REF!</definedName>
    <definedName name="_566__123Graph_XCHART_15" hidden="1">#REF!</definedName>
    <definedName name="_567__123Graph_XCHART_16" localSheetId="7" hidden="1">#REF!</definedName>
    <definedName name="_567__123Graph_XCHART_16" hidden="1">#REF!</definedName>
    <definedName name="_575__123Graph_XCHART_10" localSheetId="7" hidden="1">#REF!</definedName>
    <definedName name="_575__123Graph_XCHART_10" hidden="1">#REF!</definedName>
    <definedName name="_581__123Graph_XCHART_2" localSheetId="7" hidden="1">#REF!</definedName>
    <definedName name="_581__123Graph_XCHART_2" hidden="1">#REF!</definedName>
    <definedName name="_590__123Graph_XCHART_11" localSheetId="7" hidden="1">#REF!</definedName>
    <definedName name="_590__123Graph_XCHART_11" hidden="1">#REF!</definedName>
    <definedName name="_591__123Graph_XCHART_12" localSheetId="7" hidden="1">#REF!</definedName>
    <definedName name="_591__123Graph_XCHART_12" hidden="1">#REF!</definedName>
    <definedName name="_592__123Graph_XCHART_13" localSheetId="7" hidden="1">#REF!</definedName>
    <definedName name="_592__123Graph_XCHART_13" hidden="1">#REF!</definedName>
    <definedName name="_593__123Graph_XCHART_14" localSheetId="7" hidden="1">#REF!</definedName>
    <definedName name="_593__123Graph_XCHART_14" hidden="1">#REF!</definedName>
    <definedName name="_594__123Graph_XCHART_15" localSheetId="7" hidden="1">#REF!</definedName>
    <definedName name="_594__123Graph_XCHART_15" hidden="1">#REF!</definedName>
    <definedName name="_595__123Graph_XCHART_16" localSheetId="7" hidden="1">#REF!</definedName>
    <definedName name="_595__123Graph_XCHART_16" hidden="1">#REF!</definedName>
    <definedName name="_595__123Graph_XCHART_3" localSheetId="7" hidden="1">#REF!</definedName>
    <definedName name="_595__123Graph_XCHART_3" hidden="1">#REF!</definedName>
    <definedName name="_596__123Graph_XCHART_35" localSheetId="7" hidden="1">#REF!</definedName>
    <definedName name="_596__123Graph_XCHART_35" hidden="1">#REF!</definedName>
    <definedName name="_6__123Graph_BT_OVER" hidden="1">#REF!</definedName>
    <definedName name="_60__123Graph_ACHART_12" localSheetId="7" hidden="1">#REF!</definedName>
    <definedName name="_60__123Graph_ACHART_12" hidden="1">#REF!</definedName>
    <definedName name="_610__123Graph_XCHART_2" localSheetId="7" hidden="1">#REF!</definedName>
    <definedName name="_610__123Graph_XCHART_2" hidden="1">#REF!</definedName>
    <definedName name="_610__123Graph_XCHART_4" localSheetId="7" hidden="1">#REF!</definedName>
    <definedName name="_610__123Graph_XCHART_4" hidden="1">#REF!</definedName>
    <definedName name="_624__123Graph_XCHART_5" localSheetId="7" hidden="1">#REF!</definedName>
    <definedName name="_624__123Graph_XCHART_5" hidden="1">#REF!</definedName>
    <definedName name="_625__123Graph_XCHART_3" localSheetId="7" hidden="1">#REF!</definedName>
    <definedName name="_625__123Graph_XCHART_3" hidden="1">#REF!</definedName>
    <definedName name="_626__123Graph_XCHART_35" localSheetId="7" hidden="1">#REF!</definedName>
    <definedName name="_626__123Graph_XCHART_35" hidden="1">#REF!</definedName>
    <definedName name="_638__123Graph_XCHART_6" localSheetId="7" hidden="1">#REF!</definedName>
    <definedName name="_638__123Graph_XCHART_6" hidden="1">#REF!</definedName>
    <definedName name="_64__123Graph_ACHART_12" localSheetId="7" hidden="1">#REF!</definedName>
    <definedName name="_64__123Graph_ACHART_12" hidden="1">#REF!</definedName>
    <definedName name="_641__123Graph_XCHART_4" localSheetId="7" hidden="1">#REF!</definedName>
    <definedName name="_641__123Graph_XCHART_4" hidden="1">#REF!</definedName>
    <definedName name="_652__123Graph_XCHART_7" localSheetId="7" hidden="1">#REF!</definedName>
    <definedName name="_652__123Graph_XCHART_7" hidden="1">#REF!</definedName>
    <definedName name="_653__123Graph_XCHART_71" localSheetId="7" hidden="1">#REF!</definedName>
    <definedName name="_653__123Graph_XCHART_71" hidden="1">#REF!</definedName>
    <definedName name="_656__123Graph_XCHART_5" localSheetId="7" hidden="1">#REF!</definedName>
    <definedName name="_656__123Graph_XCHART_5" hidden="1">#REF!</definedName>
    <definedName name="_667__123Graph_XCHART_8" localSheetId="7" hidden="1">#REF!</definedName>
    <definedName name="_667__123Graph_XCHART_8" hidden="1">#REF!</definedName>
    <definedName name="_671__123Graph_XCHART_6" localSheetId="7" hidden="1">#REF!</definedName>
    <definedName name="_671__123Graph_XCHART_6" hidden="1">#REF!</definedName>
    <definedName name="_681__123Graph_XCHART_9" localSheetId="7" hidden="1">#REF!</definedName>
    <definedName name="_681__123Graph_XCHART_9" hidden="1">#REF!</definedName>
    <definedName name="_686__123Graph_XCHART_7" localSheetId="7" hidden="1">#REF!</definedName>
    <definedName name="_686__123Graph_XCHART_7" hidden="1">#REF!</definedName>
    <definedName name="_687__123Graph_XCHART_71" localSheetId="7" hidden="1">#REF!</definedName>
    <definedName name="_687__123Graph_XCHART_71" hidden="1">#REF!</definedName>
    <definedName name="_7__123Graph_C__LTR" hidden="1">#REF!</definedName>
    <definedName name="_702__123Graph_XCHART_8" localSheetId="7" hidden="1">#REF!</definedName>
    <definedName name="_702__123Graph_XCHART_8" hidden="1">#REF!</definedName>
    <definedName name="_717__123Graph_XCHART_9" localSheetId="7" hidden="1">#REF!</definedName>
    <definedName name="_717__123Graph_XCHART_9" hidden="1">#REF!</definedName>
    <definedName name="_78__123Graph_ACHART_13" localSheetId="7" hidden="1">#REF!</definedName>
    <definedName name="_78__123Graph_ACHART_13" hidden="1">#REF!</definedName>
    <definedName name="_79__123Graph_ACHART_14" localSheetId="7" hidden="1">#REF!</definedName>
    <definedName name="_79__123Graph_ACHART_14" hidden="1">#REF!</definedName>
    <definedName name="_8__123Graph_CO_S_GAS" hidden="1">#REF!</definedName>
    <definedName name="_80__123Graph_ACHART_15" localSheetId="7" hidden="1">#REF!</definedName>
    <definedName name="_80__123Graph_ACHART_15" hidden="1">#REF!</definedName>
    <definedName name="_81__123Graph_ACHART_16" localSheetId="7" hidden="1">#REF!</definedName>
    <definedName name="_81__123Graph_ACHART_16" hidden="1">#REF!</definedName>
    <definedName name="_83__123Graph_ACHART_13" localSheetId="7" hidden="1">#REF!</definedName>
    <definedName name="_83__123Graph_ACHART_13" hidden="1">#REF!</definedName>
    <definedName name="_84__123Graph_ACHART_14" localSheetId="7" hidden="1">#REF!</definedName>
    <definedName name="_84__123Graph_ACHART_14" hidden="1">#REF!</definedName>
    <definedName name="_85__123Graph_ACHART_15" localSheetId="7" hidden="1">#REF!</definedName>
    <definedName name="_85__123Graph_ACHART_15" hidden="1">#REF!</definedName>
    <definedName name="_86__123Graph_ACHART_16" localSheetId="7" hidden="1">#REF!</definedName>
    <definedName name="_86__123Graph_ACHART_16" hidden="1">#REF!</definedName>
    <definedName name="_9__123Graph_CT_OVER" hidden="1">#REF!</definedName>
    <definedName name="_95__123Graph_ACHART_2" localSheetId="7" hidden="1">#REF!</definedName>
    <definedName name="_95__123Graph_ACHART_2" hidden="1">#REF!</definedName>
    <definedName name="_AMO_UniqueIdentifier" hidden="1">"'d457377d-2512-4ec2-aad7-e32a42d66b30'"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#REF!</definedName>
    <definedName name="_BQ4.19" hidden="1">#REF!</definedName>
    <definedName name="_BQ4.5" hidden="1">#REF!</definedName>
    <definedName name="_BQ4.6" hidden="1">#REF!</definedName>
    <definedName name="_Fill" localSheetId="7" hidden="1">#REF!</definedName>
    <definedName name="_Fill" hidden="1">#REF!</definedName>
    <definedName name="_xlnm._FilterDatabase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Key2" hidden="1">#REF!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{#N/A,#N/A,FALSE,"SUM QTR 3";#N/A,#N/A,FALSE,"Detail QTR 3 (w_o ly)"}</definedName>
    <definedName name="AS2DocOpenMode" hidden="1">"AS2DocumentBrowse"</definedName>
    <definedName name="AS2NamedRange" hidden="1">2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seYear">'Input|General'!$G$11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GMYF28R2S8B9QVCX2Q0MFKY" hidden="1">#REF!</definedName>
    <definedName name="BEx00JC31DY11L45SEU4B10BIN6W" hidden="1">#REF!</definedName>
    <definedName name="BEx00KZHZBHP3TDV1YMX4B19B95O" hidden="1">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PDFJKQW2OHQI7W7CW4LSF2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GZC85YXCQD4K2C3BXTAVCSE" hidden="1">#REF!</definedName>
    <definedName name="BEx1FJZ7GKO99IYTP6GGGF7EUL3Z" hidden="1">#REF!</definedName>
    <definedName name="BEx1FSDBU7WQN41S8RKJEK69AVRU" hidden="1">#REF!</definedName>
    <definedName name="BEx1FZV2CM77TBH1R6YYV9P06KA2" hidden="1">#REF!</definedName>
    <definedName name="BEx1G59AY8195JTUM6P18VXUFJ3E" hidden="1">#REF!</definedName>
    <definedName name="BEx1GDCLOR3BD5H46U1PH5ECMD66" hidden="1">#REF!</definedName>
    <definedName name="BEx1GVBYVO13O10BPURJQKD3L4DD" hidden="1">#REF!</definedName>
    <definedName name="BEx1GVMRHFXUP6XYYY9NR12PV5TF" hidden="1">#REF!</definedName>
    <definedName name="BEx1H6KIT7BHUH6MDDWC935V9N47" hidden="1">#REF!</definedName>
    <definedName name="BEx1H8YTIDTTO90YLC2ZSSNJ7TNN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ZZC3KMOCVC65KUPQLQG4VI6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#REF!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2YMOKTWZPWUQYQFKT95AR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34WRUTVZPX177UUQ9BT3Q9X" hidden="1">#REF!</definedName>
    <definedName name="BEx1P7S1J4TKGVJ43C2Q2R3M9WRB" hidden="1">#REF!</definedName>
    <definedName name="BEx1PA11BLPVZM8RC5BL46WX8YB5" hidden="1">#REF!</definedName>
    <definedName name="BEx1PARXRTD8C90CTHDGZ2MZ48RR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L2UM89QA546C0N5UAES7FWW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HLLW599ZLQG0S5YT7QI63BA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3BSDAKCI9LVFYLTM3MJY3BE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L0D3RL9MNMJMKKSCKHRMB2U" hidden="1">#REF!</definedName>
    <definedName name="BEx1SSNEZINBJT29QVS62VS1THT4" hidden="1">#REF!</definedName>
    <definedName name="BEx1STULPAG4G6PQYHP3DRYTPCHJ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AVJITLJSXQVVFD7SW3PG16" hidden="1">#REF!</definedName>
    <definedName name="BEx1U7WFO8OZKB1EBF4H386JW91L" hidden="1">#REF!</definedName>
    <definedName name="BEx1U87938YR9N6HYI24KVBKLOS3" hidden="1">#REF!</definedName>
    <definedName name="BEx1UA5BKWQW06WM6TB4PO39DL1F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OOMCXM376QJ65W95MJ4RT3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VUCAPY3N4FHIWFAG0EY2IDQU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WINNG82OQQSSVCENCJM7PWF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#REF!</definedName>
    <definedName name="BEx3H5UX2GZFZZT657YR76RHW5I6" hidden="1">#REF!</definedName>
    <definedName name="BEx3HA1YAMCT0GK89031ZWXQ3VK3" hidden="1">#REF!</definedName>
    <definedName name="BEx3HJ1MIYFNI7Y25LLE6AGZ52U2" hidden="1">#REF!</definedName>
    <definedName name="BEx3HMN4HBR0MZ546XIBTOE5PHAT" hidden="1">#REF!</definedName>
    <definedName name="BEx3HMSEFOP6DBM4R97XA6B7NFG6" hidden="1">#REF!</definedName>
    <definedName name="BEx3HOQN57QKFWCTSFFBV19FE17U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MR61GX9W41FLO58UWSRANKO" hidden="1">#REF!</definedName>
    <definedName name="BEx3IQCO1C0W3USXAADRS1Q10X5F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TEN6GRE0LY9ZXOGB3AS8J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6VO0UGM4OO58SB94R6U0UKE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BS83TP04EO9LQWM9XWO1JEV" hidden="1">#REF!</definedName>
    <definedName name="BEx3NDL42HVLOSCW6X9BEOB0XN9F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5U1E8DSCYITLNZG4FG813OR" hidden="1">#REF!</definedName>
    <definedName name="BEx3Q7BZ9PUXK2RLIOFSIS9AHU1B" hidden="1">#REF!</definedName>
    <definedName name="BEx3Q8J42S9VU6EAN2Y28MR6DF88" hidden="1">#REF!</definedName>
    <definedName name="BEx3Q8TWT96JPOACM5LZ9LDNHRK2" hidden="1">#REF!</definedName>
    <definedName name="BEx3QEDFOYFY5NBTININ5W4RLD4Q" hidden="1">#REF!</definedName>
    <definedName name="BEx3QIKJ3U962US1Q564NZDLU8LD" hidden="1">#REF!</definedName>
    <definedName name="BEx3QOEY7IL4PZNO1XW0Q5KZ3BPA" hidden="1">#REF!</definedName>
    <definedName name="BEx3QPGNBFAPHNWN14HP5HGBZUHY" hidden="1">#REF!</definedName>
    <definedName name="BEx3QR9D45DHW50VQ7Y3Q1AXPOB9" hidden="1">#REF!</definedName>
    <definedName name="BEx3QS5SHLD7I8Y6BUT2B3IFFLDR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6YJ4FSE6L232EC7JMBHL9LG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4IZGK43ZE6V9H3KCE7P9PTV" hidden="1">#REF!</definedName>
    <definedName name="BEx3T6H1GANMM2I05ZEVPCP6MRU2" hidden="1">#REF!</definedName>
    <definedName name="BEx3T6MJ1QDJ929WMUDVZ0O3UW0Y" hidden="1">#REF!</definedName>
    <definedName name="BEx3TL0EBCEEUJ1A7EWNJRIN2795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WG5S3MUHEHHUE1B2LKH0R" hidden="1">#REF!</definedName>
    <definedName name="BEx3UKOCOQG7S1YQ436S997K1KWV" hidden="1">#REF!</definedName>
    <definedName name="BEx3UM0THK7XHBY53ADQX650TQR3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VA3047K0O5EFD2ACSAEWD6C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K9PRQRQS5W70KVXXEIH3Q9E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RE14A35NO42BCK912IP8Y6G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KWQHHP966IXELUOVK2L3J48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#REF!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#REF!</definedName>
    <definedName name="BEx5ER4TJTFPN7IB1MNEB1ZFR5M6" hidden="1">#REF!</definedName>
    <definedName name="BEx5ERQE4JE8890QDCQFB0IMTC4I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AVIL220VIPAKH02UYIUB7EU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HZV4KY20K2E2E581QT80KGF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LNF3FADLCRC1334L3LVOSY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PPUWH07Z2O11MRLNQCDXDNV" hidden="1">#REF!</definedName>
    <definedName name="BEx5KYER580I4T7WTLMUN7NLNP5K" hidden="1">#REF!</definedName>
    <definedName name="BEx5L4UOHIBIXCOOD5809ABRZ9A8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46YZ7NO71MCE85UEOMLNNA" hidden="1">#REF!</definedName>
    <definedName name="BEx5M8K77051VPFG26GB653QP5Z8" hidden="1">#REF!</definedName>
    <definedName name="BEx5MB9BR71LZDG7XXQ2EO58JC5F" hidden="1">#REF!</definedName>
    <definedName name="BEx5MLQZM68YQSKARVWTTPINFQ2C" hidden="1">#REF!</definedName>
    <definedName name="BEx5MRL96B0L82YH61D134C2XSGQ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7XD7KVST36P3QB9SQKKS2L8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I8A918ASPES3DKIOFPMA4SS" hidden="1">#REF!</definedName>
    <definedName name="BEx5OP9Y43F99O2IT69MKCCXGL61" hidden="1">#REF!</definedName>
    <definedName name="BEx5P9Y9RDXNUAJ6CZ2LHMM8IM7T" hidden="1">#REF!</definedName>
    <definedName name="BEx5PFHZ2UN3YUFWK441BHJLXFZ5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#REF!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1SMWJDAFC6Y4FKDDGEFBQ4W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T2IH1H0FZ9UCV02Y6BAW0KF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2RUJ1UJ4CWX66KHKUW2D5UU" hidden="1">#REF!</definedName>
    <definedName name="BEx7979PNPDS84LLOBF4WFUS8RGC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DUUH15ZB41VSQLFT4KSIE3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#REF!</definedName>
    <definedName name="BEx7AE4LPLX8N85BYB0WCO5S7ZPV" hidden="1">#REF!</definedName>
    <definedName name="BEx7AL0QU1VVBK7KIHAY41UTU69C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BQZ583WKIR8TU4KIQ96W6Z9J" hidden="1">#REF!</definedName>
    <definedName name="BEx7C04AM39DQMC1TIX7CFZ2ADHX" hidden="1">#REF!</definedName>
    <definedName name="BEx7C40F0PQURHPI6YQ39NFIR86Z" hidden="1">#REF!</definedName>
    <definedName name="BEx7C6V0SH1FMSURKPYJFMHOJIKF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1VNJ8XHVTKH78XARJASWDJQ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JZ3R80ES0ROU6ECA8B9SIBT" hidden="1">#REF!</definedName>
    <definedName name="BEx7EQKHX7GZYOLXRDU534TT4H64" hidden="1">#REF!</definedName>
    <definedName name="BEx7ERM6499BJKCAJ9DPN8MU140B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#REF!</definedName>
    <definedName name="BEx7FN32ZGWOAA4TTH79KINTDWR9" hidden="1">#REF!</definedName>
    <definedName name="BEx7FNZGQ0VCWWF19YFCJLIX3Q9Z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#REF!</definedName>
    <definedName name="BEx7GVL9Q9Y42HM9J5HS29C2THLZ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6CGOHKENN6FQSZ71W7YMB9C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31Y2N8JAG2EB1IU8NFLF3KM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#REF!</definedName>
    <definedName name="BEx7NI062THZAM6I8AJWTFJL91CS" hidden="1">#REF!</definedName>
    <definedName name="BEx8ZRLGUR6D7DSDJNOT3MGNPIHT" hidden="1">#REF!</definedName>
    <definedName name="BEx900ACZ0V1VYSC0W43QEUHOVZS" hidden="1">#REF!</definedName>
    <definedName name="BEx904S75BPRYMHF0083JF7ES4NG" hidden="1">#REF!</definedName>
    <definedName name="BEx90HDD4RWF7JZGA8GCGG7D63MG" hidden="1">#REF!</definedName>
    <definedName name="BEx90LPR7EPY9B2HQPUT8UY7S0EO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#REF!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2YOIWN6IEUE1U85XCO40QLR1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DPEANYPFX7M8LZ2UWJN17P5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NV2BWEB1AAJA10SQNXGI2BM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#REF!</definedName>
    <definedName name="BEx981HW73BUZWT14TBTZHC0ZTJ4" hidden="1">#REF!</definedName>
    <definedName name="BEx9871KU0N99P0900EAK69VFYT2" hidden="1">#REF!</definedName>
    <definedName name="BEx98D1CLKBMYLWXX1CRLTPMZ8KS" hidden="1">#REF!</definedName>
    <definedName name="BEx98IFKNJFGZFLID1YTRFEG1SXY" hidden="1">#REF!</definedName>
    <definedName name="BEx98KZ7LNKCVOT9D2LOYY4QBVY3" hidden="1">#REF!</definedName>
    <definedName name="BEx98VGU9QUYP1365CXZRT20O3L4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CP6QCOAW061B6UVCKU0G78O" hidden="1">#REF!</definedName>
    <definedName name="BEx99Q6PH5F3OQKCCAAO75PYDEFN" hidden="1">#REF!</definedName>
    <definedName name="BEx99UDROAK28GWTG7FXE0N78XY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HDIFZFPSM1WYA3RHQ0G9I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8IBATAXNHS7EHMS4TLO3PO0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#REF!</definedName>
    <definedName name="BEx9GTJ6YTNR09A1J3DJOTVV6SGI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LP8FC22WFQ6C2PNR5A9187F" hidden="1">#REF!</definedName>
    <definedName name="BEx9HV57CT0XR7KTSE1SJU1W7VRS" hidden="1">#REF!</definedName>
    <definedName name="BEx9HZ1G1J0CB5PC45ZW4S9Q4EFY" hidden="1">#REF!</definedName>
    <definedName name="BEx9I8XIG7E5NB48QQHXP23FIN60" hidden="1">#REF!</definedName>
    <definedName name="BEx9IMKCBEBXIA88V7M64JLL4FI4" hidden="1">#REF!</definedName>
    <definedName name="BEx9IQRF01ATLVK0YE60ARKQJ68L" hidden="1">#REF!</definedName>
    <definedName name="BEx9IT5QNZWKM6YQ5WER0DC2PMMU" hidden="1">#REF!</definedName>
    <definedName name="BEx9IUNP46GLAWX4BYA9AY38PVL0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7JMQEVLC9IQ0C5BDMVJ0SNE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#REF!</definedName>
    <definedName name="BExAWMN8563X9T1UZOH7OWA0DH6W" hidden="1">#REF!</definedName>
    <definedName name="BExAX28937OH2SJJ980WOFXSWR07" hidden="1">#REF!</definedName>
    <definedName name="BExAX410NB4F2XOB84OR2197H8M5" hidden="1">#REF!</definedName>
    <definedName name="BExAX6FBAZV45KQY4H0U21PCNPDA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DA8H0HQ51AQDS0QEQS4IUSJ" hidden="1">#REF!</definedName>
    <definedName name="BExAYE6LNIEBR9DSNI5JGNITGKIT" hidden="1">#REF!</definedName>
    <definedName name="BExAYHMLXGGO25P8HYB2S75DEB4F" hidden="1">#REF!</definedName>
    <definedName name="BExAYHXJ3CVLPZX5R6UR0U1MNDXJ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5WJK9535H42VH6Y0VSS3JA9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ZQ0QV1ZYLCVLE578WEPBOBQ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#REF!</definedName>
    <definedName name="BExB2TRVKQUUYWEZA4GM0V7NE7IX" hidden="1">#REF!</definedName>
    <definedName name="BExB30IP1DNKNQ6PZ5ERUGR5MK4Z" hidden="1">#REF!</definedName>
    <definedName name="BExB3TL3FFDSU6ZSR25KZABHXJXM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#REF!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Q3CUIG99R26KF7ZDT7KB5Y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XXV45EK0IDHSBDE8V0UXZNU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#REF!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9R4HYJ83UNLFWKDKDJ31E2DS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4L7S4TYW0N2SXKVDCA3M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303042MO1GR0POO3IQ33MOB" hidden="1">#REF!</definedName>
    <definedName name="BExBD4I559NXSV6J07Q343TKYMVJ" hidden="1">#REF!</definedName>
    <definedName name="BExBD77362J9OENRUETJ6CVQYGZ1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5NWKF3JY3D79JVGRSGJR400" hidden="1">#REF!</definedName>
    <definedName name="BExBE5YOPZ8MJAYGZW8WZ85UDLJF" hidden="1">#REF!</definedName>
    <definedName name="BExBEC9ATLQZF86W1M3APSM4HEOH" hidden="1">#REF!</definedName>
    <definedName name="BExBEF3VXW3Y3SZ6RC9PX7QEB12Y" hidden="1">#REF!</definedName>
    <definedName name="BExBEJG7L9BDVH7L2B9YXRV84GFT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#REF!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UGZTH68S9G7WRZU0HVIGIKV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GRGLX1AYN8HK7GN3RQ6XWIM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#REF!</definedName>
    <definedName name="BExCWPDPESGZS07QGBLSBWDNVJLZ" hidden="1">#REF!</definedName>
    <definedName name="BExCWSDLJ7DJX3139FQJM3LND72J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#REF!</definedName>
    <definedName name="BExCYPRC5HJE6N2XQTHCT6NXGP8N" hidden="1">#REF!</definedName>
    <definedName name="BExCYUK0I3UEXZNFDW71G6Z6D8XR" hidden="1">#REF!</definedName>
    <definedName name="BExCZ4QTDJA3L8AGID0HLSLRVP6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5PVEDBQYR2EAO7B3FB96GXL" hidden="1">#REF!</definedName>
    <definedName name="BExD1OAU9OXQAZA4D70HP72CU6GB" hidden="1">#REF!</definedName>
    <definedName name="BExD1Y1JV61416YA1XRQHKWPZIE7" hidden="1">#REF!</definedName>
    <definedName name="BExD21HKYZH6AN0830NG17ZRUS1T" hidden="1">#REF!</definedName>
    <definedName name="BExD2AHAKLXLHE5UREIETBE22KWM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C4VDV2QBVC73C49W2OU12I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2K962VNWXDAYQ4EXMJHEX1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W3W06TDDVRN5CJ260FOF5ZL" hidden="1">#REF!</definedName>
    <definedName name="BExDA6LD9061UULVKUUI4QP8SK13" hidden="1">#REF!</definedName>
    <definedName name="BExDAGMVMNLQ6QXASB9R6D8DIT12" hidden="1">#REF!</definedName>
    <definedName name="BExDAL4R440JG0CQM6QZM9CCATO7" hidden="1">#REF!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R8MCJOVBYLHQOJ4XC4TSDLT" hidden="1">#REF!</definedName>
    <definedName name="BExEO387TMFDZIZYFA14K98OH5YE" hidden="1">#REF!</definedName>
    <definedName name="BExEOBX3WECDMYCV9RLN49APTXMM" hidden="1">#REF!</definedName>
    <definedName name="BExEPN9VIYI0FVL0HLZQXJFO6TT0" hidden="1">#REF!</definedName>
    <definedName name="BExEPORSQ4BZ1T2NCGKIGLY1D19M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FTE4JRQ7F1T7L9IE3W0T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#REF!</definedName>
    <definedName name="BExES44RHHDL3V7FLV6M20834WF1" hidden="1">#REF!</definedName>
    <definedName name="BExES4A7VE2X3RYYTVRLKZD4I7WU" hidden="1">#REF!</definedName>
    <definedName name="BExES6TU0P9MT54G7H03VE8ZTU0I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CDQPJ7PZH6IIJ26ODKAMLH0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1S7T9NR9JGWF19512ER0YC0" hidden="1">#REF!</definedName>
    <definedName name="BExEZGBFNJR8DLPN0V11AU22L6WY" hidden="1">#REF!</definedName>
    <definedName name="BExEZM0KKJJF7WB3ZTYQ6Y00HDUP" hidden="1">#REF!</definedName>
    <definedName name="BExEZWNIZ06IIMDYQSV4BSTCR7UN" hidden="1">#REF!</definedName>
    <definedName name="BExEZXEG4TM0ZW3671Q0LLO7NEJS" hidden="1">#REF!</definedName>
    <definedName name="BExF02Y3V3QEPO2XLDSK47APK9XJ" hidden="1">#REF!</definedName>
    <definedName name="BExF09OS91RT7N7IW8JLMZ121ZP3" hidden="1">#REF!</definedName>
    <definedName name="BExF0C8L8MPMMA1XQ6J8H8CEDPJ9" hidden="1">#REF!</definedName>
    <definedName name="BExF0LOEHV42P2DV7QL8O7HOQ3N9" hidden="1">#REF!</definedName>
    <definedName name="BExF0WRM9VO25RLSO03ZOCE8H7K5" hidden="1">#REF!</definedName>
    <definedName name="BExF0YEVOP1GW6ETJGOVIA7BKBX3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82XL4A8VTMCPJY3C5IWNXCC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KXIG1XOE6UY0ICYSY5JDNTS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B5Q7SUPDSPIJOA1GNG17ZFD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3W2L5MS2FLCNPQGFZ2DUCP6" hidden="1">FC Corp CAPEX 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F86UR62V3WXM59JUA7U4NEJAT" hidden="1">#REF!</definedName>
    <definedName name="BExF94F5ZD2KMXCLSB4BN3BPWPZ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7DV048A50I5ERW750F4VS9C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MZK2RWS3LUIF04PFESJU6MDU" hidden="1">#REF!</definedName>
    <definedName name="BExGN4I0QATXNZCLZJM1KH1OIJQH" hidden="1">#REF!</definedName>
    <definedName name="BExGN9FZ2RWCMSY1YOBJKZMNIM9R" hidden="1">#REF!</definedName>
    <definedName name="BExGNDN1INYA9ECZDFUDM9J0UKQR" hidden="1">#REF!</definedName>
    <definedName name="BExGNDSIMTHOCXXG6QOGR6DA8SGG" hidden="1">#REF!</definedName>
    <definedName name="BExGNGXPVU95K83SHZNAOX17P52R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#REF!</definedName>
    <definedName name="BExGTGVFIF8HOQXR54SK065A8M4K" hidden="1">#REF!</definedName>
    <definedName name="BExGTI2KYBJUSGL2YDFTU3H46W8K" hidden="1">#REF!</definedName>
    <definedName name="BExGTIYX3OWPIINOGY1E4QQYSKHP" hidden="1">#REF!</definedName>
    <definedName name="BExGTKGUN0KUU3C0RL2LK98D8MEK" hidden="1">#REF!</definedName>
    <definedName name="BExGTL2GNL3OOQJZFJUSE2HL0E73" hidden="1">#REF!</definedName>
    <definedName name="BExGTQB6STG5OP8F4WFG4MJ1QG32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DE0K966CA20KN65F326IBA" hidden="1">#REF!</definedName>
    <definedName name="BExGUVIP60TA4B7X2PFGMBFUSKGX" hidden="1">#REF!</definedName>
    <definedName name="BExGUVYZ49VJJQ6ZGHDI0J4Q6VUK" hidden="1">#REF!</definedName>
    <definedName name="BExGUZKF06F209XL1IZWVJEQ82EE" hidden="1">#REF!</definedName>
    <definedName name="BExGV2EVT380QHD4AP2RL9MR8L5L" hidden="1">#REF!</definedName>
    <definedName name="BExGV4NVN9KBLA14SOD5M7JEE632" hidden="1">#REF!</definedName>
    <definedName name="BExGVSCA3HCP1IVDZ0IAS8KEGOX0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QNKX6U55XS50K72Y3WLJ462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YZF6NJ8J8TCF9W5RBAABK369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YMVDK10COF1CY445MMWH2TK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EEO5YJEYEI3IYRHYF5MAPJ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RXZ4ILQ2WWPRUWCMMSL1DLM" hidden="1">#REF!</definedName>
    <definedName name="BExIIVZOOUUQ08Q7KUUUZD0JVL8M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M2EOJY1E8YQ1ZS3GHTIQQRM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U07KGZI9PHSNN9ODB8M4CUN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#REF!</definedName>
    <definedName name="BExIK9L9LK9TN82BD5N4561UUPT0" hidden="1">#REF!</definedName>
    <definedName name="BExIKHTXLQ3C6PPW2YPYVS2A6XD6" hidden="1">#REF!</definedName>
    <definedName name="BExIKHTXPZR5A8OHB6HDP6QWDHAD" hidden="1">#REF!</definedName>
    <definedName name="BExIKMMJOETSAXJYY1SIKM58LMA2" hidden="1">#REF!</definedName>
    <definedName name="BExIKN2SLYNFHS9SQHJSB0NE57OF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2D433Q6FO89722GTVJL3F8V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#REF!</definedName>
    <definedName name="BExIM9DBUB7ZGF4B20FVUO9QGOX2" hidden="1">#REF!</definedName>
    <definedName name="BExIMGK9Z94TFPWWZFMD10HV0IF6" hidden="1">#REF!</definedName>
    <definedName name="BExIMNR83ZD9BEO38CAKDHC70UDK" hidden="1">#REF!</definedName>
    <definedName name="BExIMPEGKG18TELVC33T4OQTNBWC" hidden="1">#REF!</definedName>
    <definedName name="BExIN255I6ZAKBLLKE6S7FM3IQAQ" hidden="1">#REF!</definedName>
    <definedName name="BExIN4OR435DL1US13JQPOQK8GD5" hidden="1">#REF!</definedName>
    <definedName name="BExIN5ACO87Q5P34GNK1QC1WWACK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4FK3GUVQXFWKAEBB6FMWW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#REF!</definedName>
    <definedName name="BExIRG2Y0ISN5DU9I7FP9VMNBLJI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OH8Z5N2NCDXBL9INQNLC76M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#REF!</definedName>
    <definedName name="BExIXGRJPVJMUDGSG7IHPXPNO69B" hidden="1">#REF!</definedName>
    <definedName name="BExIXKD0BLI75H7ME1HECIQSRJR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BHEX2F02B9VOX3UIRG0YI3B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IZYO9AIHMDU2DUFADE30D5TCY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SCG7GD0KHI9T46FKP68270U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1AVXRTWKFUNYIWQQPGA1YRV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4SII9MJNWAVYF9T4ZRU3Q1Q" hidden="1">#REF!</definedName>
    <definedName name="BExKH8JEZRE8MEZ9VRCNMJT15RST" hidden="1">#REF!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VBAHM5Y9XWLCVNMF388YZHG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#REF!</definedName>
    <definedName name="BExKIGQV6TXIZG039HBOJU62WP2U" hidden="1">#REF!</definedName>
    <definedName name="BExKILE008SF3KTAN8WML3XKI1NZ" hidden="1">#REF!</definedName>
    <definedName name="BExKILE0KASW8HUYMPSCDCLPF7G9" hidden="1">#REF!</definedName>
    <definedName name="BExKINSBB6RS7I489QHMCOMU4Z2X" hidden="1">#REF!</definedName>
    <definedName name="BExKIU87ZKSOC2DYZWFK6SAK9I8E" hidden="1">#REF!</definedName>
    <definedName name="BExKJ2BJ6QYNAH9EWOCXSIHVPYY5" hidden="1">#REF!</definedName>
    <definedName name="BExKJ449HLYX2DJ9UF0H9GTPSQ73" hidden="1">#REF!</definedName>
    <definedName name="BExKJ80JCKTCTLIXPIWZCK93PF9N" hidden="1">#REF!</definedName>
    <definedName name="BExKJC7MJKEAMFD3Y9Q6TXP4MP3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6136BZL98KXU16PG6QG8APU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XR1RTRRJJ3MJUR28N4J02PP" hidden="1">#REF!</definedName>
    <definedName name="BExKL3AQ1IV1NVX782PTFKU7U16A" hidden="1">#REF!</definedName>
    <definedName name="BExKL53HF7TQ4EB1YOQXSQEBG541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#REF!</definedName>
    <definedName name="BExKMWBX4EH3EYJ07UFEM08NB40Z" hidden="1">#REF!</definedName>
    <definedName name="BExKMX8A5ZOYAIX1JNJ198214P08" hidden="1">#REF!</definedName>
    <definedName name="BExKMYFLWBFTOJ5NQL4G11KXZAEN" hidden="1">#REF!</definedName>
    <definedName name="BExKMYVQK76DINJWDJX5EG3NBECG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65ITMV7ZKUYQ52F67Y4M5EJ" hidden="1">#REF!</definedName>
    <definedName name="BExKPBJJN98NVSALRMK9B8P0823D" hidden="1">#REF!</definedName>
    <definedName name="BExKPEZP0QTKOTLIMMIFSVTHQEEK" hidden="1">#REF!</definedName>
    <definedName name="BExKPIVZA7ZAIKDDY6ZGU9Z4MH4H" hidden="1">#REF!</definedName>
    <definedName name="BExKPLQJX0HJ8OTXBXH9IC9J2V0W" hidden="1">#REF!</definedName>
    <definedName name="BExKPN8C7GN36ZJZHLOB74LU6KT0" hidden="1">#REF!</definedName>
    <definedName name="BExKPOA7KQEO5H53FUG2NPXVNY9Z" hidden="1">#REF!</definedName>
    <definedName name="BExKPWZ3MV9AIHWS8PFU742XQN0T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ADYTB6EPXXFJGZAKEX6H5LW" hidden="1">#REF!</definedName>
    <definedName name="BExKSFMOMSZYDE0WNC94F40S6636" hidden="1">#REF!</definedName>
    <definedName name="BExKSHQ9K79S8KYUWIV5M5LAHHF1" hidden="1">#REF!</definedName>
    <definedName name="BExKSJIZIOQBVTEHBIN269MXJSLL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ANIAETULCMHDF2ZODPC0VO9" hidden="1">#REF!</definedName>
    <definedName name="BExKTQZGN8GI3XGSEXMPCCA3S19H" hidden="1">#REF!</definedName>
    <definedName name="BExKTUKYYU0F6TUW1RXV24LRAZFE" hidden="1">#REF!</definedName>
    <definedName name="BExKTZIWB189ZS2J613U4KZO1QG6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0FMBF362EUFCQISBRY7WZ0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#REF!</definedName>
    <definedName name="BExKVFZ3ZZGIC1QI8XN6BYFWN0ZY" hidden="1">#REF!</definedName>
    <definedName name="BExKVG4KGO28KPGTAFL1R8TTZ10N" hidden="1">#REF!</definedName>
    <definedName name="BExKVZR7CUPJCB2M8WO0J2ESDEUX" hidden="1">#REF!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PLZ9E24DON7Y8H2T6MQ1B5K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Q6BB79Y1S1EZ4BOZ527ZH47" hidden="1">#REF!</definedName>
    <definedName name="BExMBTBHSHFUHXZPKH8T1T26W5AQ" hidden="1">#REF!</definedName>
    <definedName name="BExMBYPQDG9AYDQ5E8IECVFREPO6" hidden="1">#REF!</definedName>
    <definedName name="BExMC7K41G5WMXC4OKZPL523IN5C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3GYN2LDARCNPWPZAMRBJJI7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#REF!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9QAM6E7F2BXLSCC53HEQI5S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#REF!</definedName>
    <definedName name="BExMH3H9TW5TJCNU5Z1EWXP3BAEP" hidden="1">#REF!</definedName>
    <definedName name="BExMH42VBWDOG4E4FIXWPDOBDJQ1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2FYPP1FNC8XXVV8XLZN532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F1HGC9W2MK37E42OJJP44E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CUSJIRTSFIE0XASGVYOMQNI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13C8RR9HAQSONMZ4KBHGVIP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#REF!</definedName>
    <definedName name="BExMRKSTP0XVW3NVUMLECR8PG3SF" hidden="1">#REF!</definedName>
    <definedName name="BExMRRJNUMGRSDD5GGKKGEIZ6FTS" hidden="1">#REF!</definedName>
    <definedName name="BExMRU3ACIU0RD2BNWO55LH5U2BR" hidden="1">#REF!</definedName>
    <definedName name="BExMRYVXZYRCNM005S74K8KVJXSW" hidden="1">#REF!</definedName>
    <definedName name="BExMSQRCC40AP8BDUPL2I2DNC210" hidden="1">#REF!</definedName>
    <definedName name="BExMTLXHZ9H4QYDQ0VMHUXWSVD3Q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TQ079AHR967WGJYSR4QAE4R" hidden="1">#REF!</definedName>
    <definedName name="BExO5XMAHL7CY3X0B1OPKZ28DCJ5" hidden="1">#REF!</definedName>
    <definedName name="BExO66LZJKY4PTQVREELI6POS4AY" hidden="1">#REF!</definedName>
    <definedName name="BExO6A7G3T6F15S63S1OQ24SFQJH" hidden="1">#REF!</definedName>
    <definedName name="BExO6LLHCYTF7CIVHKAO0NMET14Q" hidden="1">#REF!</definedName>
    <definedName name="BExO764GVLC6R6LREFVX7QYWT3RE" hidden="1">#REF!</definedName>
    <definedName name="BExO7L9A53V0L5FUS0PQUBG4XS0R" hidden="1">#REF!</definedName>
    <definedName name="BExO7OUQS3XTUQ2LDKGQ8AAQ3OJJ" hidden="1">#REF!</definedName>
    <definedName name="BExO7VQWA7I6SZNHMVM6QHEOPT7N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100URQWDC51QHO5CELT91P" hidden="1">#REF!</definedName>
    <definedName name="BExO9V2U2YXAY904GYYGU6TD8Y7M" hidden="1">#REF!</definedName>
    <definedName name="BExOA3M8QPKLDQSMPYFUCAQJNK70" hidden="1">#REF!</definedName>
    <definedName name="BExOAFR4YY8GPWAZ4GI5AYC2OHJ4" hidden="1">#REF!</definedName>
    <definedName name="BExOAQ3GKCT7YZW1EMVU3EILSZL2" hidden="1">#REF!</definedName>
    <definedName name="BExOAYHKZA3G2T1MI7GUW1LKI4SY" hidden="1">#REF!</definedName>
    <definedName name="BExOB94K8OJ8QZ4BXB2DJG5VONNA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V5NJ50QQ3ZUWOWUTGL34SIH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BSFINGJ4P4IGX8EZ2JAOTBJ" hidden="1">#REF!</definedName>
    <definedName name="BExOCKXFMOW6WPFEVX1I7R7FNDSS" hidden="1">#REF!</definedName>
    <definedName name="BExOCWWZTGTAKUL8MMNN9EOE2DVH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TUH0P9C7B0TJPBHO6O8LDPO" hidden="1">#REF!</definedName>
    <definedName name="BExOEV1S6JJVO5PP4BZ20SNGZR7D" hidden="1">#REF!</definedName>
    <definedName name="BExOF8J5ENHOI8E3NE2IDX8Q1PAA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Q6I69R7MDSMN5LOOKPGDL6E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KLJYVQSS6GVLW8T2GOARV4J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V8IXM34DQ1XLXTJDNWLOQF9" hidden="1">#REF!</definedName>
    <definedName name="BExOHX6Q6NJI793PGX59O5EKTP4G" hidden="1">#REF!</definedName>
    <definedName name="BExOHY8LCO3ZHOEH1ZTL0MQTYQOL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NTMI04AUDW5J41CESW52YMP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F3GH3XG3I708CZPZD86ZVL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8RN4G537EFMWEFGIWRPYDZ8" hidden="1">#REF!</definedName>
    <definedName name="BExOLE5P4BERQUOGV34XYTRQMJ67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ATSM3O2HLV7ZXYCJJANWKW1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5P2OD5NSKR8O5KK74ICUSO2" hidden="1">#REF!</definedName>
    <definedName name="BExONB3A7CO4YD8RB41PHC93BQ9M" hidden="1">#REF!</definedName>
    <definedName name="BExONFQH6UUXF8V0GI4BRIST9RFO" hidden="1">#REF!</definedName>
    <definedName name="BExONH34JHZ9VP2WPUBTIVZOCPM6" hidden="1">#REF!</definedName>
    <definedName name="BExONHU65LML12UB9EWV7FQBQBNE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#REF!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L26WA8DVFW4UQLIBW3HVSQL" hidden="1">#REF!</definedName>
    <definedName name="BExOQ1JN4SAC44RTMZIGHSW023WA" hidden="1">#REF!</definedName>
    <definedName name="BExOQ256YMF115DJL3KBPNKABJ90" hidden="1">#REF!</definedName>
    <definedName name="BExOQ31LFF5V955K4N7NSFG61GNX" hidden="1">#REF!</definedName>
    <definedName name="BExQ19DEUOLC11IW32E2AMVZLFF1" hidden="1">#REF!</definedName>
    <definedName name="BExQ1J9FM9APIRBV1P93CISOUOPN" hidden="1">#REF!</definedName>
    <definedName name="BExQ1SJXKHE45NHA4Y912ZWK0BVS" hidden="1">#REF!</definedName>
    <definedName name="BExQ1V922YTT0W39UMN4F4HNC5AS" hidden="1">#REF!</definedName>
    <definedName name="BExQ1WG83K960T15H8A2VLMPXVU0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1YI1MP6GUMQYF1OMB5P5GOE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BW4OE2LJPN7H8XKFK42SCJA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#REF!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9PYX7QKH887T258CNA7DPDG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OI3AFYS7CTELHWZ9F8PCOR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#REF!</definedName>
    <definedName name="BExQCRPJCDKQQIBYGE5391OQXNQ7" hidden="1">#REF!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32AI2WOKFCB98XJZ6D7SAOF" hidden="1">#REF!</definedName>
    <definedName name="BExQEG918FUBEWTF0HLT9G5I5XRJ" hidden="1">#REF!</definedName>
    <definedName name="BExQEK54SZATP11ZZ75GH6P9GFQ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K9CM9S7VEN838EI8DKI9WSL" hidden="1">#REF!</definedName>
    <definedName name="BExQFOGG5ULYNV6XAFVJ1T69RAUZ" hidden="1">#REF!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FBF3KAMSKYCE9AX0C3FDWJE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#REF!</definedName>
    <definedName name="BExS226HTWL5WVC76MP5A1IBI8WD" hidden="1">#REF!</definedName>
    <definedName name="BExS26OI2QNNAH2WMDD95Z400048" hidden="1">#REF!</definedName>
    <definedName name="BExS2BH5B8XAQLRCALR1KDKIS6AP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FMRX3LHIDMNRZT9X7Q9I9B2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DSSYMU66HS480YWZC1VZML6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#REF!</definedName>
    <definedName name="BExS7TKQYLRZGM93UY3ZJZJBQNFJ" hidden="1">#REF!</definedName>
    <definedName name="BExS7Y2LNGVHSIBKC7C3R6X4LDR6" hidden="1">#REF!</definedName>
    <definedName name="BExS7YDEJWVULTHX3SF8FS5KQAPB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6Q4LPS2XW49NMVPAVI6Y2PQ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1QQVF4PNV7K3S1BMNPN0TK8" hidden="1">#REF!</definedName>
    <definedName name="BExSA5HP306TN9XJS0TU619DLRR7" hidden="1">#REF!</definedName>
    <definedName name="BExSAAVWQOOIA6B3JHQVGP08HFEM" hidden="1">#REF!</definedName>
    <definedName name="BExSABS96AQZ56MKQWBDQWUWTPX5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85FV73BJGCHMB5WBRYZT69Z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RAPD4F1ENO6Q7M8FSCSMREW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EOM0DE6ENOXB9XUONYJI7X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#REF!</definedName>
    <definedName name="BExSGIB6UEU4H2UHIK30B61ELOCC" hidden="1">#REF!</definedName>
    <definedName name="BExSGLB2URTLBCKBB4Y885W925F2" hidden="1">#REF!</definedName>
    <definedName name="BExSGM25R69NWJV48BYBJO2J24VT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QO1L8X0LZLRFIGPEK60LN5P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XDIWLJS33T33GOZENENX702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8UBV7014XRKCDCLI03YH4R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CNYJOB7B7OI7V27ZVLV1X2D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HQ4TX5Q172958BE5EAUX5J9" hidden="1">#REF!</definedName>
    <definedName name="BExU0MO3IK2BK6Z03N91DRPAM4ZL" hidden="1">#REF!</definedName>
    <definedName name="BExU0MTJQPE041ZN7H8UKGV6MZT7" hidden="1">#REF!</definedName>
    <definedName name="BExU0V279SQQZ2OOHNLK0LYLXALV" hidden="1">#REF!</definedName>
    <definedName name="BExU0XWRUGFUSOVL9IX14W0517FO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#REF!</definedName>
    <definedName name="BExU3UNI9NR1RNZR07NSLSZMDOQQ" hidden="1">#REF!</definedName>
    <definedName name="BExU401R18N6XKZKL7CNFOZQCM14" hidden="1">#REF!</definedName>
    <definedName name="BExU41UI1HPSMTWQ49N53B0N2Y8P" hidden="1">#REF!</definedName>
    <definedName name="BExU42QVGY7TK39W1BIN6CDRG2OE" hidden="1">#REF!</definedName>
    <definedName name="BExU46CCJ3OAXXF669QU83U8505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#REF!</definedName>
    <definedName name="BExU5DSTBWXLN6E59B757KRWRI6E" hidden="1">#REF!</definedName>
    <definedName name="BExU5TDWM8NNDHYPQ7OQODTQ368A" hidden="1">#REF!</definedName>
    <definedName name="BExU5U4T9X5KDP3VK3NW53ZHZR0J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ECYWW93VXVS8TAIJBYECM1V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8ZKKDINBKQPVOBFCFBCNK8RG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WBAQDH3CAWZ4R4K50QVAO9Z" hidden="1">#REF!</definedName>
    <definedName name="BExUBWBBDMQYIMES51STJPTYF2KB" hidden="1">#REF!</definedName>
    <definedName name="BExUC623BDYEODBN0N4DO6PJQ7NU" hidden="1">#REF!</definedName>
    <definedName name="BExUC8G72O2YXWX0KZM5IEBC5NYF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20PCW4U8ETRBU8GKPJ09" hidden="1">#REF!</definedName>
    <definedName name="BExVSK5E1T5C3Z7L1TS7KHBIC1EB" hidden="1">#REF!</definedName>
    <definedName name="BExVSL787C8E4HFQZ2NVLT35I2XV" hidden="1">#REF!</definedName>
    <definedName name="BExVSTFTVV14SFGHQUOJL5SQ5TX9" hidden="1">#REF!</definedName>
    <definedName name="BExVT2QBVD5W0ZHB69JPOCXYAUR3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ULPY4GSSJVTEJZ6XZ3P43PV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AKR0OH8T15R52V6Z4K8OAI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#REF!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TYYVCWBF2IES4QCOV0426AZ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#REF!</definedName>
    <definedName name="BExW02MMAYD9RIPXIGRXIWU01SWU" hidden="1">#REF!</definedName>
    <definedName name="BExW0386REQRCQCVT9BCX80UPTRY" hidden="1">#REF!</definedName>
    <definedName name="BExW0CIOA9SK0V6OKKWTZOS8F5C5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D8ARQ40LJ1AAM6R5SHDDYEX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#REF!</definedName>
    <definedName name="BExW2SMO90FU9W8DVVES6Q4E6BZR" hidden="1">#REF!</definedName>
    <definedName name="BExW2X4IJSLQHE9FU2QSU9ICGNU1" hidden="1">#REF!</definedName>
    <definedName name="BExW2ZITSE40OUTU5LH01FV5JEA3" hidden="1">#REF!</definedName>
    <definedName name="BExW36V9N91OHCUMGWJQL3I5P4JK" hidden="1">#REF!</definedName>
    <definedName name="BExW3E7HW3NMLQEPIHSOP33UGJEC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4KVCR3RB81KUPAYDCBUJSBB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7U9T36MHXWXN8J2YD6F0KWK" hidden="1">#REF!</definedName>
    <definedName name="BExW5AZNT6IAZGNF2C879ODHY1B8" hidden="1">#REF!</definedName>
    <definedName name="BExW5FMU99PBR9I4QY9LWERMXPCD" hidden="1">#REF!</definedName>
    <definedName name="BExW5W49QO947ET3384SKBE3YCX3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#REF!</definedName>
    <definedName name="BExW787XKP4YCU38PAK9CUFFZ8FB" hidden="1">#REF!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#REF!</definedName>
    <definedName name="BExW886OBR91JIW5EKLII4CQO6E4" hidden="1">#REF!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#REF!</definedName>
    <definedName name="BExXMOLHIAHDLFSA31PUB36SC3I9" hidden="1">#REF!</definedName>
    <definedName name="BExXMT8T5Z3M2JBQN65X2LKH0YQI" hidden="1">#REF!</definedName>
    <definedName name="BExXMZU5QRXO4VTGHQGYZ1EEOGNS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HDA2WVQBP5BYLKJ40W658I3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8N5ROLIUVFKV9AVT4EASFRY" hidden="1">#REF!</definedName>
    <definedName name="BExXO9ZLKVJW7SXKGDCUBHF12QR7" hidden="1">#REF!</definedName>
    <definedName name="BExXOBHOP0WGFHI2Y9AO4L440UVQ" hidden="1">#REF!</definedName>
    <definedName name="BExXOHSAD2NSHOLLMZ2JWA4I3I1R" hidden="1">#REF!</definedName>
    <definedName name="BExXOKH8LRQ9BNMQSYR3RTWXFPLJ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M8PRBF112HYL41356RR1JK1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BTWU29UW9CQTYEG4QFPE3VY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1LUZIBBQ6X7INQ2042R3HZF" hidden="1">#REF!</definedName>
    <definedName name="BExXS63O4OMWMNXXAODZQFSDG33N" hidden="1">#REF!</definedName>
    <definedName name="BExXS702KUBW3EFNSAYMW64C95M3" hidden="1">#REF!</definedName>
    <definedName name="BExXS81QMRSIH9MRKHX3J2XO8A21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5RGFJHY3SWR2QZCX7GJQUOO" hidden="1">#REF!</definedName>
    <definedName name="BExXTA9CMTC19FSCX4UIQBV2C7R9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VVRJB3HO2VD2XCCRRUFKTRES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TG1GQYWM6PO30LVLHV2Q33X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#REF!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N1K6XFGR26YH5NSEE627RBN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#REF!</definedName>
    <definedName name="BExY1JKAZRX115882TBCLNSDWLAA" hidden="1">#REF!</definedName>
    <definedName name="BExY1NWOXXFV9GGZ3PX444LZ8TVX" hidden="1">#REF!</definedName>
    <definedName name="BExY1TQZQFWKT6O5QIU1TXC6JZG1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V3UFTA5NUDN1GI8BVHFL1ZK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#REF!</definedName>
    <definedName name="BExZJ7I9T8XU4MZRKJ1VVU76V2LZ" hidden="1">#REF!</definedName>
    <definedName name="BExZJL5B371SHX5YN9IQ2GF888EP" hidden="1">#REF!</definedName>
    <definedName name="BExZJMY170JCUU1RWASNZ1HJPRTA" hidden="1">#REF!</definedName>
    <definedName name="BExZJOQR77H0P4SUKVYACDCFBBXO" hidden="1">#REF!</definedName>
    <definedName name="BExZJPN5GR1O28GF1XLDY5EH968X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5SJD92M56CQDWESAKXHOGSL" hidden="1">#REF!</definedName>
    <definedName name="BExZL6E4YVXRUN7ZGF2BIGIXFR8K" hidden="1">#REF!</definedName>
    <definedName name="BExZLGVLMKTPFXG42QYT0PO81G7F" hidden="1">#REF!</definedName>
    <definedName name="BExZLJ9XQBSJZFBY8GZ1Y9U1TMNE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CNFLS6EUF357U7TXQ4U84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C8M5K7Q2UCY7H5XZLIGR6BZ" hidden="1">#REF!</definedName>
    <definedName name="BExZPIU08CG16AZ72BD0PB5ISUQE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BLMR2P2GZNI8IW6QBSS5ZV9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D14AZGXB1I4H73PZY0TKWV1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6BT23LNC2E6HR6HT1BC5R77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#REF!</definedName>
    <definedName name="BExZWKDP0QSA9SPSF40ZMQ81QV13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WTE9WR6HD25GAGPMXCNVB2Z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llReference">_xlfn.LAMBDA(_xlpm.linkedCells,     _xlfn.LET(         _xlpm.firstCell, ADDRESS(MIN(ROW(_xlpm.linkedCells)), MIN(COLUMN(_xlpm.linkedCells)), 4),         _xlpm.lastCell, ADDRESS(MAX(ROW(_xlpm.linkedCells)), MAX(COLUMN(_xlpm.linkedCells)), 4),         _xlpm.result, IF(ROWS(_xlpm.linkedCells) * COLUMNS(_xlpm.linkedCells) = 1, _xlpm.firstCell, _xlpm.firstCell &amp; ":" &amp; _xlpm.lastCell),         _xlpm.result     ) )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ME_BeforeCloseCompleted" hidden="1">"False"</definedName>
    <definedName name="DME_Dirty" hidden="1">"False"</definedName>
    <definedName name="dollars">'Lookup|Tables'!$G$17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actor">'Lookup|Tables'!$G$24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FirstYear">'Input|General'!$G$13</definedName>
    <definedName name="FPLastYear">'Input|General'!$G$14</definedName>
    <definedName name="FRCP_1to5">"2015-16 to 2019-20"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LGAData">#REF!</definedName>
    <definedName name="limcount" hidden="1">2</definedName>
    <definedName name="millions">'Lookup|Tables'!$G$19</definedName>
    <definedName name="month">'Input|General'!$G$9</definedName>
    <definedName name="nhdtyjdf" hidden="1">{#N/A,#N/A,FALSE,"pcf";#N/A,#N/A,FALSE,"pcr"}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eal_to_Nominal">'Lookup|Tables'!$H$72:$H$77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hidden="1">{#N/A,#N/A,FALSE,"pcf";#N/A,#N/A,FALSE,"pcr"}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etName">_xlfn.LAMBDA(_xlpm.cell, MID(CELL("filename", _xlpm.cell), FIND("]", CELL("filename", _xlpm.cell)) + 1, LEN(CELL("filename", _xlpm.cell)) - FIND("]", CELL("filename", _xlpm.cell))))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thousands">'Lookup|Tables'!$G$18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nit" localSheetId="7">#REF!</definedName>
    <definedName name="unit">'Lookup|Tables'!$G$22</definedName>
    <definedName name="units">'Input|General'!$G$15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59" l="1" a="1"/>
  <c r="C44" i="59" s="1"/>
  <c r="C1" i="60" l="1"/>
  <c r="F24" i="60"/>
  <c r="G22" i="60"/>
  <c r="F22" i="60"/>
  <c r="E22" i="60"/>
  <c r="E24" i="60" s="1"/>
  <c r="D22" i="60"/>
  <c r="D24" i="60" s="1"/>
  <c r="E20" i="60"/>
  <c r="D20" i="60"/>
  <c r="C20" i="60"/>
  <c r="L19" i="60"/>
  <c r="M19" i="60" s="1"/>
  <c r="N19" i="60" s="1"/>
  <c r="G19" i="60"/>
  <c r="F19" i="60"/>
  <c r="E19" i="60"/>
  <c r="D19" i="60"/>
  <c r="C19" i="60"/>
  <c r="G18" i="60"/>
  <c r="F18" i="60"/>
  <c r="E18" i="60"/>
  <c r="D18" i="60"/>
  <c r="C18" i="60"/>
  <c r="G15" i="60"/>
  <c r="F15" i="60"/>
  <c r="O20" i="60"/>
  <c r="N20" i="60"/>
  <c r="M20" i="60"/>
  <c r="L20" i="60"/>
  <c r="K20" i="60"/>
  <c r="L12" i="60"/>
  <c r="L15" i="60" s="1"/>
  <c r="K9" i="60"/>
  <c r="L3" i="60"/>
  <c r="L9" i="60" s="1"/>
  <c r="E2" i="60"/>
  <c r="D2" i="60"/>
  <c r="C2" i="60"/>
  <c r="M22" i="60" l="1"/>
  <c r="O19" i="60"/>
  <c r="N22" i="60"/>
  <c r="O22" i="60"/>
  <c r="K22" i="60"/>
  <c r="M3" i="60"/>
  <c r="L22" i="60"/>
  <c r="L24" i="60" s="1"/>
  <c r="P28" i="53" s="1"/>
  <c r="M12" i="60"/>
  <c r="K15" i="60"/>
  <c r="K24" i="60" l="1"/>
  <c r="O28" i="53" s="1"/>
  <c r="M15" i="60"/>
  <c r="M24" i="60" s="1"/>
  <c r="Q28" i="53" s="1"/>
  <c r="N12" i="60"/>
  <c r="M9" i="60"/>
  <c r="N3" i="60"/>
  <c r="N9" i="60" l="1"/>
  <c r="O3" i="60"/>
  <c r="O9" i="60" s="1"/>
  <c r="N15" i="60"/>
  <c r="N24" i="60" s="1"/>
  <c r="R28" i="53" s="1"/>
  <c r="O12" i="60"/>
  <c r="O15" i="60" l="1"/>
  <c r="O24" i="60" s="1"/>
  <c r="S28" i="53" s="1"/>
  <c r="D17" i="59" l="1"/>
  <c r="D22" i="59" l="1"/>
  <c r="D23" i="59" s="1"/>
  <c r="D24" i="59" s="1"/>
  <c r="D29" i="59" s="1"/>
  <c r="D30" i="59" s="1"/>
  <c r="D31" i="59" s="1"/>
  <c r="D36" i="59" s="1"/>
  <c r="D37" i="59" l="1"/>
  <c r="D38" i="59" s="1"/>
  <c r="D39" i="59" l="1"/>
  <c r="D44" i="59" s="1"/>
  <c r="J95" i="2"/>
  <c r="K95" i="2"/>
  <c r="K102" i="2"/>
  <c r="J102" i="2"/>
  <c r="K101" i="2"/>
  <c r="J101" i="2"/>
  <c r="K100" i="2"/>
  <c r="J100" i="2"/>
  <c r="K99" i="2"/>
  <c r="J99" i="2"/>
  <c r="K98" i="2"/>
  <c r="J98" i="2"/>
  <c r="K97" i="2"/>
  <c r="J97" i="2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5" i="55"/>
  <c r="V85" i="55" l="1"/>
  <c r="V86" i="55"/>
  <c r="V87" i="55"/>
  <c r="V88" i="55"/>
  <c r="W18" i="53" l="1"/>
  <c r="W19" i="53"/>
  <c r="W20" i="53"/>
  <c r="M93" i="2"/>
  <c r="L93" i="2"/>
  <c r="K93" i="2"/>
  <c r="X93" i="2" s="1"/>
  <c r="J93" i="2"/>
  <c r="V66" i="58"/>
  <c r="V67" i="58"/>
  <c r="V55" i="58"/>
  <c r="V45" i="58" l="1"/>
  <c r="V44" i="58"/>
  <c r="V22" i="58"/>
  <c r="V23" i="58"/>
  <c r="V24" i="58"/>
  <c r="V25" i="58"/>
  <c r="V26" i="58"/>
  <c r="V27" i="58"/>
  <c r="B2" i="55"/>
  <c r="T40" i="2" l="1"/>
  <c r="S40" i="2"/>
  <c r="R40" i="2"/>
  <c r="Q40" i="2"/>
  <c r="P40" i="2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E102" i="2"/>
  <c r="E101" i="2"/>
  <c r="E100" i="2"/>
  <c r="E99" i="2"/>
  <c r="E98" i="2"/>
  <c r="E97" i="2"/>
  <c r="C87" i="2"/>
  <c r="C88" i="2"/>
  <c r="C89" i="2"/>
  <c r="C90" i="2"/>
  <c r="C91" i="2"/>
  <c r="C86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34" i="58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23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57" i="58"/>
  <c r="K57" i="58"/>
  <c r="J57" i="58"/>
  <c r="M57" i="58"/>
  <c r="M91" i="42" l="1"/>
  <c r="S35" i="42"/>
  <c r="K12" i="42"/>
  <c r="S91" i="42"/>
  <c r="S31" i="42"/>
  <c r="R16" i="42"/>
  <c r="R75" i="42"/>
  <c r="R49" i="42"/>
  <c r="R33" i="42"/>
  <c r="L19" i="42"/>
  <c r="K91" i="42"/>
  <c r="S49" i="42"/>
  <c r="S75" i="42"/>
  <c r="K49" i="42"/>
  <c r="S46" i="42"/>
  <c r="S43" i="42"/>
  <c r="K107" i="42"/>
  <c r="S14" i="42"/>
  <c r="S33" i="42"/>
  <c r="K19" i="42"/>
  <c r="K106" i="42"/>
  <c r="K16" i="42"/>
  <c r="S40" i="42"/>
  <c r="K40" i="42"/>
  <c r="S10" i="42"/>
  <c r="S19" i="42"/>
  <c r="S21" i="42"/>
  <c r="R10" i="42"/>
  <c r="R91" i="42"/>
  <c r="R31" i="42"/>
  <c r="J91" i="42"/>
  <c r="R46" i="42"/>
  <c r="R14" i="42"/>
  <c r="R43" i="42"/>
  <c r="R19" i="42"/>
  <c r="R40" i="42"/>
  <c r="R21" i="42"/>
  <c r="R37" i="42"/>
  <c r="R12" i="42"/>
  <c r="R23" i="42"/>
  <c r="L106" i="42"/>
  <c r="S23" i="42"/>
  <c r="S37" i="42"/>
  <c r="K105" i="42"/>
  <c r="S16" i="42"/>
  <c r="K31" i="42"/>
  <c r="S12" i="42"/>
  <c r="L40" i="42"/>
  <c r="T75" i="42"/>
  <c r="T106" i="42"/>
  <c r="L75" i="42"/>
  <c r="T105" i="42"/>
  <c r="L16" i="42"/>
  <c r="T107" i="42"/>
  <c r="L105" i="42"/>
  <c r="L46" i="42"/>
  <c r="L49" i="42"/>
  <c r="L10" i="42"/>
  <c r="L91" i="42"/>
  <c r="L43" i="42"/>
  <c r="L23" i="42"/>
  <c r="L107" i="42"/>
  <c r="L37" i="42"/>
  <c r="P21" i="42"/>
  <c r="P23" i="42"/>
  <c r="M14" i="42"/>
  <c r="P16" i="42"/>
  <c r="P43" i="42"/>
  <c r="R10" i="53"/>
  <c r="F17" i="44"/>
  <c r="O21" i="42"/>
  <c r="O43" i="42"/>
  <c r="O12" i="42"/>
  <c r="P75" i="42"/>
  <c r="M49" i="2"/>
  <c r="M60" i="2" s="1"/>
  <c r="R26" i="53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R35" i="42"/>
  <c r="T58" i="42"/>
  <c r="T71" i="42" s="1" a="1"/>
  <c r="T71" i="42" s="1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32" i="53" l="1"/>
  <c r="L68" i="42" a="1"/>
  <c r="L68" i="42" s="1"/>
  <c r="J22" i="53"/>
  <c r="W12" i="53"/>
  <c r="W14" i="53"/>
  <c r="W31" i="53"/>
  <c r="W30" i="53"/>
  <c r="W29" i="53"/>
  <c r="V54" i="58"/>
  <c r="V52" i="58"/>
  <c r="V53" i="58"/>
  <c r="J28" i="42"/>
  <c r="V65" i="58"/>
  <c r="V20" i="58"/>
  <c r="V21" i="58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51" i="58"/>
  <c r="O68" i="42" a="1"/>
  <c r="O68" i="42" s="1"/>
  <c r="V19" i="58"/>
  <c r="V71" i="58"/>
  <c r="V69" i="58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P70" i="42" l="1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N77" i="42" l="1"/>
  <c r="T84" i="42"/>
  <c r="K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J77" i="42"/>
  <c r="O95" i="42"/>
  <c r="O79" i="42"/>
  <c r="P29" i="42"/>
  <c r="L97" i="42"/>
  <c r="M82" i="42"/>
  <c r="R47" i="42"/>
  <c r="N79" i="42"/>
  <c r="J85" i="42"/>
  <c r="T38" i="42"/>
  <c r="K93" i="42"/>
  <c r="O41" i="42"/>
  <c r="S77" i="42"/>
  <c r="Q38" i="42"/>
  <c r="S94" i="42"/>
  <c r="L29" i="42"/>
  <c r="N47" i="42"/>
  <c r="Q29" i="42"/>
  <c r="P47" i="42"/>
  <c r="P97" i="42"/>
  <c r="Q97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M83" i="42"/>
  <c r="N82" i="42"/>
  <c r="M38" i="42"/>
  <c r="R97" i="42"/>
  <c r="J44" i="42"/>
  <c r="S50" i="42"/>
  <c r="S97" i="42"/>
  <c r="K44" i="42"/>
  <c r="L82" i="42"/>
  <c r="L96" i="42"/>
  <c r="M78" i="42"/>
  <c r="T85" i="42"/>
  <c r="L78" i="42"/>
  <c r="S38" i="42"/>
  <c r="M29" i="42"/>
  <c r="R50" i="42"/>
  <c r="P94" i="42"/>
  <c r="J82" i="42"/>
  <c r="K47" i="42"/>
  <c r="S29" i="42"/>
  <c r="T97" i="42"/>
  <c r="N29" i="42"/>
  <c r="R44" i="42"/>
  <c r="S44" i="42"/>
  <c r="R94" i="42"/>
  <c r="S79" i="42"/>
  <c r="K94" i="42"/>
  <c r="T96" i="42"/>
  <c r="S84" i="42"/>
  <c r="R77" i="42"/>
  <c r="O96" i="42"/>
  <c r="P85" i="42"/>
  <c r="O29" i="42"/>
  <c r="J97" i="42"/>
  <c r="J78" i="42"/>
  <c r="P96" i="42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T78" i="42"/>
  <c r="M50" i="42"/>
  <c r="L83" i="42"/>
  <c r="M44" i="42"/>
  <c r="S83" i="42"/>
  <c r="O97" i="42"/>
  <c r="P44" i="42"/>
  <c r="N94" i="42"/>
  <c r="N15" i="44" s="1"/>
  <c r="Q94" i="42"/>
  <c r="K81" i="42"/>
  <c r="N95" i="42"/>
  <c r="N16" i="44" s="1"/>
  <c r="K38" i="42"/>
  <c r="Q84" i="42"/>
  <c r="R96" i="42"/>
  <c r="J17" i="2"/>
  <c r="J27" i="2" s="1"/>
  <c r="K80" i="42"/>
  <c r="S96" i="42"/>
  <c r="N93" i="42"/>
  <c r="N14" i="44" s="1"/>
  <c r="L80" i="42"/>
  <c r="N96" i="42"/>
  <c r="N17" i="44" s="1"/>
  <c r="M79" i="42"/>
  <c r="T41" i="42"/>
  <c r="M84" i="42"/>
  <c r="R41" i="42"/>
  <c r="T50" i="42"/>
  <c r="L47" i="42"/>
  <c r="S85" i="42"/>
  <c r="K50" i="42"/>
  <c r="Q95" i="42"/>
  <c r="O50" i="42"/>
  <c r="T79" i="42"/>
  <c r="K95" i="42"/>
  <c r="K78" i="42"/>
  <c r="T82" i="42"/>
  <c r="N85" i="42"/>
  <c r="S47" i="42"/>
  <c r="M93" i="42"/>
  <c r="M14" i="44" s="1"/>
  <c r="K84" i="42"/>
  <c r="M95" i="42"/>
  <c r="L85" i="42"/>
  <c r="O77" i="42"/>
  <c r="Q50" i="42"/>
  <c r="P79" i="42"/>
  <c r="P77" i="42"/>
  <c r="J38" i="42"/>
  <c r="N80" i="42"/>
  <c r="Q96" i="42"/>
  <c r="J96" i="42"/>
  <c r="T77" i="42"/>
  <c r="S95" i="42"/>
  <c r="O47" i="42"/>
  <c r="M77" i="42"/>
  <c r="J80" i="42"/>
  <c r="T44" i="42"/>
  <c r="L81" i="42"/>
  <c r="L77" i="42"/>
  <c r="R38" i="42"/>
  <c r="O38" i="42"/>
  <c r="P41" i="42"/>
  <c r="O80" i="42"/>
  <c r="J26" i="2"/>
  <c r="T81" i="42"/>
  <c r="J94" i="42"/>
  <c r="O94" i="42"/>
  <c r="K82" i="42"/>
  <c r="R85" i="42"/>
  <c r="J79" i="42"/>
  <c r="L79" i="42"/>
  <c r="K41" i="42"/>
  <c r="M85" i="42"/>
  <c r="T95" i="42"/>
  <c r="K79" i="42"/>
  <c r="T93" i="42"/>
  <c r="P50" i="42"/>
  <c r="O84" i="42"/>
  <c r="L38" i="42"/>
  <c r="T80" i="42"/>
  <c r="Q41" i="42"/>
  <c r="Q83" i="42"/>
  <c r="L84" i="42"/>
  <c r="M80" i="42"/>
  <c r="M81" i="42"/>
  <c r="J84" i="42"/>
  <c r="R84" i="42"/>
  <c r="L95" i="42"/>
  <c r="K77" i="42"/>
  <c r="J95" i="42"/>
  <c r="K85" i="42"/>
  <c r="P95" i="42"/>
  <c r="R95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P18" i="44" l="1"/>
  <c r="S18" i="44"/>
  <c r="Q18" i="44"/>
  <c r="R18" i="44"/>
  <c r="O18" i="44"/>
  <c r="S15" i="44"/>
  <c r="Q17" i="44"/>
  <c r="Q15" i="44"/>
  <c r="O15" i="44"/>
  <c r="P15" i="44"/>
  <c r="P17" i="44"/>
  <c r="O17" i="44"/>
  <c r="S17" i="44"/>
  <c r="O16" i="44"/>
  <c r="Q16" i="44"/>
  <c r="R16" i="44"/>
  <c r="P16" i="44"/>
  <c r="R17" i="44"/>
  <c r="R15" i="44"/>
  <c r="S16" i="44"/>
  <c r="L99" i="42"/>
  <c r="S52" i="42"/>
  <c r="S54" i="42" s="1"/>
  <c r="P52" i="42"/>
  <c r="P54" i="42" s="1"/>
  <c r="T99" i="42"/>
  <c r="Q52" i="42"/>
  <c r="Q54" i="42" s="1"/>
  <c r="R52" i="42"/>
  <c r="R54" i="42" s="1"/>
  <c r="K52" i="42"/>
  <c r="K54" i="42" s="1"/>
  <c r="N87" i="42"/>
  <c r="J99" i="42"/>
  <c r="O52" i="42"/>
  <c r="O54" i="42" s="1"/>
  <c r="J52" i="42"/>
  <c r="K99" i="42"/>
  <c r="N99" i="42"/>
  <c r="M99" i="42"/>
  <c r="M16" i="44"/>
  <c r="M87" i="42"/>
  <c r="J87" i="42"/>
  <c r="L87" i="42"/>
  <c r="K87" i="42"/>
  <c r="T87" i="42"/>
  <c r="K28" i="2"/>
  <c r="L27" i="2"/>
  <c r="L26" i="2"/>
  <c r="J54" i="42" l="1"/>
  <c r="L31" i="42" l="1"/>
  <c r="L35" i="42" l="1"/>
  <c r="L33" i="42"/>
  <c r="L52" i="42" s="1"/>
  <c r="L54" i="42" l="1"/>
  <c r="M106" i="42" l="1"/>
  <c r="M107" i="42" s="1"/>
  <c r="M105" i="42"/>
  <c r="M13" i="44" s="1"/>
  <c r="I71" i="55" l="1"/>
  <c r="V71" i="55" s="1"/>
  <c r="I72" i="55" l="1"/>
  <c r="V72" i="55" s="1"/>
  <c r="I73" i="55" l="1"/>
  <c r="V73" i="55" s="1"/>
  <c r="I74" i="55"/>
  <c r="I75" i="55" l="1"/>
  <c r="V75" i="55" s="1"/>
  <c r="V74" i="55"/>
  <c r="M12" i="2"/>
  <c r="M18" i="2" l="1"/>
  <c r="M28" i="2" s="1"/>
  <c r="M29" i="2"/>
  <c r="L19" i="2"/>
  <c r="M17" i="2"/>
  <c r="M27" i="2" s="1"/>
  <c r="M16" i="2"/>
  <c r="M26" i="2" s="1"/>
  <c r="K19" i="2" l="1"/>
  <c r="L29" i="2"/>
  <c r="K29" i="2" l="1"/>
  <c r="J19" i="2"/>
  <c r="J29" i="2" s="1"/>
  <c r="M31" i="42" l="1"/>
  <c r="M35" i="42" l="1"/>
  <c r="M33" i="42"/>
  <c r="M52" i="42" s="1"/>
  <c r="M54" i="42" l="1"/>
  <c r="N105" i="42" l="1"/>
  <c r="N13" i="44" s="1"/>
  <c r="N106" i="42" l="1"/>
  <c r="N107" i="42" s="1"/>
  <c r="H76" i="55" l="1"/>
  <c r="I76" i="55" s="1"/>
  <c r="V76" i="55" s="1"/>
  <c r="H77" i="55"/>
  <c r="I77" i="55" s="1"/>
  <c r="V77" i="55" s="1"/>
  <c r="H78" i="55"/>
  <c r="H82" i="55" s="1"/>
  <c r="H86" i="55" l="1"/>
  <c r="I86" i="55" s="1"/>
  <c r="I82" i="55"/>
  <c r="O12" i="2" s="1"/>
  <c r="O31" i="2" s="1"/>
  <c r="I78" i="55"/>
  <c r="H80" i="55"/>
  <c r="H79" i="55" s="1"/>
  <c r="I79" i="55" s="1"/>
  <c r="V79" i="55" s="1"/>
  <c r="V82" i="55" l="1"/>
  <c r="H90" i="55"/>
  <c r="I90" i="55" s="1"/>
  <c r="O20" i="2"/>
  <c r="O30" i="2" s="1"/>
  <c r="N21" i="2"/>
  <c r="V78" i="55"/>
  <c r="N12" i="2"/>
  <c r="M21" i="2" s="1"/>
  <c r="I80" i="55"/>
  <c r="V80" i="55" s="1"/>
  <c r="H81" i="55"/>
  <c r="I81" i="55" s="1"/>
  <c r="V81" i="55" s="1"/>
  <c r="H84" i="55"/>
  <c r="N13" i="42"/>
  <c r="N26" i="42" s="1"/>
  <c r="N20" i="42"/>
  <c r="H94" i="55" l="1"/>
  <c r="I94" i="55" s="1"/>
  <c r="N31" i="2"/>
  <c r="V1" i="55"/>
  <c r="G11" i="16" s="1"/>
  <c r="N30" i="2"/>
  <c r="N18" i="2"/>
  <c r="N16" i="2"/>
  <c r="N17" i="2"/>
  <c r="M20" i="2"/>
  <c r="N19" i="2"/>
  <c r="L21" i="2"/>
  <c r="M31" i="2"/>
  <c r="H88" i="55"/>
  <c r="H83" i="55"/>
  <c r="I83" i="55" s="1"/>
  <c r="I84" i="55"/>
  <c r="H85" i="55"/>
  <c r="I85" i="55" s="1"/>
  <c r="N63" i="58" l="1"/>
  <c r="M20" i="42"/>
  <c r="H98" i="55"/>
  <c r="I98" i="55" s="1"/>
  <c r="N29" i="2"/>
  <c r="O19" i="2"/>
  <c r="M30" i="2"/>
  <c r="L20" i="2"/>
  <c r="O17" i="2"/>
  <c r="O27" i="2" s="1"/>
  <c r="N27" i="2"/>
  <c r="N26" i="2"/>
  <c r="O16" i="2"/>
  <c r="N28" i="2"/>
  <c r="O18" i="2"/>
  <c r="O28" i="2" s="1"/>
  <c r="K21" i="2"/>
  <c r="L31" i="2"/>
  <c r="I88" i="55"/>
  <c r="H89" i="55"/>
  <c r="I89" i="55" s="1"/>
  <c r="H92" i="55"/>
  <c r="H87" i="55"/>
  <c r="I87" i="55" s="1"/>
  <c r="L20" i="42"/>
  <c r="Q81" i="42" l="1"/>
  <c r="P81" i="42"/>
  <c r="S81" i="42"/>
  <c r="W16" i="53"/>
  <c r="O81" i="42"/>
  <c r="R81" i="42"/>
  <c r="O29" i="2"/>
  <c r="M47" i="58"/>
  <c r="V42" i="58"/>
  <c r="K20" i="2"/>
  <c r="L30" i="2"/>
  <c r="N22" i="42"/>
  <c r="L24" i="42"/>
  <c r="L15" i="42"/>
  <c r="O17" i="42"/>
  <c r="S24" i="42"/>
  <c r="L22" i="42"/>
  <c r="Q17" i="42"/>
  <c r="M22" i="42"/>
  <c r="M15" i="42"/>
  <c r="P24" i="42"/>
  <c r="S22" i="42"/>
  <c r="O26" i="2"/>
  <c r="O24" i="42"/>
  <c r="J17" i="42"/>
  <c r="Q15" i="42"/>
  <c r="L17" i="42"/>
  <c r="P15" i="42"/>
  <c r="T17" i="42"/>
  <c r="N17" i="42"/>
  <c r="N24" i="42"/>
  <c r="S17" i="42"/>
  <c r="R17" i="42"/>
  <c r="K24" i="42"/>
  <c r="Q24" i="42"/>
  <c r="O22" i="42"/>
  <c r="K22" i="42"/>
  <c r="M24" i="42"/>
  <c r="T22" i="42"/>
  <c r="J24" i="42"/>
  <c r="R15" i="42"/>
  <c r="Q22" i="42"/>
  <c r="T24" i="42"/>
  <c r="J22" i="42"/>
  <c r="O15" i="42"/>
  <c r="P22" i="42"/>
  <c r="R24" i="42"/>
  <c r="P17" i="42"/>
  <c r="T15" i="42"/>
  <c r="J15" i="42"/>
  <c r="S15" i="42"/>
  <c r="K17" i="42"/>
  <c r="M17" i="42"/>
  <c r="R22" i="42"/>
  <c r="K15" i="42"/>
  <c r="N15" i="42"/>
  <c r="H93" i="55"/>
  <c r="I93" i="55" s="1"/>
  <c r="H96" i="55"/>
  <c r="I92" i="55"/>
  <c r="H91" i="55"/>
  <c r="I91" i="55" s="1"/>
  <c r="K20" i="42"/>
  <c r="K13" i="42"/>
  <c r="K26" i="42" s="1"/>
  <c r="K31" i="2"/>
  <c r="J21" i="2"/>
  <c r="J31" i="2" s="1"/>
  <c r="M12" i="42" l="1"/>
  <c r="M13" i="42" s="1"/>
  <c r="V64" i="58"/>
  <c r="N40" i="42"/>
  <c r="N41" i="42" s="1"/>
  <c r="N31" i="42"/>
  <c r="J20" i="2"/>
  <c r="J30" i="2" s="1"/>
  <c r="K30" i="2"/>
  <c r="J13" i="42"/>
  <c r="J26" i="42" s="1"/>
  <c r="J20" i="42"/>
  <c r="N35" i="42" s="1"/>
  <c r="I96" i="55"/>
  <c r="H100" i="55"/>
  <c r="H97" i="55"/>
  <c r="I97" i="55" s="1"/>
  <c r="H95" i="55"/>
  <c r="I95" i="55" s="1"/>
  <c r="M26" i="42" l="1"/>
  <c r="I100" i="55"/>
  <c r="H99" i="55"/>
  <c r="I99" i="55" s="1"/>
  <c r="J47" i="58" l="1"/>
  <c r="V43" i="58"/>
  <c r="K47" i="58"/>
  <c r="L47" i="58"/>
  <c r="L12" i="42" l="1"/>
  <c r="L13" i="42" s="1"/>
  <c r="L26" i="42" s="1"/>
  <c r="N33" i="42" s="1"/>
  <c r="R80" i="42" l="1"/>
  <c r="S80" i="42"/>
  <c r="W15" i="53"/>
  <c r="P80" i="42"/>
  <c r="Q80" i="42"/>
  <c r="W17" i="53" l="1"/>
  <c r="O82" i="42"/>
  <c r="S82" i="42"/>
  <c r="R82" i="42"/>
  <c r="Q82" i="42"/>
  <c r="P82" i="42"/>
  <c r="N37" i="42" l="1"/>
  <c r="N38" i="42" s="1"/>
  <c r="V63" i="58"/>
  <c r="S1" i="58" l="1"/>
  <c r="G12" i="16" s="1"/>
  <c r="N52" i="42"/>
  <c r="O34" i="53"/>
  <c r="O93" i="42"/>
  <c r="P34" i="53"/>
  <c r="P93" i="42"/>
  <c r="Q34" i="53"/>
  <c r="Q93" i="42"/>
  <c r="S34" i="53"/>
  <c r="S93" i="42"/>
  <c r="Q78" i="42" l="1"/>
  <c r="Q87" i="42" s="1"/>
  <c r="Q22" i="53"/>
  <c r="P78" i="42"/>
  <c r="P87" i="42" s="1"/>
  <c r="P22" i="53"/>
  <c r="S78" i="42"/>
  <c r="S87" i="42" s="1"/>
  <c r="S22" i="53"/>
  <c r="N54" i="42"/>
  <c r="R78" i="42"/>
  <c r="R87" i="42" s="1"/>
  <c r="R22" i="53"/>
  <c r="O14" i="44"/>
  <c r="O99" i="42"/>
  <c r="S14" i="44"/>
  <c r="S99" i="42"/>
  <c r="Q14" i="44"/>
  <c r="Q99" i="42"/>
  <c r="P14" i="44"/>
  <c r="P99" i="42"/>
  <c r="R34" i="53"/>
  <c r="W34" i="53" s="1"/>
  <c r="R93" i="42"/>
  <c r="W28" i="53"/>
  <c r="S105" i="42" l="1"/>
  <c r="S13" i="44" s="1"/>
  <c r="P105" i="42"/>
  <c r="P13" i="44" s="1"/>
  <c r="R105" i="42"/>
  <c r="R13" i="44" s="1"/>
  <c r="Q105" i="42"/>
  <c r="Q13" i="44" s="1"/>
  <c r="W13" i="53"/>
  <c r="O78" i="42"/>
  <c r="O22" i="53"/>
  <c r="W22" i="53" s="1"/>
  <c r="P106" i="42"/>
  <c r="R14" i="44"/>
  <c r="R99" i="42"/>
  <c r="Q106" i="42"/>
  <c r="S106" i="42"/>
  <c r="O87" i="42" l="1"/>
  <c r="R106" i="42"/>
  <c r="O106" i="42" l="1"/>
  <c r="O105" i="42"/>
  <c r="O13" i="44" s="1"/>
  <c r="O42" i="53" l="1"/>
  <c r="O107" i="42"/>
  <c r="P42" i="53" l="1"/>
  <c r="P107" i="42"/>
  <c r="Q42" i="53" l="1"/>
  <c r="Q107" i="42"/>
  <c r="R107" i="42"/>
  <c r="R42" i="53"/>
  <c r="S42" i="53" l="1"/>
  <c r="W42" i="53" s="1"/>
  <c r="S1" i="53" s="1"/>
  <c r="G14" i="16" s="1"/>
  <c r="S1" i="16" s="1"/>
  <c r="S107" i="42"/>
  <c r="W1" i="44" l="1"/>
  <c r="V1" i="58"/>
  <c r="W1" i="42"/>
  <c r="V1" i="4"/>
  <c r="V1" i="53"/>
  <c r="X1" i="2"/>
  <c r="Y1" i="55"/>
  <c r="V1" i="5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<sst xmlns="http://schemas.openxmlformats.org/spreadsheetml/2006/main" count="927" uniqueCount="294">
  <si>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</si>
  <si>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</si>
  <si>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</si>
  <si>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</si>
  <si>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</si>
  <si>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</si>
  <si>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</si>
  <si>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</si>
  <si>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</si>
  <si>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</si>
  <si>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</si>
  <si>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</si>
  <si>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</si>
  <si>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</si>
  <si>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</si>
  <si>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</si>
  <si>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</si>
  <si>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</si>
  <si>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</si>
  <si>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</si>
  <si>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</si>
  <si>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</si>
  <si>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</si>
  <si>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</si>
  <si>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</si>
  <si>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</si>
  <si>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</si>
  <si>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</si>
  <si>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</si>
  <si>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</si>
  <si>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</si>
  <si>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</si>
  <si>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</si>
  <si>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</si>
  <si>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</si>
  <si>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</si>
  <si>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</si>
  <si>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</si>
  <si>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</si>
  <si>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</si>
  <si>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</si>
  <si>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</si>
  <si>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</si>
  <si>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</si>
  <si>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</si>
  <si>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</si>
  <si>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</si>
  <si>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</si>
  <si>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</si>
  <si>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</si>
  <si>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</si>
  <si>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</si>
  <si>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</si>
  <si>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</si>
  <si>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</si>
  <si>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</si>
  <si>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</si>
  <si>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</si>
  <si>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</si>
  <si>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</si>
  <si>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</si>
  <si>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</si>
  <si>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</si>
  <si>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</si>
  <si>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</si>
  <si>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</si>
  <si>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</si>
  <si>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</si>
  <si>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</si>
  <si>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</si>
  <si>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</si>
  <si>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</si>
  <si>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</si>
  <si>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</si>
  <si>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</si>
  <si>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</si>
  <si>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</si>
  <si>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</si>
  <si>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</si>
  <si>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</si>
  <si>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</si>
  <si>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</si>
  <si>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</si>
  <si>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</si>
  <si>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</si>
  <si>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</si>
  <si>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</si>
  <si>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</si>
  <si>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</si>
  <si>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</si>
  <si>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</si>
  <si>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</si>
  <si>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</si>
  <si>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</si>
  <si>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</si>
  <si>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</si>
  <si>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</si>
  <si>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</si>
  <si>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</si>
  <si>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</si>
  <si>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</si>
  <si>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</si>
  <si>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</si>
  <si>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</si>
  <si>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</si>
  <si>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</si>
  <si>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</si>
  <si>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</si>
  <si>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</si>
  <si>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</si>
  <si>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</si>
  <si>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</si>
  <si>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</si>
  <si>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</si>
  <si>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</si>
  <si>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</si>
  <si>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</si>
  <si>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</si>
  <si>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</si>
  <si>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</si>
  <si>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</si>
  <si>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</si>
  <si>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</si>
  <si>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</si>
  <si>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</si>
  <si>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</si>
  <si>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</si>
  <si>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</si>
  <si>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</si>
  <si>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</si>
  <si>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</si>
  <si>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</si>
  <si>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</si>
  <si>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</si>
  <si>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</si>
  <si>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</si>
  <si>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</si>
  <si>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</si>
  <si>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</si>
  <si>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</si>
  <si>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</si>
  <si>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</si>
  <si>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</si>
  <si>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</si>
  <si>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</si>
  <si>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</si>
  <si>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</si>
  <si>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</si>
  <si>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</si>
  <si>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</si>
  <si>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</si>
  <si>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Output weights</t>
  </si>
  <si>
    <t>Forecast output growth</t>
  </si>
  <si>
    <t>Total opex to be trended</t>
  </si>
  <si>
    <t>Non-recurrent efficiency gain in the base year</t>
  </si>
  <si>
    <t>Categories of opex to be excluded from forecast opex (excluding category specific forecasts)</t>
  </si>
  <si>
    <t>Previous period year 0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</si>
  <si>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</si>
  <si>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</si>
  <si>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</si>
  <si>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</si>
  <si>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</si>
  <si>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</si>
  <si>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</si>
  <si>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</si>
  <si>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</si>
  <si>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</si>
  <si>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</si>
  <si>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</si>
  <si>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</si>
  <si>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WPI - average</t>
  </si>
  <si>
    <t>Customer numbers (#)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</si>
  <si>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</si>
  <si>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</si>
  <si>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</si>
  <si>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</si>
  <si>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</si>
  <si>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</si>
  <si>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</si>
  <si>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RBA</t>
  </si>
  <si>
    <t>Forecast annual CPI growth</t>
  </si>
  <si>
    <t>Forecast and actual index value</t>
  </si>
  <si>
    <t>Output elasticities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</si>
  <si>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</si>
  <si>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</si>
  <si>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</si>
  <si>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</si>
  <si>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</si>
  <si>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</si>
  <si>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</si>
  <si>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</si>
  <si>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</si>
  <si>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</si>
  <si>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</si>
  <si>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</si>
  <si>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</si>
  <si>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</si>
  <si>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</si>
  <si>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</si>
  <si>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Total UAG (tariff and demand market)</t>
  </si>
  <si>
    <t>Total Government levies (Mains tax and licence fees)</t>
  </si>
  <si>
    <t xml:space="preserve">Movement in Provisions </t>
  </si>
  <si>
    <t>Specific Forecasts - UAG</t>
  </si>
  <si>
    <t>Specific Forecasts - Gov. levies</t>
  </si>
  <si>
    <t>Specific Forecasts - Debt raising costs</t>
  </si>
  <si>
    <t>New IFRS treatment - SaaS implementation costs in base year</t>
  </si>
  <si>
    <t>Incremental ICT project opex</t>
  </si>
  <si>
    <t>Estimated base year ancillary service opex</t>
  </si>
  <si>
    <t>SaaS costs that would have been capitalised under old IFRS</t>
  </si>
  <si>
    <t>Support for customers experiencing vulnerability</t>
  </si>
  <si>
    <t>ICT services for new recurrent projects</t>
  </si>
  <si>
    <t>Emissions measurement – Picarro leak detection services</t>
  </si>
  <si>
    <t>Pipeline Integrity Management Program</t>
  </si>
  <si>
    <t>UAG costs</t>
  </si>
  <si>
    <t>License fees</t>
  </si>
  <si>
    <t>Safeguard mechanism costs</t>
  </si>
  <si>
    <t>Estimate: midpoint target inflation band</t>
  </si>
  <si>
    <t>WPI - DAE</t>
  </si>
  <si>
    <t>WPI - BIS Oxford Economics</t>
  </si>
  <si>
    <t>SFA</t>
  </si>
  <si>
    <t>GLS</t>
  </si>
  <si>
    <t>Mains Length (km)</t>
  </si>
  <si>
    <t>Emissions reduction – Climate change reporting</t>
  </si>
  <si>
    <t/>
  </si>
  <si>
    <t>Estimate: RBA, Statement on monetary policy (SoMP), November 2024.</t>
  </si>
  <si>
    <t>Jemena Gas Network</t>
  </si>
  <si>
    <t>JGN RP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</si>
  <si>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</si>
  <si>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</si>
  <si>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</si>
  <si>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</si>
  <si>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</si>
  <si>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</si>
  <si>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</si>
  <si>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</si>
  <si>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</si>
  <si>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</si>
  <si>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AER - Draft decision - JGN 2025–30 - opex model - November 2024 - public.xlsx</t>
  </si>
  <si>
    <t>Updated business name and decision stage</t>
  </si>
  <si>
    <t>Updated CPI forecast per Nov 2024 RBA MPS and references with associated hyperlink</t>
  </si>
  <si>
    <t>G80:G88, J80:J88</t>
  </si>
  <si>
    <t>Replaced forecasts with actuals reported in the RIN</t>
  </si>
  <si>
    <t>J37:M45, M51:M52</t>
  </si>
  <si>
    <t>SaaS value updated with actual costs and inflation</t>
  </si>
  <si>
    <t>Updated labour escalation from Oxford Economics</t>
  </si>
  <si>
    <t>Row 17 and 29</t>
  </si>
  <si>
    <t>Re-propose licence fee as a specific forecast</t>
  </si>
  <si>
    <t>Row 40</t>
  </si>
  <si>
    <t>Value updated from PTRM</t>
  </si>
  <si>
    <t>Row 13, 15 and 28</t>
  </si>
  <si>
    <t>JGN</t>
  </si>
  <si>
    <t>Opex Model</t>
  </si>
  <si>
    <t>Input|General</t>
  </si>
  <si>
    <t>Input|Inflation</t>
  </si>
  <si>
    <t>Input|Reported opex</t>
  </si>
  <si>
    <t>Input|Rate of change</t>
  </si>
  <si>
    <t>Input|Step changes</t>
  </si>
  <si>
    <t>G7:G8</t>
  </si>
  <si>
    <t>N63</t>
  </si>
  <si>
    <t>N64</t>
  </si>
  <si>
    <t>P39:T39</t>
  </si>
  <si>
    <t>O66:T67</t>
  </si>
  <si>
    <t>O67:T68</t>
  </si>
  <si>
    <t>Forecast cost updated for revised proposal</t>
  </si>
  <si>
    <t>Socialised abolishment costs</t>
  </si>
  <si>
    <t>Updated forecasts based on revised proposal demand forecast</t>
  </si>
  <si>
    <t>Removed column headers so that the output growth calculations in row 61 of sheet 'Calc|Opex forecast' correctly pick up the 2 models in averaging the output growth</t>
  </si>
  <si>
    <t>Value updated per revised proposal</t>
  </si>
  <si>
    <t>Row 32</t>
  </si>
  <si>
    <t>Included a new category specific forecast for socialised abolishment costs</t>
  </si>
  <si>
    <t>Input (hard code)</t>
  </si>
  <si>
    <t>Drop down Selection</t>
  </si>
  <si>
    <t>Calculation</t>
  </si>
  <si>
    <t>Unique calculation</t>
  </si>
  <si>
    <t>Empty cell</t>
  </si>
  <si>
    <t>Copyright Jemena Limited. All rights reserved. Jemena is not liable for any loss caused by reliance on this document.</t>
  </si>
  <si>
    <t>Input | UAG Forecast</t>
  </si>
  <si>
    <t>UAG Forecast</t>
  </si>
  <si>
    <t>Timing</t>
  </si>
  <si>
    <t>UAG Cost Forecast - tariff</t>
  </si>
  <si>
    <t>Demand</t>
  </si>
  <si>
    <t>TJ</t>
  </si>
  <si>
    <t>UAG Rate</t>
  </si>
  <si>
    <t>Wholesale Gas Price</t>
  </si>
  <si>
    <t>AEMO 2024 GSOO Sydney Industrial  Step Change</t>
  </si>
  <si>
    <t>$/GJ</t>
  </si>
  <si>
    <t>Real 2023</t>
  </si>
  <si>
    <t>End-year</t>
  </si>
  <si>
    <t>Total UAG Cost - tariff</t>
  </si>
  <si>
    <t>UAG Cost Forecast - demand</t>
  </si>
  <si>
    <t>Total UAG Cost - demand</t>
  </si>
  <si>
    <t>Input|UAG</t>
  </si>
  <si>
    <t>Inputs for UAG forecast</t>
  </si>
  <si>
    <t>Sheet added back in to show the UAG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</si>
</sst>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  <numFmt numFmtId="211" formatCode="#,##0.00_ ;\-#,##0.00\ "/>
    <numFmt numFmtId="212" formatCode="&quot;Change&quot;\ 0"/>
    <numFmt numFmtId="213" formatCode="[$-C09]dd/mmm/yy;@"/>
    <numFmt numFmtId="214" formatCode="_-&quot;$&quot;#,##0.00_-;\-&quot;$&quot;#,##0.00_-;_-&quot;$&quot;&quot;-&quot;??_-;_-@_-"/>
    <numFmt numFmtId="215" formatCode="_-#,##0_-;\-#,##0_-;_-&quot;-&quot;_-;_-@_-"/>
  </numFmts>
  <fonts count="10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indexed="9"/>
      <name val="Arial"/>
      <family val="2"/>
    </font>
    <font>
      <i/>
      <sz val="8"/>
      <color indexed="9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i/>
      <sz val="8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8"/>
      <color theme="1" tint="0.249977111117893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18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16" fillId="38" borderId="29" applyNumberFormat="0" applyFont="0" applyFill="0" applyAlignment="0" applyProtection="0">
      <alignment horizontal="center" vertical="center"/>
    </xf>
    <xf numFmtId="0" fontId="14" fillId="0" borderId="0"/>
    <xf numFmtId="0" fontId="14" fillId="0" borderId="0"/>
    <xf numFmtId="168" fontId="7" fillId="59" borderId="0" applyNumberFormat="0" applyFont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213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4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76" fontId="7" fillId="0" borderId="0" xfId="0" applyNumberFormat="1" applyFont="1"/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0" fontId="75" fillId="38" borderId="25" xfId="0" applyFont="1" applyFill="1" applyBorder="1"/>
    <xf numFmtId="168" fontId="9" fillId="0" borderId="7" xfId="0" applyNumberFormat="1" applyFont="1" applyBorder="1" applyAlignment="1">
      <alignment horizontal="left" indent="1"/>
    </xf>
    <xf numFmtId="205" fontId="7" fillId="0" borderId="0" xfId="2" applyNumberFormat="1" applyFont="1" applyFill="1" applyBorder="1" applyAlignment="1" applyProtection="1">
      <alignment horizontal="center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9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4" fontId="79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4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5" fillId="0" borderId="0" xfId="3" applyFill="1"/>
    <xf numFmtId="168" fontId="15" fillId="0" borderId="0" xfId="3" applyNumberFormat="1" applyFont="1" applyAlignment="1" applyProtection="1">
      <protection locked="0"/>
    </xf>
    <xf numFmtId="0" fontId="73" fillId="38" borderId="0" xfId="0" applyFont="1" applyFill="1" applyProtection="1">
      <protection locked="0"/>
    </xf>
    <xf numFmtId="0" fontId="15" fillId="38" borderId="0" xfId="3" applyFill="1" applyBorder="1" applyAlignment="1" applyProtection="1">
      <alignment horizontal="right"/>
      <protection locked="0"/>
    </xf>
    <xf numFmtId="168" fontId="15" fillId="0" borderId="0" xfId="3" applyNumberFormat="1" applyFont="1" applyAlignment="1" applyProtection="1">
      <alignment horizontal="center"/>
      <protection locked="0"/>
    </xf>
    <xf numFmtId="0" fontId="15" fillId="0" borderId="0" xfId="3" applyFill="1" applyProtection="1">
      <protection locked="0"/>
    </xf>
    <xf numFmtId="194" fontId="24" fillId="8" borderId="26" xfId="0" applyNumberFormat="1" applyFont="1" applyFill="1" applyBorder="1" applyAlignment="1" applyProtection="1">
      <alignment horizontal="center"/>
    </xf>
    <xf numFmtId="168" fontId="76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7" fillId="0" borderId="0" xfId="0" applyNumberFormat="1" applyFont="1" applyAlignment="1">
      <alignment horizontal="center"/>
    </xf>
    <xf numFmtId="193" fontId="7" fillId="52" borderId="3" xfId="0" applyNumberFormat="1" applyFont="1" applyFill="1" applyBorder="1" applyAlignment="1" applyProtection="1">
      <alignment horizontal="center"/>
      <protection locked="0"/>
    </xf>
    <xf numFmtId="2" fontId="21" fillId="0" borderId="0" xfId="0" applyNumberFormat="1" applyFont="1" applyAlignment="1" applyProtection="1">
      <alignment horizontal="left"/>
      <protection locked="0"/>
    </xf>
    <xf numFmtId="2" fontId="21" fillId="0" borderId="0" xfId="0" applyNumberFormat="1" applyFont="1" applyAlignment="1" applyProtection="1">
      <alignment horizontal="center"/>
      <protection locked="0"/>
    </xf>
    <xf numFmtId="49" fontId="21" fillId="41" borderId="3" xfId="0" applyNumberFormat="1" applyFont="1" applyFill="1" applyBorder="1" applyAlignment="1" applyProtection="1">
      <alignment horizontal="left" indent="1"/>
      <protection locked="0"/>
    </xf>
    <xf numFmtId="166" fontId="13" fillId="0" borderId="0" xfId="0" applyNumberFormat="1" applyFont="1" applyBorder="1" applyAlignment="1">
      <alignment horizontal="center"/>
    </xf>
    <xf numFmtId="197" fontId="7" fillId="0" borderId="0" xfId="150" applyNumberFormat="1" applyFont="1" applyAlignment="1">
      <alignment horizontal="left"/>
    </xf>
    <xf numFmtId="195" fontId="7" fillId="0" borderId="0" xfId="150" applyNumberFormat="1" applyFont="1" applyProtection="1">
      <protection locked="0"/>
    </xf>
    <xf numFmtId="168" fontId="7" fillId="0" borderId="0" xfId="150" applyNumberFormat="1" applyFont="1"/>
    <xf numFmtId="211" fontId="0" fillId="0" borderId="0" xfId="0" applyNumberFormat="1" applyFont="1"/>
    <xf numFmtId="2" fontId="0" fillId="0" borderId="0" xfId="0" applyNumberFormat="1" applyFont="1" applyAlignment="1" applyProtection="1">
      <alignment horizontal="left"/>
      <protection locked="0"/>
    </xf>
    <xf numFmtId="10" fontId="7" fillId="41" borderId="3" xfId="4" applyNumberFormat="1" applyFont="1" applyFill="1" applyBorder="1" applyAlignment="1" applyProtection="1">
      <alignment horizontal="center"/>
      <protection locked="0"/>
    </xf>
    <xf numFmtId="194" fontId="9" fillId="8" borderId="26" xfId="9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49" fontId="16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/>
      <protection locked="0"/>
    </xf>
    <xf numFmtId="182" fontId="16" fillId="0" borderId="0" xfId="2" applyNumberFormat="1" applyFont="1" applyFill="1" applyBorder="1" applyAlignment="1" applyProtection="1">
      <alignment horizontal="center"/>
      <protection locked="0"/>
    </xf>
    <xf numFmtId="196" fontId="16" fillId="0" borderId="0" xfId="2" applyNumberFormat="1" applyFont="1" applyFill="1" applyBorder="1" applyAlignment="1" applyProtection="1">
      <alignment horizontal="center"/>
      <protection locked="0"/>
    </xf>
    <xf numFmtId="168" fontId="16" fillId="51" borderId="3" xfId="0" applyNumberFormat="1" applyFont="1" applyFill="1" applyBorder="1" applyAlignment="1" applyProtection="1">
      <alignment horizontal="left" indent="1"/>
      <protection locked="0"/>
    </xf>
    <xf numFmtId="199" fontId="24" fillId="0" borderId="4" xfId="5" applyNumberFormat="1" applyFont="1" applyFill="1" applyBorder="1" applyAlignment="1" applyProtection="1">
      <alignment horizontal="center" vertical="center"/>
    </xf>
    <xf numFmtId="198" fontId="7" fillId="0" borderId="0" xfId="0" applyNumberFormat="1" applyFont="1" applyFill="1" applyAlignment="1">
      <alignment horizontal="center"/>
    </xf>
    <xf numFmtId="0" fontId="72" fillId="53" borderId="0" xfId="0" applyFont="1" applyFill="1" applyAlignment="1">
      <alignment horizontal="left" vertical="center"/>
    </xf>
    <xf numFmtId="0" fontId="74" fillId="53" borderId="1" xfId="0" applyFont="1" applyFill="1" applyBorder="1" applyAlignment="1">
      <alignment horizontal="left"/>
    </xf>
    <xf numFmtId="0" fontId="73" fillId="53" borderId="0" xfId="0" applyFont="1" applyFill="1" applyProtection="1">
      <protection locked="0"/>
    </xf>
    <xf numFmtId="166" fontId="24" fillId="53" borderId="0" xfId="0" applyNumberFormat="1" applyFont="1" applyFill="1" applyAlignment="1">
      <alignment horizontal="center"/>
    </xf>
    <xf numFmtId="0" fontId="15" fillId="53" borderId="0" xfId="3" applyFill="1" applyBorder="1" applyAlignment="1" applyProtection="1">
      <alignment horizontal="right"/>
      <protection locked="0"/>
    </xf>
    <xf numFmtId="204" fontId="75" fillId="54" borderId="4" xfId="0" applyNumberFormat="1" applyFont="1" applyFill="1" applyBorder="1" applyAlignment="1">
      <alignment horizontal="center" wrapText="1"/>
    </xf>
    <xf numFmtId="204" fontId="24" fillId="0" borderId="7" xfId="0" applyNumberFormat="1" applyFont="1" applyFill="1" applyBorder="1" applyAlignment="1">
      <alignment horizontal="center"/>
    </xf>
    <xf numFmtId="168" fontId="76" fillId="0" borderId="0" xfId="0" applyNumberFormat="1" applyFont="1" applyFill="1" applyAlignment="1">
      <alignment horizontal="center"/>
    </xf>
    <xf numFmtId="204" fontId="0" fillId="0" borderId="0" xfId="0" applyNumberFormat="1" applyFont="1" applyFill="1" applyAlignment="1">
      <alignment horizontal="left" indent="1"/>
    </xf>
    <xf numFmtId="168" fontId="76" fillId="0" borderId="0" xfId="6" applyNumberFormat="1" applyFont="1" applyFill="1" applyAlignment="1" applyProtection="1">
      <alignment horizontal="center"/>
    </xf>
    <xf numFmtId="173" fontId="0" fillId="0" borderId="0" xfId="5" applyNumberFormat="1" applyFont="1" applyFill="1" applyBorder="1" applyAlignment="1" applyProtection="1">
      <alignment horizontal="center" vertical="center"/>
    </xf>
    <xf numFmtId="204" fontId="24" fillId="0" borderId="0" xfId="0" applyNumberFormat="1" applyFont="1" applyFill="1" applyAlignment="1">
      <alignment horizontal="center"/>
    </xf>
    <xf numFmtId="166" fontId="24" fillId="0" borderId="0" xfId="0" applyNumberFormat="1" applyFont="1" applyFill="1" applyAlignment="1">
      <alignment horizontal="center"/>
    </xf>
    <xf numFmtId="166" fontId="13" fillId="0" borderId="3" xfId="0" applyNumberFormat="1" applyFont="1" applyFill="1" applyBorder="1" applyAlignment="1">
      <alignment horizontal="center"/>
    </xf>
    <xf numFmtId="168" fontId="0" fillId="0" borderId="0" xfId="0" applyNumberFormat="1" applyFont="1" applyFill="1"/>
    <xf numFmtId="10" fontId="0" fillId="0" borderId="0" xfId="2" applyNumberFormat="1" applyFont="1" applyFill="1" applyAlignment="1" applyProtection="1">
      <alignment horizontal="center"/>
    </xf>
    <xf numFmtId="200" fontId="9" fillId="0" borderId="0" xfId="0" applyNumberFormat="1" applyFont="1" applyFill="1" applyAlignment="1">
      <alignment horizontal="center"/>
    </xf>
    <xf numFmtId="0" fontId="0" fillId="55" borderId="0" xfId="0" applyFill="1" applyAlignment="1">
      <alignment horizontal="center"/>
    </xf>
    <xf numFmtId="0" fontId="0" fillId="56" borderId="0" xfId="0" applyFill="1" applyAlignment="1">
      <alignment horizontal="center"/>
    </xf>
    <xf numFmtId="0" fontId="14" fillId="38" borderId="0" xfId="307" applyFill="1"/>
    <xf numFmtId="0" fontId="72" fillId="38" borderId="0" xfId="307" applyFont="1" applyFill="1" applyAlignment="1">
      <alignment horizontal="left" vertical="center"/>
    </xf>
    <xf numFmtId="0" fontId="14" fillId="38" borderId="1" xfId="307" applyFill="1" applyBorder="1"/>
    <xf numFmtId="0" fontId="74" fillId="38" borderId="1" xfId="307" applyFont="1" applyFill="1" applyBorder="1" applyAlignment="1">
      <alignment horizontal="left"/>
    </xf>
    <xf numFmtId="168" fontId="7" fillId="3" borderId="0" xfId="307" applyNumberFormat="1" applyFont="1" applyFill="1"/>
    <xf numFmtId="0" fontId="14" fillId="39" borderId="4" xfId="307" applyFill="1" applyBorder="1"/>
    <xf numFmtId="0" fontId="24" fillId="39" borderId="4" xfId="307" applyFont="1" applyFill="1" applyBorder="1"/>
    <xf numFmtId="0" fontId="25" fillId="39" borderId="4" xfId="307" applyFont="1" applyFill="1" applyBorder="1" applyAlignment="1">
      <alignment vertical="center"/>
    </xf>
    <xf numFmtId="0" fontId="14" fillId="39" borderId="4" xfId="307" applyFill="1" applyBorder="1" applyAlignment="1">
      <alignment wrapText="1"/>
    </xf>
    <xf numFmtId="164" fontId="25" fillId="39" borderId="4" xfId="307" applyNumberFormat="1" applyFont="1" applyFill="1" applyBorder="1" applyAlignment="1">
      <alignment horizontal="center" wrapText="1"/>
    </xf>
    <xf numFmtId="0" fontId="14" fillId="3" borderId="0" xfId="307" applyFill="1" applyAlignment="1">
      <alignment wrapText="1"/>
    </xf>
    <xf numFmtId="0" fontId="14" fillId="3" borderId="0" xfId="307" applyFill="1"/>
    <xf numFmtId="0" fontId="14" fillId="0" borderId="0" xfId="307"/>
    <xf numFmtId="168" fontId="7" fillId="0" borderId="0" xfId="307" applyNumberFormat="1" applyFont="1"/>
    <xf numFmtId="168" fontId="7" fillId="0" borderId="0" xfId="308" applyNumberFormat="1" applyFont="1"/>
    <xf numFmtId="168" fontId="9" fillId="0" borderId="0" xfId="307" applyNumberFormat="1" applyFont="1" applyAlignment="1">
      <alignment vertical="center"/>
    </xf>
    <xf numFmtId="168" fontId="8" fillId="57" borderId="30" xfId="308" applyNumberFormat="1" applyFont="1" applyFill="1" applyBorder="1" applyAlignment="1">
      <alignment vertical="center"/>
    </xf>
    <xf numFmtId="175" fontId="7" fillId="57" borderId="31" xfId="308" applyNumberFormat="1" applyFont="1" applyFill="1" applyBorder="1"/>
    <xf numFmtId="168" fontId="7" fillId="57" borderId="31" xfId="308" applyNumberFormat="1" applyFont="1" applyFill="1" applyBorder="1"/>
    <xf numFmtId="168" fontId="7" fillId="57" borderId="32" xfId="308" applyNumberFormat="1" applyFont="1" applyFill="1" applyBorder="1"/>
    <xf numFmtId="168" fontId="7" fillId="58" borderId="0" xfId="308" applyNumberFormat="1" applyFont="1" applyFill="1"/>
    <xf numFmtId="168" fontId="7" fillId="58" borderId="0" xfId="307" applyNumberFormat="1" applyFont="1" applyFill="1"/>
    <xf numFmtId="168" fontId="8" fillId="58" borderId="0" xfId="308" applyNumberFormat="1" applyFont="1" applyFill="1"/>
    <xf numFmtId="175" fontId="7" fillId="58" borderId="0" xfId="308" applyNumberFormat="1" applyFont="1" applyFill="1"/>
    <xf numFmtId="168" fontId="9" fillId="0" borderId="0" xfId="307" applyNumberFormat="1" applyFont="1"/>
    <xf numFmtId="168" fontId="9" fillId="0" borderId="0" xfId="307" applyNumberFormat="1" applyFont="1" applyAlignment="1">
      <alignment horizontal="center"/>
    </xf>
    <xf numFmtId="168" fontId="9" fillId="0" borderId="0" xfId="307" applyNumberFormat="1" applyFont="1" applyAlignment="1">
      <alignment horizontal="left" indent="1"/>
    </xf>
    <xf numFmtId="168" fontId="8" fillId="0" borderId="0" xfId="308" applyNumberFormat="1" applyFont="1"/>
    <xf numFmtId="175" fontId="7" fillId="0" borderId="0" xfId="308" applyNumberFormat="1" applyFont="1" applyAlignment="1">
      <alignment horizontal="left" indent="1"/>
    </xf>
    <xf numFmtId="212" fontId="7" fillId="0" borderId="0" xfId="308" applyNumberFormat="1" applyFont="1" applyAlignment="1">
      <alignment horizontal="center"/>
    </xf>
    <xf numFmtId="168" fontId="7" fillId="0" borderId="0" xfId="308" applyNumberFormat="1" applyFont="1" applyAlignment="1">
      <alignment horizontal="center"/>
    </xf>
    <xf numFmtId="168" fontId="7" fillId="56" borderId="0" xfId="309" applyNumberFormat="1" applyFont="1" applyFill="1"/>
    <xf numFmtId="168" fontId="16" fillId="0" borderId="0" xfId="308" applyNumberFormat="1" applyFont="1" applyAlignment="1">
      <alignment horizontal="left" indent="1"/>
    </xf>
    <xf numFmtId="168" fontId="7" fillId="0" borderId="33" xfId="307" applyNumberFormat="1" applyFont="1" applyBorder="1" applyAlignment="1">
      <alignment horizontal="left" indent="1"/>
    </xf>
    <xf numFmtId="168" fontId="8" fillId="0" borderId="33" xfId="308" applyNumberFormat="1" applyFont="1" applyBorder="1"/>
    <xf numFmtId="168" fontId="7" fillId="0" borderId="33" xfId="308" applyNumberFormat="1" applyFont="1" applyBorder="1"/>
    <xf numFmtId="168" fontId="7" fillId="0" borderId="0" xfId="307" applyNumberFormat="1" applyFont="1" applyAlignment="1">
      <alignment horizontal="left" indent="1"/>
    </xf>
    <xf numFmtId="168" fontId="7" fillId="0" borderId="0" xfId="308" applyNumberFormat="1" applyFont="1" applyAlignment="1">
      <alignment horizontal="left" indent="1"/>
    </xf>
    <xf numFmtId="182" fontId="7" fillId="56" borderId="0" xfId="2" applyNumberFormat="1" applyFont="1" applyFill="1" applyBorder="1" applyAlignment="1" applyProtection="1">
      <alignment horizontal="center"/>
      <protection locked="0"/>
    </xf>
    <xf numFmtId="0" fontId="15" fillId="56" borderId="0" xfId="3" applyFill="1"/>
    <xf numFmtId="168" fontId="7" fillId="0" borderId="0" xfId="308" applyNumberFormat="1" applyFont="1" applyFill="1" applyAlignment="1">
      <alignment horizontal="center"/>
    </xf>
    <xf numFmtId="201" fontId="7" fillId="0" borderId="0" xfId="0" applyNumberFormat="1" applyFont="1" applyFill="1" applyAlignment="1">
      <alignment horizontal="center"/>
    </xf>
    <xf numFmtId="169" fontId="7" fillId="60" borderId="3" xfId="0" applyNumberFormat="1" applyFont="1" applyFill="1" applyBorder="1" applyAlignment="1" applyProtection="1">
      <alignment horizontal="center"/>
      <protection locked="0"/>
    </xf>
    <xf numFmtId="195" fontId="15" fillId="0" borderId="0" xfId="3" applyNumberFormat="1" applyFill="1" applyProtection="1"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2" fontId="0" fillId="56" borderId="3" xfId="0" applyNumberFormat="1" applyFont="1" applyFill="1" applyBorder="1" applyAlignment="1" applyProtection="1">
      <alignment horizontal="center"/>
      <protection locked="0"/>
    </xf>
    <xf numFmtId="2" fontId="16" fillId="0" borderId="3" xfId="0" applyNumberFormat="1" applyFont="1" applyFill="1" applyBorder="1" applyAlignment="1" applyProtection="1">
      <alignment horizontal="center"/>
      <protection locked="0"/>
    </xf>
    <xf numFmtId="2" fontId="16" fillId="56" borderId="3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10" fontId="0" fillId="56" borderId="3" xfId="2" applyNumberFormat="1" applyFont="1" applyFill="1" applyBorder="1" applyAlignment="1" applyProtection="1">
      <alignment horizontal="center"/>
      <protection locked="0"/>
    </xf>
    <xf numFmtId="168" fontId="0" fillId="56" borderId="3" xfId="0" applyNumberFormat="1" applyFont="1" applyFill="1" applyBorder="1" applyAlignment="1" applyProtection="1">
      <alignment horizontal="center"/>
      <protection locked="0"/>
    </xf>
    <xf numFmtId="194" fontId="24" fillId="56" borderId="26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Alignment="1" applyProtection="1">
      <alignment horizontal="center"/>
    </xf>
    <xf numFmtId="196" fontId="16" fillId="56" borderId="3" xfId="2" applyNumberFormat="1" applyFont="1" applyFill="1" applyBorder="1" applyAlignment="1" applyProtection="1">
      <alignment horizontal="center"/>
      <protection locked="0"/>
    </xf>
    <xf numFmtId="196" fontId="16" fillId="56" borderId="0" xfId="2" applyNumberFormat="1" applyFont="1" applyFill="1" applyBorder="1" applyAlignment="1" applyProtection="1">
      <alignment horizontal="center"/>
      <protection locked="0"/>
    </xf>
    <xf numFmtId="0" fontId="0" fillId="54" borderId="4" xfId="0" applyFill="1" applyBorder="1" applyAlignment="1">
      <alignment wrapText="1"/>
    </xf>
    <xf numFmtId="168" fontId="20" fillId="41" borderId="9" xfId="0" applyNumberFormat="1" applyFont="1" applyFill="1" applyBorder="1" applyAlignment="1" applyProtection="1">
      <alignment horizontal="center"/>
      <protection locked="0"/>
    </xf>
    <xf numFmtId="204" fontId="9" fillId="0" borderId="0" xfId="0" applyNumberFormat="1" applyFont="1" applyFill="1" applyAlignment="1">
      <alignment horizontal="center"/>
    </xf>
    <xf numFmtId="168" fontId="8" fillId="0" borderId="0" xfId="0" applyNumberFormat="1" applyFont="1" applyFill="1" applyAlignment="1">
      <alignment horizontal="center"/>
    </xf>
    <xf numFmtId="204" fontId="8" fillId="0" borderId="0" xfId="0" applyNumberFormat="1" applyFont="1" applyFill="1" applyAlignment="1">
      <alignment horizontal="center"/>
    </xf>
    <xf numFmtId="168" fontId="8" fillId="0" borderId="8" xfId="0" applyNumberFormat="1" applyFont="1" applyFill="1" applyBorder="1" applyAlignment="1">
      <alignment horizontal="center"/>
    </xf>
    <xf numFmtId="198" fontId="9" fillId="0" borderId="0" xfId="0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left" indent="1"/>
    </xf>
    <xf numFmtId="168" fontId="8" fillId="0" borderId="7" xfId="0" applyNumberFormat="1" applyFont="1" applyFill="1" applyBorder="1" applyAlignment="1">
      <alignment horizontal="center"/>
    </xf>
    <xf numFmtId="204" fontId="8" fillId="0" borderId="7" xfId="0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68" fontId="7" fillId="0" borderId="0" xfId="0" applyNumberFormat="1" applyFont="1" applyFill="1" applyAlignment="1">
      <alignment horizontal="left" indent="2"/>
    </xf>
    <xf numFmtId="168" fontId="19" fillId="0" borderId="8" xfId="0" applyNumberFormat="1" applyFont="1" applyFill="1" applyBorder="1" applyAlignment="1">
      <alignment horizontal="center"/>
    </xf>
    <xf numFmtId="204" fontId="19" fillId="0" borderId="0" xfId="0" applyNumberFormat="1" applyFont="1" applyFill="1" applyAlignment="1">
      <alignment horizontal="center"/>
    </xf>
    <xf numFmtId="201" fontId="9" fillId="0" borderId="0" xfId="0" applyNumberFormat="1" applyFont="1" applyFill="1" applyAlignment="1">
      <alignment horizontal="center"/>
    </xf>
    <xf numFmtId="168" fontId="19" fillId="0" borderId="0" xfId="0" applyNumberFormat="1" applyFont="1" applyFill="1" applyAlignment="1">
      <alignment horizontal="center"/>
    </xf>
    <xf numFmtId="168" fontId="0" fillId="56" borderId="3" xfId="0" applyNumberFormat="1" applyFont="1" applyFill="1" applyBorder="1" applyAlignment="1" applyProtection="1">
      <alignment horizontal="left" indent="1"/>
      <protection locked="0"/>
    </xf>
    <xf numFmtId="0" fontId="7" fillId="7" borderId="35" xfId="312" applyFont="1" applyFill="1" applyBorder="1" applyAlignment="1">
      <alignment horizontal="center" vertical="center"/>
    </xf>
    <xf numFmtId="0" fontId="7" fillId="5" borderId="35" xfId="312" applyFont="1" applyFill="1" applyBorder="1" applyAlignment="1">
      <alignment horizontal="center" vertical="center"/>
    </xf>
    <xf numFmtId="0" fontId="7" fillId="6" borderId="35" xfId="312" applyFont="1" applyFill="1" applyBorder="1" applyAlignment="1">
      <alignment horizontal="center" vertical="center"/>
    </xf>
    <xf numFmtId="0" fontId="16" fillId="61" borderId="36" xfId="312" applyFont="1" applyFill="1" applyBorder="1" applyAlignment="1">
      <alignment horizontal="center" vertical="center"/>
    </xf>
    <xf numFmtId="213" fontId="16" fillId="38" borderId="36" xfId="313" applyFont="1" applyFill="1" applyBorder="1" applyAlignment="1">
      <alignment horizontal="center" vertical="center"/>
    </xf>
    <xf numFmtId="213" fontId="16" fillId="38" borderId="6" xfId="313" applyFont="1" applyFill="1" applyBorder="1" applyAlignment="1">
      <alignment horizontal="center" vertical="center"/>
    </xf>
    <xf numFmtId="168" fontId="7" fillId="62" borderId="37" xfId="312" applyNumberFormat="1" applyFont="1" applyFill="1" applyBorder="1" applyAlignment="1">
      <alignment horizontal="center" vertical="center"/>
    </xf>
    <xf numFmtId="0" fontId="1" fillId="0" borderId="0" xfId="312"/>
    <xf numFmtId="43" fontId="1" fillId="0" borderId="0" xfId="312" applyNumberFormat="1"/>
    <xf numFmtId="182" fontId="0" fillId="0" borderId="0" xfId="316" applyNumberFormat="1" applyFont="1"/>
    <xf numFmtId="3" fontId="1" fillId="0" borderId="0" xfId="312" applyNumberFormat="1"/>
    <xf numFmtId="0" fontId="96" fillId="0" borderId="0" xfId="312" applyFont="1"/>
    <xf numFmtId="0" fontId="99" fillId="0" borderId="0" xfId="312" applyFont="1"/>
    <xf numFmtId="0" fontId="100" fillId="0" borderId="0" xfId="312" applyFont="1" applyAlignment="1">
      <alignment vertical="center"/>
    </xf>
    <xf numFmtId="0" fontId="6" fillId="63" borderId="0" xfId="312" applyFont="1" applyFill="1"/>
    <xf numFmtId="0" fontId="6" fillId="63" borderId="0" xfId="312" applyFont="1" applyFill="1" applyAlignment="1">
      <alignment vertical="center"/>
    </xf>
    <xf numFmtId="0" fontId="87" fillId="63" borderId="0" xfId="312" applyFont="1" applyFill="1" applyAlignment="1">
      <alignment horizontal="left" vertical="center" indent="6"/>
    </xf>
    <xf numFmtId="0" fontId="6" fillId="63" borderId="0" xfId="312" applyFont="1" applyFill="1" applyAlignment="1">
      <alignment horizontal="right" vertical="center"/>
    </xf>
    <xf numFmtId="0" fontId="6" fillId="63" borderId="1" xfId="312" applyFont="1" applyFill="1" applyBorder="1"/>
    <xf numFmtId="0" fontId="6" fillId="63" borderId="1" xfId="312" applyFont="1" applyFill="1" applyBorder="1" applyAlignment="1">
      <alignment vertical="center"/>
    </xf>
    <xf numFmtId="0" fontId="97" fillId="63" borderId="1" xfId="312" applyFont="1" applyFill="1" applyBorder="1" applyAlignment="1">
      <alignment horizontal="left" indent="6"/>
    </xf>
    <xf numFmtId="0" fontId="97" fillId="63" borderId="1" xfId="312" applyFont="1" applyFill="1" applyBorder="1" applyAlignment="1">
      <alignment horizontal="left" indent="9"/>
    </xf>
    <xf numFmtId="175" fontId="11" fillId="63" borderId="2" xfId="312" applyNumberFormat="1" applyFont="1" applyFill="1" applyBorder="1"/>
    <xf numFmtId="175" fontId="11" fillId="63" borderId="2" xfId="312" applyNumberFormat="1" applyFont="1" applyFill="1" applyBorder="1" applyAlignment="1">
      <alignment vertical="center"/>
    </xf>
    <xf numFmtId="0" fontId="11" fillId="63" borderId="2" xfId="312" applyFont="1" applyFill="1" applyBorder="1"/>
    <xf numFmtId="175" fontId="12" fillId="63" borderId="2" xfId="312" applyNumberFormat="1" applyFont="1" applyFill="1" applyBorder="1" applyAlignment="1">
      <alignment horizontal="center"/>
    </xf>
    <xf numFmtId="1" fontId="12" fillId="63" borderId="2" xfId="312" applyNumberFormat="1" applyFont="1" applyFill="1" applyBorder="1" applyAlignment="1">
      <alignment horizontal="center"/>
    </xf>
    <xf numFmtId="168" fontId="6" fillId="63" borderId="0" xfId="312" applyNumberFormat="1" applyFont="1" applyFill="1" applyAlignment="1">
      <alignment vertical="center"/>
    </xf>
    <xf numFmtId="168" fontId="11" fillId="63" borderId="0" xfId="312" applyNumberFormat="1" applyFont="1" applyFill="1" applyAlignment="1">
      <alignment horizontal="left" vertical="center"/>
    </xf>
    <xf numFmtId="168" fontId="6" fillId="63" borderId="0" xfId="312" applyNumberFormat="1" applyFont="1" applyFill="1" applyAlignment="1">
      <alignment horizontal="center" vertical="center"/>
    </xf>
    <xf numFmtId="168" fontId="98" fillId="63" borderId="0" xfId="312" applyNumberFormat="1" applyFont="1" applyFill="1" applyAlignment="1">
      <alignment horizontal="center" vertical="center"/>
    </xf>
    <xf numFmtId="168" fontId="101" fillId="3" borderId="0" xfId="312" applyNumberFormat="1" applyFont="1" applyFill="1"/>
    <xf numFmtId="168" fontId="101" fillId="3" borderId="0" xfId="312" applyNumberFormat="1" applyFont="1" applyFill="1" applyAlignment="1">
      <alignment vertical="center"/>
    </xf>
    <xf numFmtId="168" fontId="102" fillId="3" borderId="0" xfId="312" applyNumberFormat="1" applyFont="1" applyFill="1" applyAlignment="1">
      <alignment horizontal="center"/>
    </xf>
    <xf numFmtId="168" fontId="101" fillId="0" borderId="0" xfId="312" applyNumberFormat="1" applyFont="1"/>
    <xf numFmtId="168" fontId="102" fillId="0" borderId="0" xfId="312" applyNumberFormat="1" applyFont="1" applyAlignment="1">
      <alignment horizontal="center"/>
    </xf>
    <xf numFmtId="168" fontId="103" fillId="0" borderId="0" xfId="312" applyNumberFormat="1" applyFont="1" applyAlignment="1">
      <alignment horizontal="center"/>
    </xf>
    <xf numFmtId="43" fontId="101" fillId="0" borderId="0" xfId="312" applyNumberFormat="1" applyFont="1"/>
    <xf numFmtId="0" fontId="104" fillId="0" borderId="0" xfId="312" applyFont="1"/>
    <xf numFmtId="168" fontId="105" fillId="0" borderId="0" xfId="312" applyNumberFormat="1" applyFont="1"/>
    <xf numFmtId="168" fontId="101" fillId="0" borderId="0" xfId="312" applyNumberFormat="1" applyFont="1" applyAlignment="1">
      <alignment horizontal="left" indent="1"/>
    </xf>
    <xf numFmtId="168" fontId="105" fillId="0" borderId="34" xfId="312" applyNumberFormat="1" applyFont="1" applyBorder="1"/>
    <xf numFmtId="168" fontId="103" fillId="0" borderId="34" xfId="312" applyNumberFormat="1" applyFont="1" applyBorder="1" applyAlignment="1">
      <alignment horizontal="center"/>
    </xf>
    <xf numFmtId="43" fontId="101" fillId="0" borderId="0" xfId="314" applyFont="1" applyFill="1" applyProtection="1"/>
    <xf numFmtId="168" fontId="105" fillId="0" borderId="0" xfId="312" applyNumberFormat="1" applyFont="1" applyAlignment="1">
      <alignment horizontal="left"/>
    </xf>
    <xf numFmtId="168" fontId="105" fillId="0" borderId="7" xfId="312" applyNumberFormat="1" applyFont="1" applyFill="1" applyBorder="1" applyAlignment="1">
      <alignment horizontal="center"/>
    </xf>
    <xf numFmtId="10" fontId="101" fillId="64" borderId="35" xfId="316" applyNumberFormat="1" applyFont="1" applyFill="1" applyBorder="1" applyAlignment="1" applyProtection="1">
      <alignment horizontal="center" vertical="center"/>
    </xf>
    <xf numFmtId="214" fontId="101" fillId="64" borderId="35" xfId="311" applyNumberFormat="1" applyFont="1" applyFill="1" applyBorder="1" applyAlignment="1">
      <alignment horizontal="center" vertical="center"/>
    </xf>
    <xf numFmtId="204" fontId="103" fillId="0" borderId="34" xfId="312" applyNumberFormat="1" applyFont="1" applyFill="1" applyBorder="1" applyAlignment="1">
      <alignment horizontal="center"/>
    </xf>
    <xf numFmtId="211" fontId="105" fillId="0" borderId="34" xfId="312" applyNumberFormat="1" applyFont="1" applyFill="1" applyBorder="1" applyAlignment="1">
      <alignment horizontal="center"/>
    </xf>
    <xf numFmtId="168" fontId="101" fillId="0" borderId="0" xfId="312" applyNumberFormat="1" applyFont="1" applyFill="1" applyAlignment="1">
      <alignment horizontal="left" indent="1"/>
    </xf>
    <xf numFmtId="168" fontId="102" fillId="0" borderId="0" xfId="312" applyNumberFormat="1" applyFont="1" applyFill="1" applyAlignment="1">
      <alignment horizontal="center"/>
    </xf>
    <xf numFmtId="168" fontId="103" fillId="0" borderId="34" xfId="312" applyNumberFormat="1" applyFont="1" applyFill="1" applyBorder="1" applyAlignment="1">
      <alignment horizontal="center"/>
    </xf>
    <xf numFmtId="168" fontId="103" fillId="0" borderId="0" xfId="312" applyNumberFormat="1" applyFont="1" applyFill="1" applyAlignment="1">
      <alignment horizontal="center"/>
    </xf>
    <xf numFmtId="204" fontId="103" fillId="0" borderId="0" xfId="312" applyNumberFormat="1" applyFont="1" applyFill="1" applyAlignment="1">
      <alignment horizontal="center"/>
    </xf>
    <xf numFmtId="199" fontId="105" fillId="0" borderId="4" xfId="5" applyNumberFormat="1" applyFont="1" applyFill="1" applyBorder="1" applyAlignment="1" applyProtection="1">
      <alignment horizontal="center" vertical="center"/>
    </xf>
    <xf numFmtId="166" fontId="0" fillId="39" borderId="4" xfId="6" applyFont="1" applyFill="1" applyBorder="1" applyAlignment="1">
      <alignment wrapText="1"/>
    </xf>
    <xf numFmtId="168" fontId="15" fillId="0" borderId="0" xfId="3" applyNumberFormat="1"/>
    <xf numFmtId="215" fontId="101" fillId="64" borderId="35" xfId="310" applyNumberFormat="1" applyFont="1" applyFill="1" applyBorder="1" applyAlignment="1">
      <alignment horizontal="center" vertical="center"/>
    </xf>
    <xf numFmtId="168" fontId="7" fillId="0" borderId="0" xfId="307" applyNumberFormat="1" applyFont="1" applyBorder="1" applyAlignment="1">
      <alignment horizontal="left" indent="1"/>
    </xf>
    <xf numFmtId="168" fontId="8" fillId="0" borderId="0" xfId="308" applyNumberFormat="1" applyFont="1" applyBorder="1"/>
    <xf numFmtId="168" fontId="7" fillId="0" borderId="0" xfId="308" applyNumberFormat="1" applyFont="1" applyBorder="1"/>
    <xf numFmtId="0" fontId="75" fillId="38" borderId="2" xfId="0" applyFont="1" applyFill="1" applyBorder="1" applyAlignment="1">
      <alignment horizontal="center"/>
    </xf>
    <xf numFmtId="0" fontId="97" fillId="63" borderId="1" xfId="312" applyFont="1" applyFill="1" applyBorder="1" applyAlignment="1">
      <alignment horizontal="left" indent="6"/>
    </xf>
    <xf numFmtId="0" fontId="1" fillId="63" borderId="1" xfId="312" applyFill="1" applyBorder="1" applyAlignment="1">
      <alignment horizontal="left" indent="6"/>
    </xf>
  </cellXfs>
  <cellStyles count="318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 Change" xfId="309" xr:uid="{44A64549-7464-4C61-A08B-6642170A38A6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" xfId="310" builtinId="6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1" xfId="314" xr:uid="{8D073EE6-0DF1-4479-A50E-A6FEAF2E6579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" xfId="311" builtinId="4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Currency 7" xfId="317" xr:uid="{194D8BFD-4463-4094-A9A0-4E22C7C84D5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1 3" xfId="313" xr:uid="{25C682CC-4593-4F1B-AACA-9C7DDEF37458}"/>
    <cellStyle name="Normal 12" xfId="301" xr:uid="{00000000-0005-0000-0000-0000B5000000}"/>
    <cellStyle name="Normal 12 2" xfId="315" xr:uid="{CAC5C924-7BAD-4375-8E9A-E16E45FBEE6E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12" xr:uid="{92911F7E-1B66-4C20-B744-D5E13E7A6F3A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5 25" xfId="308" xr:uid="{4327B685-85D1-4409-ADA1-EAF7A7EDE721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3" xfId="307" xr:uid="{778FEA7D-8007-47D3-9ADE-F8E2B708E056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6 2" xfId="316" xr:uid="{5C592908-A8F4-4D2C-BBC1-0D4B847135B2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Q Unique" xfId="306" xr:uid="{19A59794-6696-4E35-BA66-FB0E822DAE3C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A0C8"/>
      <color rgb="FFDAEEF3"/>
      <color rgb="FFFFFF99"/>
      <color rgb="FFCCFFCC"/>
      <color rgb="FFFFFFCC"/>
      <color rgb="FFDBE5F1"/>
      <color rgb="FF006100"/>
      <color rgb="FFC6EFCE"/>
      <color rgb="FF9C00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62865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00EFA-0DBE-4582-8D08-83CA1414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0"/>
          <a:ext cx="0" cy="46291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F38201-E32B-4A6C-A457-130D1D19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0"/>
          <a:ext cx="0" cy="4635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384048</xdr:colOff>
      <xdr:row>1</xdr:row>
      <xdr:rowOff>184150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171E1C-AA53-4BF0-A643-285F8CB5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nov/overview.html" TargetMode="External"/><Relationship Id="rId7" Type="http://schemas.openxmlformats.org/officeDocument/2006/relationships/customProperty" Target="../customProperty4.bin"/><Relationship Id="rId2" Type="http://schemas.openxmlformats.org/officeDocument/2006/relationships/hyperlink" Target="https://www.rba.gov.au/publications/smp/2024/nov/overview.html" TargetMode="External"/><Relationship Id="rId1" Type="http://schemas.openxmlformats.org/officeDocument/2006/relationships/hyperlink" Target="https://www.rba.gov.au/publications/smp/2024/nov/overview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rba.gov.au/publications/smp/2024/nov/overview.html" TargetMode="External"/><Relationship Id="rId4" Type="http://schemas.openxmlformats.org/officeDocument/2006/relationships/hyperlink" Target="https://www.rba.gov.au/publications/smp/2024/nov/overview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12B6-FC9B-41F9-B67F-4BC1251598F9}">
  <sheetPr>
    <tabColor theme="1"/>
  </sheetPr>
  <dimension ref="A1:AL129"/>
  <sheetViews>
    <sheetView showGridLines="0" tabSelected="1" workbookViewId="0"/>
  </sheetViews>
  <sheetFormatPr defaultColWidth="0" defaultRowHeight="0" customHeight="1" zeroHeight="1"/>
  <cols>
    <col min="1" max="2" width="1.33203125" style="241" customWidth="1"/>
    <col min="3" max="3" width="24.6640625" style="241" customWidth="1"/>
    <col min="4" max="4" width="14.83203125" style="241" customWidth="1"/>
    <col min="5" max="5" width="19.33203125" style="241" customWidth="1"/>
    <col min="6" max="6" width="10.1640625" style="241" customWidth="1"/>
    <col min="7" max="7" width="9.6640625" style="241" customWidth="1"/>
    <col min="8" max="14" width="10.33203125" style="241" customWidth="1"/>
    <col min="15" max="15" width="105.5" style="241" customWidth="1"/>
    <col min="16" max="16" width="1.83203125" style="241" customWidth="1"/>
    <col min="17" max="33" width="10.33203125" style="241" hidden="1" customWidth="1"/>
    <col min="34" max="38" width="9.83203125" style="241" hidden="1" customWidth="1"/>
    <col min="39" max="16384" width="9.5" style="241" hidden="1"/>
  </cols>
  <sheetData>
    <row r="1" spans="1:30" s="228" customFormat="1" ht="15.75" customHeight="1">
      <c r="B1" s="229" t="s">
        <v>251</v>
      </c>
      <c r="C1" s="229"/>
    </row>
    <row r="2" spans="1:30" s="230" customFormat="1" ht="13.7" customHeight="1" thickBot="1">
      <c r="B2" s="231" t="s">
        <v>227</v>
      </c>
      <c r="C2" s="231"/>
      <c r="I2" s="228"/>
    </row>
    <row r="3" spans="1:30" s="232" customFormat="1" ht="3.2" customHeight="1"/>
    <row r="4" spans="1:30" s="240" customFormat="1" ht="12.75">
      <c r="A4" s="233"/>
      <c r="B4" s="234" t="s">
        <v>228</v>
      </c>
      <c r="C4" s="233"/>
      <c r="D4" s="233"/>
      <c r="E4" s="233"/>
      <c r="F4" s="235"/>
      <c r="G4" s="235"/>
      <c r="H4" s="235"/>
      <c r="I4" s="235"/>
      <c r="J4" s="236"/>
      <c r="K4" s="237"/>
      <c r="L4" s="236"/>
      <c r="M4" s="237"/>
      <c r="N4" s="236"/>
      <c r="O4" s="236"/>
      <c r="P4" s="236"/>
      <c r="Q4" s="236"/>
      <c r="R4" s="236"/>
      <c r="S4" s="236"/>
      <c r="T4" s="236"/>
      <c r="U4" s="236"/>
      <c r="V4" s="237"/>
      <c r="W4" s="237"/>
      <c r="X4" s="238"/>
      <c r="Y4" s="238"/>
      <c r="Z4" s="238"/>
      <c r="AA4" s="238"/>
      <c r="AB4" s="238"/>
      <c r="AC4" s="239"/>
      <c r="AD4" s="239"/>
    </row>
    <row r="5" spans="1:30" ht="11.25" customHeight="1"/>
    <row r="6" spans="1:30" s="242" customFormat="1" ht="17.45" customHeight="1">
      <c r="C6" s="243" t="s">
        <v>229</v>
      </c>
      <c r="D6" s="244" t="s">
        <v>237</v>
      </c>
      <c r="E6" s="245"/>
      <c r="F6" s="245"/>
      <c r="G6" s="246"/>
      <c r="H6" s="247"/>
      <c r="I6" s="247"/>
    </row>
    <row r="7" spans="1:30" ht="11.25" customHeight="1"/>
    <row r="8" spans="1:30" s="248" customFormat="1" ht="11.25">
      <c r="B8" s="249"/>
      <c r="C8" s="249" t="s">
        <v>230</v>
      </c>
      <c r="D8" s="250"/>
      <c r="F8" s="251"/>
    </row>
    <row r="9" spans="1:30" ht="11.25" customHeight="1"/>
    <row r="10" spans="1:30" ht="11.25" customHeight="1">
      <c r="C10" s="252" t="s">
        <v>231</v>
      </c>
      <c r="D10" s="253" t="s">
        <v>232</v>
      </c>
      <c r="E10" s="253" t="s">
        <v>233</v>
      </c>
      <c r="F10" s="253" t="s">
        <v>234</v>
      </c>
      <c r="G10" s="253" t="s">
        <v>235</v>
      </c>
      <c r="H10" s="254" t="s">
        <v>236</v>
      </c>
    </row>
    <row r="11" spans="1:30" ht="11.25" customHeight="1">
      <c r="C11" s="242"/>
      <c r="D11" s="242"/>
      <c r="E11" s="255"/>
      <c r="F11" s="242"/>
      <c r="G11" s="242"/>
      <c r="H11" s="256"/>
    </row>
    <row r="12" spans="1:30" ht="11.25" customHeight="1">
      <c r="C12" s="240" t="s">
        <v>252</v>
      </c>
      <c r="D12" s="257">
        <v>1</v>
      </c>
      <c r="E12" s="268" t="s">
        <v>257</v>
      </c>
      <c r="F12" s="258" t="s">
        <v>4</v>
      </c>
      <c r="G12" s="259"/>
      <c r="H12" s="260" t="s">
        <v>238</v>
      </c>
    </row>
    <row r="13" spans="1:30" ht="11.25">
      <c r="C13" s="261"/>
      <c r="D13" s="262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</row>
    <row r="14" spans="1:30" ht="11.25">
      <c r="C14" s="264"/>
      <c r="D14" s="255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</row>
    <row r="15" spans="1:30" ht="11.25">
      <c r="C15" s="252" t="s">
        <v>231</v>
      </c>
      <c r="D15" s="253" t="s">
        <v>232</v>
      </c>
      <c r="E15" s="253" t="s">
        <v>233</v>
      </c>
      <c r="F15" s="253" t="s">
        <v>234</v>
      </c>
      <c r="G15" s="253" t="s">
        <v>235</v>
      </c>
      <c r="H15" s="254" t="s">
        <v>236</v>
      </c>
      <c r="I15" s="242"/>
      <c r="J15" s="242"/>
      <c r="K15" s="242"/>
      <c r="L15" s="242"/>
      <c r="M15" s="242"/>
      <c r="N15" s="242"/>
      <c r="O15" s="242"/>
      <c r="P15" s="242"/>
    </row>
    <row r="16" spans="1:30" ht="11.25">
      <c r="C16" s="242"/>
      <c r="D16" s="242"/>
      <c r="E16" s="255"/>
      <c r="F16" s="242"/>
      <c r="G16" s="242"/>
      <c r="H16" s="256"/>
      <c r="I16" s="242"/>
      <c r="J16" s="242"/>
      <c r="K16" s="242"/>
      <c r="L16" s="242"/>
      <c r="M16" s="242"/>
      <c r="N16" s="242"/>
      <c r="O16" s="242"/>
      <c r="P16" s="242"/>
    </row>
    <row r="17" spans="3:16" ht="11.25">
      <c r="C17" s="240" t="s">
        <v>253</v>
      </c>
      <c r="D17" s="257">
        <f>+D12+1</f>
        <v>2</v>
      </c>
      <c r="E17" s="258" t="s">
        <v>240</v>
      </c>
      <c r="F17" s="258" t="s">
        <v>4</v>
      </c>
      <c r="G17" s="259"/>
      <c r="H17" s="265" t="s">
        <v>239</v>
      </c>
      <c r="I17" s="242"/>
      <c r="J17" s="242"/>
      <c r="K17" s="242"/>
      <c r="L17" s="242"/>
      <c r="M17" s="242"/>
      <c r="N17" s="242"/>
      <c r="O17" s="242"/>
      <c r="P17" s="242"/>
    </row>
    <row r="18" spans="3:16" ht="11.25">
      <c r="C18" s="261"/>
      <c r="D18" s="262"/>
      <c r="E18" s="262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3:16" ht="11.25">
      <c r="C19" s="264"/>
      <c r="D19" s="255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</row>
    <row r="20" spans="3:16" ht="11.25">
      <c r="C20" s="252" t="s">
        <v>231</v>
      </c>
      <c r="D20" s="253" t="s">
        <v>232</v>
      </c>
      <c r="E20" s="253" t="s">
        <v>233</v>
      </c>
      <c r="F20" s="253" t="s">
        <v>234</v>
      </c>
      <c r="G20" s="253" t="s">
        <v>235</v>
      </c>
      <c r="H20" s="254" t="s">
        <v>236</v>
      </c>
      <c r="I20" s="242"/>
      <c r="J20" s="242"/>
      <c r="K20" s="242"/>
      <c r="L20" s="242"/>
      <c r="M20" s="242"/>
      <c r="N20" s="242"/>
      <c r="O20" s="242"/>
      <c r="P20" s="242"/>
    </row>
    <row r="21" spans="3:16" ht="11.25">
      <c r="C21" s="242"/>
      <c r="D21" s="242"/>
      <c r="E21" s="255"/>
      <c r="F21" s="242"/>
      <c r="G21" s="242"/>
      <c r="H21" s="256"/>
      <c r="I21" s="242"/>
      <c r="J21" s="242"/>
      <c r="K21" s="242"/>
      <c r="L21" s="242"/>
      <c r="M21" s="242"/>
      <c r="N21" s="242"/>
      <c r="O21" s="242"/>
      <c r="P21" s="242"/>
    </row>
    <row r="22" spans="3:16" ht="11.25">
      <c r="C22" s="240" t="s">
        <v>254</v>
      </c>
      <c r="D22" s="257">
        <f>D17+1</f>
        <v>3</v>
      </c>
      <c r="E22" s="268" t="s">
        <v>242</v>
      </c>
      <c r="F22" s="258" t="s">
        <v>4</v>
      </c>
      <c r="G22" s="259"/>
      <c r="H22" s="265" t="s">
        <v>241</v>
      </c>
      <c r="I22" s="242"/>
      <c r="J22" s="242"/>
      <c r="K22" s="242"/>
      <c r="L22" s="242"/>
      <c r="M22" s="242"/>
      <c r="N22" s="242"/>
      <c r="O22" s="242"/>
      <c r="P22" s="242"/>
    </row>
    <row r="23" spans="3:16" ht="11.25">
      <c r="C23" s="240" t="s">
        <v>254</v>
      </c>
      <c r="D23" s="257">
        <f>D22+1</f>
        <v>4</v>
      </c>
      <c r="E23" s="268" t="s">
        <v>258</v>
      </c>
      <c r="F23" s="258" t="s">
        <v>4</v>
      </c>
      <c r="G23" s="259"/>
      <c r="H23" s="265" t="s">
        <v>243</v>
      </c>
      <c r="I23" s="242"/>
      <c r="J23" s="242"/>
      <c r="K23" s="242"/>
      <c r="L23" s="242"/>
      <c r="M23" s="242"/>
      <c r="N23" s="242"/>
      <c r="O23" s="242"/>
      <c r="P23" s="242"/>
    </row>
    <row r="24" spans="3:16" ht="11.25">
      <c r="C24" s="240" t="s">
        <v>254</v>
      </c>
      <c r="D24" s="257">
        <f>+D23+1</f>
        <v>5</v>
      </c>
      <c r="E24" s="258" t="s">
        <v>259</v>
      </c>
      <c r="F24" s="258" t="s">
        <v>4</v>
      </c>
      <c r="G24" s="259"/>
      <c r="H24" s="265" t="s">
        <v>263</v>
      </c>
      <c r="I24" s="242"/>
      <c r="J24" s="242"/>
      <c r="K24" s="242"/>
      <c r="L24" s="242"/>
      <c r="M24" s="242"/>
      <c r="N24" s="242"/>
      <c r="O24" s="242"/>
      <c r="P24" s="242"/>
    </row>
    <row r="25" spans="3:16" ht="11.25">
      <c r="C25" s="261"/>
      <c r="D25" s="262"/>
      <c r="E25" s="262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</row>
    <row r="26" spans="3:16" ht="11.25">
      <c r="C26" s="264"/>
      <c r="D26" s="255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</row>
    <row r="27" spans="3:16" ht="11.25">
      <c r="C27" s="252" t="s">
        <v>231</v>
      </c>
      <c r="D27" s="253" t="s">
        <v>232</v>
      </c>
      <c r="E27" s="253" t="s">
        <v>233</v>
      </c>
      <c r="F27" s="253" t="s">
        <v>234</v>
      </c>
      <c r="G27" s="253" t="s">
        <v>235</v>
      </c>
      <c r="H27" s="254" t="s">
        <v>236</v>
      </c>
      <c r="I27" s="242"/>
      <c r="J27" s="242"/>
      <c r="K27" s="242"/>
      <c r="L27" s="242"/>
      <c r="M27" s="242"/>
      <c r="N27" s="242"/>
      <c r="O27" s="242"/>
      <c r="P27" s="242"/>
    </row>
    <row r="28" spans="3:16" ht="11.25">
      <c r="C28" s="242"/>
      <c r="D28" s="242"/>
      <c r="E28" s="255"/>
      <c r="F28" s="242"/>
      <c r="G28" s="242"/>
      <c r="H28" s="256"/>
      <c r="I28" s="242"/>
      <c r="J28" s="242"/>
      <c r="K28" s="242"/>
      <c r="L28" s="242"/>
      <c r="M28" s="242"/>
      <c r="N28" s="242"/>
      <c r="O28" s="242"/>
      <c r="P28" s="242"/>
    </row>
    <row r="29" spans="3:16" ht="11.25">
      <c r="C29" s="240" t="s">
        <v>255</v>
      </c>
      <c r="D29" s="257">
        <f>+D24+1</f>
        <v>6</v>
      </c>
      <c r="E29" s="258" t="s">
        <v>260</v>
      </c>
      <c r="F29" s="258" t="s">
        <v>4</v>
      </c>
      <c r="G29" s="259"/>
      <c r="H29" s="265" t="s">
        <v>244</v>
      </c>
      <c r="I29" s="242"/>
      <c r="J29" s="242"/>
      <c r="K29" s="242"/>
      <c r="L29" s="242"/>
      <c r="M29" s="242"/>
      <c r="N29" s="242"/>
      <c r="O29" s="242"/>
      <c r="P29" s="242"/>
    </row>
    <row r="30" spans="3:16" ht="11.25">
      <c r="C30" s="240" t="s">
        <v>255</v>
      </c>
      <c r="D30" s="257">
        <f>+D29+1</f>
        <v>7</v>
      </c>
      <c r="E30" s="268" t="s">
        <v>261</v>
      </c>
      <c r="F30" s="258" t="s">
        <v>4</v>
      </c>
      <c r="G30" s="259"/>
      <c r="H30" s="265" t="s">
        <v>265</v>
      </c>
      <c r="I30" s="242"/>
      <c r="J30" s="242"/>
      <c r="K30" s="242"/>
      <c r="L30" s="242"/>
      <c r="M30" s="242"/>
      <c r="N30" s="242"/>
      <c r="O30" s="242"/>
      <c r="P30" s="242"/>
    </row>
    <row r="31" spans="3:16" ht="11.25">
      <c r="C31" s="240" t="s">
        <v>255</v>
      </c>
      <c r="D31" s="257">
        <f>+D30+1</f>
        <v>8</v>
      </c>
      <c r="E31" s="268" t="s">
        <v>262</v>
      </c>
      <c r="F31" s="258" t="s">
        <v>4</v>
      </c>
      <c r="G31" s="259"/>
      <c r="H31" s="265" t="s">
        <v>266</v>
      </c>
      <c r="I31" s="242"/>
      <c r="J31" s="242"/>
      <c r="K31" s="242"/>
      <c r="L31" s="242"/>
      <c r="M31" s="242"/>
      <c r="N31" s="242"/>
      <c r="O31" s="242"/>
      <c r="P31" s="242"/>
    </row>
    <row r="32" spans="3:16" ht="11.25">
      <c r="C32" s="261"/>
      <c r="D32" s="262"/>
      <c r="E32" s="262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</row>
    <row r="33" spans="1:23" ht="11.25">
      <c r="C33" s="264"/>
      <c r="D33" s="255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</row>
    <row r="34" spans="1:23" ht="11.25">
      <c r="C34" s="252" t="s">
        <v>231</v>
      </c>
      <c r="D34" s="253" t="s">
        <v>232</v>
      </c>
      <c r="E34" s="253" t="s">
        <v>233</v>
      </c>
      <c r="F34" s="253" t="s">
        <v>234</v>
      </c>
      <c r="G34" s="253" t="s">
        <v>235</v>
      </c>
      <c r="H34" s="254" t="s">
        <v>236</v>
      </c>
      <c r="I34" s="242"/>
      <c r="J34" s="242"/>
      <c r="K34" s="242"/>
      <c r="L34" s="242"/>
      <c r="M34" s="242"/>
      <c r="N34" s="242"/>
      <c r="O34" s="242"/>
      <c r="P34" s="242"/>
    </row>
    <row r="35" spans="1:23" ht="11.25">
      <c r="C35" s="242"/>
      <c r="D35" s="242"/>
      <c r="E35" s="255"/>
      <c r="F35" s="242"/>
      <c r="G35" s="242"/>
      <c r="H35" s="256"/>
      <c r="I35" s="242"/>
      <c r="J35" s="242"/>
      <c r="K35" s="242"/>
      <c r="L35" s="242"/>
      <c r="M35" s="242"/>
      <c r="N35" s="242"/>
      <c r="O35" s="242"/>
      <c r="P35" s="242"/>
    </row>
    <row r="36" spans="1:23" ht="11.25">
      <c r="C36" s="240" t="s">
        <v>256</v>
      </c>
      <c r="D36" s="257">
        <f>+D31+1</f>
        <v>9</v>
      </c>
      <c r="E36" s="268" t="s">
        <v>249</v>
      </c>
      <c r="F36" s="258" t="s">
        <v>4</v>
      </c>
      <c r="G36" s="259"/>
      <c r="H36" s="265" t="s">
        <v>267</v>
      </c>
      <c r="I36" s="242"/>
      <c r="J36" s="242"/>
      <c r="K36" s="242"/>
      <c r="L36" s="242"/>
      <c r="M36" s="242"/>
      <c r="N36" s="242"/>
      <c r="O36" s="242"/>
      <c r="P36" s="242"/>
    </row>
    <row r="37" spans="1:23" ht="11.25">
      <c r="C37" s="240" t="s">
        <v>256</v>
      </c>
      <c r="D37" s="257">
        <f>D36+1</f>
        <v>10</v>
      </c>
      <c r="E37" s="268" t="s">
        <v>245</v>
      </c>
      <c r="F37" s="258" t="s">
        <v>4</v>
      </c>
      <c r="G37" s="259"/>
      <c r="H37" s="265" t="s">
        <v>246</v>
      </c>
      <c r="I37" s="242"/>
      <c r="J37" s="242"/>
      <c r="K37" s="242"/>
      <c r="L37" s="242"/>
      <c r="M37" s="242"/>
      <c r="N37" s="242"/>
      <c r="O37" s="242"/>
      <c r="P37" s="242"/>
    </row>
    <row r="38" spans="1:23" ht="11.25">
      <c r="C38" s="240" t="s">
        <v>256</v>
      </c>
      <c r="D38" s="257">
        <f>D37+1</f>
        <v>11</v>
      </c>
      <c r="E38" s="268" t="s">
        <v>268</v>
      </c>
      <c r="F38" s="258" t="s">
        <v>4</v>
      </c>
      <c r="G38" s="259"/>
      <c r="H38" s="265" t="s">
        <v>269</v>
      </c>
      <c r="I38" s="242"/>
      <c r="J38" s="242"/>
      <c r="K38" s="242"/>
      <c r="L38" s="242"/>
      <c r="M38" s="242"/>
      <c r="N38" s="242"/>
      <c r="O38" s="242"/>
      <c r="P38" s="242"/>
    </row>
    <row r="39" spans="1:23" ht="11.25">
      <c r="C39" s="240" t="s">
        <v>256</v>
      </c>
      <c r="D39" s="257">
        <f>D38+1</f>
        <v>12</v>
      </c>
      <c r="E39" s="268" t="s">
        <v>247</v>
      </c>
      <c r="F39" s="258" t="s">
        <v>4</v>
      </c>
      <c r="G39" s="259"/>
      <c r="H39" s="265" t="s">
        <v>248</v>
      </c>
      <c r="I39" s="242"/>
      <c r="J39" s="242"/>
      <c r="K39" s="242"/>
      <c r="L39" s="242"/>
      <c r="M39" s="242"/>
      <c r="N39" s="242"/>
      <c r="O39" s="242"/>
      <c r="P39" s="242"/>
    </row>
    <row r="40" spans="1:23" ht="11.25">
      <c r="C40" s="261"/>
      <c r="D40" s="262"/>
      <c r="E40" s="262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</row>
    <row r="41" spans="1:23" ht="11.25">
      <c r="C41" s="360"/>
      <c r="D41" s="361"/>
      <c r="E41" s="361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</row>
    <row r="42" spans="1:23" ht="11.25">
      <c r="C42" s="252" t="s">
        <v>231</v>
      </c>
      <c r="D42" s="253" t="s">
        <v>232</v>
      </c>
      <c r="E42" s="253" t="s">
        <v>233</v>
      </c>
      <c r="F42" s="253" t="s">
        <v>234</v>
      </c>
      <c r="G42" s="253" t="s">
        <v>235</v>
      </c>
      <c r="H42" s="254" t="s">
        <v>236</v>
      </c>
      <c r="I42" s="242"/>
      <c r="J42" s="242"/>
      <c r="K42" s="242"/>
      <c r="L42" s="242"/>
      <c r="M42" s="242"/>
      <c r="N42" s="242"/>
      <c r="O42" s="242"/>
      <c r="P42" s="242"/>
    </row>
    <row r="43" spans="1:23" ht="11.25">
      <c r="C43" s="242"/>
      <c r="D43" s="242"/>
      <c r="E43" s="255"/>
      <c r="F43" s="242"/>
      <c r="G43" s="242"/>
      <c r="H43" s="256"/>
      <c r="I43" s="242"/>
      <c r="J43" s="242"/>
      <c r="K43" s="242"/>
      <c r="L43" s="242"/>
      <c r="M43" s="242"/>
      <c r="N43" s="242"/>
      <c r="O43" s="242"/>
      <c r="P43" s="242"/>
    </row>
    <row r="44" spans="1:23" ht="11.25">
      <c r="C44" s="240" t="str" cm="1">
        <f t="array" aca="1" ref="C44" ca="1">SheetName('Input|UAG'!A1)</f>
        <v>Input|UAG</v>
      </c>
      <c r="D44" s="257">
        <f>+D39+1</f>
        <v>13</v>
      </c>
      <c r="E44" s="268" t="s">
        <v>27</v>
      </c>
      <c r="F44" s="258" t="s">
        <v>4</v>
      </c>
      <c r="G44" s="259"/>
      <c r="H44" s="265" t="s">
        <v>293</v>
      </c>
      <c r="I44" s="242"/>
      <c r="J44" s="242"/>
      <c r="K44" s="242"/>
      <c r="L44" s="242"/>
      <c r="M44" s="242"/>
      <c r="N44" s="242"/>
      <c r="O44" s="242"/>
      <c r="P44" s="242"/>
    </row>
    <row r="45" spans="1:23" ht="11.25">
      <c r="C45" s="240"/>
      <c r="D45" s="257"/>
      <c r="E45" s="268"/>
      <c r="F45" s="258"/>
      <c r="G45"/>
      <c r="H45" s="265"/>
      <c r="I45" s="242"/>
      <c r="J45" s="242"/>
      <c r="K45" s="242"/>
      <c r="L45" s="242"/>
      <c r="M45" s="242"/>
      <c r="N45" s="242"/>
      <c r="O45" s="242"/>
      <c r="P45" s="242"/>
    </row>
    <row r="46" spans="1:23" ht="11.25" customHeight="1">
      <c r="A46" s="233"/>
      <c r="B46" s="234" t="s">
        <v>21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7"/>
      <c r="W46" s="237"/>
    </row>
    <row r="47" spans="1:23" ht="11.25" customHeight="1"/>
    <row r="48" spans="1:2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2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</sheetData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198</v>
      </c>
      <c r="C1" s="25"/>
      <c r="D1" s="27"/>
      <c r="E1" s="27"/>
      <c r="G1" s="2"/>
      <c r="H1" s="3"/>
      <c r="I1" s="4"/>
    </row>
    <row r="2" spans="1:30" s="5" customFormat="1" ht="13.7" customHeight="1" thickBot="1">
      <c r="A2" s="31"/>
      <c r="B2" s="30" t="s">
        <v>41</v>
      </c>
      <c r="C2" s="30"/>
      <c r="D2" s="31"/>
      <c r="E2" s="31"/>
    </row>
    <row r="3" spans="1:30" s="6" customFormat="1" ht="3.2" customHeight="1"/>
    <row r="4" spans="1:30" customFormat="1" ht="12.75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>
      <c r="E5"/>
    </row>
    <row r="6" spans="1:30">
      <c r="C6" s="9" t="s">
        <v>0</v>
      </c>
      <c r="D6" s="9" t="s">
        <v>1</v>
      </c>
      <c r="E6"/>
    </row>
    <row r="7" spans="1:30">
      <c r="C7" s="179" t="s">
        <v>57</v>
      </c>
      <c r="D7" s="8" t="s">
        <v>185</v>
      </c>
      <c r="E7"/>
    </row>
    <row r="8" spans="1:30">
      <c r="C8" s="179" t="s">
        <v>35</v>
      </c>
      <c r="D8" s="8" t="s">
        <v>91</v>
      </c>
      <c r="E8"/>
    </row>
    <row r="9" spans="1:30">
      <c r="C9" s="179" t="s">
        <v>54</v>
      </c>
      <c r="D9" s="8" t="s">
        <v>191</v>
      </c>
      <c r="E9"/>
    </row>
    <row r="10" spans="1:30">
      <c r="C10" s="179" t="s">
        <v>166</v>
      </c>
      <c r="D10" s="8" t="s">
        <v>186</v>
      </c>
      <c r="E10"/>
    </row>
    <row r="11" spans="1:30">
      <c r="C11" s="179" t="s">
        <v>56</v>
      </c>
      <c r="D11" s="8" t="s">
        <v>187</v>
      </c>
      <c r="E11"/>
    </row>
    <row r="12" spans="1:30">
      <c r="C12" s="358" t="s">
        <v>291</v>
      </c>
      <c r="D12" s="8" t="s">
        <v>292</v>
      </c>
      <c r="E12"/>
    </row>
    <row r="13" spans="1:30">
      <c r="C13" s="179" t="s">
        <v>167</v>
      </c>
      <c r="D13" s="8" t="s">
        <v>188</v>
      </c>
      <c r="E13"/>
    </row>
    <row r="14" spans="1:30">
      <c r="C14" s="179" t="s">
        <v>168</v>
      </c>
      <c r="D14" s="8" t="s">
        <v>189</v>
      </c>
      <c r="E14"/>
    </row>
    <row r="15" spans="1:30">
      <c r="C15" s="179" t="s">
        <v>50</v>
      </c>
      <c r="D15" s="8" t="s">
        <v>55</v>
      </c>
      <c r="E15"/>
    </row>
    <row r="16" spans="1:30">
      <c r="C16" s="179" t="s">
        <v>25</v>
      </c>
      <c r="D16" s="8" t="s">
        <v>190</v>
      </c>
      <c r="E16"/>
    </row>
    <row r="17" spans="1:30" ht="12.75">
      <c r="C17" s="10"/>
      <c r="D17" s="7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</sheetData>
  <dataValidations count="1">
    <dataValidation type="custom" allowBlank="1" showInputMessage="1" showErrorMessage="1" sqref="C7:C11 C13:C16" xr:uid="{73EEE128-5A6A-4B61-9619-39A5DEFFE384}">
      <formula1>"&lt;0&gt;0"</formula1>
    </dataValidation>
  </dataValidations>
  <hyperlinks>
    <hyperlink ref="C13" location="'Calc|Opex forecast'!A1" display="Calc | Opex Forecast" xr:uid="{00000000-0004-0000-0100-000001000000}"/>
    <hyperlink ref="C14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2" location="'Input|UAG'!A1" display="Input|UAG" xr:uid="{A545FBD1-C23B-473D-BC68-C780BA195063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226" t="s">
        <v>226</v>
      </c>
      <c r="R1" s="28" t="s">
        <v>77</v>
      </c>
      <c r="S1" s="29" t="str">
        <f>IF(COUNTA($S$5:$S$16)=COUNTIF($S5:$S17,"OK"),"OK","Check")</f>
        <v>OK</v>
      </c>
      <c r="U1" s="181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.2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>
      <c r="C7" s="8" t="s">
        <v>59</v>
      </c>
      <c r="D7" s="16" t="s">
        <v>63</v>
      </c>
      <c r="E7" s="8"/>
      <c r="F7" s="8"/>
      <c r="G7" s="270" t="s">
        <v>225</v>
      </c>
      <c r="H7" s="8"/>
      <c r="I7" s="8"/>
      <c r="S7" s="80" t="str">
        <f>IF(COUNTBLANK($G7),"Check","Ok")</f>
        <v>Ok</v>
      </c>
    </row>
    <row r="8" spans="1:30">
      <c r="C8" s="8" t="s">
        <v>125</v>
      </c>
      <c r="D8" s="16" t="s">
        <v>64</v>
      </c>
      <c r="E8" s="8"/>
      <c r="F8" s="8"/>
      <c r="G8" s="270" t="s">
        <v>177</v>
      </c>
      <c r="H8" s="8"/>
      <c r="I8" s="8"/>
      <c r="S8" s="80" t="str">
        <f>IF(COUNTBLANK($G8),"Check","Ok")</f>
        <v>Ok</v>
      </c>
    </row>
    <row r="9" spans="1:30">
      <c r="C9" s="8" t="s">
        <v>109</v>
      </c>
      <c r="D9" s="16" t="s">
        <v>63</v>
      </c>
      <c r="E9" s="8"/>
      <c r="F9" s="8"/>
      <c r="G9" s="89">
        <v>36678</v>
      </c>
      <c r="H9" s="8"/>
      <c r="I9" s="8"/>
      <c r="S9" s="80" t="str">
        <f>IF(COUNTBLANK($G9),"Check","Ok")</f>
        <v>Ok</v>
      </c>
    </row>
    <row r="10" spans="1:30">
      <c r="C10" s="8" t="s">
        <v>183</v>
      </c>
      <c r="D10" s="16" t="s">
        <v>63</v>
      </c>
      <c r="E10" s="8"/>
      <c r="F10" s="8"/>
      <c r="G10" s="90">
        <v>2021</v>
      </c>
      <c r="H10" s="8"/>
      <c r="I10" s="8"/>
      <c r="S10" s="80" t="str">
        <f t="shared" ref="S10:S15" si="0">IF(COUNTBLANK($G10),"Check","Ok")</f>
        <v>Ok</v>
      </c>
    </row>
    <row r="11" spans="1:30">
      <c r="C11" s="8" t="s">
        <v>66</v>
      </c>
      <c r="D11" s="16" t="s">
        <v>63</v>
      </c>
      <c r="E11" s="8"/>
      <c r="F11" s="8"/>
      <c r="G11" s="90">
        <v>2024</v>
      </c>
      <c r="H11" s="8"/>
      <c r="I11" s="8"/>
      <c r="S11" s="80" t="str">
        <f t="shared" si="0"/>
        <v>Ok</v>
      </c>
    </row>
    <row r="12" spans="1:30">
      <c r="C12" s="8" t="s">
        <v>184</v>
      </c>
      <c r="D12" s="16" t="s">
        <v>63</v>
      </c>
      <c r="E12" s="8"/>
      <c r="F12" s="8"/>
      <c r="G12" s="90">
        <v>2025</v>
      </c>
      <c r="H12" s="8"/>
      <c r="I12" s="8"/>
      <c r="S12" s="80" t="str">
        <f t="shared" si="0"/>
        <v>Ok</v>
      </c>
    </row>
    <row r="13" spans="1:30">
      <c r="C13" s="8" t="s">
        <v>60</v>
      </c>
      <c r="D13" s="16" t="s">
        <v>63</v>
      </c>
      <c r="E13" s="8"/>
      <c r="F13" s="8"/>
      <c r="G13" s="90">
        <v>2026</v>
      </c>
      <c r="H13" s="8"/>
      <c r="I13" s="8"/>
      <c r="S13" s="80" t="str">
        <f t="shared" si="0"/>
        <v>Ok</v>
      </c>
    </row>
    <row r="14" spans="1:30">
      <c r="C14" s="8" t="s">
        <v>61</v>
      </c>
      <c r="D14" s="16" t="s">
        <v>63</v>
      </c>
      <c r="E14" s="8"/>
      <c r="F14" s="8"/>
      <c r="G14" s="90">
        <v>2030</v>
      </c>
      <c r="H14" s="8"/>
      <c r="I14" s="8"/>
      <c r="S14" s="80" t="str">
        <f t="shared" si="0"/>
        <v>Ok</v>
      </c>
    </row>
    <row r="15" spans="1:30">
      <c r="C15" s="8" t="s">
        <v>169</v>
      </c>
      <c r="D15" s="16" t="s">
        <v>63</v>
      </c>
      <c r="E15" s="8"/>
      <c r="F15" s="8"/>
      <c r="G15" s="90" t="s">
        <v>15</v>
      </c>
      <c r="H15" s="8"/>
      <c r="I15" s="8"/>
      <c r="S15" s="8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W14:W16">
    <cfRule type="cellIs" dxfId="237" priority="13" operator="equal">
      <formula>"Check"</formula>
    </cfRule>
    <cfRule type="cellIs" dxfId="236" priority="14" operator="equal">
      <formula>"Ok"</formula>
    </cfRule>
  </conditionalFormatting>
  <conditionalFormatting sqref="V1">
    <cfRule type="cellIs" dxfId="235" priority="3" operator="equal">
      <formula>"Check"</formula>
    </cfRule>
    <cfRule type="cellIs" dxfId="234" priority="4" operator="equal">
      <formula>"Ok"</formula>
    </cfRule>
  </conditionalFormatting>
  <conditionalFormatting sqref="S7:S15">
    <cfRule type="cellIs" dxfId="233" priority="5" operator="equal">
      <formula>"Check"</formula>
    </cfRule>
    <cfRule type="cellIs" dxfId="232" priority="6" operator="equal">
      <formula>"Ok"</formula>
    </cfRule>
  </conditionalFormatting>
  <conditionalFormatting sqref="S1">
    <cfRule type="cellIs" dxfId="231" priority="1" operator="equal">
      <formula>"Check"</formula>
    </cfRule>
    <cfRule type="cellIs" dxfId="230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12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0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S1" s="226" t="s">
        <v>226</v>
      </c>
      <c r="U1" s="28" t="s">
        <v>77</v>
      </c>
      <c r="V1" s="29" t="str">
        <f>IF(COUNTA($V$5:$V$101)=COUNTIF($V5:$V102,"OK"),"OK","Check")</f>
        <v>OK</v>
      </c>
      <c r="X1" s="181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.2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92</v>
      </c>
      <c r="E6" s="47" t="s">
        <v>123</v>
      </c>
      <c r="F6" s="47" t="s">
        <v>92</v>
      </c>
      <c r="G6" s="47" t="s">
        <v>180</v>
      </c>
      <c r="H6" s="47" t="s">
        <v>181</v>
      </c>
      <c r="I6" s="47" t="s">
        <v>123</v>
      </c>
      <c r="J6" s="47"/>
      <c r="K6" s="8"/>
      <c r="L6" s="8"/>
    </row>
    <row r="7" spans="1:33">
      <c r="C7" s="9" t="s">
        <v>7</v>
      </c>
      <c r="D7" s="50" t="s">
        <v>90</v>
      </c>
      <c r="E7" s="50" t="s">
        <v>30</v>
      </c>
      <c r="F7" s="50" t="s">
        <v>90</v>
      </c>
      <c r="G7" s="50" t="s">
        <v>179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187"/>
      <c r="G9" s="8"/>
      <c r="H9" s="112"/>
      <c r="I9" s="8"/>
      <c r="J9" s="8"/>
      <c r="K9" s="8"/>
      <c r="L9" s="8"/>
      <c r="V9" s="80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187"/>
      <c r="G10" s="8"/>
      <c r="H10" s="112"/>
      <c r="I10" s="8"/>
      <c r="J10" s="8"/>
      <c r="K10" s="8"/>
      <c r="L10" s="8"/>
      <c r="V10" s="80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187"/>
      <c r="G11" s="8"/>
      <c r="H11" s="112"/>
      <c r="I11" s="8"/>
      <c r="J11" s="8"/>
      <c r="K11" s="8"/>
      <c r="L11" s="8"/>
      <c r="V11" s="80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187"/>
      <c r="G12" s="8"/>
      <c r="H12" s="112"/>
      <c r="I12" s="72"/>
      <c r="J12" s="8"/>
      <c r="K12" s="8"/>
      <c r="L12" s="8"/>
      <c r="V12" s="80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187"/>
      <c r="G13" s="8"/>
      <c r="H13" s="112"/>
      <c r="I13" s="72"/>
      <c r="J13" s="8"/>
      <c r="K13" s="8"/>
      <c r="L13" s="8"/>
      <c r="V13" s="80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187"/>
      <c r="G14" s="8"/>
      <c r="H14" s="112"/>
      <c r="I14" s="72"/>
      <c r="J14" s="8"/>
      <c r="K14" s="8"/>
      <c r="L14" s="8"/>
      <c r="V14" s="80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187"/>
      <c r="G15" s="8"/>
      <c r="H15" s="112"/>
      <c r="I15" s="72"/>
      <c r="J15" s="8"/>
      <c r="K15" s="8"/>
      <c r="L15" s="8"/>
      <c r="V15" s="80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187"/>
      <c r="G16" s="8"/>
      <c r="H16" s="112"/>
      <c r="I16" s="72"/>
      <c r="J16" s="8"/>
      <c r="K16" s="8"/>
      <c r="L16" s="8"/>
      <c r="V16" s="80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187"/>
      <c r="G17" s="8"/>
      <c r="H17" s="112"/>
      <c r="I17" s="72"/>
      <c r="J17" s="8"/>
      <c r="K17" s="8"/>
      <c r="L17" s="8"/>
      <c r="V17" s="80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187"/>
      <c r="G18" s="8"/>
      <c r="H18" s="112"/>
      <c r="I18" s="72"/>
      <c r="J18" s="8"/>
      <c r="K18" s="8"/>
      <c r="L18" s="8"/>
      <c r="V18" s="80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187"/>
      <c r="G19" s="8"/>
      <c r="H19" s="112"/>
      <c r="I19" s="72"/>
      <c r="J19" s="8"/>
      <c r="K19" s="8"/>
      <c r="L19" s="8"/>
      <c r="V19" s="80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187"/>
      <c r="G20" s="8"/>
      <c r="H20" s="112"/>
      <c r="I20" s="72"/>
      <c r="J20" s="8"/>
      <c r="K20" s="8"/>
      <c r="L20" s="8"/>
      <c r="V20" s="80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188">
        <v>95.2</v>
      </c>
      <c r="G21" s="112"/>
      <c r="H21" s="112">
        <f>IF(F21="",IF(COUNT(G21:G$88)=0,"",IF(ISBLANK(G21),AVERAGE(H20,H22),(1+G21)*H17)),F21)</f>
        <v>95.2</v>
      </c>
      <c r="I21" s="72"/>
      <c r="J21" s="103"/>
      <c r="K21" s="8"/>
      <c r="L21" s="8"/>
      <c r="V21" s="80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188">
        <v>95.8</v>
      </c>
      <c r="G22" s="112"/>
      <c r="H22" s="112">
        <f>IF(F22="",IF(COUNT(G22:G$88)=0,"",IF(ISBLANK(G22),AVERAGE(H21,H23),(1+G22)*H18)),F22)</f>
        <v>95.8</v>
      </c>
      <c r="I22" s="72"/>
      <c r="J22" s="103"/>
      <c r="K22" s="8"/>
      <c r="L22" s="8"/>
      <c r="V22" s="80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188">
        <v>96.5</v>
      </c>
      <c r="G23" s="112"/>
      <c r="H23" s="112">
        <f>IF(F23="",IF(COUNT(G23:G$88)=0,"",IF(ISBLANK(G23),AVERAGE(H22,H24),(1+G23)*H19)),F23)</f>
        <v>96.5</v>
      </c>
      <c r="I23" s="72"/>
      <c r="J23" s="103"/>
      <c r="K23" s="8"/>
      <c r="L23" s="8"/>
      <c r="V23" s="80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188">
        <v>96.9</v>
      </c>
      <c r="G24" s="112"/>
      <c r="H24" s="112">
        <f>IF(F24="",IF(COUNT(G24:G$88)=0,"",IF(ISBLANK(G24),AVERAGE(H23,H25),(1+G24)*H20)),F24)</f>
        <v>96.9</v>
      </c>
      <c r="I24" s="72"/>
      <c r="J24" s="103"/>
      <c r="K24" s="8"/>
      <c r="L24" s="8"/>
      <c r="V24" s="80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188">
        <v>98.3</v>
      </c>
      <c r="G25" s="112"/>
      <c r="H25" s="112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3"/>
      <c r="K25" s="8"/>
      <c r="L25" s="8"/>
      <c r="V25" s="80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188">
        <v>99.2</v>
      </c>
      <c r="G26" s="112"/>
      <c r="H26" s="112">
        <f>IF(F26="",IF(COUNT(G26:G$88)=0,"",IF(ISBLANK(G26),AVERAGE(H25,H27),(1+G26)*H22)),F26)</f>
        <v>99.2</v>
      </c>
      <c r="I26" s="72">
        <f t="shared" si="1"/>
        <v>3.5490605427975108E-2</v>
      </c>
      <c r="J26" s="103"/>
      <c r="K26" s="8"/>
      <c r="L26" s="8"/>
      <c r="V26" s="80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188">
        <v>99.8</v>
      </c>
      <c r="G27" s="112"/>
      <c r="H27" s="112">
        <f>IF(F27="",IF(COUNT(G27:G$88)=0,"",IF(ISBLANK(G27),AVERAGE(H26,H28),(1+G27)*H23)),F27)</f>
        <v>99.8</v>
      </c>
      <c r="I27" s="72">
        <f t="shared" si="1"/>
        <v>3.4196891191709877E-2</v>
      </c>
      <c r="J27" s="103"/>
      <c r="K27" s="8"/>
      <c r="L27" s="8"/>
      <c r="V27" s="80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188">
        <v>99.8</v>
      </c>
      <c r="G28" s="112"/>
      <c r="H28" s="112">
        <f>IF(F28="",IF(COUNT(G28:G$88)=0,"",IF(ISBLANK(G28),AVERAGE(H27,H29),(1+G28)*H24)),F28)</f>
        <v>99.8</v>
      </c>
      <c r="I28" s="72">
        <f t="shared" si="1"/>
        <v>2.9927760577915352E-2</v>
      </c>
      <c r="J28" s="103"/>
      <c r="K28" s="8"/>
      <c r="L28" s="8"/>
      <c r="V28" s="80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188">
        <v>99.9</v>
      </c>
      <c r="G29" s="112"/>
      <c r="H29" s="112">
        <f>IF(F29="",IF(COUNT(G29:G$88)=0,"",IF(ISBLANK(G29),AVERAGE(H28,H30),(1+G29)*H25)),F29)</f>
        <v>99.9</v>
      </c>
      <c r="I29" s="72">
        <f t="shared" si="1"/>
        <v>1.6276703967446737E-2</v>
      </c>
      <c r="J29" s="103"/>
      <c r="K29" s="8"/>
      <c r="L29" s="8"/>
      <c r="V29" s="80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188">
        <v>100.4</v>
      </c>
      <c r="G30" s="112"/>
      <c r="H30" s="112">
        <f>IF(F30="",IF(COUNT(G30:G$88)=0,"",IF(ISBLANK(G30),AVERAGE(H29,H31),(1+G30)*H26)),F30)</f>
        <v>100.4</v>
      </c>
      <c r="I30" s="72">
        <f t="shared" si="1"/>
        <v>1.2096774193548487E-2</v>
      </c>
      <c r="J30" s="103"/>
      <c r="K30" s="8"/>
      <c r="L30" s="8"/>
      <c r="V30" s="80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188">
        <v>101.8</v>
      </c>
      <c r="G31" s="112"/>
      <c r="H31" s="112">
        <f>IF(F31="",IF(COUNT(G31:G$88)=0,"",IF(ISBLANK(G31),AVERAGE(H30,H32),(1+G31)*H27)),F31)</f>
        <v>101.8</v>
      </c>
      <c r="I31" s="72">
        <f t="shared" si="1"/>
        <v>2.0040080160320661E-2</v>
      </c>
      <c r="J31" s="103"/>
      <c r="K31" s="8"/>
      <c r="L31" s="8"/>
      <c r="V31" s="80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188">
        <v>102</v>
      </c>
      <c r="G32" s="112"/>
      <c r="H32" s="112">
        <f>IF(F32="",IF(COUNT(G32:G$88)=0,"",IF(ISBLANK(G32),AVERAGE(H31,H33),(1+G32)*H28)),F32)</f>
        <v>102</v>
      </c>
      <c r="I32" s="72">
        <f t="shared" si="1"/>
        <v>2.2044088176352838E-2</v>
      </c>
      <c r="J32" s="103"/>
      <c r="K32" s="8"/>
      <c r="L32" s="8"/>
      <c r="V32" s="80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188">
        <v>102.4</v>
      </c>
      <c r="G33" s="112"/>
      <c r="H33" s="112">
        <f>IF(F33="",IF(COUNT(G33:G$88)=0,"",IF(ISBLANK(G33),AVERAGE(H32,H34),(1+G33)*H29)),F33)</f>
        <v>102.4</v>
      </c>
      <c r="I33" s="72">
        <f t="shared" si="1"/>
        <v>2.5025025025025016E-2</v>
      </c>
      <c r="J33" s="103"/>
      <c r="K33" s="8"/>
      <c r="L33" s="8"/>
      <c r="V33" s="80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188">
        <v>102.8</v>
      </c>
      <c r="G34" s="112"/>
      <c r="H34" s="112">
        <f>IF(F34="",IF(COUNT(G34:G$88)=0,"",IF(ISBLANK(G34),AVERAGE(H33,H35),(1+G34)*H30)),F34)</f>
        <v>102.8</v>
      </c>
      <c r="I34" s="72">
        <f t="shared" si="1"/>
        <v>2.3904382470119501E-2</v>
      </c>
      <c r="J34" s="103"/>
      <c r="K34" s="8"/>
      <c r="L34" s="8"/>
      <c r="V34" s="80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188">
        <v>104</v>
      </c>
      <c r="G35" s="112"/>
      <c r="H35" s="112">
        <f>IF(F35="",IF(COUNT(G35:G$88)=0,"",IF(ISBLANK(G35),AVERAGE(H34,H36),(1+G35)*H31)),F35)</f>
        <v>104</v>
      </c>
      <c r="I35" s="72">
        <f t="shared" si="1"/>
        <v>2.16110019646365E-2</v>
      </c>
      <c r="J35" s="103"/>
      <c r="K35" s="8"/>
      <c r="L35" s="8"/>
      <c r="V35" s="80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188">
        <v>104.8</v>
      </c>
      <c r="G36" s="112"/>
      <c r="H36" s="112">
        <f>IF(F36="",IF(COUNT(G36:G$88)=0,"",IF(ISBLANK(G36),AVERAGE(H35,H37),(1+G36)*H32)),F36)</f>
        <v>104.8</v>
      </c>
      <c r="I36" s="72">
        <f t="shared" si="1"/>
        <v>2.7450980392156765E-2</v>
      </c>
      <c r="J36" s="103"/>
      <c r="K36" s="8"/>
      <c r="L36" s="8"/>
      <c r="V36" s="80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188">
        <v>105.4</v>
      </c>
      <c r="G37" s="112"/>
      <c r="H37" s="112">
        <f>IF(F37="",IF(COUNT(G37:G$88)=0,"",IF(ISBLANK(G37),AVERAGE(H36,H38),(1+G37)*H33)),F37)</f>
        <v>105.4</v>
      </c>
      <c r="I37" s="72">
        <f t="shared" si="1"/>
        <v>2.9296875E-2</v>
      </c>
      <c r="J37" s="103"/>
      <c r="K37" s="8"/>
      <c r="L37" s="8"/>
      <c r="V37" s="80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188">
        <v>105.9</v>
      </c>
      <c r="G38" s="112"/>
      <c r="H38" s="112">
        <f>IF(F38="",IF(COUNT(G38:G$88)=0,"",IF(ISBLANK(G38),AVERAGE(H37,H39),(1+G38)*H34)),F38)</f>
        <v>105.9</v>
      </c>
      <c r="I38" s="72">
        <f t="shared" si="1"/>
        <v>3.0155642023346418E-2</v>
      </c>
      <c r="J38" s="103"/>
      <c r="K38" s="8"/>
      <c r="L38" s="8"/>
      <c r="V38" s="80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188">
        <v>106.4</v>
      </c>
      <c r="G39" s="112"/>
      <c r="H39" s="112">
        <f>IF(F39="",IF(COUNT(G39:G$88)=0,"",IF(ISBLANK(G39),AVERAGE(H38,H40),(1+G39)*H35)),F39)</f>
        <v>106.4</v>
      </c>
      <c r="I39" s="72">
        <f t="shared" si="1"/>
        <v>2.3076923076923217E-2</v>
      </c>
      <c r="J39" s="103"/>
      <c r="K39" s="8"/>
      <c r="L39" s="8"/>
      <c r="V39" s="80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188">
        <v>106.6</v>
      </c>
      <c r="G40" s="112"/>
      <c r="H40" s="112">
        <f>IF(F40="",IF(COUNT(G40:G$88)=0,"",IF(ISBLANK(G40),AVERAGE(H39,H41),(1+G40)*H36)),F40)</f>
        <v>106.6</v>
      </c>
      <c r="I40" s="72">
        <f t="shared" si="1"/>
        <v>1.7175572519083859E-2</v>
      </c>
      <c r="J40" s="103"/>
      <c r="K40" s="8"/>
      <c r="L40" s="8"/>
      <c r="V40" s="80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188">
        <v>106.8</v>
      </c>
      <c r="G41" s="112"/>
      <c r="H41" s="112">
        <f>IF(F41="",IF(COUNT(G41:G$88)=0,"",IF(ISBLANK(G41),AVERAGE(H40,H42),(1+G41)*H37)),F41)</f>
        <v>106.8</v>
      </c>
      <c r="I41" s="72">
        <f t="shared" si="1"/>
        <v>1.3282732447817747E-2</v>
      </c>
      <c r="J41" s="103"/>
      <c r="K41" s="8"/>
      <c r="L41" s="8"/>
      <c r="V41" s="80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188">
        <v>107.5</v>
      </c>
      <c r="G42" s="112"/>
      <c r="H42" s="112">
        <f>IF(F42="",IF(COUNT(G42:G$88)=0,"",IF(ISBLANK(G42),AVERAGE(H41,H43),(1+G42)*H38)),F42)</f>
        <v>107.5</v>
      </c>
      <c r="I42" s="72">
        <f t="shared" si="1"/>
        <v>1.5108593012275628E-2</v>
      </c>
      <c r="J42" s="103"/>
      <c r="K42" s="8"/>
      <c r="L42" s="8"/>
      <c r="V42" s="80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188">
        <v>108</v>
      </c>
      <c r="G43" s="112"/>
      <c r="H43" s="112">
        <f>IF(F43="",IF(COUNT(G43:G$88)=0,"",IF(ISBLANK(G43),AVERAGE(H42,H44),(1+G43)*H39)),F43)</f>
        <v>108</v>
      </c>
      <c r="I43" s="72">
        <f t="shared" si="1"/>
        <v>1.5037593984962294E-2</v>
      </c>
      <c r="J43" s="103"/>
      <c r="K43" s="8"/>
      <c r="L43" s="8"/>
      <c r="V43" s="80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188">
        <v>108.4</v>
      </c>
      <c r="G44" s="112"/>
      <c r="H44" s="112">
        <f>IF(F44="",IF(COUNT(G44:G$88)=0,"",IF(ISBLANK(G44),AVERAGE(H43,H45),(1+G44)*H40)),F44)</f>
        <v>108.4</v>
      </c>
      <c r="I44" s="72">
        <f t="shared" si="1"/>
        <v>1.6885553470919357E-2</v>
      </c>
      <c r="J44" s="103"/>
      <c r="K44" s="8"/>
      <c r="L44" s="8"/>
      <c r="V44" s="80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188">
        <v>108.2</v>
      </c>
      <c r="G45" s="112"/>
      <c r="H45" s="112">
        <f>IF(F45="",IF(COUNT(G45:G$88)=0,"",IF(ISBLANK(G45),AVERAGE(H44,H46),(1+G45)*H41)),F45)</f>
        <v>108.2</v>
      </c>
      <c r="I45" s="72">
        <f t="shared" si="1"/>
        <v>1.3108614232209881E-2</v>
      </c>
      <c r="J45" s="103"/>
      <c r="K45" s="8"/>
      <c r="L45" s="8"/>
      <c r="V45" s="80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188">
        <v>108.6</v>
      </c>
      <c r="G46" s="112"/>
      <c r="H46" s="112">
        <f>IF(F46="",IF(COUNT(G46:G$88)=0,"",IF(ISBLANK(G46),AVERAGE(H45,H47),(1+G46)*H42)),F46)</f>
        <v>108.6</v>
      </c>
      <c r="I46" s="72">
        <f t="shared" si="1"/>
        <v>1.0232558139534831E-2</v>
      </c>
      <c r="J46" s="103"/>
      <c r="K46" s="8"/>
      <c r="L46" s="8"/>
      <c r="V46" s="80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188">
        <v>109.4</v>
      </c>
      <c r="G47" s="112"/>
      <c r="H47" s="112">
        <f>IF(F47="",IF(COUNT(G47:G$88)=0,"",IF(ISBLANK(G47),AVERAGE(H46,H48),(1+G47)*H43)),F47)</f>
        <v>109.4</v>
      </c>
      <c r="I47" s="72">
        <f t="shared" si="1"/>
        <v>1.2962962962963065E-2</v>
      </c>
      <c r="J47" s="103"/>
      <c r="K47" s="8"/>
      <c r="L47" s="8"/>
      <c r="V47" s="80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188">
        <v>110</v>
      </c>
      <c r="G48" s="112"/>
      <c r="H48" s="112">
        <f>IF(F48="",IF(COUNT(G48:G$88)=0,"",IF(ISBLANK(G48),AVERAGE(H47,H49),(1+G48)*H44)),F48)</f>
        <v>110</v>
      </c>
      <c r="I48" s="72">
        <f t="shared" si="1"/>
        <v>1.4760147601476037E-2</v>
      </c>
      <c r="J48" s="103"/>
      <c r="K48" s="8"/>
      <c r="L48" s="8"/>
      <c r="V48" s="80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188">
        <v>110.5</v>
      </c>
      <c r="G49" s="112"/>
      <c r="H49" s="112">
        <f>IF(F49="",IF(COUNT(G49:G$88)=0,"",IF(ISBLANK(G49),AVERAGE(H48,H50),(1+G49)*H45)),F49)</f>
        <v>110.5</v>
      </c>
      <c r="I49" s="72">
        <f t="shared" si="1"/>
        <v>2.1256931608133023E-2</v>
      </c>
      <c r="J49" s="103"/>
      <c r="K49" s="8"/>
      <c r="L49" s="8"/>
      <c r="V49" s="80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188">
        <v>110.7</v>
      </c>
      <c r="G50" s="112"/>
      <c r="H50" s="112">
        <f>IF(F50="",IF(COUNT(G50:G$88)=0,"",IF(ISBLANK(G50),AVERAGE(H49,H51),(1+G50)*H46)),F50)</f>
        <v>110.7</v>
      </c>
      <c r="I50" s="72">
        <f t="shared" si="1"/>
        <v>1.9337016574585641E-2</v>
      </c>
      <c r="J50" s="104"/>
      <c r="K50" s="8"/>
      <c r="L50" s="8"/>
      <c r="V50" s="80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188">
        <v>111.4</v>
      </c>
      <c r="G51" s="112"/>
      <c r="H51" s="112">
        <f>IF(F51="",IF(COUNT(G51:G$88)=0,"",IF(ISBLANK(G51),AVERAGE(H50,H52),(1+G51)*H47)),F51)</f>
        <v>111.4</v>
      </c>
      <c r="I51" s="72">
        <f t="shared" si="1"/>
        <v>1.8281535648994485E-2</v>
      </c>
      <c r="J51" s="103"/>
      <c r="K51" s="8"/>
      <c r="L51" s="8"/>
      <c r="V51" s="80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188">
        <v>112.1</v>
      </c>
      <c r="G52" s="112"/>
      <c r="H52" s="112">
        <f>IF(F52="",IF(COUNT(G52:G$88)=0,"",IF(ISBLANK(G52),AVERAGE(H51,H53),(1+G52)*H48)),F52)</f>
        <v>112.1</v>
      </c>
      <c r="I52" s="72">
        <f t="shared" si="1"/>
        <v>1.9090909090909047E-2</v>
      </c>
      <c r="J52" s="103"/>
      <c r="K52" s="8"/>
      <c r="L52" s="8"/>
      <c r="V52" s="80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188">
        <v>112.6</v>
      </c>
      <c r="G53" s="112"/>
      <c r="H53" s="112">
        <f>IF(F53="",IF(COUNT(G53:G$88)=0,"",IF(ISBLANK(G53),AVERAGE(H52,H54),(1+G53)*H49)),F53)</f>
        <v>112.6</v>
      </c>
      <c r="I53" s="72">
        <f t="shared" si="1"/>
        <v>1.9004524886877761E-2</v>
      </c>
      <c r="J53" s="103"/>
      <c r="K53" s="8"/>
      <c r="L53" s="8"/>
      <c r="V53" s="80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188">
        <v>113</v>
      </c>
      <c r="G54" s="112"/>
      <c r="H54" s="112">
        <f>IF(F54="",IF(COUNT(G54:G$88)=0,"",IF(ISBLANK(G54),AVERAGE(H53,H55),(1+G54)*H50)),F54)</f>
        <v>113</v>
      </c>
      <c r="I54" s="72">
        <f t="shared" si="1"/>
        <v>2.0776874435411097E-2</v>
      </c>
      <c r="J54" s="103"/>
      <c r="K54" s="8"/>
      <c r="L54" s="8"/>
      <c r="V54" s="80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188">
        <v>113.5</v>
      </c>
      <c r="G55" s="112"/>
      <c r="H55" s="112">
        <f>IF(F55="",IF(COUNT(G55:G$88)=0,"",IF(ISBLANK(G55),AVERAGE(H54,H56),(1+G55)*H51)),F55)</f>
        <v>113.5</v>
      </c>
      <c r="I55" s="72">
        <f t="shared" si="1"/>
        <v>1.8850987432674993E-2</v>
      </c>
      <c r="J55" s="103"/>
      <c r="K55" s="8"/>
      <c r="L55" s="8"/>
      <c r="V55" s="80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188">
        <v>114.1</v>
      </c>
      <c r="G56" s="112"/>
      <c r="H56" s="112">
        <f>IF(F56="",IF(COUNT(G56:G$88)=0,"",IF(ISBLANK(G56),AVERAGE(H55,H57),(1+G56)*H52)),F56)</f>
        <v>114.1</v>
      </c>
      <c r="I56" s="72">
        <f t="shared" si="1"/>
        <v>1.7841213202497874E-2</v>
      </c>
      <c r="J56" s="103"/>
      <c r="K56" s="8"/>
      <c r="L56" s="8"/>
      <c r="V56" s="80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188">
        <v>114.1</v>
      </c>
      <c r="G57" s="112"/>
      <c r="H57" s="112">
        <f>IF(F57="",IF(COUNT(G57:G$88)=0,"",IF(ISBLANK(G57),AVERAGE(H56,H58),(1+G57)*H53)),F57)</f>
        <v>114.1</v>
      </c>
      <c r="I57" s="72">
        <f t="shared" si="1"/>
        <v>1.3321492007104752E-2</v>
      </c>
      <c r="J57" s="103"/>
      <c r="K57" s="8"/>
      <c r="L57" s="8"/>
      <c r="V57" s="80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188">
        <v>114.8</v>
      </c>
      <c r="G58" s="112"/>
      <c r="H58" s="112">
        <f>IF(F58="",IF(COUNT(G58:G$88)=0,"",IF(ISBLANK(G58),AVERAGE(H57,H59),(1+G58)*H54)),F58)</f>
        <v>114.8</v>
      </c>
      <c r="I58" s="72">
        <f t="shared" si="1"/>
        <v>1.5929203539823078E-2</v>
      </c>
      <c r="J58" s="103"/>
      <c r="K58" s="8"/>
      <c r="L58" s="8"/>
      <c r="V58" s="80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188">
        <v>115.4</v>
      </c>
      <c r="G59" s="112"/>
      <c r="H59" s="112">
        <f>IF(F59="",IF(COUNT(G59:G$88)=0,"",IF(ISBLANK(G59),AVERAGE(H58,H60),(1+G59)*H55)),F59)</f>
        <v>115.4</v>
      </c>
      <c r="I59" s="72">
        <f t="shared" si="1"/>
        <v>1.6740088105726914E-2</v>
      </c>
      <c r="J59" s="103"/>
      <c r="K59" s="8"/>
      <c r="L59" s="8"/>
      <c r="V59" s="80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188">
        <v>116.2</v>
      </c>
      <c r="G60" s="112"/>
      <c r="H60" s="112">
        <f>IF(F60="",IF(COUNT(G60:G$88)=0,"",IF(ISBLANK(G60),AVERAGE(H59,H61),(1+G60)*H56)),F60)</f>
        <v>116.2</v>
      </c>
      <c r="I60" s="72">
        <f t="shared" si="1"/>
        <v>1.8404907975460238E-2</v>
      </c>
      <c r="J60" s="103"/>
      <c r="K60" s="8"/>
      <c r="L60" s="8"/>
      <c r="V60" s="80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188">
        <v>116.6</v>
      </c>
      <c r="G61" s="112"/>
      <c r="H61" s="112">
        <f>IF(F61="",IF(COUNT(G61:G$88)=0,"",IF(ISBLANK(G61),AVERAGE(H60,H62),(1+G61)*H57)),F61)</f>
        <v>116.6</v>
      </c>
      <c r="I61" s="72">
        <f t="shared" si="1"/>
        <v>2.1910604732690686E-2</v>
      </c>
      <c r="J61" s="103"/>
      <c r="K61" s="8"/>
      <c r="L61" s="8"/>
      <c r="V61" s="80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188">
        <v>114.4</v>
      </c>
      <c r="G62" s="112"/>
      <c r="H62" s="112">
        <f>IF(F62="",IF(COUNT(G62:G$88)=0,"",IF(ISBLANK(G62),AVERAGE(H61,H63),(1+G62)*H58)),F62)</f>
        <v>114.4</v>
      </c>
      <c r="I62" s="72">
        <f t="shared" si="1"/>
        <v>-3.4843205574912606E-3</v>
      </c>
      <c r="J62" s="103"/>
      <c r="K62" s="8"/>
      <c r="L62" s="8"/>
      <c r="V62" s="80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188">
        <v>116.2</v>
      </c>
      <c r="G63" s="112"/>
      <c r="H63" s="112">
        <f>IF(F63="",IF(COUNT(G63:G$88)=0,"",IF(ISBLANK(G63),AVERAGE(H62,H64),(1+G63)*H59)),F63)</f>
        <v>116.2</v>
      </c>
      <c r="I63" s="72">
        <f t="shared" si="1"/>
        <v>6.9324090121316573E-3</v>
      </c>
      <c r="J63" s="103"/>
      <c r="K63" s="8"/>
      <c r="L63" s="8"/>
      <c r="V63" s="80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188">
        <v>117.2</v>
      </c>
      <c r="G64" s="112"/>
      <c r="H64" s="112">
        <f>IF(F64="",IF(COUNT(G64:G$88)=0,"",IF(ISBLANK(G64),AVERAGE(H63,H65),(1+G64)*H60)),F64)</f>
        <v>117.2</v>
      </c>
      <c r="I64" s="72">
        <f t="shared" si="1"/>
        <v>8.6058519793459354E-3</v>
      </c>
      <c r="J64" s="103"/>
      <c r="K64" s="8"/>
      <c r="L64" s="8"/>
      <c r="V64" s="80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188">
        <v>117.9</v>
      </c>
      <c r="G65" s="112"/>
      <c r="H65" s="112">
        <f>IF(F65="",IF(COUNT(G65:G$88)=0,"",IF(ISBLANK(G65),AVERAGE(H64,H66),(1+G65)*H61)),F65)</f>
        <v>117.9</v>
      </c>
      <c r="I65" s="72">
        <f t="shared" si="1"/>
        <v>1.1149228130360234E-2</v>
      </c>
      <c r="J65" s="103"/>
      <c r="K65" s="8"/>
      <c r="L65" s="8"/>
      <c r="V65" s="80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188">
        <v>118.8</v>
      </c>
      <c r="G66" s="112"/>
      <c r="H66" s="112">
        <f>IF(F66="",IF(COUNT(G66:G$88)=0,"",IF(ISBLANK(G66),AVERAGE(H65,H67),(1+G66)*H62)),F66)</f>
        <v>118.8</v>
      </c>
      <c r="I66" s="72">
        <f t="shared" si="1"/>
        <v>3.8461538461538325E-2</v>
      </c>
      <c r="J66" s="103"/>
      <c r="K66" s="8"/>
      <c r="L66" s="8"/>
      <c r="V66" s="80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188">
        <v>119.7</v>
      </c>
      <c r="G67" s="112"/>
      <c r="H67" s="112">
        <f>IF(F67="",IF(COUNT(G67:G$88)=0,"",IF(ISBLANK(G67),AVERAGE(H66,H68),(1+G67)*H63)),F67)</f>
        <v>119.7</v>
      </c>
      <c r="I67" s="72">
        <f t="shared" si="1"/>
        <v>3.0120481927710774E-2</v>
      </c>
      <c r="J67" s="103"/>
      <c r="K67" s="8"/>
      <c r="L67" s="8"/>
      <c r="V67" s="80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188">
        <v>121.3</v>
      </c>
      <c r="G68" s="112"/>
      <c r="H68" s="112">
        <f>IF(F68="",IF(COUNT(G68:G$88)=0,"",IF(ISBLANK(G68),AVERAGE(H67,H69),(1+G68)*H64)),F68)</f>
        <v>121.3</v>
      </c>
      <c r="I68" s="72">
        <f t="shared" si="1"/>
        <v>3.4982935153583528E-2</v>
      </c>
      <c r="J68" s="103"/>
      <c r="K68" s="8"/>
      <c r="L68" s="8"/>
      <c r="V68" s="80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188">
        <v>123.9</v>
      </c>
      <c r="G69" s="112"/>
      <c r="H69" s="112">
        <f>IF(F69="",IF(COUNT(G69:G$88)=0,"",IF(ISBLANK(G69),AVERAGE(H68,H70),(1+G69)*H65)),F69)</f>
        <v>123.9</v>
      </c>
      <c r="I69" s="72">
        <f t="shared" si="1"/>
        <v>5.0890585241730291E-2</v>
      </c>
      <c r="J69" s="103"/>
      <c r="K69" s="8"/>
      <c r="L69" s="8"/>
      <c r="V69" s="80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188">
        <v>126.1</v>
      </c>
      <c r="G70" s="112"/>
      <c r="H70" s="112">
        <f>IF(F70="",IF(COUNT(G70:G$88)=0,"",IF(ISBLANK(G70),AVERAGE(H69,H71),(1+G70)*H66)),F70)</f>
        <v>126.1</v>
      </c>
      <c r="I70" s="72">
        <f t="shared" si="1"/>
        <v>6.1447811447811418E-2</v>
      </c>
      <c r="J70" s="111"/>
      <c r="K70" s="8"/>
      <c r="L70" s="8"/>
      <c r="V70" s="80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188">
        <v>128.4</v>
      </c>
      <c r="G71" s="112"/>
      <c r="H71" s="112">
        <f>IF(F71="",IF(COUNT(G71:G$88)=0,"",IF(ISBLANK(G71),AVERAGE(H70,H72),(1+G71)*H67)),F71)</f>
        <v>128.4</v>
      </c>
      <c r="I71" s="72">
        <f t="shared" si="1"/>
        <v>7.268170426065157E-2</v>
      </c>
      <c r="J71" s="110"/>
      <c r="K71" s="8"/>
      <c r="L71" s="8"/>
      <c r="V71" s="80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188">
        <v>130.80000000000001</v>
      </c>
      <c r="G72" s="105"/>
      <c r="H72" s="112">
        <f>IF(F72="",IF(COUNT(G72:G$88)=0,"",IF(ISBLANK(G72),AVERAGE(H71,H73),(1+G72)*H68)),F72)</f>
        <v>130.80000000000001</v>
      </c>
      <c r="I72" s="72">
        <f t="shared" si="1"/>
        <v>7.8318219291014124E-2</v>
      </c>
      <c r="J72" s="111"/>
      <c r="K72" s="8"/>
      <c r="L72" s="8"/>
      <c r="V72" s="80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188">
        <v>132.6</v>
      </c>
      <c r="G73" s="105"/>
      <c r="H73" s="112">
        <f>IF(F73="",IF(COUNT(G73:G$88)=0,"",IF(ISBLANK(G73),AVERAGE(H72,H74),(1+G73)*H69)),F73)</f>
        <v>132.6</v>
      </c>
      <c r="I73" s="72">
        <f t="shared" si="1"/>
        <v>7.0217917675544639E-2</v>
      </c>
      <c r="J73" s="103"/>
      <c r="K73" s="8"/>
      <c r="L73" s="8"/>
      <c r="V73" s="80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188">
        <v>133.69999999999999</v>
      </c>
      <c r="G74" s="105"/>
      <c r="H74" s="112">
        <f>IF(F74="",IF(COUNT(G74:G$88)=0,"",IF(ISBLANK(G74),AVERAGE(H73,H75),(1+G74)*H70)),F74)</f>
        <v>133.69999999999999</v>
      </c>
      <c r="I74" s="72">
        <f t="shared" si="1"/>
        <v>6.0269627279936566E-2</v>
      </c>
      <c r="J74" s="178"/>
      <c r="K74" s="8"/>
      <c r="L74" s="8"/>
      <c r="V74" s="80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188">
        <v>135.30000000000001</v>
      </c>
      <c r="G75" s="105"/>
      <c r="H75" s="112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3"/>
      <c r="K75" s="8"/>
      <c r="L75" s="8"/>
      <c r="V75" s="80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188">
        <v>136.1</v>
      </c>
      <c r="G76" s="105"/>
      <c r="H76" s="112">
        <f>IF(F76="",IF(COUNT(G76:G$88)=0,"",IF(ISBLANK(G76),AVERAGE(H75,H77),(1+G76)*H72)),F76)</f>
        <v>136.1</v>
      </c>
      <c r="I76" s="72">
        <f t="shared" si="2"/>
        <v>4.0519877675840865E-2</v>
      </c>
      <c r="J76" s="183"/>
      <c r="K76" s="8"/>
      <c r="L76" s="8"/>
      <c r="V76" s="80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188">
        <v>137.4</v>
      </c>
      <c r="G77" s="105"/>
      <c r="H77" s="112">
        <f>IF(F77="",IF(COUNT(G77:G$88)=0,"",IF(ISBLANK(G77),AVERAGE(H76,H78),(1+G77)*H73)),F77)</f>
        <v>137.4</v>
      </c>
      <c r="I77" s="72">
        <f t="shared" si="2"/>
        <v>3.6199095022624528E-2</v>
      </c>
      <c r="J77" s="103"/>
      <c r="K77" s="8"/>
      <c r="L77" s="8"/>
      <c r="V77" s="80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188">
        <v>138.80000000000001</v>
      </c>
      <c r="G78" s="105"/>
      <c r="H78" s="112">
        <f>IF(F78="",IF(COUNT(G78:G$88)=0,"",IF(ISBLANK(G78),AVERAGE(H77,H79),(1+G78)*H74)),F78)</f>
        <v>138.80000000000001</v>
      </c>
      <c r="I78" s="72">
        <f t="shared" si="2"/>
        <v>3.8145100972326373E-2</v>
      </c>
      <c r="J78" s="183"/>
      <c r="K78" s="8"/>
      <c r="L78" s="8"/>
      <c r="V78" s="80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188" t="s">
        <v>223</v>
      </c>
      <c r="G79" s="105"/>
      <c r="H79" s="112">
        <f>IF(F79="",IF(COUNT(G79:G$88)=0,"",IF(ISBLANK(G79),AVERAGE(H78,H80),(1+G79)*H75)),F79)</f>
        <v>139.2193</v>
      </c>
      <c r="I79" s="72">
        <f>IF(H79="","",H79/H75-1)</f>
        <v>2.8967479674796737E-2</v>
      </c>
      <c r="J79" s="103"/>
      <c r="K79" s="8"/>
      <c r="L79" s="8"/>
      <c r="V79" s="80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188" t="s">
        <v>223</v>
      </c>
      <c r="G80" s="266">
        <v>2.5999999999999999E-2</v>
      </c>
      <c r="H80" s="112">
        <f>IF(F80="",IF(COUNT(G80:G$88)=0,"",IF(ISBLANK(G80),AVERAGE(H79,H81),(1+G80)*H76)),F80)</f>
        <v>139.6386</v>
      </c>
      <c r="I80" s="72">
        <f t="shared" ref="I80:I84" si="3">IF(H80="","",H80/H76-1)</f>
        <v>2.6000000000000023E-2</v>
      </c>
      <c r="J80" s="267" t="s">
        <v>224</v>
      </c>
      <c r="K80" s="8"/>
      <c r="L80" s="8"/>
      <c r="V80" s="80" t="str">
        <f>IF(C80&gt;EOMONTH(DATE('Input|General'!$G$12,MONTH('Input|General'!$G$9),1),0),"Ok",IF(I80="","Check","Ok"))</f>
        <v>Ok</v>
      </c>
    </row>
    <row r="81" spans="3:22">
      <c r="C81" s="49">
        <v>45747</v>
      </c>
      <c r="D81" s="8"/>
      <c r="E81" s="8"/>
      <c r="F81" s="188" t="s">
        <v>223</v>
      </c>
      <c r="G81" s="105"/>
      <c r="H81" s="112">
        <f>IF(F81="",IF(COUNT(G81:G$88)=0,"",IF(ISBLANK(G81),AVERAGE(H80,H82),(1+G81)*H77)),F81)</f>
        <v>140.95429999999999</v>
      </c>
      <c r="I81" s="72">
        <f t="shared" si="3"/>
        <v>2.5868267831149705E-2</v>
      </c>
      <c r="J81" s="271"/>
      <c r="K81" s="8"/>
      <c r="L81" s="8"/>
      <c r="V81" s="80" t="str">
        <f>IF(C81&gt;EOMONTH(DATE('Input|General'!$G$12,MONTH('Input|General'!$G$9),1),0),"Ok",IF(I81="","Check","Ok"))</f>
        <v>Ok</v>
      </c>
    </row>
    <row r="82" spans="3:22">
      <c r="C82" s="49">
        <v>45838</v>
      </c>
      <c r="D82" s="8"/>
      <c r="E82" s="8"/>
      <c r="F82" s="188" t="s">
        <v>223</v>
      </c>
      <c r="G82" s="266">
        <v>2.5000000000000001E-2</v>
      </c>
      <c r="H82" s="112">
        <f>IF(F82="",IF(COUNT(G82:G$88)=0,"",IF(ISBLANK(G82),AVERAGE(H81,H83),(1+G82)*H78)),F82)</f>
        <v>142.27000000000001</v>
      </c>
      <c r="I82" s="72">
        <f t="shared" si="3"/>
        <v>2.4999999999999911E-2</v>
      </c>
      <c r="J82" s="267" t="s">
        <v>224</v>
      </c>
      <c r="K82" s="8"/>
      <c r="L82" s="8"/>
      <c r="V82" s="80" t="str">
        <f>IF(C82&gt;EOMONTH(DATE('Input|General'!$G$12,MONTH('Input|General'!$G$9),1),0),"Ok",IF(I82="","Check","Ok"))</f>
        <v>Ok</v>
      </c>
    </row>
    <row r="83" spans="3:22">
      <c r="C83" s="49">
        <v>45930</v>
      </c>
      <c r="D83" s="8"/>
      <c r="E83" s="8"/>
      <c r="F83" s="188" t="s">
        <v>223</v>
      </c>
      <c r="G83" s="105"/>
      <c r="H83" s="112">
        <f>IF(F83="",IF(COUNT(G83:G$88)=0,"",IF(ISBLANK(G83),AVERAGE(H82,H84),(1+G83)*H79)),F83)</f>
        <v>143.53761409999998</v>
      </c>
      <c r="I83" s="72">
        <f t="shared" si="3"/>
        <v>3.1018070770360007E-2</v>
      </c>
      <c r="J83" s="271"/>
      <c r="K83" s="8"/>
      <c r="L83" s="8"/>
      <c r="V83" s="80" t="str">
        <f>IF(C83&gt;EOMONTH(DATE('Input|General'!$G$12,MONTH('Input|General'!$G$9),1),0),"Ok",IF(I83="","Check","Ok"))</f>
        <v>Ok</v>
      </c>
    </row>
    <row r="84" spans="3:22">
      <c r="C84" s="49">
        <v>46022</v>
      </c>
      <c r="D84" s="8"/>
      <c r="E84" s="8"/>
      <c r="F84" s="188" t="s">
        <v>223</v>
      </c>
      <c r="G84" s="105">
        <v>3.6999999999999998E-2</v>
      </c>
      <c r="H84" s="112">
        <f>IF(F84="",IF(COUNT(G84:G$88)=0,"",IF(ISBLANK(G84),AVERAGE(H83,H85),(1+G84)*H80)),F84)</f>
        <v>144.80522819999999</v>
      </c>
      <c r="I84" s="72">
        <f t="shared" si="3"/>
        <v>3.6999999999999922E-2</v>
      </c>
      <c r="J84" s="267" t="s">
        <v>224</v>
      </c>
      <c r="K84" s="8"/>
      <c r="L84" s="8"/>
      <c r="V84" s="80" t="str">
        <f>IF(C84&gt;EOMONTH(DATE('Input|General'!$G$12,MONTH('Input|General'!$G$9),1),0),"Ok",IF(I84="","Check","Ok"))</f>
        <v>Ok</v>
      </c>
    </row>
    <row r="85" spans="3:22">
      <c r="C85" s="49">
        <v>46112</v>
      </c>
      <c r="D85" s="8"/>
      <c r="E85" s="8"/>
      <c r="F85" s="188" t="s">
        <v>223</v>
      </c>
      <c r="G85" s="105"/>
      <c r="H85" s="112">
        <f>IF(F85="",IF(COUNT(G85:G$88)=0,"",IF(ISBLANK(G85),AVERAGE(H84,H86),(1+G85)*H81)),F85)</f>
        <v>145.74279910000001</v>
      </c>
      <c r="I85" s="72">
        <f t="shared" ref="I85:I87" si="4">IF(H85="","",H85/H81-1)</f>
        <v>3.3971997306928792E-2</v>
      </c>
      <c r="J85" s="271"/>
      <c r="K85" s="8"/>
      <c r="L85" s="8"/>
      <c r="V85" s="80" t="str">
        <f>IF(C85&gt;EOMONTH(DATE('Input|General'!$G$12,MONTH('Input|General'!$G$9),1),0),"Ok",IF(I85="","Check","Ok"))</f>
        <v>Ok</v>
      </c>
    </row>
    <row r="86" spans="3:22">
      <c r="C86" s="49">
        <v>46203</v>
      </c>
      <c r="D86" s="8"/>
      <c r="E86" s="8"/>
      <c r="F86" s="188" t="s">
        <v>223</v>
      </c>
      <c r="G86" s="266">
        <v>3.1E-2</v>
      </c>
      <c r="H86" s="112">
        <f>IF(F86="",IF(COUNT(G86:G$88)=0,"",IF(ISBLANK(G86),AVERAGE(H85,H87),(1+G86)*H82)),F86)</f>
        <v>146.68037000000001</v>
      </c>
      <c r="I86" s="72">
        <f t="shared" si="4"/>
        <v>3.0999999999999917E-2</v>
      </c>
      <c r="J86" s="267" t="s">
        <v>224</v>
      </c>
      <c r="K86" s="8"/>
      <c r="L86" s="8"/>
      <c r="V86" s="80" t="str">
        <f>IF(C86&gt;EOMONTH(DATE('Input|General'!$G$12,MONTH('Input|General'!$G$9),1),0),"Ok",IF(I86="","Check","Ok"))</f>
        <v>Ok</v>
      </c>
    </row>
    <row r="87" spans="3:22">
      <c r="C87" s="49">
        <v>46295</v>
      </c>
      <c r="D87" s="8"/>
      <c r="E87" s="8"/>
      <c r="F87" s="188" t="s">
        <v>223</v>
      </c>
      <c r="G87" s="105"/>
      <c r="H87" s="112">
        <f>IF(F87="",IF(COUNT(G87:G$88)=0,"",IF(ISBLANK(G87),AVERAGE(H86,H88),(1+G87)*H83)),F87)</f>
        <v>147.55286445249999</v>
      </c>
      <c r="I87" s="72">
        <f t="shared" si="4"/>
        <v>2.7973506301300688E-2</v>
      </c>
      <c r="J87" s="271"/>
      <c r="K87" s="8"/>
      <c r="L87" s="8"/>
      <c r="V87" s="80" t="str">
        <f>IF(C87&gt;EOMONTH(DATE('Input|General'!$G$12,MONTH('Input|General'!$G$9),1),0),"Ok",IF(I87="","Check","Ok"))</f>
        <v>Ok</v>
      </c>
    </row>
    <row r="88" spans="3:22">
      <c r="C88" s="49">
        <v>46387</v>
      </c>
      <c r="D88" s="8"/>
      <c r="E88" s="8"/>
      <c r="F88" s="188" t="s">
        <v>223</v>
      </c>
      <c r="G88" s="266">
        <v>2.5000000000000001E-2</v>
      </c>
      <c r="H88" s="112">
        <f>IF(F88="",IF(COUNT(G88:G$88)=0,"",IF(ISBLANK(G88),AVERAGE(H87,H89),(1+G88)*H84)),F88)</f>
        <v>148.42535890499997</v>
      </c>
      <c r="I88" s="72">
        <f>IF(H88="","",H88/H84-1)</f>
        <v>2.4999999999999911E-2</v>
      </c>
      <c r="J88" s="267" t="s">
        <v>224</v>
      </c>
      <c r="K88" s="8"/>
      <c r="L88" s="8"/>
      <c r="V88" s="80" t="str">
        <f>IF(C88&gt;EOMONTH(DATE('Input|General'!$G$12,MONTH('Input|General'!$G$9),1),0),"Ok",IF(I88="","Check","Ok"))</f>
        <v>Ok</v>
      </c>
    </row>
    <row r="89" spans="3:22">
      <c r="C89" s="193">
        <v>46477</v>
      </c>
      <c r="D89" s="8"/>
      <c r="E89" s="8"/>
      <c r="F89" s="188" t="s">
        <v>223</v>
      </c>
      <c r="G89" s="105"/>
      <c r="H89" s="112">
        <f>IF(F89="",IF(COUNT(G$88:G89)=0,"",IF(ISBLANK(G89),AVERAGE(H88,H90),(1+G89)*H85)),F89)</f>
        <v>149.38636907749998</v>
      </c>
      <c r="I89" s="72">
        <f t="shared" ref="I89:I100" si="5">IF(H89="","",H89/H85-1)</f>
        <v>2.4999999999999689E-2</v>
      </c>
      <c r="J89" s="111"/>
      <c r="K89" s="8"/>
      <c r="L89" s="8"/>
      <c r="V89" s="192"/>
    </row>
    <row r="90" spans="3:22">
      <c r="C90" s="193">
        <v>46568</v>
      </c>
      <c r="D90" s="8"/>
      <c r="E90" s="8"/>
      <c r="F90" s="188" t="s">
        <v>223</v>
      </c>
      <c r="G90" s="105">
        <v>2.5000000000000001E-2</v>
      </c>
      <c r="H90" s="112">
        <f>IF(F90="",IF(COUNT(G$88:G90)=0,"",IF(ISBLANK(G90),AVERAGE(H89,H91),(1+G90)*H86)),F90)</f>
        <v>150.34737924999999</v>
      </c>
      <c r="I90" s="72">
        <f t="shared" si="5"/>
        <v>2.4999999999999911E-2</v>
      </c>
      <c r="J90" s="111" t="s">
        <v>216</v>
      </c>
      <c r="K90" s="8"/>
      <c r="L90" s="8"/>
      <c r="V90" s="192"/>
    </row>
    <row r="91" spans="3:22">
      <c r="C91" s="193">
        <v>46660</v>
      </c>
      <c r="D91" s="8"/>
      <c r="E91" s="8"/>
      <c r="F91" s="188" t="s">
        <v>223</v>
      </c>
      <c r="G91" s="105"/>
      <c r="H91" s="112">
        <f>IF(F91="",IF(COUNT(G$88:G91)=0,"",IF(ISBLANK(G91),AVERAGE(H90,H92),(1+G91)*H87)),F91)</f>
        <v>151.24168606381247</v>
      </c>
      <c r="I91" s="72">
        <f t="shared" si="5"/>
        <v>2.4999999999999911E-2</v>
      </c>
      <c r="J91" s="194"/>
      <c r="K91" s="8"/>
      <c r="L91" s="8"/>
      <c r="V91" s="192"/>
    </row>
    <row r="92" spans="3:22">
      <c r="C92" s="193">
        <v>46752</v>
      </c>
      <c r="D92" s="8"/>
      <c r="E92" s="8"/>
      <c r="F92" s="188" t="s">
        <v>223</v>
      </c>
      <c r="G92" s="105">
        <v>2.5000000000000001E-2</v>
      </c>
      <c r="H92" s="112">
        <f>IF(F92="",IF(COUNT(G$88:G92)=0,"",IF(ISBLANK(G92),AVERAGE(H91,H93),(1+G92)*H88)),F92)</f>
        <v>152.13599287762494</v>
      </c>
      <c r="I92" s="72">
        <f t="shared" si="5"/>
        <v>2.4999999999999911E-2</v>
      </c>
      <c r="J92" s="111" t="s">
        <v>216</v>
      </c>
      <c r="K92" s="8"/>
      <c r="L92" s="8"/>
      <c r="V92" s="192"/>
    </row>
    <row r="93" spans="3:22">
      <c r="C93" s="193">
        <v>46843</v>
      </c>
      <c r="D93" s="8"/>
      <c r="E93" s="8"/>
      <c r="F93" s="188" t="s">
        <v>223</v>
      </c>
      <c r="G93" s="105"/>
      <c r="H93" s="112">
        <f>IF(F93="",IF(COUNT(G$88:G93)=0,"",IF(ISBLANK(G93),AVERAGE(H92,H94),(1+G93)*H89)),F93)</f>
        <v>153.12102830443746</v>
      </c>
      <c r="I93" s="72">
        <f t="shared" si="5"/>
        <v>2.4999999999999911E-2</v>
      </c>
      <c r="J93" s="195"/>
      <c r="K93" s="8"/>
      <c r="L93" s="8"/>
      <c r="V93" s="192"/>
    </row>
    <row r="94" spans="3:22">
      <c r="C94" s="193">
        <v>46934</v>
      </c>
      <c r="D94" s="8"/>
      <c r="E94" s="8"/>
      <c r="F94" s="188" t="s">
        <v>223</v>
      </c>
      <c r="G94" s="105">
        <v>2.5000000000000001E-2</v>
      </c>
      <c r="H94" s="112">
        <f>IF(F94="",IF(COUNT(G$88:G94)=0,"",IF(ISBLANK(G94),AVERAGE(H93,H95),(1+G94)*H90)),F94)</f>
        <v>154.10606373124998</v>
      </c>
      <c r="I94" s="72">
        <f t="shared" si="5"/>
        <v>2.4999999999999911E-2</v>
      </c>
      <c r="J94" s="111" t="s">
        <v>216</v>
      </c>
      <c r="K94" s="8"/>
      <c r="L94" s="8"/>
      <c r="V94" s="192"/>
    </row>
    <row r="95" spans="3:22">
      <c r="C95" s="193">
        <v>47026</v>
      </c>
      <c r="D95" s="8"/>
      <c r="E95" s="8"/>
      <c r="F95" s="188" t="s">
        <v>223</v>
      </c>
      <c r="G95" s="105"/>
      <c r="H95" s="112">
        <f>IF(F95="",IF(COUNT(G$88:G95)=0,"",IF(ISBLANK(G95),AVERAGE(H94,H96),(1+G95)*H91)),F95)</f>
        <v>155.02272821540777</v>
      </c>
      <c r="I95" s="72">
        <f t="shared" si="5"/>
        <v>2.4999999999999911E-2</v>
      </c>
      <c r="J95" s="195"/>
      <c r="K95" s="8"/>
      <c r="L95" s="8"/>
      <c r="V95" s="192"/>
    </row>
    <row r="96" spans="3:22">
      <c r="C96" s="193">
        <v>47118</v>
      </c>
      <c r="D96" s="8"/>
      <c r="E96" s="8"/>
      <c r="F96" s="188" t="s">
        <v>223</v>
      </c>
      <c r="G96" s="105">
        <v>2.5000000000000001E-2</v>
      </c>
      <c r="H96" s="112">
        <f>IF(F96="",IF(COUNT(G$88:G96)=0,"",IF(ISBLANK(G96),AVERAGE(H95,H97),(1+G96)*H92)),F96)</f>
        <v>155.93939269956556</v>
      </c>
      <c r="I96" s="72">
        <f t="shared" si="5"/>
        <v>2.4999999999999911E-2</v>
      </c>
      <c r="J96" s="111" t="s">
        <v>216</v>
      </c>
      <c r="K96" s="8"/>
      <c r="L96" s="8"/>
      <c r="V96" s="192"/>
    </row>
    <row r="97" spans="1:50">
      <c r="C97" s="193">
        <v>47208</v>
      </c>
      <c r="D97" s="8"/>
      <c r="E97" s="8"/>
      <c r="F97" s="188" t="s">
        <v>223</v>
      </c>
      <c r="G97" s="105"/>
      <c r="H97" s="112">
        <f>IF(F97="",IF(COUNT(G$88:G97)=0,"",IF(ISBLANK(G97),AVERAGE(H96,H98),(1+G97)*H93)),F97)</f>
        <v>156.94905401204838</v>
      </c>
      <c r="I97" s="72">
        <f t="shared" si="5"/>
        <v>2.4999999999999911E-2</v>
      </c>
      <c r="J97" s="195"/>
      <c r="K97" s="8"/>
      <c r="L97" s="8"/>
      <c r="V97" s="192"/>
    </row>
    <row r="98" spans="1:50">
      <c r="C98" s="193">
        <v>47299</v>
      </c>
      <c r="D98" s="8"/>
      <c r="E98" s="8"/>
      <c r="F98" s="188" t="s">
        <v>223</v>
      </c>
      <c r="G98" s="105">
        <v>2.5000000000000001E-2</v>
      </c>
      <c r="H98" s="112">
        <f>IF(F98="",IF(COUNT(G$88:G98)=0,"",IF(ISBLANK(G98),AVERAGE(H97,H99),(1+G98)*H94)),F98)</f>
        <v>157.9587153245312</v>
      </c>
      <c r="I98" s="72">
        <f t="shared" si="5"/>
        <v>2.4999999999999911E-2</v>
      </c>
      <c r="J98" s="111" t="s">
        <v>216</v>
      </c>
      <c r="K98" s="8"/>
      <c r="L98" s="8"/>
      <c r="V98" s="192"/>
    </row>
    <row r="99" spans="1:50">
      <c r="C99" s="193">
        <v>47391</v>
      </c>
      <c r="D99" s="8"/>
      <c r="E99" s="8"/>
      <c r="F99" s="188" t="s">
        <v>223</v>
      </c>
      <c r="G99" s="105"/>
      <c r="H99" s="112">
        <f>IF(F99="",IF(COUNT(G$88:G99)=0,"",IF(ISBLANK(G99),AVERAGE(H98,H100),(1+G99)*H95)),F99)</f>
        <v>158.89829642079295</v>
      </c>
      <c r="I99" s="72">
        <f t="shared" si="5"/>
        <v>2.4999999999999911E-2</v>
      </c>
      <c r="J99" s="195"/>
      <c r="K99" s="8"/>
      <c r="L99" s="8"/>
      <c r="V99" s="192"/>
    </row>
    <row r="100" spans="1:50">
      <c r="C100" s="193">
        <v>47483</v>
      </c>
      <c r="D100" s="8"/>
      <c r="E100" s="8"/>
      <c r="F100" s="188" t="s">
        <v>223</v>
      </c>
      <c r="G100" s="105">
        <v>2.5000000000000001E-2</v>
      </c>
      <c r="H100" s="112">
        <f>IF(F100="",IF(COUNT(G$88:G100)=0,"",IF(ISBLANK(G100),AVERAGE(H99,H101),(1+G100)*H96)),F100)</f>
        <v>159.83787751705469</v>
      </c>
      <c r="I100" s="72">
        <f t="shared" si="5"/>
        <v>2.4999999999999911E-2</v>
      </c>
      <c r="J100" s="111" t="s">
        <v>216</v>
      </c>
      <c r="K100" s="8"/>
      <c r="L100" s="8"/>
      <c r="V100" s="192"/>
    </row>
    <row r="101" spans="1:50">
      <c r="F101" s="8"/>
      <c r="G101" s="8"/>
      <c r="H101" s="8"/>
      <c r="I101" s="8"/>
      <c r="J101" s="195"/>
      <c r="K101" s="8"/>
      <c r="L101" s="8"/>
      <c r="V101" s="81"/>
    </row>
    <row r="102" spans="1:50" customFormat="1" ht="12.75">
      <c r="A102" s="32"/>
      <c r="B102" s="38" t="s">
        <v>21</v>
      </c>
      <c r="C102" s="32"/>
      <c r="D102" s="32"/>
      <c r="E102" s="32"/>
      <c r="F102" s="32"/>
      <c r="G102" s="32"/>
      <c r="H102" s="32"/>
      <c r="I102" s="33"/>
      <c r="J102" s="33"/>
      <c r="K102" s="33"/>
      <c r="L102" s="33"/>
      <c r="M102" s="34"/>
      <c r="N102" s="35"/>
      <c r="O102" s="34"/>
      <c r="P102" s="35"/>
      <c r="Q102" s="34"/>
      <c r="R102" s="34"/>
      <c r="S102" s="34"/>
      <c r="T102" s="34"/>
      <c r="U102" s="34"/>
      <c r="V102" s="34"/>
      <c r="W102" s="34"/>
      <c r="X102" s="34"/>
      <c r="Y102" s="35"/>
      <c r="Z102" s="35"/>
      <c r="AA102" s="36"/>
      <c r="AB102" s="36"/>
      <c r="AC102" s="36"/>
      <c r="AD102" s="36"/>
      <c r="AE102" s="36"/>
      <c r="AF102" s="37"/>
      <c r="AG102" s="37"/>
    </row>
    <row r="103" spans="1:50" hidden="1">
      <c r="J103" s="20"/>
      <c r="K103" s="20"/>
    </row>
    <row r="104" spans="1:50" hidden="1">
      <c r="J104" s="20"/>
      <c r="K104" s="20"/>
    </row>
    <row r="105" spans="1:50" s="16" customFormat="1" hidden="1">
      <c r="A105" s="8"/>
      <c r="B105" s="8"/>
      <c r="C105" s="8"/>
      <c r="J105" s="20"/>
      <c r="K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s="16" customFormat="1" hidden="1">
      <c r="A106" s="8"/>
      <c r="B106" s="8"/>
      <c r="C106" s="8"/>
      <c r="J106" s="20"/>
      <c r="K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s="16" customFormat="1" hidden="1">
      <c r="A107" s="8"/>
      <c r="B107" s="8"/>
      <c r="C107" s="8"/>
      <c r="J107" s="20"/>
      <c r="K107" s="2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s="16" customFormat="1" hidden="1">
      <c r="A108" s="8"/>
      <c r="B108" s="8"/>
      <c r="C108" s="8"/>
      <c r="J108" s="20"/>
      <c r="K108" s="2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s="16" customFormat="1" hidden="1">
      <c r="A109" s="8"/>
      <c r="B109" s="8"/>
      <c r="C109" s="8"/>
      <c r="J109" s="20"/>
      <c r="K109" s="2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s="16" customFormat="1" hidden="1">
      <c r="A110" s="8"/>
      <c r="B110" s="8"/>
      <c r="C110" s="8"/>
      <c r="J110" s="20"/>
      <c r="K110" s="2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s="16" customFormat="1" hidden="1">
      <c r="A111" s="8"/>
      <c r="B111" s="8"/>
      <c r="C111" s="8"/>
      <c r="J111" s="20"/>
      <c r="K111" s="2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s="16" customFormat="1" hidden="1">
      <c r="A112" s="8"/>
      <c r="B112" s="8"/>
      <c r="C112" s="8"/>
      <c r="J112" s="20"/>
      <c r="K112" s="2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conditionalFormatting sqref="Y1">
    <cfRule type="cellIs" dxfId="229" priority="9" operator="equal">
      <formula>"Check"</formula>
    </cfRule>
    <cfRule type="cellIs" dxfId="228" priority="10" operator="equal">
      <formula>"Ok"</formula>
    </cfRule>
  </conditionalFormatting>
  <conditionalFormatting sqref="V1">
    <cfRule type="cellIs" dxfId="227" priority="7" operator="equal">
      <formula>"Check"</formula>
    </cfRule>
    <cfRule type="cellIs" dxfId="226" priority="8" operator="equal">
      <formula>"Ok"</formula>
    </cfRule>
  </conditionalFormatting>
  <conditionalFormatting sqref="G21:G79 G81 G83:G85 G87 G89:G100">
    <cfRule type="expression" dxfId="225" priority="2">
      <formula>F21=""</formula>
    </cfRule>
  </conditionalFormatting>
  <conditionalFormatting sqref="V9:V100">
    <cfRule type="cellIs" dxfId="224" priority="13" operator="equal">
      <formula>"Check"</formula>
    </cfRule>
    <cfRule type="cellIs" dxfId="223" priority="14" operator="equal">
      <formula>"Ok"</formula>
    </cfRule>
  </conditionalFormatting>
  <dataValidations count="4">
    <dataValidation type="list" allowBlank="1" showInputMessage="1" showErrorMessage="1" sqref="I101" xr:uid="{00000000-0002-0000-0300-000000000000}">
      <formula1>"Real 2010,Real 2011,Real 2012,Real 2013,Real 2014,Real 2015,Nominal"</formula1>
    </dataValidation>
    <dataValidation type="list" allowBlank="1" showInputMessage="1" showErrorMessage="1" sqref="L101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100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0" r:id="rId1" xr:uid="{F5D02EA8-6D52-4BF7-8E61-4B6EAE9F5192}"/>
    <hyperlink ref="J82" r:id="rId2" xr:uid="{DAB94B5B-84D6-4732-8C1A-DEF6E5C0AF42}"/>
    <hyperlink ref="J84" r:id="rId3" xr:uid="{C30AF973-6A7E-4DB0-A6AB-26C65CAD5470}"/>
    <hyperlink ref="J86" r:id="rId4" xr:uid="{1B931D95-389D-4B4B-9F79-C64A17A6F8B0}"/>
    <hyperlink ref="J88" r:id="rId5" xr:uid="{3EED2E13-7EC6-44AD-A617-33C34CC8A0CA}"/>
  </hyperlinks>
  <pageMargins left="0.7" right="0.7" top="0.75" bottom="0.75" header="0.3" footer="0.3"/>
  <pageSetup paperSize="9" orientation="portrait" verticalDpi="4" r:id="rId6"/>
  <customProperties>
    <customPr name="EpmWorksheetKeyString_GUID" r:id="rId7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8" width="3.33203125" customWidth="1"/>
    <col min="9" max="9" width="4.83203125" customWidth="1"/>
    <col min="10" max="20" width="10.83203125" customWidth="1"/>
    <col min="21" max="21" width="53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0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26" t="s">
        <v>226</v>
      </c>
      <c r="Q1" s="27"/>
      <c r="R1" s="28" t="s">
        <v>77</v>
      </c>
      <c r="S1" s="29" t="str">
        <f>IF(COUNTA($V$8:$V$266)=COUNTIF($V$8:$V$245,"OK"),"OK","Check")</f>
        <v>OK</v>
      </c>
      <c r="T1" s="29"/>
      <c r="U1" s="181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2"/>
      <c r="B3" s="82"/>
      <c r="C3" s="82"/>
      <c r="D3" s="83"/>
      <c r="E3" s="83"/>
      <c r="F3" s="83"/>
      <c r="G3" s="83"/>
      <c r="H3" s="83"/>
      <c r="I3" s="83"/>
      <c r="J3" s="93" t="s">
        <v>109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84"/>
      <c r="V3" s="84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1">
        <f>DATE(PPFirstYear,MONTH('Input|General'!$G$9),1)</f>
        <v>44348</v>
      </c>
      <c r="K4" s="91">
        <f>DATE(PPFirstYear+1,MONTH('Input|General'!$G$9),1)</f>
        <v>44713</v>
      </c>
      <c r="L4" s="91">
        <f>DATE(PPFirstYear+2,MONTH('Input|General'!$G$9),1)</f>
        <v>45078</v>
      </c>
      <c r="M4" s="91">
        <f>DATE(PPFirstYear+3,MONTH('Input|General'!$G$9),1)</f>
        <v>45444</v>
      </c>
      <c r="N4" s="91">
        <f>DATE(PPFirstYear+4,MONTH('Input|General'!$G$9),1)</f>
        <v>45809</v>
      </c>
      <c r="O4" s="91">
        <f>DATE(PPFirstYear+5,MONTH('Input|General'!$G$9),1)</f>
        <v>46174</v>
      </c>
      <c r="P4" s="91">
        <f>DATE(PPFirstYear+6,MONTH('Input|General'!$G$9),1)</f>
        <v>46539</v>
      </c>
      <c r="Q4" s="91">
        <f>DATE(PPFirstYear+7,MONTH('Input|General'!$G$9),1)</f>
        <v>46905</v>
      </c>
      <c r="R4" s="91">
        <f>DATE(PPFirstYear+8,MONTH('Input|General'!$G$9),1)</f>
        <v>47270</v>
      </c>
      <c r="S4" s="91">
        <f>DATE(PPFirstYear+9,MONTH('Input|General'!$G$9),1)</f>
        <v>47635</v>
      </c>
      <c r="T4" s="91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3"/>
      <c r="B8" s="38" t="s">
        <v>192</v>
      </c>
      <c r="C8" s="113"/>
      <c r="D8" s="113"/>
      <c r="E8" s="113"/>
      <c r="F8" s="114"/>
      <c r="G8" s="114"/>
      <c r="H8" s="114"/>
      <c r="I8" s="114"/>
      <c r="J8" s="115"/>
      <c r="K8" s="116"/>
      <c r="L8" s="115"/>
      <c r="M8" s="116"/>
      <c r="N8" s="115"/>
      <c r="O8" s="115"/>
      <c r="P8" s="115"/>
      <c r="Q8" s="115"/>
      <c r="R8" s="115"/>
      <c r="S8" s="115"/>
      <c r="T8" s="115"/>
      <c r="U8" s="115"/>
      <c r="V8" s="35"/>
    </row>
    <row r="9" spans="1:22">
      <c r="A9" s="117"/>
      <c r="B9" s="117"/>
      <c r="C9" s="117"/>
      <c r="D9" s="118"/>
      <c r="E9" s="118"/>
      <c r="F9" s="118"/>
      <c r="G9" s="119"/>
      <c r="H9" s="119"/>
      <c r="I9" s="118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8"/>
    </row>
    <row r="10" spans="1:22">
      <c r="A10" s="117"/>
      <c r="B10" s="117"/>
      <c r="C10" s="120" t="s">
        <v>71</v>
      </c>
      <c r="D10" s="119" t="s">
        <v>7</v>
      </c>
      <c r="E10" s="119" t="s">
        <v>8</v>
      </c>
      <c r="F10" s="119" t="s">
        <v>22</v>
      </c>
      <c r="G10" s="119"/>
      <c r="H10" s="119"/>
      <c r="I10" s="118"/>
      <c r="J10" s="121">
        <f t="shared" ref="J10:S10" si="0">IF(YEAR(J$4)&lt;=PPLastYear,J$4,"")</f>
        <v>44348</v>
      </c>
      <c r="K10" s="121">
        <f t="shared" si="0"/>
        <v>44713</v>
      </c>
      <c r="L10" s="121">
        <f t="shared" si="0"/>
        <v>45078</v>
      </c>
      <c r="M10" s="121">
        <f t="shared" si="0"/>
        <v>45444</v>
      </c>
      <c r="N10" s="121">
        <f t="shared" si="0"/>
        <v>45809</v>
      </c>
      <c r="O10" s="121" t="str">
        <f t="shared" si="0"/>
        <v/>
      </c>
      <c r="P10" s="121" t="str">
        <f t="shared" si="0"/>
        <v/>
      </c>
      <c r="Q10" s="121" t="str">
        <f t="shared" si="0"/>
        <v/>
      </c>
      <c r="R10" s="121" t="str">
        <f t="shared" si="0"/>
        <v/>
      </c>
      <c r="S10" s="121" t="str">
        <f t="shared" si="0"/>
        <v/>
      </c>
      <c r="T10" s="121"/>
      <c r="U10" s="122"/>
      <c r="V10" s="8"/>
    </row>
    <row r="11" spans="1:22">
      <c r="A11" s="117"/>
      <c r="B11" s="117"/>
      <c r="C11" s="123"/>
      <c r="D11" s="118"/>
      <c r="E11" s="118"/>
      <c r="F11" s="118"/>
      <c r="G11" s="119"/>
      <c r="H11" s="119"/>
      <c r="I11" s="118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17"/>
      <c r="V11" s="8"/>
    </row>
    <row r="12" spans="1:22">
      <c r="A12" s="117"/>
      <c r="B12" s="117"/>
      <c r="C12" s="123"/>
      <c r="D12" s="118"/>
      <c r="E12" s="118"/>
      <c r="F12" s="118"/>
      <c r="G12" s="119"/>
      <c r="H12" s="119"/>
      <c r="I12" s="118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17"/>
      <c r="V12" s="8"/>
    </row>
    <row r="13" spans="1:22">
      <c r="A13" s="117"/>
      <c r="B13" s="117"/>
      <c r="C13" s="125" t="s">
        <v>68</v>
      </c>
      <c r="D13" s="118" t="s">
        <v>64</v>
      </c>
      <c r="E13" s="118" t="str">
        <f>units</f>
        <v>$millions</v>
      </c>
      <c r="F13" s="126">
        <f>DATE(PPFirstYear-1,MONTH(month),1)</f>
        <v>43983</v>
      </c>
      <c r="G13" s="119"/>
      <c r="H13" s="119"/>
      <c r="I13" s="118"/>
      <c r="J13" s="127">
        <v>206.00415103306275</v>
      </c>
      <c r="K13" s="127">
        <v>214.911742927316</v>
      </c>
      <c r="L13" s="127">
        <v>222.01457726239664</v>
      </c>
      <c r="M13" s="127">
        <v>222.59951234345303</v>
      </c>
      <c r="N13" s="127">
        <v>226.21971960316213</v>
      </c>
      <c r="O13" s="127"/>
      <c r="P13" s="127"/>
      <c r="Q13" s="127"/>
      <c r="R13" s="127"/>
      <c r="S13" s="127"/>
      <c r="T13" s="127"/>
      <c r="U13" s="117"/>
      <c r="V13" s="64" t="str">
        <f>IF(COUNT(J13:T13)=COUNT($J$10:$T$10),"Ok","Check")</f>
        <v>Ok</v>
      </c>
    </row>
    <row r="14" spans="1:22">
      <c r="A14" s="117"/>
      <c r="B14" s="117"/>
      <c r="C14" s="123"/>
      <c r="D14" s="118"/>
      <c r="E14" s="118"/>
      <c r="F14" s="118"/>
      <c r="G14" s="119"/>
      <c r="H14" s="119"/>
      <c r="I14" s="118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17"/>
      <c r="V14" s="8"/>
    </row>
    <row r="15" spans="1:22">
      <c r="A15" s="117"/>
      <c r="B15" s="117"/>
      <c r="C15" s="128" t="s">
        <v>68</v>
      </c>
      <c r="D15" s="129" t="str">
        <f>D13</f>
        <v>AER</v>
      </c>
      <c r="E15" s="130" t="str">
        <f>E13</f>
        <v>$millions</v>
      </c>
      <c r="F15" s="130">
        <f>$F$13</f>
        <v>43983</v>
      </c>
      <c r="G15" s="119"/>
      <c r="H15" s="119"/>
      <c r="I15" s="118"/>
      <c r="J15" s="131">
        <f>J13</f>
        <v>206.00415103306275</v>
      </c>
      <c r="K15" s="131">
        <f t="shared" ref="K15:S15" si="1">K13</f>
        <v>214.911742927316</v>
      </c>
      <c r="L15" s="131">
        <f t="shared" si="1"/>
        <v>222.01457726239664</v>
      </c>
      <c r="M15" s="131">
        <f t="shared" si="1"/>
        <v>222.59951234345303</v>
      </c>
      <c r="N15" s="131">
        <f t="shared" si="1"/>
        <v>226.21971960316213</v>
      </c>
      <c r="O15" s="131">
        <f t="shared" si="1"/>
        <v>0</v>
      </c>
      <c r="P15" s="131">
        <f t="shared" si="1"/>
        <v>0</v>
      </c>
      <c r="Q15" s="131">
        <f t="shared" si="1"/>
        <v>0</v>
      </c>
      <c r="R15" s="131">
        <f t="shared" si="1"/>
        <v>0</v>
      </c>
      <c r="S15" s="131">
        <f t="shared" si="1"/>
        <v>0</v>
      </c>
      <c r="T15" s="131"/>
      <c r="U15" s="117"/>
      <c r="V15" s="8"/>
    </row>
    <row r="16" spans="1:22">
      <c r="A16" s="117"/>
      <c r="B16" s="117"/>
      <c r="C16" s="123"/>
      <c r="D16" s="118"/>
      <c r="E16" s="118"/>
      <c r="F16" s="118"/>
      <c r="G16" s="119"/>
      <c r="H16" s="119"/>
      <c r="I16" s="118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17"/>
      <c r="V16" s="8"/>
    </row>
    <row r="17" spans="1:22">
      <c r="A17" s="117"/>
      <c r="B17" s="117"/>
      <c r="C17" s="120" t="s">
        <v>193</v>
      </c>
      <c r="D17" s="118"/>
      <c r="E17" s="118"/>
      <c r="F17" s="118"/>
      <c r="G17" s="119"/>
      <c r="H17" s="119"/>
      <c r="I17" s="118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17"/>
      <c r="V17" s="8"/>
    </row>
    <row r="18" spans="1:22">
      <c r="A18" s="117"/>
      <c r="B18" s="117"/>
      <c r="C18" s="123"/>
      <c r="D18" s="118"/>
      <c r="E18" s="118"/>
      <c r="F18" s="118"/>
      <c r="G18" s="119"/>
      <c r="H18" s="119"/>
      <c r="I18" s="118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17"/>
      <c r="V18" s="8"/>
    </row>
    <row r="19" spans="1:22">
      <c r="A19" s="117"/>
      <c r="B19" s="117"/>
      <c r="C19" s="125" t="s">
        <v>199</v>
      </c>
      <c r="D19" s="118" t="s">
        <v>64</v>
      </c>
      <c r="E19" s="118" t="str">
        <f t="shared" ref="E19:E27" si="2">units</f>
        <v>$millions</v>
      </c>
      <c r="F19" s="132">
        <f>$F$13</f>
        <v>43983</v>
      </c>
      <c r="G19" s="119"/>
      <c r="H19" s="119"/>
      <c r="I19" s="118"/>
      <c r="J19" s="127">
        <v>28.737769054654699</v>
      </c>
      <c r="K19" s="127">
        <v>27.261317183497102</v>
      </c>
      <c r="L19" s="127">
        <v>29.0262426395369</v>
      </c>
      <c r="M19" s="127">
        <v>29.504944403910802</v>
      </c>
      <c r="N19" s="127">
        <v>29.090921362153999</v>
      </c>
      <c r="O19" s="127"/>
      <c r="P19" s="127"/>
      <c r="Q19" s="127"/>
      <c r="R19" s="127"/>
      <c r="S19" s="127"/>
      <c r="T19" s="127"/>
      <c r="U19" s="117"/>
      <c r="V19" s="64" t="str">
        <f>IF(ISBLANK(C19),IF(COUNT(J19:T19)=0,"Ok","Check"),IF(COUNT(J19:T19)=COUNT(J$10:T$10),"Ok","Check"))</f>
        <v>Ok</v>
      </c>
    </row>
    <row r="20" spans="1:22">
      <c r="A20" s="117"/>
      <c r="B20" s="117"/>
      <c r="C20" s="125" t="s">
        <v>200</v>
      </c>
      <c r="D20" s="118" t="s">
        <v>64</v>
      </c>
      <c r="E20" s="118" t="str">
        <f t="shared" si="2"/>
        <v>$millions</v>
      </c>
      <c r="F20" s="132">
        <f t="shared" ref="F20:F29" si="3">$F$13</f>
        <v>43983</v>
      </c>
      <c r="G20" s="119"/>
      <c r="H20" s="119"/>
      <c r="I20" s="118"/>
      <c r="J20" s="127">
        <v>4.6951952355560103</v>
      </c>
      <c r="K20" s="127">
        <v>4.6951952355560103</v>
      </c>
      <c r="L20" s="127">
        <v>4.6951952355560103</v>
      </c>
      <c r="M20" s="127">
        <v>4.6951952355560103</v>
      </c>
      <c r="N20" s="127">
        <v>4.6951952355560103</v>
      </c>
      <c r="O20" s="189"/>
      <c r="P20" s="127"/>
      <c r="Q20" s="127"/>
      <c r="R20" s="127"/>
      <c r="S20" s="127"/>
      <c r="T20" s="127"/>
      <c r="U20" s="117"/>
      <c r="V20" s="64" t="str">
        <f>IF(ISBLANK(C20),IF(COUNT(J20:T20)=0,"Ok","Check"),IF(COUNT(J20:T20)=COUNT(J$10:T$10),"Ok","Check"))</f>
        <v>Ok</v>
      </c>
    </row>
    <row r="21" spans="1:22">
      <c r="A21" s="117"/>
      <c r="B21" s="117"/>
      <c r="C21" s="125" t="s">
        <v>39</v>
      </c>
      <c r="D21" s="118" t="s">
        <v>64</v>
      </c>
      <c r="E21" s="118" t="str">
        <f t="shared" si="2"/>
        <v>$millions</v>
      </c>
      <c r="F21" s="132">
        <f t="shared" si="3"/>
        <v>43983</v>
      </c>
      <c r="G21" s="119"/>
      <c r="H21" s="119"/>
      <c r="I21" s="118"/>
      <c r="J21" s="127">
        <v>1.6908102494060799</v>
      </c>
      <c r="K21" s="127">
        <v>1.7147080342749199</v>
      </c>
      <c r="L21" s="127">
        <v>1.7323636446867001</v>
      </c>
      <c r="M21" s="127">
        <v>1.7367767304982</v>
      </c>
      <c r="N21" s="127">
        <v>1.73366700859212</v>
      </c>
      <c r="O21" s="127"/>
      <c r="P21" s="127"/>
      <c r="Q21" s="127"/>
      <c r="R21" s="127"/>
      <c r="S21" s="127"/>
      <c r="T21" s="127"/>
      <c r="U21" s="117"/>
      <c r="V21" s="64" t="str">
        <f t="shared" ref="V21:V27" si="4">IF(ISBLANK(C21),IF(COUNT(J21:T21)=0,"Ok","Check"),IF(COUNT(J21:T21)=COUNT(J$10:T$10),"Ok","Check"))</f>
        <v>Ok</v>
      </c>
    </row>
    <row r="22" spans="1:22">
      <c r="A22" s="117"/>
      <c r="B22" s="117"/>
      <c r="C22" s="125"/>
      <c r="D22" s="118" t="s">
        <v>64</v>
      </c>
      <c r="E22" s="118" t="str">
        <f t="shared" si="2"/>
        <v>$millions</v>
      </c>
      <c r="F22" s="132">
        <f t="shared" si="3"/>
        <v>43983</v>
      </c>
      <c r="G22" s="119"/>
      <c r="H22" s="119"/>
      <c r="I22" s="118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7"/>
      <c r="V22" s="64" t="str">
        <f t="shared" si="4"/>
        <v>Ok</v>
      </c>
    </row>
    <row r="23" spans="1:22">
      <c r="A23" s="117"/>
      <c r="B23" s="117"/>
      <c r="C23" s="125"/>
      <c r="D23" s="118" t="s">
        <v>64</v>
      </c>
      <c r="E23" s="118" t="str">
        <f t="shared" si="2"/>
        <v>$millions</v>
      </c>
      <c r="F23" s="132">
        <f t="shared" si="3"/>
        <v>43983</v>
      </c>
      <c r="G23" s="119"/>
      <c r="H23" s="119"/>
      <c r="I23" s="118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17"/>
      <c r="V23" s="64" t="str">
        <f t="shared" si="4"/>
        <v>Ok</v>
      </c>
    </row>
    <row r="24" spans="1:22">
      <c r="A24" s="117"/>
      <c r="B24" s="117"/>
      <c r="C24" s="125"/>
      <c r="D24" s="118" t="s">
        <v>64</v>
      </c>
      <c r="E24" s="118" t="str">
        <f t="shared" si="2"/>
        <v>$millions</v>
      </c>
      <c r="F24" s="132">
        <f t="shared" si="3"/>
        <v>43983</v>
      </c>
      <c r="G24" s="119"/>
      <c r="H24" s="119"/>
      <c r="I24" s="118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17"/>
      <c r="V24" s="64" t="str">
        <f t="shared" si="4"/>
        <v>Ok</v>
      </c>
    </row>
    <row r="25" spans="1:22">
      <c r="A25" s="117"/>
      <c r="B25" s="117"/>
      <c r="C25" s="125"/>
      <c r="D25" s="118" t="s">
        <v>64</v>
      </c>
      <c r="E25" s="118" t="str">
        <f t="shared" si="2"/>
        <v>$millions</v>
      </c>
      <c r="F25" s="132">
        <f t="shared" si="3"/>
        <v>43983</v>
      </c>
      <c r="G25" s="119"/>
      <c r="H25" s="119"/>
      <c r="I25" s="118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17"/>
      <c r="V25" s="64" t="str">
        <f t="shared" si="4"/>
        <v>Ok</v>
      </c>
    </row>
    <row r="26" spans="1:22">
      <c r="A26" s="117"/>
      <c r="B26" s="117"/>
      <c r="C26" s="125"/>
      <c r="D26" s="118" t="s">
        <v>64</v>
      </c>
      <c r="E26" s="118" t="str">
        <f t="shared" si="2"/>
        <v>$millions</v>
      </c>
      <c r="F26" s="132">
        <f t="shared" si="3"/>
        <v>43983</v>
      </c>
      <c r="G26" s="119"/>
      <c r="H26" s="119"/>
      <c r="I26" s="118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17"/>
      <c r="V26" s="64" t="str">
        <f t="shared" si="4"/>
        <v>Ok</v>
      </c>
    </row>
    <row r="27" spans="1:22">
      <c r="A27" s="117"/>
      <c r="B27" s="117"/>
      <c r="C27" s="125"/>
      <c r="D27" s="118" t="s">
        <v>64</v>
      </c>
      <c r="E27" s="118" t="str">
        <f t="shared" si="2"/>
        <v>$millions</v>
      </c>
      <c r="F27" s="132">
        <f t="shared" si="3"/>
        <v>43983</v>
      </c>
      <c r="G27" s="119"/>
      <c r="H27" s="119"/>
      <c r="I27" s="118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17"/>
      <c r="V27" s="64" t="str">
        <f t="shared" si="4"/>
        <v>Ok</v>
      </c>
    </row>
    <row r="28" spans="1:22">
      <c r="A28" s="117"/>
      <c r="B28" s="117"/>
      <c r="C28" s="123"/>
      <c r="D28" s="118"/>
      <c r="E28" s="118"/>
      <c r="F28" s="118"/>
      <c r="G28" s="119"/>
      <c r="H28" s="119"/>
      <c r="I28" s="118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17"/>
      <c r="V28" s="8"/>
    </row>
    <row r="29" spans="1:22">
      <c r="A29" s="117"/>
      <c r="B29" s="117"/>
      <c r="C29" s="128" t="s">
        <v>145</v>
      </c>
      <c r="D29" s="129" t="s">
        <v>30</v>
      </c>
      <c r="E29" s="133" t="str">
        <f>units</f>
        <v>$millions</v>
      </c>
      <c r="F29" s="130">
        <f t="shared" si="3"/>
        <v>43983</v>
      </c>
      <c r="G29" s="119"/>
      <c r="H29" s="119"/>
      <c r="I29" s="118"/>
      <c r="J29" s="131">
        <f>SUM(J19:J27)</f>
        <v>35.123774539616782</v>
      </c>
      <c r="K29" s="131">
        <f>SUM(K19:K27)</f>
        <v>33.671220453328033</v>
      </c>
      <c r="L29" s="131">
        <f>SUM(L19:L27)</f>
        <v>35.45380151977961</v>
      </c>
      <c r="M29" s="131">
        <f>SUM(M19:M27)</f>
        <v>35.936916369965012</v>
      </c>
      <c r="N29" s="131">
        <f>SUM(N19:N27)</f>
        <v>35.519783606302127</v>
      </c>
      <c r="O29" s="131">
        <f t="shared" ref="O29:S29" si="5">SUM(O19:O27)</f>
        <v>0</v>
      </c>
      <c r="P29" s="131">
        <f t="shared" si="5"/>
        <v>0</v>
      </c>
      <c r="Q29" s="131">
        <f t="shared" si="5"/>
        <v>0</v>
      </c>
      <c r="R29" s="131">
        <f t="shared" si="5"/>
        <v>0</v>
      </c>
      <c r="S29" s="131">
        <f t="shared" si="5"/>
        <v>0</v>
      </c>
      <c r="T29" s="131"/>
      <c r="U29" s="117"/>
      <c r="V29" s="64"/>
    </row>
    <row r="30" spans="1:22">
      <c r="A30" s="117"/>
      <c r="B30" s="117"/>
      <c r="C30" s="117"/>
      <c r="D30" s="118"/>
      <c r="E30" s="118"/>
      <c r="F30" s="118"/>
      <c r="G30" s="119"/>
      <c r="H30" s="119"/>
      <c r="I30" s="118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8"/>
    </row>
    <row r="31" spans="1:22" ht="12.75">
      <c r="A31" s="113"/>
      <c r="B31" s="38" t="s">
        <v>54</v>
      </c>
      <c r="C31" s="113"/>
      <c r="D31" s="113"/>
      <c r="E31" s="113"/>
      <c r="F31" s="114"/>
      <c r="G31" s="114"/>
      <c r="H31" s="114"/>
      <c r="I31" s="114"/>
      <c r="J31" s="115"/>
      <c r="K31" s="116"/>
      <c r="L31" s="115"/>
      <c r="M31" s="116"/>
      <c r="N31" s="115"/>
      <c r="O31" s="115"/>
      <c r="P31" s="115"/>
      <c r="Q31" s="115"/>
      <c r="R31" s="115"/>
      <c r="S31" s="115"/>
      <c r="T31" s="115"/>
      <c r="U31" s="115"/>
      <c r="V31" s="35"/>
    </row>
    <row r="32" spans="1:22">
      <c r="A32" s="117"/>
      <c r="B32" s="117"/>
      <c r="C32" s="117"/>
      <c r="D32" s="118"/>
      <c r="E32" s="118"/>
      <c r="F32" s="118"/>
      <c r="G32" s="118"/>
      <c r="H32" s="118"/>
      <c r="I32" s="118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"/>
    </row>
    <row r="33" spans="1:22">
      <c r="A33" s="117"/>
      <c r="B33" s="117"/>
      <c r="C33" s="117"/>
      <c r="D33" s="118"/>
      <c r="E33" s="118"/>
      <c r="F33" s="118"/>
      <c r="G33" s="118"/>
      <c r="H33" s="118"/>
      <c r="I33" s="118"/>
      <c r="J33" s="127" t="s">
        <v>23</v>
      </c>
      <c r="K33" s="127" t="s">
        <v>23</v>
      </c>
      <c r="L33" s="127" t="s">
        <v>23</v>
      </c>
      <c r="M33" s="127" t="s">
        <v>69</v>
      </c>
      <c r="N33" s="127" t="s">
        <v>69</v>
      </c>
      <c r="O33" s="127"/>
      <c r="P33" s="127"/>
      <c r="Q33" s="127"/>
      <c r="R33" s="127"/>
      <c r="S33" s="127"/>
      <c r="T33" s="127"/>
      <c r="U33" s="117"/>
      <c r="V33" s="8"/>
    </row>
    <row r="34" spans="1:22">
      <c r="A34" s="117"/>
      <c r="B34" s="117"/>
      <c r="C34" s="120" t="s">
        <v>71</v>
      </c>
      <c r="D34" s="119" t="s">
        <v>7</v>
      </c>
      <c r="E34" s="119" t="s">
        <v>8</v>
      </c>
      <c r="F34" s="119" t="s">
        <v>22</v>
      </c>
      <c r="G34" s="119"/>
      <c r="H34" s="119"/>
      <c r="I34" s="119"/>
      <c r="J34" s="121">
        <f t="shared" ref="J34:S34" si="6">IF(YEAR(J$4)&lt;=PPLastYear,J$4,"")</f>
        <v>44348</v>
      </c>
      <c r="K34" s="121">
        <f t="shared" si="6"/>
        <v>44713</v>
      </c>
      <c r="L34" s="121">
        <f t="shared" si="6"/>
        <v>45078</v>
      </c>
      <c r="M34" s="121">
        <f t="shared" si="6"/>
        <v>45444</v>
      </c>
      <c r="N34" s="121">
        <f t="shared" si="6"/>
        <v>45809</v>
      </c>
      <c r="O34" s="121" t="str">
        <f t="shared" si="6"/>
        <v/>
      </c>
      <c r="P34" s="121" t="str">
        <f t="shared" si="6"/>
        <v/>
      </c>
      <c r="Q34" s="121" t="str">
        <f t="shared" si="6"/>
        <v/>
      </c>
      <c r="R34" s="121" t="str">
        <f t="shared" si="6"/>
        <v/>
      </c>
      <c r="S34" s="121" t="str">
        <f t="shared" si="6"/>
        <v/>
      </c>
      <c r="T34" s="121"/>
      <c r="U34" s="122"/>
      <c r="V34" s="8"/>
    </row>
    <row r="35" spans="1:22">
      <c r="A35" s="117"/>
      <c r="B35" s="117"/>
      <c r="C35" s="123"/>
      <c r="D35" s="118"/>
      <c r="E35" s="118"/>
      <c r="F35" s="118"/>
      <c r="G35" s="119"/>
      <c r="H35" s="119"/>
      <c r="I35" s="118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8"/>
    </row>
    <row r="36" spans="1:22">
      <c r="A36" s="117"/>
      <c r="B36" s="117"/>
      <c r="C36" s="123"/>
      <c r="D36" s="118"/>
      <c r="E36" s="118"/>
      <c r="F36" s="118"/>
      <c r="G36" s="119"/>
      <c r="H36" s="119"/>
      <c r="I36" s="118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8"/>
    </row>
    <row r="37" spans="1:22">
      <c r="A37" s="117"/>
      <c r="B37" s="117"/>
      <c r="C37" s="125" t="s">
        <v>68</v>
      </c>
      <c r="D37" s="118" t="s">
        <v>70</v>
      </c>
      <c r="E37" s="118" t="str">
        <f>units</f>
        <v>$millions</v>
      </c>
      <c r="F37" s="132" t="s">
        <v>95</v>
      </c>
      <c r="G37" s="119"/>
      <c r="H37" s="119"/>
      <c r="I37" s="118"/>
      <c r="J37" s="272">
        <v>165.92217846833884</v>
      </c>
      <c r="K37" s="272">
        <v>174.42248164000014</v>
      </c>
      <c r="L37" s="272">
        <v>225.01939337000007</v>
      </c>
      <c r="M37" s="273">
        <v>256.54889974999998</v>
      </c>
      <c r="N37" s="127"/>
      <c r="O37" s="127"/>
      <c r="P37" s="127"/>
      <c r="Q37" s="127"/>
      <c r="R37" s="127"/>
      <c r="S37" s="127"/>
      <c r="T37" s="127"/>
      <c r="U37" s="117"/>
      <c r="V37" s="64" t="str">
        <f>IF(AND(COUNT(J37:T37)&gt;=COUNTIF($J$33:$T$33,"Actual"),COUNT(J37:T37)&lt;=COUNT($J$34:$T$34)),"Ok","Check")</f>
        <v>Ok</v>
      </c>
    </row>
    <row r="38" spans="1:22">
      <c r="A38" s="117"/>
      <c r="B38" s="117"/>
      <c r="C38" s="123"/>
      <c r="D38" s="118"/>
      <c r="E38" s="118"/>
      <c r="F38" s="132"/>
      <c r="G38" s="119"/>
      <c r="H38" s="119"/>
      <c r="I38" s="118"/>
      <c r="J38" s="272"/>
      <c r="K38" s="272"/>
      <c r="L38" s="272"/>
      <c r="M38" s="272"/>
      <c r="N38" s="127"/>
      <c r="O38" s="127"/>
      <c r="P38" s="127"/>
      <c r="Q38" s="127"/>
      <c r="R38" s="127"/>
      <c r="S38" s="127"/>
      <c r="T38" s="127"/>
      <c r="U38" s="117"/>
      <c r="V38" s="8"/>
    </row>
    <row r="39" spans="1:22">
      <c r="A39" s="117"/>
      <c r="B39" s="117"/>
      <c r="C39" s="120" t="s">
        <v>155</v>
      </c>
      <c r="D39" s="118"/>
      <c r="E39" s="118"/>
      <c r="F39" s="132"/>
      <c r="G39" s="119"/>
      <c r="H39" s="119"/>
      <c r="I39" s="118"/>
      <c r="J39" s="272"/>
      <c r="K39" s="272"/>
      <c r="L39" s="272"/>
      <c r="M39" s="272"/>
      <c r="N39" s="127"/>
      <c r="O39" s="127"/>
      <c r="P39" s="127"/>
      <c r="Q39" s="127"/>
      <c r="R39" s="127"/>
      <c r="S39" s="127"/>
      <c r="T39" s="127"/>
      <c r="U39" s="117"/>
      <c r="V39" s="8"/>
    </row>
    <row r="40" spans="1:22">
      <c r="A40" s="117"/>
      <c r="B40" s="117"/>
      <c r="C40" s="120"/>
      <c r="D40" s="118"/>
      <c r="E40" s="118"/>
      <c r="F40" s="132"/>
      <c r="G40" s="119"/>
      <c r="H40" s="119"/>
      <c r="I40" s="118"/>
      <c r="J40" s="272"/>
      <c r="K40" s="272"/>
      <c r="L40" s="272"/>
      <c r="M40" s="272"/>
      <c r="N40" s="127"/>
      <c r="O40" s="127"/>
      <c r="P40" s="127"/>
      <c r="Q40" s="127"/>
      <c r="R40" s="127"/>
      <c r="S40" s="127"/>
      <c r="T40" s="127"/>
      <c r="U40" s="117"/>
      <c r="V40" s="8"/>
    </row>
    <row r="41" spans="1:22">
      <c r="A41" s="117"/>
      <c r="B41" s="117"/>
      <c r="C41" s="202" t="s">
        <v>208</v>
      </c>
      <c r="D41" s="118" t="s">
        <v>70</v>
      </c>
      <c r="E41" s="118" t="str">
        <f>units</f>
        <v>$millions</v>
      </c>
      <c r="F41" s="132" t="s">
        <v>95</v>
      </c>
      <c r="G41" s="119"/>
      <c r="H41" s="119"/>
      <c r="I41" s="118"/>
      <c r="J41" s="274">
        <v>0</v>
      </c>
      <c r="K41" s="274">
        <v>5.8825159999999999</v>
      </c>
      <c r="L41" s="274">
        <v>1.7617033200000001</v>
      </c>
      <c r="M41" s="275">
        <v>2.01704941044314</v>
      </c>
      <c r="N41" s="276"/>
      <c r="O41" s="189"/>
      <c r="P41" s="127"/>
      <c r="Q41" s="127"/>
      <c r="R41" s="127"/>
      <c r="S41" s="127"/>
      <c r="T41" s="127"/>
      <c r="U41" s="117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17"/>
      <c r="B42" s="117"/>
      <c r="C42" s="202" t="s">
        <v>207</v>
      </c>
      <c r="D42" s="118" t="s">
        <v>70</v>
      </c>
      <c r="E42" s="118" t="str">
        <f>units</f>
        <v>$millions</v>
      </c>
      <c r="F42" s="132" t="s">
        <v>95</v>
      </c>
      <c r="G42" s="119"/>
      <c r="H42" s="119"/>
      <c r="I42" s="118"/>
      <c r="J42" s="275">
        <v>11.336128037475689</v>
      </c>
      <c r="K42" s="275">
        <v>12.245754498598259</v>
      </c>
      <c r="L42" s="275">
        <v>13.416540689424977</v>
      </c>
      <c r="M42" s="275">
        <v>16.753371711268557</v>
      </c>
      <c r="N42" s="276"/>
      <c r="O42" s="127"/>
      <c r="P42" s="127"/>
      <c r="Q42" s="127"/>
      <c r="R42" s="127"/>
      <c r="S42" s="127"/>
      <c r="T42" s="127"/>
      <c r="U42" s="1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17"/>
      <c r="B43" s="117"/>
      <c r="C43" s="202" t="s">
        <v>201</v>
      </c>
      <c r="D43" s="118" t="s">
        <v>70</v>
      </c>
      <c r="E43" s="118" t="str">
        <f>units</f>
        <v>$millions</v>
      </c>
      <c r="F43" s="132" t="s">
        <v>95</v>
      </c>
      <c r="G43" s="119"/>
      <c r="H43" s="119"/>
      <c r="I43" s="118"/>
      <c r="J43" s="274">
        <v>-8.5065209999999614E-2</v>
      </c>
      <c r="K43" s="274">
        <v>0.29392771999999995</v>
      </c>
      <c r="L43" s="274">
        <v>-1.02486568</v>
      </c>
      <c r="M43" s="275">
        <v>-0.69580334999999971</v>
      </c>
      <c r="N43" s="276"/>
      <c r="O43" s="200"/>
      <c r="P43" s="127"/>
      <c r="Q43" s="127"/>
      <c r="R43" s="127"/>
      <c r="S43" s="127"/>
      <c r="T43" s="127"/>
      <c r="U43" s="117"/>
      <c r="V43" s="64" t="str">
        <f t="shared" si="7"/>
        <v>Ok</v>
      </c>
    </row>
    <row r="44" spans="1:22">
      <c r="A44" s="117"/>
      <c r="B44" s="117"/>
      <c r="C44" s="125"/>
      <c r="D44" s="118" t="s">
        <v>70</v>
      </c>
      <c r="E44" s="118" t="str">
        <f>units</f>
        <v>$millions</v>
      </c>
      <c r="F44" s="132" t="s">
        <v>95</v>
      </c>
      <c r="G44" s="119"/>
      <c r="H44" s="119"/>
      <c r="I44" s="118"/>
      <c r="J44" s="277"/>
      <c r="K44" s="277"/>
      <c r="L44" s="277"/>
      <c r="M44" s="277"/>
      <c r="N44" s="276"/>
      <c r="O44" s="127"/>
      <c r="P44" s="127"/>
      <c r="Q44" s="127"/>
      <c r="R44" s="127"/>
      <c r="S44" s="127"/>
      <c r="T44" s="127"/>
      <c r="U44" s="117"/>
      <c r="V44" s="64" t="str">
        <f t="shared" si="7"/>
        <v>Ok</v>
      </c>
    </row>
    <row r="45" spans="1:22">
      <c r="A45" s="117"/>
      <c r="B45" s="117"/>
      <c r="C45" s="125"/>
      <c r="D45" s="118" t="s">
        <v>70</v>
      </c>
      <c r="E45" s="118" t="str">
        <f>units</f>
        <v>$millions</v>
      </c>
      <c r="F45" s="132" t="s">
        <v>95</v>
      </c>
      <c r="G45" s="119"/>
      <c r="H45" s="119"/>
      <c r="I45" s="118"/>
      <c r="J45" s="277"/>
      <c r="K45" s="277"/>
      <c r="L45" s="277"/>
      <c r="M45" s="277"/>
      <c r="N45" s="276"/>
      <c r="O45" s="127"/>
      <c r="P45" s="127"/>
      <c r="Q45" s="127"/>
      <c r="R45" s="127"/>
      <c r="S45" s="127"/>
      <c r="T45" s="127"/>
      <c r="U45" s="117"/>
      <c r="V45" s="64" t="str">
        <f t="shared" si="7"/>
        <v>Ok</v>
      </c>
    </row>
    <row r="46" spans="1:22">
      <c r="A46" s="117"/>
      <c r="B46" s="117"/>
      <c r="C46" s="123"/>
      <c r="D46" s="118"/>
      <c r="E46" s="118"/>
      <c r="F46" s="118"/>
      <c r="G46" s="119"/>
      <c r="H46" s="119"/>
      <c r="I46" s="118"/>
      <c r="J46" s="117"/>
      <c r="K46" s="117"/>
      <c r="L46" s="117"/>
      <c r="M46" s="117"/>
      <c r="N46" s="134"/>
      <c r="O46" s="134"/>
      <c r="P46" s="134"/>
      <c r="Q46" s="134"/>
      <c r="R46" s="134"/>
      <c r="S46" s="134"/>
      <c r="T46" s="134"/>
      <c r="U46" s="117"/>
      <c r="V46" s="8"/>
    </row>
    <row r="47" spans="1:22">
      <c r="A47" s="117"/>
      <c r="B47" s="117"/>
      <c r="C47" s="128" t="s">
        <v>153</v>
      </c>
      <c r="D47" s="129" t="s">
        <v>30</v>
      </c>
      <c r="E47" s="133" t="str">
        <f>units</f>
        <v>$millions</v>
      </c>
      <c r="F47" s="130" t="s">
        <v>95</v>
      </c>
      <c r="G47" s="119"/>
      <c r="H47" s="119"/>
      <c r="I47" s="118"/>
      <c r="J47" s="131">
        <f>J37-SUM(J41:J45)</f>
        <v>154.67111564086315</v>
      </c>
      <c r="K47" s="131">
        <f>K37-SUM(K41:K45)</f>
        <v>156.00028342140189</v>
      </c>
      <c r="L47" s="131">
        <f>L37-SUM(L41:L45)</f>
        <v>210.86601504057509</v>
      </c>
      <c r="M47" s="207">
        <f>M37-SUM(M41:M45)</f>
        <v>238.47428197828827</v>
      </c>
      <c r="N47" s="131">
        <f>N37-SUM(N41:N45)</f>
        <v>0</v>
      </c>
      <c r="O47" s="131">
        <f t="shared" ref="O47:S47" si="8">O37-SUM(O41:O45)</f>
        <v>0</v>
      </c>
      <c r="P47" s="131">
        <f t="shared" si="8"/>
        <v>0</v>
      </c>
      <c r="Q47" s="131">
        <f t="shared" si="8"/>
        <v>0</v>
      </c>
      <c r="R47" s="131">
        <f t="shared" si="8"/>
        <v>0</v>
      </c>
      <c r="S47" s="131">
        <f t="shared" si="8"/>
        <v>0</v>
      </c>
      <c r="T47" s="131"/>
      <c r="U47" s="117"/>
      <c r="V47" s="8"/>
    </row>
    <row r="48" spans="1:22">
      <c r="A48" s="117"/>
      <c r="B48" s="117"/>
      <c r="C48" s="117"/>
      <c r="D48" s="118"/>
      <c r="E48" s="118"/>
      <c r="F48" s="118"/>
      <c r="G48" s="118"/>
      <c r="H48" s="118"/>
      <c r="I48" s="118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8"/>
    </row>
    <row r="49" spans="1:22">
      <c r="A49" s="117"/>
      <c r="B49" s="117"/>
      <c r="C49" s="120" t="s">
        <v>103</v>
      </c>
      <c r="D49" s="118"/>
      <c r="E49" s="118"/>
      <c r="F49" s="118"/>
      <c r="G49" s="118"/>
      <c r="H49" s="118"/>
      <c r="I49" s="118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8"/>
    </row>
    <row r="50" spans="1:22">
      <c r="A50" s="117"/>
      <c r="B50" s="117"/>
      <c r="C50" s="117"/>
      <c r="D50" s="118"/>
      <c r="E50" s="118"/>
      <c r="F50" s="118"/>
      <c r="G50" s="118"/>
      <c r="H50" s="118"/>
      <c r="I50" s="118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8"/>
    </row>
    <row r="51" spans="1:22">
      <c r="A51" s="117"/>
      <c r="B51" s="117"/>
      <c r="C51" s="125" t="s">
        <v>202</v>
      </c>
      <c r="D51" s="118" t="s">
        <v>70</v>
      </c>
      <c r="E51" s="118" t="str">
        <f>units</f>
        <v>$millions</v>
      </c>
      <c r="F51" s="132" t="s">
        <v>95</v>
      </c>
      <c r="G51" s="119"/>
      <c r="H51" s="119"/>
      <c r="I51" s="118"/>
      <c r="J51" s="127">
        <v>24.787949999999999</v>
      </c>
      <c r="K51" s="127">
        <v>27.228831249999999</v>
      </c>
      <c r="L51" s="127">
        <v>49.155811920000005</v>
      </c>
      <c r="M51" s="275">
        <v>70.590196769999991</v>
      </c>
      <c r="N51" s="127"/>
      <c r="O51" s="197"/>
      <c r="P51" s="127"/>
      <c r="Q51" s="127"/>
      <c r="R51" s="127"/>
      <c r="S51" s="127"/>
      <c r="T51" s="127"/>
      <c r="U51" s="117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17"/>
      <c r="B52" s="117"/>
      <c r="C52" s="125" t="s">
        <v>203</v>
      </c>
      <c r="D52" s="118" t="s">
        <v>70</v>
      </c>
      <c r="E52" s="118" t="str">
        <f>units</f>
        <v>$millions</v>
      </c>
      <c r="F52" s="132" t="s">
        <v>95</v>
      </c>
      <c r="G52" s="119"/>
      <c r="H52" s="119"/>
      <c r="I52" s="118"/>
      <c r="J52" s="127">
        <v>4.6470276100000003</v>
      </c>
      <c r="K52" s="127">
        <v>3.6196330900000002</v>
      </c>
      <c r="L52" s="127">
        <v>4.3829880999999995</v>
      </c>
      <c r="M52" s="275">
        <v>4.3304771400000002</v>
      </c>
      <c r="N52" s="127"/>
      <c r="O52" s="189"/>
      <c r="P52" s="127"/>
      <c r="Q52" s="127"/>
      <c r="R52" s="127"/>
      <c r="S52" s="127"/>
      <c r="T52" s="127"/>
      <c r="U52" s="1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17"/>
      <c r="B53" s="117"/>
      <c r="C53" s="125" t="s">
        <v>204</v>
      </c>
      <c r="D53" s="118" t="s">
        <v>70</v>
      </c>
      <c r="E53" s="118" t="str">
        <f>units</f>
        <v>$millions</v>
      </c>
      <c r="F53" s="132" t="s">
        <v>95</v>
      </c>
      <c r="G53" s="119"/>
      <c r="H53" s="119"/>
      <c r="I53" s="118"/>
      <c r="J53" s="127">
        <v>0</v>
      </c>
      <c r="K53" s="127">
        <v>0</v>
      </c>
      <c r="L53" s="127">
        <v>0</v>
      </c>
      <c r="M53" s="201">
        <v>0</v>
      </c>
      <c r="N53" s="127"/>
      <c r="O53" s="189"/>
      <c r="P53" s="127"/>
      <c r="Q53" s="127"/>
      <c r="R53" s="127"/>
      <c r="S53" s="127"/>
      <c r="T53" s="127"/>
      <c r="U53" s="117"/>
      <c r="V53" s="64" t="str">
        <f t="shared" si="9"/>
        <v>Ok</v>
      </c>
    </row>
    <row r="54" spans="1:22">
      <c r="A54" s="117"/>
      <c r="B54" s="117"/>
      <c r="C54" s="191"/>
      <c r="D54" s="118" t="s">
        <v>70</v>
      </c>
      <c r="E54" s="118" t="str">
        <f>units</f>
        <v>$millions</v>
      </c>
      <c r="F54" s="132" t="s">
        <v>95</v>
      </c>
      <c r="G54" s="119"/>
      <c r="H54" s="119"/>
      <c r="I54" s="118"/>
      <c r="J54" s="127"/>
      <c r="K54" s="127"/>
      <c r="L54" s="127"/>
      <c r="M54" s="190"/>
      <c r="N54" s="127"/>
      <c r="O54" s="189"/>
      <c r="P54" s="127"/>
      <c r="Q54" s="127"/>
      <c r="R54" s="127"/>
      <c r="S54" s="127"/>
      <c r="T54" s="127"/>
      <c r="U54" s="117"/>
      <c r="V54" s="64" t="str">
        <f t="shared" si="9"/>
        <v>Ok</v>
      </c>
    </row>
    <row r="55" spans="1:22">
      <c r="A55" s="117"/>
      <c r="B55" s="117"/>
      <c r="C55" s="125"/>
      <c r="D55" s="118" t="s">
        <v>70</v>
      </c>
      <c r="E55" s="118" t="str">
        <f>units</f>
        <v>$millions</v>
      </c>
      <c r="F55" s="132" t="s">
        <v>95</v>
      </c>
      <c r="G55" s="119"/>
      <c r="H55" s="119"/>
      <c r="I55" s="118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17"/>
      <c r="B56" s="117"/>
      <c r="C56" s="123"/>
      <c r="D56" s="118"/>
      <c r="E56" s="118"/>
      <c r="F56" s="118"/>
      <c r="G56" s="119"/>
      <c r="H56" s="119"/>
      <c r="I56" s="118"/>
      <c r="J56" s="117"/>
      <c r="K56" s="117"/>
      <c r="L56" s="117"/>
      <c r="M56" s="117"/>
      <c r="N56" s="134"/>
      <c r="O56" s="134"/>
      <c r="P56" s="134"/>
      <c r="Q56" s="134"/>
      <c r="R56" s="134"/>
      <c r="S56" s="134"/>
      <c r="T56" s="134"/>
      <c r="U56" s="117"/>
      <c r="V56" s="8"/>
    </row>
    <row r="57" spans="1:22">
      <c r="A57" s="117"/>
      <c r="B57" s="117"/>
      <c r="C57" s="128" t="s">
        <v>145</v>
      </c>
      <c r="D57" s="129" t="s">
        <v>30</v>
      </c>
      <c r="E57" s="133" t="str">
        <f>units</f>
        <v>$millions</v>
      </c>
      <c r="F57" s="130" t="s">
        <v>95</v>
      </c>
      <c r="G57" s="119"/>
      <c r="H57" s="119"/>
      <c r="I57" s="118"/>
      <c r="J57" s="135">
        <f>SUM(J51:J55)</f>
        <v>29.434977609999997</v>
      </c>
      <c r="K57" s="135">
        <f t="shared" ref="K57:S57" si="10">SUM(K51:K55)</f>
        <v>30.84846434</v>
      </c>
      <c r="L57" s="135">
        <f>SUM(L51:L55)</f>
        <v>53.538800020000004</v>
      </c>
      <c r="M57" s="135">
        <f t="shared" si="10"/>
        <v>74.920673909999991</v>
      </c>
      <c r="N57" s="135">
        <f t="shared" si="10"/>
        <v>0</v>
      </c>
      <c r="O57" s="135">
        <f>SUM(O51:O55)</f>
        <v>0</v>
      </c>
      <c r="P57" s="135">
        <f t="shared" si="10"/>
        <v>0</v>
      </c>
      <c r="Q57" s="135">
        <f t="shared" si="10"/>
        <v>0</v>
      </c>
      <c r="R57" s="135">
        <f t="shared" si="10"/>
        <v>0</v>
      </c>
      <c r="S57" s="135">
        <f t="shared" si="10"/>
        <v>0</v>
      </c>
      <c r="T57" s="135"/>
      <c r="U57" s="117"/>
      <c r="V57" s="64"/>
    </row>
    <row r="58" spans="1:22">
      <c r="A58" s="117"/>
      <c r="B58" s="117"/>
      <c r="C58" s="117"/>
      <c r="D58" s="118"/>
      <c r="E58" s="118"/>
      <c r="F58" s="118"/>
      <c r="G58" s="119"/>
      <c r="H58" s="119"/>
      <c r="I58" s="118"/>
      <c r="J58" s="196"/>
      <c r="K58" s="196"/>
      <c r="L58" s="196"/>
      <c r="M58" s="196"/>
      <c r="N58" s="117"/>
      <c r="O58" s="117"/>
      <c r="P58" s="117"/>
      <c r="Q58" s="117"/>
      <c r="R58" s="117"/>
      <c r="S58" s="117"/>
      <c r="T58" s="117"/>
      <c r="U58" s="117"/>
      <c r="V58" s="8"/>
    </row>
    <row r="59" spans="1:22" ht="12.75">
      <c r="A59" s="113"/>
      <c r="B59" s="38" t="s">
        <v>104</v>
      </c>
      <c r="C59" s="113"/>
      <c r="D59" s="113"/>
      <c r="E59" s="113"/>
      <c r="F59" s="114"/>
      <c r="G59" s="114"/>
      <c r="H59" s="114"/>
      <c r="I59" s="114"/>
      <c r="J59" s="115"/>
      <c r="K59" s="116"/>
      <c r="L59" s="115"/>
      <c r="M59" s="116"/>
      <c r="N59" s="115"/>
      <c r="O59" s="115"/>
      <c r="P59" s="115"/>
      <c r="Q59" s="115"/>
      <c r="R59" s="115"/>
      <c r="S59" s="115"/>
      <c r="T59" s="115"/>
      <c r="U59" s="115"/>
      <c r="V59" s="35"/>
    </row>
    <row r="60" spans="1:22">
      <c r="A60" s="117"/>
      <c r="B60" s="117"/>
      <c r="C60" s="117"/>
      <c r="D60" s="118"/>
      <c r="E60" s="118"/>
      <c r="F60" s="118"/>
      <c r="G60" s="118"/>
      <c r="H60" s="118"/>
      <c r="I60" s="118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8"/>
    </row>
    <row r="61" spans="1:22">
      <c r="A61" s="117"/>
      <c r="B61" s="117"/>
      <c r="C61" s="120" t="s">
        <v>105</v>
      </c>
      <c r="D61" s="119" t="s">
        <v>7</v>
      </c>
      <c r="E61" s="119" t="s">
        <v>8</v>
      </c>
      <c r="F61" s="119" t="s">
        <v>22</v>
      </c>
      <c r="G61" s="119"/>
      <c r="H61" s="119"/>
      <c r="I61" s="119"/>
      <c r="J61" s="121" t="str">
        <f t="shared" ref="J61:S61" si="11">IF(YEAR(J$4)=PPLastYear,J$4,"")</f>
        <v/>
      </c>
      <c r="K61" s="121" t="str">
        <f t="shared" si="11"/>
        <v/>
      </c>
      <c r="L61" s="121" t="str">
        <f t="shared" si="11"/>
        <v/>
      </c>
      <c r="M61" s="121" t="str">
        <f t="shared" si="11"/>
        <v/>
      </c>
      <c r="N61" s="121">
        <f t="shared" si="11"/>
        <v>45809</v>
      </c>
      <c r="O61" s="121" t="str">
        <f t="shared" si="11"/>
        <v/>
      </c>
      <c r="P61" s="121" t="str">
        <f t="shared" si="11"/>
        <v/>
      </c>
      <c r="Q61" s="121" t="str">
        <f t="shared" si="11"/>
        <v/>
      </c>
      <c r="R61" s="121" t="str">
        <f t="shared" si="11"/>
        <v/>
      </c>
      <c r="S61" s="121" t="str">
        <f t="shared" si="11"/>
        <v/>
      </c>
      <c r="T61" s="121"/>
      <c r="U61" s="117"/>
      <c r="V61" s="8"/>
    </row>
    <row r="62" spans="1:22">
      <c r="A62" s="117"/>
      <c r="B62" s="117"/>
      <c r="C62" s="120"/>
      <c r="D62" s="119"/>
      <c r="E62" s="119"/>
      <c r="F62" s="119"/>
      <c r="G62" s="119"/>
      <c r="H62" s="119"/>
      <c r="I62" s="119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17"/>
      <c r="V62" s="8"/>
    </row>
    <row r="63" spans="1:22">
      <c r="A63" s="117"/>
      <c r="B63" s="117"/>
      <c r="C63" s="125" t="s">
        <v>205</v>
      </c>
      <c r="D63" s="118" t="s">
        <v>34</v>
      </c>
      <c r="E63" s="118" t="str">
        <f>units</f>
        <v>$millions</v>
      </c>
      <c r="F63" s="137">
        <f>DATE(PPLastYear,MONTH(month),1)</f>
        <v>45809</v>
      </c>
      <c r="G63" s="119"/>
      <c r="H63" s="119"/>
      <c r="I63" s="119"/>
      <c r="J63" s="127"/>
      <c r="K63" s="127"/>
      <c r="L63" s="127"/>
      <c r="M63" s="118"/>
      <c r="N63" s="275">
        <f>+M41*'Input|Rate of change'!N31</f>
        <v>2.1065386500057262</v>
      </c>
      <c r="O63" s="189"/>
      <c r="P63" s="127"/>
      <c r="Q63" s="127"/>
      <c r="R63" s="127"/>
      <c r="S63" s="127"/>
      <c r="T63" s="127"/>
      <c r="U63" s="117"/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17"/>
      <c r="B64" s="117"/>
      <c r="C64" s="125" t="s">
        <v>206</v>
      </c>
      <c r="D64" s="118" t="s">
        <v>34</v>
      </c>
      <c r="E64" s="118" t="str">
        <f>units</f>
        <v>$millions</v>
      </c>
      <c r="F64" s="137">
        <f>DATE(PPLastYear,MONTH(month),1)</f>
        <v>45809</v>
      </c>
      <c r="G64" s="119"/>
      <c r="H64" s="119"/>
      <c r="I64" s="119"/>
      <c r="J64" s="127"/>
      <c r="K64" s="127"/>
      <c r="L64" s="127"/>
      <c r="M64" s="118"/>
      <c r="N64" s="275">
        <v>2.1376270283910754</v>
      </c>
      <c r="O64" s="189"/>
      <c r="P64" s="127"/>
      <c r="Q64" s="127"/>
      <c r="R64" s="127"/>
      <c r="S64" s="127"/>
      <c r="T64" s="127"/>
      <c r="U64" s="120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17"/>
      <c r="B65" s="117"/>
      <c r="C65" s="191"/>
      <c r="D65" s="118" t="s">
        <v>34</v>
      </c>
      <c r="E65" s="118" t="str">
        <f>units</f>
        <v>$millions</v>
      </c>
      <c r="F65" s="137">
        <f>DATE(PPLastYear,MONTH(month),1)</f>
        <v>45809</v>
      </c>
      <c r="G65" s="119"/>
      <c r="H65" s="119"/>
      <c r="I65" s="119"/>
      <c r="J65" s="127"/>
      <c r="K65" s="127"/>
      <c r="L65" s="127"/>
      <c r="M65" s="118"/>
      <c r="N65" s="201"/>
      <c r="O65" s="189"/>
      <c r="P65" s="127"/>
      <c r="Q65" s="127"/>
      <c r="R65" s="127"/>
      <c r="S65" s="127"/>
      <c r="T65" s="127"/>
      <c r="U65" s="120"/>
      <c r="V65" s="64" t="str">
        <f t="shared" si="12"/>
        <v>Ok</v>
      </c>
    </row>
    <row r="66" spans="1:22">
      <c r="A66" s="117"/>
      <c r="B66" s="117"/>
      <c r="C66" s="125"/>
      <c r="D66" s="118" t="s">
        <v>34</v>
      </c>
      <c r="E66" s="118" t="str">
        <f>units</f>
        <v>$millions</v>
      </c>
      <c r="F66" s="137">
        <f>DATE(PPLastYear,MONTH(month),1)</f>
        <v>45809</v>
      </c>
      <c r="G66" s="119"/>
      <c r="H66" s="119"/>
      <c r="I66" s="119"/>
      <c r="J66" s="127"/>
      <c r="K66" s="127"/>
      <c r="L66" s="127"/>
      <c r="M66" s="127"/>
      <c r="N66" s="201"/>
      <c r="O66" s="127"/>
      <c r="P66" s="127"/>
      <c r="Q66" s="127"/>
      <c r="R66" s="127"/>
      <c r="S66" s="127"/>
      <c r="T66" s="127"/>
      <c r="U66" s="120"/>
      <c r="V66" s="64" t="str">
        <f t="shared" si="12"/>
        <v>Ok</v>
      </c>
    </row>
    <row r="67" spans="1:22">
      <c r="A67" s="117"/>
      <c r="B67" s="117"/>
      <c r="C67" s="125"/>
      <c r="D67" s="118" t="s">
        <v>34</v>
      </c>
      <c r="E67" s="118" t="str">
        <f>units</f>
        <v>$millions</v>
      </c>
      <c r="F67" s="137">
        <f>DATE(PPLastYear,MONTH(month),1)</f>
        <v>45809</v>
      </c>
      <c r="G67" s="119"/>
      <c r="H67" s="119"/>
      <c r="I67" s="119"/>
      <c r="J67" s="127"/>
      <c r="K67" s="127"/>
      <c r="L67" s="127"/>
      <c r="M67" s="127"/>
      <c r="N67" s="201"/>
      <c r="O67" s="127"/>
      <c r="P67" s="127"/>
      <c r="Q67" s="127"/>
      <c r="R67" s="127"/>
      <c r="S67" s="127"/>
      <c r="T67" s="127"/>
      <c r="U67" s="120"/>
      <c r="V67" s="64" t="str">
        <f t="shared" si="12"/>
        <v>Ok</v>
      </c>
    </row>
    <row r="68" spans="1:22">
      <c r="A68" s="117"/>
      <c r="B68" s="117"/>
      <c r="C68" s="138"/>
      <c r="D68" s="118"/>
      <c r="E68" s="118"/>
      <c r="F68" s="119"/>
      <c r="G68" s="119"/>
      <c r="H68" s="119"/>
      <c r="I68" s="119"/>
      <c r="J68" s="139"/>
      <c r="K68" s="139"/>
      <c r="L68" s="139"/>
      <c r="M68" s="139"/>
      <c r="N68" s="203"/>
      <c r="O68" s="139"/>
      <c r="P68" s="139"/>
      <c r="Q68" s="139"/>
      <c r="R68" s="139"/>
      <c r="S68" s="139"/>
      <c r="T68" s="139"/>
      <c r="U68" s="120"/>
      <c r="V68" s="8"/>
    </row>
    <row r="69" spans="1:22">
      <c r="A69" s="117"/>
      <c r="B69" s="117"/>
      <c r="C69" s="140" t="s">
        <v>154</v>
      </c>
      <c r="D69" s="118" t="s">
        <v>34</v>
      </c>
      <c r="E69" s="118" t="str">
        <f>units</f>
        <v>$millions</v>
      </c>
      <c r="F69" s="137">
        <f>DATE(PPLastYear,MONTH(month),1)</f>
        <v>45809</v>
      </c>
      <c r="G69" s="119"/>
      <c r="H69" s="119"/>
      <c r="I69" s="119"/>
      <c r="J69" s="127"/>
      <c r="K69" s="127"/>
      <c r="L69" s="127"/>
      <c r="M69" s="127"/>
      <c r="N69" s="201">
        <v>0</v>
      </c>
      <c r="O69" s="189"/>
      <c r="P69" s="127"/>
      <c r="Q69" s="127"/>
      <c r="R69" s="127"/>
      <c r="S69" s="127"/>
      <c r="T69" s="127"/>
      <c r="U69" s="117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17"/>
      <c r="B70" s="117"/>
      <c r="C70" s="140"/>
      <c r="D70" s="118"/>
      <c r="E70" s="118"/>
      <c r="F70" s="119"/>
      <c r="G70" s="119"/>
      <c r="H70" s="119"/>
      <c r="I70" s="119"/>
      <c r="J70" s="139"/>
      <c r="K70" s="139"/>
      <c r="L70" s="139"/>
      <c r="M70" s="139"/>
      <c r="N70" s="203"/>
      <c r="O70" s="139"/>
      <c r="P70" s="139"/>
      <c r="Q70" s="139"/>
      <c r="R70" s="139"/>
      <c r="S70" s="139"/>
      <c r="T70" s="139"/>
      <c r="U70" s="120"/>
      <c r="V70" s="8"/>
    </row>
    <row r="71" spans="1:22">
      <c r="A71" s="117"/>
      <c r="B71" s="117"/>
      <c r="C71" s="140" t="s">
        <v>84</v>
      </c>
      <c r="D71" s="118" t="s">
        <v>34</v>
      </c>
      <c r="E71" s="118" t="s">
        <v>31</v>
      </c>
      <c r="F71" s="119"/>
      <c r="G71" s="119"/>
      <c r="H71" s="119"/>
      <c r="I71" s="119"/>
      <c r="J71" s="141"/>
      <c r="K71" s="141"/>
      <c r="L71" s="141"/>
      <c r="M71" s="141"/>
      <c r="N71" s="204">
        <v>0</v>
      </c>
      <c r="O71" s="189"/>
      <c r="P71" s="141"/>
      <c r="Q71" s="141"/>
      <c r="R71" s="141"/>
      <c r="S71" s="141"/>
      <c r="T71" s="141"/>
      <c r="U71" s="117"/>
      <c r="V71" s="64" t="str">
        <f t="shared" si="13"/>
        <v>Ok</v>
      </c>
    </row>
    <row r="72" spans="1:22">
      <c r="A72" s="117"/>
      <c r="B72" s="117"/>
      <c r="C72" s="123"/>
      <c r="D72" s="118"/>
      <c r="E72" s="118"/>
      <c r="F72" s="118"/>
      <c r="G72" s="119"/>
      <c r="H72" s="119"/>
      <c r="I72" s="118"/>
      <c r="J72" s="117"/>
      <c r="K72" s="117"/>
      <c r="L72" s="117"/>
      <c r="M72" s="117"/>
      <c r="N72" s="223"/>
      <c r="O72" s="117"/>
      <c r="P72" s="117"/>
      <c r="Q72" s="117"/>
      <c r="R72" s="117"/>
      <c r="S72" s="117"/>
      <c r="T72" s="117"/>
      <c r="U72" s="117"/>
      <c r="V72" s="8"/>
    </row>
    <row r="73" spans="1:22" ht="12.75">
      <c r="A73" s="113"/>
      <c r="B73" s="38" t="s">
        <v>21</v>
      </c>
      <c r="C73" s="113"/>
      <c r="D73" s="113"/>
      <c r="E73" s="113"/>
      <c r="F73" s="114"/>
      <c r="G73" s="114"/>
      <c r="H73" s="114"/>
      <c r="I73" s="114"/>
      <c r="J73" s="115"/>
      <c r="K73" s="116"/>
      <c r="L73" s="115"/>
      <c r="M73" s="116"/>
      <c r="N73" s="115"/>
      <c r="O73" s="115"/>
      <c r="P73" s="115"/>
      <c r="Q73" s="115"/>
      <c r="R73" s="115"/>
      <c r="S73" s="115"/>
      <c r="T73" s="115"/>
      <c r="U73" s="115"/>
      <c r="V73" s="35"/>
    </row>
  </sheetData>
  <conditionalFormatting sqref="V52:V55">
    <cfRule type="cellIs" dxfId="222" priority="90" operator="equal">
      <formula>"Check"</formula>
    </cfRule>
    <cfRule type="cellIs" dxfId="221" priority="91" operator="equal">
      <formula>"Ok"</formula>
    </cfRule>
  </conditionalFormatting>
  <conditionalFormatting sqref="V57">
    <cfRule type="cellIs" dxfId="220" priority="88" operator="equal">
      <formula>"Check"</formula>
    </cfRule>
    <cfRule type="cellIs" dxfId="219" priority="89" operator="equal">
      <formula>"Ok"</formula>
    </cfRule>
  </conditionalFormatting>
  <conditionalFormatting sqref="V15">
    <cfRule type="cellIs" dxfId="218" priority="86" operator="equal">
      <formula>"Check"</formula>
    </cfRule>
    <cfRule type="cellIs" dxfId="217" priority="87" operator="equal">
      <formula>"Ok"</formula>
    </cfRule>
  </conditionalFormatting>
  <conditionalFormatting sqref="V1">
    <cfRule type="cellIs" dxfId="216" priority="84" operator="equal">
      <formula>"Check"</formula>
    </cfRule>
    <cfRule type="cellIs" dxfId="215" priority="85" operator="equal">
      <formula>"Ok"</formula>
    </cfRule>
  </conditionalFormatting>
  <conditionalFormatting sqref="S1">
    <cfRule type="cellIs" dxfId="214" priority="82" operator="equal">
      <formula>"Check"</formula>
    </cfRule>
    <cfRule type="cellIs" dxfId="213" priority="83" operator="equal">
      <formula>"Ok"</formula>
    </cfRule>
  </conditionalFormatting>
  <conditionalFormatting sqref="J15:N15">
    <cfRule type="cellIs" dxfId="212" priority="81" operator="equal">
      <formula>0</formula>
    </cfRule>
  </conditionalFormatting>
  <conditionalFormatting sqref="J57:N57">
    <cfRule type="cellIs" dxfId="211" priority="80" operator="equal">
      <formula>0</formula>
    </cfRule>
  </conditionalFormatting>
  <conditionalFormatting sqref="V48:V50">
    <cfRule type="cellIs" dxfId="210" priority="78" operator="equal">
      <formula>"Check"</formula>
    </cfRule>
    <cfRule type="cellIs" dxfId="209" priority="79" operator="equal">
      <formula>"Ok"</formula>
    </cfRule>
  </conditionalFormatting>
  <conditionalFormatting sqref="J33:N33 N37 J54:J55 J41:L41 K54 O41:T42 O44:T45 P43:T43 J51:L51 N41:N45 J43:L45 N51:O51">
    <cfRule type="expression" dxfId="208" priority="76">
      <formula>J$34=J$4</formula>
    </cfRule>
  </conditionalFormatting>
  <conditionalFormatting sqref="J20:N27 J13:O13">
    <cfRule type="expression" dxfId="207" priority="75">
      <formula>J$10=J$4</formula>
    </cfRule>
  </conditionalFormatting>
  <conditionalFormatting sqref="J37:L37 N37">
    <cfRule type="expression" dxfId="206" priority="72">
      <formula>J$10=J$4</formula>
    </cfRule>
  </conditionalFormatting>
  <conditionalFormatting sqref="V47">
    <cfRule type="cellIs" dxfId="205" priority="70" operator="equal">
      <formula>"Check"</formula>
    </cfRule>
    <cfRule type="cellIs" dxfId="204" priority="71" operator="equal">
      <formula>"Ok"</formula>
    </cfRule>
  </conditionalFormatting>
  <conditionalFormatting sqref="J47:N47">
    <cfRule type="cellIs" dxfId="203" priority="68" operator="equal">
      <formula>0</formula>
    </cfRule>
  </conditionalFormatting>
  <conditionalFormatting sqref="J66:N67 J63:L65 N65 J69:T69 J71:T71 O63:T67">
    <cfRule type="expression" dxfId="202" priority="67">
      <formula>J$61=J$4</formula>
    </cfRule>
  </conditionalFormatting>
  <conditionalFormatting sqref="V29">
    <cfRule type="cellIs" dxfId="201" priority="63" operator="equal">
      <formula>"Check"</formula>
    </cfRule>
    <cfRule type="cellIs" dxfId="200" priority="64" operator="equal">
      <formula>"Ok"</formula>
    </cfRule>
  </conditionalFormatting>
  <conditionalFormatting sqref="J29:N29">
    <cfRule type="cellIs" dxfId="199" priority="62" operator="equal">
      <formula>0</formula>
    </cfRule>
  </conditionalFormatting>
  <conditionalFormatting sqref="T1">
    <cfRule type="cellIs" dxfId="198" priority="55" operator="equal">
      <formula>"Check"</formula>
    </cfRule>
    <cfRule type="cellIs" dxfId="197" priority="56" operator="equal">
      <formula>"Ok"</formula>
    </cfRule>
  </conditionalFormatting>
  <conditionalFormatting sqref="O57:T57">
    <cfRule type="cellIs" dxfId="196" priority="37" operator="equal">
      <formula>0</formula>
    </cfRule>
  </conditionalFormatting>
  <conditionalFormatting sqref="O37:T37">
    <cfRule type="expression" dxfId="195" priority="34">
      <formula>O$10=O$4</formula>
    </cfRule>
  </conditionalFormatting>
  <conditionalFormatting sqref="O47:T47">
    <cfRule type="cellIs" dxfId="194" priority="33" operator="equal">
      <formula>0</formula>
    </cfRule>
  </conditionalFormatting>
  <conditionalFormatting sqref="O29:T29">
    <cfRule type="cellIs" dxfId="193" priority="31" operator="equal">
      <formula>0</formula>
    </cfRule>
  </conditionalFormatting>
  <conditionalFormatting sqref="O15:T15">
    <cfRule type="cellIs" dxfId="192" priority="38" operator="equal">
      <formula>0</formula>
    </cfRule>
  </conditionalFormatting>
  <conditionalFormatting sqref="O33:T33 O37:T37 P52:T53 O54:T55 O51:T51">
    <cfRule type="expression" dxfId="191" priority="36">
      <formula>O$34=O$4</formula>
    </cfRule>
  </conditionalFormatting>
  <conditionalFormatting sqref="P13:T13 O21:T27 P19:T20">
    <cfRule type="expression" dxfId="190" priority="35">
      <formula>O$10=O$4</formula>
    </cfRule>
  </conditionalFormatting>
  <conditionalFormatting sqref="J19:O19">
    <cfRule type="expression" dxfId="189" priority="30">
      <formula>J$10=J$4</formula>
    </cfRule>
  </conditionalFormatting>
  <conditionalFormatting sqref="J53:N53 K55:N55 L54:N54">
    <cfRule type="expression" dxfId="188" priority="29">
      <formula>J$34=J$4</formula>
    </cfRule>
  </conditionalFormatting>
  <conditionalFormatting sqref="M44:M45">
    <cfRule type="expression" dxfId="187" priority="28">
      <formula>M$34=M$4</formula>
    </cfRule>
  </conditionalFormatting>
  <conditionalFormatting sqref="J52:L52">
    <cfRule type="expression" dxfId="186" priority="26">
      <formula>J$34=J$4</formula>
    </cfRule>
  </conditionalFormatting>
  <conditionalFormatting sqref="N52">
    <cfRule type="expression" dxfId="185" priority="25">
      <formula>N$34=N$4</formula>
    </cfRule>
  </conditionalFormatting>
  <conditionalFormatting sqref="V13">
    <cfRule type="cellIs" dxfId="184" priority="23" operator="equal">
      <formula>"Check"</formula>
    </cfRule>
    <cfRule type="cellIs" dxfId="183" priority="24" operator="equal">
      <formula>"Ok"</formula>
    </cfRule>
  </conditionalFormatting>
  <conditionalFormatting sqref="V19:V27">
    <cfRule type="cellIs" dxfId="182" priority="21" operator="equal">
      <formula>"Check"</formula>
    </cfRule>
    <cfRule type="cellIs" dxfId="181" priority="22" operator="equal">
      <formula>"Ok"</formula>
    </cfRule>
  </conditionalFormatting>
  <conditionalFormatting sqref="V37">
    <cfRule type="cellIs" dxfId="180" priority="17" operator="equal">
      <formula>"Check"</formula>
    </cfRule>
    <cfRule type="cellIs" dxfId="179" priority="18" operator="equal">
      <formula>"Ok"</formula>
    </cfRule>
  </conditionalFormatting>
  <conditionalFormatting sqref="V41:V45">
    <cfRule type="cellIs" dxfId="178" priority="13" operator="equal">
      <formula>"Check"</formula>
    </cfRule>
    <cfRule type="cellIs" dxfId="177" priority="14" operator="equal">
      <formula>"Ok"</formula>
    </cfRule>
  </conditionalFormatting>
  <conditionalFormatting sqref="V51:V55">
    <cfRule type="cellIs" dxfId="176" priority="11" operator="equal">
      <formula>"Check"</formula>
    </cfRule>
    <cfRule type="cellIs" dxfId="175" priority="12" operator="equal">
      <formula>"Ok"</formula>
    </cfRule>
  </conditionalFormatting>
  <conditionalFormatting sqref="V63:V67">
    <cfRule type="cellIs" dxfId="174" priority="9" operator="equal">
      <formula>"Check"</formula>
    </cfRule>
    <cfRule type="cellIs" dxfId="173" priority="10" operator="equal">
      <formula>"Ok"</formula>
    </cfRule>
  </conditionalFormatting>
  <conditionalFormatting sqref="V69">
    <cfRule type="cellIs" dxfId="172" priority="7" operator="equal">
      <formula>"Check"</formula>
    </cfRule>
    <cfRule type="cellIs" dxfId="171" priority="8" operator="equal">
      <formula>"Ok"</formula>
    </cfRule>
  </conditionalFormatting>
  <conditionalFormatting sqref="V71">
    <cfRule type="cellIs" dxfId="170" priority="5" operator="equal">
      <formula>"Check"</formula>
    </cfRule>
    <cfRule type="cellIs" dxfId="169" priority="6" operator="equal">
      <formula>"Ok"</formula>
    </cfRule>
  </conditionalFormatting>
  <conditionalFormatting sqref="O52:O53">
    <cfRule type="expression" dxfId="168" priority="4">
      <formula>O$34=O$4</formula>
    </cfRule>
  </conditionalFormatting>
  <conditionalFormatting sqref="O20">
    <cfRule type="expression" dxfId="167" priority="3">
      <formula>O$34=O$4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O55 P51:T55 J51:N55" xr:uid="{4DD52D4E-5EDB-4419-8C55-4D6C586486C3}">
      <formula1>0</formula1>
    </dataValidation>
    <dataValidation type="decimal" operator="lessThanOrEqual" allowBlank="1" showInputMessage="1" showErrorMessage="1" sqref="J71:N71 P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7" customFormat="1" ht="15.75">
      <c r="B1" s="209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11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Q1" s="226" t="s">
        <v>226</v>
      </c>
      <c r="S1" s="28" t="s">
        <v>77</v>
      </c>
      <c r="T1" s="212" t="str">
        <f>IF(COUNTIF(X5:X118,"Check")=0,"Ok","Check")</f>
        <v>Ok</v>
      </c>
      <c r="U1" s="29"/>
      <c r="W1" s="213" t="s">
        <v>24</v>
      </c>
      <c r="X1" s="212" t="str">
        <f>'Check|List'!$S$1</f>
        <v>Ok</v>
      </c>
    </row>
    <row r="2" spans="1:34" s="31" customFormat="1" ht="13.5" thickBot="1">
      <c r="B2" s="21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0"/>
      <c r="E3" s="100"/>
      <c r="F3" s="100"/>
      <c r="G3" s="100"/>
      <c r="H3" s="100"/>
      <c r="I3" s="100"/>
      <c r="J3" s="93" t="s">
        <v>109</v>
      </c>
      <c r="K3" s="363"/>
      <c r="L3" s="363"/>
      <c r="M3" s="363"/>
      <c r="N3" s="100"/>
      <c r="O3" s="363"/>
      <c r="P3" s="363"/>
      <c r="Q3" s="363"/>
      <c r="R3" s="363"/>
      <c r="S3" s="363"/>
      <c r="T3" s="363"/>
      <c r="U3" s="100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2" t="s">
        <v>22</v>
      </c>
      <c r="G4" s="143"/>
      <c r="H4" s="143"/>
      <c r="I4" s="143"/>
      <c r="J4" s="214">
        <f>DATE(PPFirstYear-1,MONTH('Input|General'!$G$9),1)</f>
        <v>43983</v>
      </c>
      <c r="K4" s="214">
        <f>DATE(PPFirstYear,MONTH('Input|General'!$G$9),1)</f>
        <v>44348</v>
      </c>
      <c r="L4" s="214">
        <f>DATE(PPFirstYear+1,MONTH('Input|General'!$G$9),1)</f>
        <v>44713</v>
      </c>
      <c r="M4" s="214">
        <f>DATE(PPFirstYear+2,MONTH('Input|General'!$G$9),1)</f>
        <v>45078</v>
      </c>
      <c r="N4" s="214">
        <f>DATE(PPFirstYear+3,MONTH('Input|General'!$G$9),1)</f>
        <v>45444</v>
      </c>
      <c r="O4" s="214">
        <f>DATE(PPFirstYear+4,MONTH('Input|General'!$G$9),1)</f>
        <v>45809</v>
      </c>
      <c r="P4" s="214">
        <f>DATE(PPFirstYear+5,MONTH('Input|General'!$G$9),1)</f>
        <v>46174</v>
      </c>
      <c r="Q4" s="214">
        <f>DATE(PPFirstYear+6,MONTH('Input|General'!$G$9),1)</f>
        <v>46539</v>
      </c>
      <c r="R4" s="214">
        <f>DATE(PPFirstYear+7,MONTH('Input|General'!$G$9),1)</f>
        <v>46905</v>
      </c>
      <c r="S4" s="214">
        <f>DATE(PPFirstYear+8,MONTH('Input|General'!$G$9),1)</f>
        <v>47270</v>
      </c>
      <c r="T4" s="214">
        <f>DATE(PPFirstYear+9,MONTH('Input|General'!$G$9),1)</f>
        <v>47635</v>
      </c>
      <c r="U4" s="21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.2" customHeight="1">
      <c r="A5" s="144"/>
      <c r="B5" s="144"/>
      <c r="C5" s="144"/>
      <c r="D5" s="145"/>
      <c r="E5" s="145"/>
      <c r="F5" s="145"/>
      <c r="G5" s="145"/>
      <c r="H5" s="145"/>
      <c r="I5" s="145"/>
      <c r="J5" s="145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34" s="6" customFormat="1" ht="9" customHeight="1">
      <c r="A6" s="144"/>
      <c r="B6" s="144"/>
      <c r="C6" s="144"/>
      <c r="D6" s="145"/>
      <c r="E6" s="145"/>
      <c r="F6" s="145"/>
      <c r="G6" s="145"/>
      <c r="H6" s="145"/>
      <c r="I6" s="145"/>
      <c r="J6" s="145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34" s="6" customFormat="1" ht="3.2" customHeight="1">
      <c r="A7" s="144"/>
      <c r="B7" s="144"/>
      <c r="C7" s="144"/>
      <c r="D7" s="145"/>
      <c r="E7" s="145"/>
      <c r="F7" s="145"/>
      <c r="G7" s="145"/>
      <c r="H7" s="145"/>
      <c r="I7" s="145"/>
      <c r="J7" s="145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34" customFormat="1" ht="12.75">
      <c r="A8" s="113"/>
      <c r="B8" s="38" t="s">
        <v>35</v>
      </c>
      <c r="C8" s="113"/>
      <c r="D8" s="113"/>
      <c r="E8" s="113"/>
      <c r="F8" s="114"/>
      <c r="G8" s="114"/>
      <c r="H8" s="114"/>
      <c r="I8" s="114"/>
      <c r="J8" s="114"/>
      <c r="K8" s="115"/>
      <c r="L8" s="116"/>
      <c r="M8" s="115"/>
      <c r="N8" s="116"/>
      <c r="O8" s="115"/>
      <c r="P8" s="115"/>
      <c r="Q8" s="115"/>
      <c r="R8" s="115"/>
      <c r="S8" s="115"/>
      <c r="T8" s="115"/>
      <c r="U8" s="115"/>
      <c r="V8" s="115"/>
      <c r="W8" s="115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17"/>
      <c r="B9" s="117"/>
      <c r="C9" s="117"/>
      <c r="D9" s="118"/>
      <c r="E9" s="118"/>
      <c r="F9" s="118"/>
      <c r="G9" s="118"/>
      <c r="H9" s="118"/>
      <c r="I9" s="118"/>
      <c r="J9" s="118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spans="1:34" ht="11.25" customHeight="1" outlineLevel="1">
      <c r="A10" s="117"/>
      <c r="B10" s="117"/>
      <c r="C10" s="120" t="s">
        <v>33</v>
      </c>
      <c r="D10" s="118"/>
      <c r="E10" s="118"/>
      <c r="F10" s="118"/>
      <c r="G10" s="118"/>
      <c r="H10" s="118"/>
      <c r="I10" s="118"/>
      <c r="J10" s="215">
        <f t="shared" ref="J10:T10" si="0">IF(YEAR(J$4)&lt;=PPLastYear,J$4,"")</f>
        <v>43983</v>
      </c>
      <c r="K10" s="215">
        <f t="shared" si="0"/>
        <v>44348</v>
      </c>
      <c r="L10" s="215">
        <f t="shared" si="0"/>
        <v>44713</v>
      </c>
      <c r="M10" s="215">
        <f t="shared" si="0"/>
        <v>45078</v>
      </c>
      <c r="N10" s="215">
        <f t="shared" si="0"/>
        <v>45444</v>
      </c>
      <c r="O10" s="215">
        <f t="shared" si="0"/>
        <v>45809</v>
      </c>
      <c r="P10" s="215" t="str">
        <f t="shared" si="0"/>
        <v/>
      </c>
      <c r="Q10" s="215" t="str">
        <f t="shared" si="0"/>
        <v/>
      </c>
      <c r="R10" s="215" t="str">
        <f t="shared" si="0"/>
        <v/>
      </c>
      <c r="S10" s="215" t="str">
        <f t="shared" si="0"/>
        <v/>
      </c>
      <c r="T10" s="215" t="str">
        <f t="shared" si="0"/>
        <v/>
      </c>
      <c r="U10" s="136"/>
      <c r="V10" s="117"/>
      <c r="W10" s="117"/>
    </row>
    <row r="11" spans="1:34" ht="11.25" customHeight="1" outlineLevel="1">
      <c r="A11" s="117"/>
      <c r="B11" s="117"/>
      <c r="C11" s="120"/>
      <c r="D11" s="118"/>
      <c r="E11" s="118"/>
      <c r="F11" s="118"/>
      <c r="G11" s="118"/>
      <c r="H11" s="118"/>
      <c r="I11" s="118"/>
      <c r="J11" s="117"/>
      <c r="K11" s="117"/>
      <c r="L11" s="117"/>
      <c r="M11" s="117"/>
      <c r="N11" s="117"/>
      <c r="O11" s="117"/>
      <c r="P11" s="146"/>
      <c r="Q11" s="146"/>
      <c r="R11" s="146"/>
      <c r="S11" s="146"/>
      <c r="T11" s="146"/>
      <c r="U11" s="146"/>
      <c r="V11" s="147"/>
      <c r="W11" s="147"/>
      <c r="X11" s="14"/>
    </row>
    <row r="12" spans="1:34" ht="11.25" customHeight="1" outlineLevel="1">
      <c r="A12" s="117"/>
      <c r="B12" s="117"/>
      <c r="C12" s="123" t="s">
        <v>33</v>
      </c>
      <c r="D12" s="148" t="s">
        <v>93</v>
      </c>
      <c r="E12" s="216" t="str">
        <f>percent</f>
        <v>Per cent</v>
      </c>
      <c r="F12" s="118"/>
      <c r="G12" s="118"/>
      <c r="H12" s="118"/>
      <c r="I12" s="118"/>
      <c r="J12" s="173">
        <f>IF(J10=J4,LOOKUP(EOMONTH(J4,0),'Input|Inflation'!$C$9:$C$84,'Input|Inflation'!$I$9:$I$84),"")</f>
        <v>-3.4843205574912606E-3</v>
      </c>
      <c r="K12" s="173">
        <f>IF(K10=K4,LOOKUP(EOMONTH(K4,0),'Input|Inflation'!$C$9:$C$84,'Input|Inflation'!$I$9:$I$84),"")</f>
        <v>3.8461538461538325E-2</v>
      </c>
      <c r="L12" s="173">
        <f>IF(L10=L4,LOOKUP(EOMONTH(L4,0),'Input|Inflation'!$C$9:$C$84,'Input|Inflation'!$I$9:$I$84),"")</f>
        <v>6.1447811447811418E-2</v>
      </c>
      <c r="M12" s="173">
        <f>IF(M10=M4,LOOKUP(EOMONTH(M4,0),'Input|Inflation'!$C$9:$C$84,'Input|Inflation'!$I$9:$I$84),"")</f>
        <v>6.0269627279936566E-2</v>
      </c>
      <c r="N12" s="173">
        <f>IF(N10=N4,LOOKUP(EOMONTH(N4,0),'Input|Inflation'!$C$9:$C$84,'Input|Inflation'!$I$9:$I$84),"")</f>
        <v>3.8145100972326373E-2</v>
      </c>
      <c r="O12" s="173">
        <f>IF(O10=O4,LOOKUP(EOMONTH(O4,0),'Input|Inflation'!$C$9:$C$84,'Input|Inflation'!$I$9:$I$84),"")</f>
        <v>2.4999999999999911E-2</v>
      </c>
      <c r="P12" s="173" t="str">
        <f>IF(P10=P4,LOOKUP(EOMONTH(P4,0),'Input|Inflation'!$C$9:$C$84,'Input|Inflation'!$I$9:$I$84),"")</f>
        <v/>
      </c>
      <c r="Q12" s="173" t="str">
        <f>IF(Q10=Q4,LOOKUP(EOMONTH(Q4,0),'Input|Inflation'!$C$9:$C$84,'Input|Inflation'!$I$9:$I$84),"")</f>
        <v/>
      </c>
      <c r="R12" s="173" t="str">
        <f>IF(R10=R4,LOOKUP(EOMONTH(R4,0),'Input|Inflation'!$C$9:$C$84,'Input|Inflation'!$I$9:$I$84),"")</f>
        <v/>
      </c>
      <c r="S12" s="173" t="str">
        <f>IF(S10=S4,LOOKUP(EOMONTH(S4,0),'Input|Inflation'!$C$9:$C$84,'Input|Inflation'!$I$9:$I$84),"")</f>
        <v/>
      </c>
      <c r="T12" s="173" t="str">
        <f>IF(T10=T4,LOOKUP(EOMONTH(T4,0),'Input|Inflation'!$C$9:$C$84,'Input|Inflation'!$I$9:$I$84),"")</f>
        <v/>
      </c>
      <c r="U12" s="146"/>
      <c r="V12" s="149"/>
      <c r="W12" s="117"/>
    </row>
    <row r="13" spans="1:34" ht="11.25" customHeight="1" outlineLevel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34" ht="11.25" customHeight="1" outlineLevel="1">
      <c r="A14" s="117"/>
      <c r="B14" s="117"/>
      <c r="C14" s="120" t="s">
        <v>94</v>
      </c>
      <c r="D14" s="118"/>
      <c r="E14" s="118"/>
      <c r="F14" s="118"/>
      <c r="G14" s="118"/>
      <c r="H14" s="118"/>
      <c r="I14" s="117"/>
      <c r="J14" s="215">
        <f t="shared" ref="J14:T14" si="1">IF(YEAR(J$4)&lt;=PPLastYear,J$4,"")</f>
        <v>43983</v>
      </c>
      <c r="K14" s="215">
        <f t="shared" si="1"/>
        <v>44348</v>
      </c>
      <c r="L14" s="215">
        <f t="shared" si="1"/>
        <v>44713</v>
      </c>
      <c r="M14" s="215">
        <f t="shared" si="1"/>
        <v>45078</v>
      </c>
      <c r="N14" s="215">
        <f t="shared" si="1"/>
        <v>45444</v>
      </c>
      <c r="O14" s="215">
        <f t="shared" si="1"/>
        <v>45809</v>
      </c>
      <c r="P14" s="215" t="str">
        <f t="shared" si="1"/>
        <v/>
      </c>
      <c r="Q14" s="215" t="str">
        <f t="shared" si="1"/>
        <v/>
      </c>
      <c r="R14" s="215" t="str">
        <f t="shared" si="1"/>
        <v/>
      </c>
      <c r="S14" s="215" t="str">
        <f t="shared" si="1"/>
        <v/>
      </c>
      <c r="T14" s="215" t="str">
        <f t="shared" si="1"/>
        <v/>
      </c>
      <c r="U14" s="136"/>
      <c r="V14" s="117"/>
      <c r="W14" s="117"/>
    </row>
    <row r="15" spans="1:34" ht="11.25" customHeight="1" outlineLevel="1">
      <c r="A15" s="117"/>
      <c r="B15" s="117"/>
      <c r="C15" s="120"/>
      <c r="D15" s="118"/>
      <c r="E15" s="118"/>
      <c r="F15" s="118"/>
      <c r="G15" s="118"/>
      <c r="H15" s="118"/>
      <c r="I15" s="117"/>
      <c r="J15" s="147"/>
      <c r="K15" s="147"/>
      <c r="L15" s="147"/>
      <c r="M15" s="147"/>
      <c r="N15" s="147"/>
      <c r="O15" s="147"/>
      <c r="P15" s="150"/>
      <c r="Q15" s="150"/>
      <c r="R15" s="150"/>
      <c r="S15" s="150"/>
      <c r="T15" s="150"/>
      <c r="U15" s="150"/>
      <c r="V15" s="117"/>
      <c r="W15" s="117"/>
    </row>
    <row r="16" spans="1:34" ht="11.25" customHeight="1" outlineLevel="1">
      <c r="A16" s="117"/>
      <c r="B16" s="117"/>
      <c r="C16" s="217">
        <f t="array" ref="C16:C22">TRANSPOSE(J10:P10)</f>
        <v>43983</v>
      </c>
      <c r="D16" s="218" t="str">
        <f t="shared" ref="D16:D20" si="2">IF(ISNONTEXT($C16),"calculated","")</f>
        <v>calculated</v>
      </c>
      <c r="E16" s="216" t="str">
        <f>IF(ISNONTEXT($C16),"index","")</f>
        <v>index</v>
      </c>
      <c r="F16" s="118"/>
      <c r="G16" s="118"/>
      <c r="H16" s="118"/>
      <c r="I16" s="118"/>
      <c r="J16" s="219">
        <f t="shared" ref="J16:N16" si="3">IF(AND($C16&gt;J$14,ISNONTEXT($C16)),K16/(1+K$12),IF(AND($C16=J$14,J$14=J$4),1,IF(AND($C16&lt;J$14,J$14=J$4),I16*(1+J$12),0)))</f>
        <v>1</v>
      </c>
      <c r="K16" s="219">
        <f t="shared" si="3"/>
        <v>1.0384615384615383</v>
      </c>
      <c r="L16" s="219">
        <f t="shared" si="3"/>
        <v>1.1022727272727271</v>
      </c>
      <c r="M16" s="219">
        <f t="shared" si="3"/>
        <v>1.1687062937062935</v>
      </c>
      <c r="N16" s="219">
        <f t="shared" si="3"/>
        <v>1.2132867132867133</v>
      </c>
      <c r="O16" s="219">
        <f t="shared" ref="O16:P16" si="4">IF(AND($C16&gt;O$14,ISNONTEXT($C16)),P16/(1+O$12),IF(AND($C16=O$14,O$14=O$4),1,IF(AND($C16&lt;O$14,O$14=O$4),N16*(1+O$12),0)))</f>
        <v>1.2436188811188811</v>
      </c>
      <c r="P16" s="219">
        <f t="shared" si="4"/>
        <v>0</v>
      </c>
      <c r="Q16" s="152"/>
      <c r="R16" s="152"/>
      <c r="S16" s="152"/>
      <c r="T16" s="152"/>
      <c r="U16" s="152"/>
      <c r="V16" s="117"/>
      <c r="W16" s="117"/>
    </row>
    <row r="17" spans="1:23" ht="11.25" customHeight="1" outlineLevel="1">
      <c r="A17" s="117"/>
      <c r="B17" s="117"/>
      <c r="C17" s="217">
        <v>44348</v>
      </c>
      <c r="D17" s="218" t="str">
        <f t="shared" si="2"/>
        <v>calculated</v>
      </c>
      <c r="E17" s="216" t="str">
        <f t="shared" ref="E17:E22" si="5">IF(ISNONTEXT($C17),"index","")</f>
        <v>index</v>
      </c>
      <c r="F17" s="118"/>
      <c r="G17" s="118"/>
      <c r="H17" s="118"/>
      <c r="I17" s="151"/>
      <c r="J17" s="219">
        <f t="shared" ref="J17:N17" si="6">IF(AND($C17&gt;J$14,ISNONTEXT($C17)),K17/(1+K$12),IF(AND($C17=J$14,J$14=J$4),1,IF(AND($C17&lt;J$14,J$14=J$4),I17*(1+J$12),0)))</f>
        <v>0.96296296296296313</v>
      </c>
      <c r="K17" s="219">
        <f t="shared" si="6"/>
        <v>1</v>
      </c>
      <c r="L17" s="219">
        <f t="shared" si="6"/>
        <v>1.0614478114478114</v>
      </c>
      <c r="M17" s="219">
        <f t="shared" si="6"/>
        <v>1.1254208754208754</v>
      </c>
      <c r="N17" s="219">
        <f t="shared" si="6"/>
        <v>1.1683501683501687</v>
      </c>
      <c r="O17" s="219">
        <f t="shared" ref="O17:P17" si="7">IF(AND($C17&gt;O$14,ISNONTEXT($C17)),P17/(1+O$12),IF(AND($C17=O$14,O$14=O$4),1,IF(AND($C17&lt;O$14,O$14=O$4),N17*(1+O$12),0)))</f>
        <v>1.1975589225589227</v>
      </c>
      <c r="P17" s="219">
        <f t="shared" si="7"/>
        <v>0</v>
      </c>
      <c r="Q17" s="152"/>
      <c r="R17" s="152"/>
      <c r="S17" s="152"/>
      <c r="T17" s="152"/>
      <c r="U17" s="152"/>
      <c r="V17" s="117"/>
      <c r="W17" s="117"/>
    </row>
    <row r="18" spans="1:23" ht="11.25" customHeight="1" outlineLevel="1">
      <c r="A18" s="117"/>
      <c r="B18" s="117"/>
      <c r="C18" s="217">
        <v>44713</v>
      </c>
      <c r="D18" s="218" t="str">
        <f t="shared" si="2"/>
        <v>calculated</v>
      </c>
      <c r="E18" s="216" t="str">
        <f t="shared" si="5"/>
        <v>index</v>
      </c>
      <c r="F18" s="118"/>
      <c r="G18" s="118"/>
      <c r="H18" s="118"/>
      <c r="I18" s="151"/>
      <c r="J18" s="219">
        <f t="shared" ref="J18:N18" si="8">IF(AND($C18&gt;J$14,ISNONTEXT($C18)),K18/(1+K$12),IF(AND($C18=J$14,J$14=J$4),1,IF(AND($C18&lt;J$14,J$14=J$4),I18*(1+J$12),0)))</f>
        <v>0.90721649484536093</v>
      </c>
      <c r="K18" s="219">
        <f t="shared" si="8"/>
        <v>0.94210943695479776</v>
      </c>
      <c r="L18" s="219">
        <f t="shared" si="8"/>
        <v>1</v>
      </c>
      <c r="M18" s="219">
        <f t="shared" si="8"/>
        <v>1.0602696272799366</v>
      </c>
      <c r="N18" s="219">
        <f t="shared" si="8"/>
        <v>1.1007137192704206</v>
      </c>
      <c r="O18" s="219">
        <f t="shared" ref="O18:P18" si="9">IF(AND($C18&gt;O$14,ISNONTEXT($C18)),P18/(1+O$12),IF(AND($C18=O$14,O$14=O$4),1,IF(AND($C18&lt;O$14,O$14=O$4),N18*(1+O$12),0)))</f>
        <v>1.128231562252181</v>
      </c>
      <c r="P18" s="219">
        <f t="shared" si="9"/>
        <v>0</v>
      </c>
      <c r="Q18" s="152"/>
      <c r="R18" s="152"/>
      <c r="S18" s="152"/>
      <c r="T18" s="152"/>
      <c r="U18" s="152"/>
      <c r="V18" s="117"/>
      <c r="W18" s="117"/>
    </row>
    <row r="19" spans="1:23" ht="11.25" customHeight="1" outlineLevel="1">
      <c r="A19" s="117"/>
      <c r="B19" s="117"/>
      <c r="C19" s="217">
        <v>45078</v>
      </c>
      <c r="D19" s="218" t="str">
        <f t="shared" si="2"/>
        <v>calculated</v>
      </c>
      <c r="E19" s="216" t="str">
        <f t="shared" si="5"/>
        <v>index</v>
      </c>
      <c r="F19" s="118"/>
      <c r="G19" s="118"/>
      <c r="H19" s="118"/>
      <c r="I19" s="151"/>
      <c r="J19" s="219">
        <f t="shared" ref="J19:N19" si="10">IF(AND($C19&gt;J$14,ISNONTEXT($C19)),K19/(1+K$12),IF(AND($C19=J$14,J$14=J$4),1,IF(AND($C19&lt;J$14,J$14=J$4),I19*(1+J$12),0)))</f>
        <v>0.85564697083021701</v>
      </c>
      <c r="K19" s="219">
        <f t="shared" si="10"/>
        <v>0.88855646970830215</v>
      </c>
      <c r="L19" s="219">
        <f t="shared" si="10"/>
        <v>0.94315632011967088</v>
      </c>
      <c r="M19" s="219">
        <f t="shared" si="10"/>
        <v>1</v>
      </c>
      <c r="N19" s="219">
        <f t="shared" si="10"/>
        <v>1.0381451009723264</v>
      </c>
      <c r="O19" s="219">
        <f t="shared" ref="O19:P19" si="11">IF(AND($C19&gt;O$14,ISNONTEXT($C19)),P19/(1+O$12),IF(AND($C19=O$14,O$14=O$4),1,IF(AND($C19&lt;O$14,O$14=O$4),N19*(1+O$12),0)))</f>
        <v>1.0640987284966343</v>
      </c>
      <c r="P19" s="219">
        <f t="shared" si="11"/>
        <v>0</v>
      </c>
      <c r="Q19" s="152"/>
      <c r="R19" s="152"/>
      <c r="S19" s="152"/>
      <c r="T19" s="152"/>
      <c r="U19" s="152"/>
      <c r="V19" s="117"/>
      <c r="W19" s="117"/>
    </row>
    <row r="20" spans="1:23" ht="11.25" customHeight="1" outlineLevel="1">
      <c r="A20" s="117"/>
      <c r="B20" s="117"/>
      <c r="C20" s="217">
        <v>45444</v>
      </c>
      <c r="D20" s="218" t="str">
        <f t="shared" si="2"/>
        <v>calculated</v>
      </c>
      <c r="E20" s="216" t="str">
        <f t="shared" si="5"/>
        <v>index</v>
      </c>
      <c r="F20" s="118"/>
      <c r="G20" s="118"/>
      <c r="H20" s="118"/>
      <c r="I20" s="151"/>
      <c r="J20" s="219">
        <f>IF(AND($C20&gt;J$14,ISNONTEXT($C20)),K20/(1+K$12),IF(AND($C20=J$14,J$14=J$4),1,IF(AND($C20&lt;J$14,J$14=J$4),I20*(1+J$12),0)))</f>
        <v>0.82420749279538896</v>
      </c>
      <c r="K20" s="219">
        <f t="shared" ref="K20:N20" si="12">IF(AND($C20&gt;K$14,ISNONTEXT($C20)),L20/(1+L$12),IF(AND($C20=K$14,K$14=K$4),1,IF(AND($C20&lt;K$14,K$14=K$4),J20*(1+K$12),0)))</f>
        <v>0.85590778097982689</v>
      </c>
      <c r="L20" s="219">
        <f t="shared" si="12"/>
        <v>0.90850144092218998</v>
      </c>
      <c r="M20" s="219">
        <f t="shared" si="12"/>
        <v>0.96325648414985565</v>
      </c>
      <c r="N20" s="219">
        <f t="shared" si="12"/>
        <v>1</v>
      </c>
      <c r="O20" s="219">
        <f t="shared" ref="O20:P20" si="13">IF(AND($C20&gt;O$14,ISNONTEXT($C20)),P20/(1+O$12),IF(AND($C20=O$14,O$14=O$4),1,IF(AND($C20&lt;O$14,O$14=O$4),N20*(1+O$12),0)))</f>
        <v>1.0249999999999999</v>
      </c>
      <c r="P20" s="219">
        <f t="shared" si="13"/>
        <v>0</v>
      </c>
      <c r="Q20" s="152"/>
      <c r="R20" s="152"/>
      <c r="S20" s="152"/>
      <c r="T20" s="152"/>
      <c r="U20" s="152"/>
      <c r="V20" s="117"/>
      <c r="W20" s="117"/>
    </row>
    <row r="21" spans="1:23" ht="11.25" customHeight="1" outlineLevel="1">
      <c r="A21" s="117"/>
      <c r="B21" s="117"/>
      <c r="C21" s="217">
        <v>45809</v>
      </c>
      <c r="D21" s="218" t="str">
        <f>IF(ISNONTEXT($C21),"calculated","")</f>
        <v>calculated</v>
      </c>
      <c r="E21" s="216" t="str">
        <f t="shared" si="5"/>
        <v>index</v>
      </c>
      <c r="F21" s="118"/>
      <c r="G21" s="118"/>
      <c r="H21" s="118"/>
      <c r="I21" s="151"/>
      <c r="J21" s="219">
        <f>IF(AND($C21&gt;J$14,ISNONTEXT($C21)),K21/(1+K$12),IF(AND($C21=J$14,J$14=J$4),1,IF(AND($C21&lt;J$14,J$14=J$4),I21*(1+J$12),0)))</f>
        <v>0.8041048710198917</v>
      </c>
      <c r="K21" s="219">
        <f t="shared" ref="K21:K22" si="14">IF(AND($C21&gt;K$14,ISNONTEXT($C21)),L21/(1+L$12),IF(AND($C21=K$14,K$14=K$4),1,IF(AND($C21&lt;K$14,K$14=K$4),J21*(1+K$12),0)))</f>
        <v>0.83503198144373358</v>
      </c>
      <c r="L21" s="219">
        <f t="shared" ref="L21:L22" si="15">IF(AND($C21&gt;L$14,ISNONTEXT($C21)),M21/(1+M$12),IF(AND($C21=L$14,L$14=L$4),1,IF(AND($C21&lt;L$14,L$14=L$4),K21*(1+L$12),0)))</f>
        <v>0.88634286919238048</v>
      </c>
      <c r="M21" s="219">
        <f t="shared" ref="M21:M22" si="16">IF(AND($C21&gt;M$14,ISNONTEXT($C21)),N21/(1+N$12),IF(AND($C21=M$14,M$14=M$4),1,IF(AND($C21&lt;M$14,M$14=M$4),L21*(1+M$12),0)))</f>
        <v>0.93976242356083484</v>
      </c>
      <c r="N21" s="219">
        <f t="shared" ref="N21:N22" si="17">IF(AND($C21&gt;N$14,ISNONTEXT($C21)),O21/(1+O$12),IF(AND($C21=N$14,N$14=N$4),1,IF(AND($C21&lt;N$14,N$14=N$4),M21*(1+N$12),0)))</f>
        <v>0.97560975609756106</v>
      </c>
      <c r="O21" s="219">
        <f t="shared" ref="O21:P21" si="18">IF(AND($C21&gt;O$14,ISNONTEXT($C21)),P21/(1+O$12),IF(AND($C21=O$14,O$14=O$4),1,IF(AND($C21&lt;O$14,O$14=O$4),N21*(1+O$12),0)))</f>
        <v>1</v>
      </c>
      <c r="P21" s="219">
        <f t="shared" si="18"/>
        <v>0</v>
      </c>
      <c r="Q21" s="152"/>
      <c r="R21" s="152"/>
      <c r="S21" s="152"/>
      <c r="T21" s="152"/>
      <c r="U21" s="152"/>
      <c r="V21" s="117"/>
      <c r="W21" s="117"/>
    </row>
    <row r="22" spans="1:23" ht="11.25" customHeight="1" outlineLevel="1">
      <c r="A22" s="117"/>
      <c r="B22" s="117"/>
      <c r="C22" s="217" t="str">
        <v/>
      </c>
      <c r="D22" s="218" t="str">
        <f>IF(ISNONTEXT($C22),"calculated","")</f>
        <v/>
      </c>
      <c r="E22" s="216" t="str">
        <f t="shared" si="5"/>
        <v/>
      </c>
      <c r="F22" s="118"/>
      <c r="G22" s="118"/>
      <c r="H22" s="118"/>
      <c r="I22" s="151"/>
      <c r="J22" s="219">
        <f>IF(AND($C22&gt;J$14,ISNONTEXT($C22)),K22/(1+K$12),IF(AND($C22=J$14,J$14=J$4),1,IF(AND($C22&lt;J$14,J$14=J$4),I22*(1+J$12),0)))</f>
        <v>0</v>
      </c>
      <c r="K22" s="219">
        <f t="shared" si="14"/>
        <v>0</v>
      </c>
      <c r="L22" s="219">
        <f t="shared" si="15"/>
        <v>0</v>
      </c>
      <c r="M22" s="219">
        <f t="shared" si="16"/>
        <v>0</v>
      </c>
      <c r="N22" s="219">
        <f t="shared" si="17"/>
        <v>0</v>
      </c>
      <c r="O22" s="219">
        <f t="shared" ref="O22:P22" si="19">IF(AND($C22&gt;O$14,ISNONTEXT($C22)),P22/(1+P$12),IF(AND($C22=O$14,O$14=O$4),1,IF(AND($C22&lt;O$14,O$14=O$4),N22*(1+O$12),0)))</f>
        <v>0</v>
      </c>
      <c r="P22" s="219">
        <f t="shared" si="19"/>
        <v>0</v>
      </c>
      <c r="Q22" s="152"/>
      <c r="R22" s="152"/>
      <c r="S22" s="152"/>
      <c r="T22" s="152"/>
      <c r="U22" s="152"/>
      <c r="V22" s="117"/>
      <c r="W22" s="117"/>
    </row>
    <row r="23" spans="1:23" ht="11.25" customHeight="1" outlineLevel="1">
      <c r="A23" s="117"/>
      <c r="B23" s="117"/>
      <c r="C23" s="123"/>
      <c r="D23" s="118"/>
      <c r="E23" s="118"/>
      <c r="F23" s="118"/>
      <c r="G23" s="118"/>
      <c r="H23" s="118"/>
      <c r="I23" s="118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17"/>
      <c r="W23" s="117"/>
    </row>
    <row r="24" spans="1:23" ht="11.25" customHeight="1" outlineLevel="1">
      <c r="A24" s="117"/>
      <c r="B24" s="117"/>
      <c r="C24" s="120" t="s">
        <v>46</v>
      </c>
      <c r="D24" s="118"/>
      <c r="E24" s="118"/>
      <c r="F24" s="118"/>
      <c r="G24" s="118"/>
      <c r="H24" s="118"/>
      <c r="I24" s="118"/>
      <c r="J24" s="215">
        <f t="shared" ref="J24:T24" si="20">IF(YEAR(J$4)&lt;=PPLastYear,J$4,"")</f>
        <v>43983</v>
      </c>
      <c r="K24" s="215">
        <f t="shared" si="20"/>
        <v>44348</v>
      </c>
      <c r="L24" s="215">
        <f t="shared" si="20"/>
        <v>44713</v>
      </c>
      <c r="M24" s="215">
        <f t="shared" si="20"/>
        <v>45078</v>
      </c>
      <c r="N24" s="215">
        <f t="shared" si="20"/>
        <v>45444</v>
      </c>
      <c r="O24" s="215">
        <f t="shared" si="20"/>
        <v>45809</v>
      </c>
      <c r="P24" s="215" t="str">
        <f t="shared" si="20"/>
        <v/>
      </c>
      <c r="Q24" s="215" t="str">
        <f t="shared" si="20"/>
        <v/>
      </c>
      <c r="R24" s="215" t="str">
        <f t="shared" si="20"/>
        <v/>
      </c>
      <c r="S24" s="215" t="str">
        <f t="shared" si="20"/>
        <v/>
      </c>
      <c r="T24" s="215" t="str">
        <f t="shared" si="20"/>
        <v/>
      </c>
      <c r="U24" s="136"/>
      <c r="V24" s="117"/>
      <c r="W24" s="117"/>
    </row>
    <row r="25" spans="1:23" ht="11.25" customHeight="1" outlineLevel="1">
      <c r="A25" s="117"/>
      <c r="B25" s="117"/>
      <c r="C25" s="123"/>
      <c r="D25" s="118"/>
      <c r="E25" s="118"/>
      <c r="F25" s="118"/>
      <c r="G25" s="118"/>
      <c r="H25" s="118"/>
      <c r="I25" s="118"/>
      <c r="J25" s="117"/>
      <c r="K25" s="117"/>
      <c r="L25" s="117"/>
      <c r="M25" s="117"/>
      <c r="N25" s="117"/>
      <c r="O25" s="117"/>
      <c r="P25" s="117"/>
      <c r="Q25" s="151"/>
      <c r="R25" s="151"/>
      <c r="S25" s="151"/>
      <c r="T25" s="151"/>
      <c r="U25" s="151"/>
      <c r="V25" s="117"/>
      <c r="W25" s="117"/>
    </row>
    <row r="26" spans="1:23" ht="11.25" customHeight="1" outlineLevel="1">
      <c r="A26" s="117"/>
      <c r="B26" s="117"/>
      <c r="C26" s="217">
        <f t="array" ref="C26:C32">TRANSPOSE(J10:P10)</f>
        <v>43983</v>
      </c>
      <c r="D26" s="218" t="str">
        <f t="shared" ref="D26:D32" si="21">IF(ISNONTEXT($C26),"calculated","")</f>
        <v>calculated</v>
      </c>
      <c r="E26" s="216" t="str">
        <f>IF(ISNONTEXT($C26),"index","")</f>
        <v>index</v>
      </c>
      <c r="F26" s="118"/>
      <c r="G26" s="118"/>
      <c r="H26" s="118"/>
      <c r="I26" s="151"/>
      <c r="J26" s="219">
        <f>IF(AND(J$24=J$4,ISNONTEXT($C26)),1/J16*(1+J$12)^0.5,0)</f>
        <v>0.99825631951042948</v>
      </c>
      <c r="K26" s="219">
        <f t="shared" ref="K26:T26" si="22">IF(AND(K$24=K$4,ISNONTEXT($C26)),1/K16*(1+K$12)^0.5,0)</f>
        <v>0.98130676292531638</v>
      </c>
      <c r="L26" s="219">
        <f t="shared" si="22"/>
        <v>0.93467421272075479</v>
      </c>
      <c r="M26" s="219">
        <f t="shared" si="22"/>
        <v>0.88105450779258843</v>
      </c>
      <c r="N26" s="219">
        <f t="shared" si="22"/>
        <v>0.83978011678411546</v>
      </c>
      <c r="O26" s="219">
        <f t="shared" si="22"/>
        <v>0.81409413441435907</v>
      </c>
      <c r="P26" s="219">
        <f t="shared" si="22"/>
        <v>0</v>
      </c>
      <c r="Q26" s="219">
        <f t="shared" si="22"/>
        <v>0</v>
      </c>
      <c r="R26" s="219">
        <f t="shared" si="22"/>
        <v>0</v>
      </c>
      <c r="S26" s="219">
        <f t="shared" si="22"/>
        <v>0</v>
      </c>
      <c r="T26" s="219">
        <f t="shared" si="22"/>
        <v>0</v>
      </c>
      <c r="U26" s="151"/>
      <c r="V26" s="153"/>
      <c r="W26" s="153"/>
    </row>
    <row r="27" spans="1:23" ht="11.25" customHeight="1" outlineLevel="1">
      <c r="A27" s="117"/>
      <c r="B27" s="117"/>
      <c r="C27" s="217">
        <v>44348</v>
      </c>
      <c r="D27" s="218" t="str">
        <f t="shared" si="21"/>
        <v>calculated</v>
      </c>
      <c r="E27" s="216" t="str">
        <f t="shared" ref="E27:E32" si="23">IF(ISNONTEXT($C27),"index","")</f>
        <v>index</v>
      </c>
      <c r="F27" s="118"/>
      <c r="G27" s="118"/>
      <c r="H27" s="118"/>
      <c r="I27" s="151"/>
      <c r="J27" s="219">
        <f t="shared" ref="J27:T27" si="24">IF(AND(J$24=J$4,ISNONTEXT($C27)),1/J17*(1+J$12)^0.5,0)</f>
        <v>1.0366507933377536</v>
      </c>
      <c r="K27" s="219">
        <f t="shared" si="24"/>
        <v>1.019049330730136</v>
      </c>
      <c r="L27" s="219">
        <f t="shared" si="24"/>
        <v>0.970623220902322</v>
      </c>
      <c r="M27" s="219">
        <f t="shared" si="24"/>
        <v>0.9149412196307648</v>
      </c>
      <c r="N27" s="219">
        <f t="shared" si="24"/>
        <v>0.87207935204504272</v>
      </c>
      <c r="O27" s="219">
        <f t="shared" si="24"/>
        <v>0.84540544727644962</v>
      </c>
      <c r="P27" s="219">
        <f t="shared" si="24"/>
        <v>0</v>
      </c>
      <c r="Q27" s="219">
        <f t="shared" si="24"/>
        <v>0</v>
      </c>
      <c r="R27" s="219">
        <f t="shared" si="24"/>
        <v>0</v>
      </c>
      <c r="S27" s="219">
        <f t="shared" si="24"/>
        <v>0</v>
      </c>
      <c r="T27" s="219">
        <f t="shared" si="24"/>
        <v>0</v>
      </c>
      <c r="U27" s="151"/>
      <c r="V27" s="153"/>
      <c r="W27" s="153"/>
    </row>
    <row r="28" spans="1:23" ht="11.25" customHeight="1" outlineLevel="1">
      <c r="A28" s="117"/>
      <c r="B28" s="117"/>
      <c r="C28" s="217">
        <v>44713</v>
      </c>
      <c r="D28" s="218" t="str">
        <f t="shared" si="21"/>
        <v>calculated</v>
      </c>
      <c r="E28" s="216" t="str">
        <f t="shared" si="23"/>
        <v>index</v>
      </c>
      <c r="F28" s="118"/>
      <c r="G28" s="118"/>
      <c r="H28" s="118"/>
      <c r="I28" s="151"/>
      <c r="J28" s="219">
        <f t="shared" ref="J28:T28" si="25">IF(AND(J$24=J$4,ISNONTEXT($C28)),1/J18*(1+J$12)^0.5,0)</f>
        <v>1.100350715823996</v>
      </c>
      <c r="K28" s="219">
        <f t="shared" si="25"/>
        <v>1.0816676818608599</v>
      </c>
      <c r="L28" s="219">
        <f t="shared" si="25"/>
        <v>1.0302658935671953</v>
      </c>
      <c r="M28" s="219">
        <f t="shared" si="25"/>
        <v>0.97116235518046667</v>
      </c>
      <c r="N28" s="219">
        <f t="shared" si="25"/>
        <v>0.92566671963703617</v>
      </c>
      <c r="O28" s="219">
        <f t="shared" si="25"/>
        <v>0.89735376179764559</v>
      </c>
      <c r="P28" s="219">
        <f t="shared" si="25"/>
        <v>0</v>
      </c>
      <c r="Q28" s="219">
        <f t="shared" si="25"/>
        <v>0</v>
      </c>
      <c r="R28" s="219">
        <f t="shared" si="25"/>
        <v>0</v>
      </c>
      <c r="S28" s="219">
        <f t="shared" si="25"/>
        <v>0</v>
      </c>
      <c r="T28" s="219">
        <f t="shared" si="25"/>
        <v>0</v>
      </c>
      <c r="U28" s="151"/>
      <c r="V28" s="153"/>
      <c r="W28" s="153"/>
    </row>
    <row r="29" spans="1:23" ht="11.25" customHeight="1" outlineLevel="1">
      <c r="A29" s="117"/>
      <c r="B29" s="117"/>
      <c r="C29" s="217">
        <v>45078</v>
      </c>
      <c r="D29" s="218" t="str">
        <f t="shared" si="21"/>
        <v>calculated</v>
      </c>
      <c r="E29" s="216" t="str">
        <f t="shared" si="23"/>
        <v>index</v>
      </c>
      <c r="F29" s="118"/>
      <c r="G29" s="118"/>
      <c r="H29" s="118"/>
      <c r="I29" s="151"/>
      <c r="J29" s="219">
        <f t="shared" ref="J29:T29" si="26">IF(AND(J$24=J$4,ISNONTEXT($C29)),1/J19*(1+J$12)^0.5,0)</f>
        <v>1.1666684433439196</v>
      </c>
      <c r="K29" s="219">
        <f t="shared" si="26"/>
        <v>1.1468593898873669</v>
      </c>
      <c r="L29" s="219">
        <f t="shared" si="26"/>
        <v>1.0923596349717211</v>
      </c>
      <c r="M29" s="219">
        <f t="shared" si="26"/>
        <v>1.0296939483554988</v>
      </c>
      <c r="N29" s="219">
        <f t="shared" si="26"/>
        <v>0.98145630781500182</v>
      </c>
      <c r="O29" s="219">
        <f t="shared" si="26"/>
        <v>0.95143693855943878</v>
      </c>
      <c r="P29" s="219">
        <f t="shared" si="26"/>
        <v>0</v>
      </c>
      <c r="Q29" s="219">
        <f t="shared" si="26"/>
        <v>0</v>
      </c>
      <c r="R29" s="219">
        <f t="shared" si="26"/>
        <v>0</v>
      </c>
      <c r="S29" s="219">
        <f t="shared" si="26"/>
        <v>0</v>
      </c>
      <c r="T29" s="219">
        <f t="shared" si="26"/>
        <v>0</v>
      </c>
      <c r="U29" s="151"/>
      <c r="V29" s="153"/>
      <c r="W29" s="153"/>
    </row>
    <row r="30" spans="1:23" ht="11.25" customHeight="1" outlineLevel="1">
      <c r="A30" s="117"/>
      <c r="B30" s="117"/>
      <c r="C30" s="217">
        <v>45444</v>
      </c>
      <c r="D30" s="218" t="str">
        <f t="shared" si="21"/>
        <v>calculated</v>
      </c>
      <c r="E30" s="216" t="str">
        <f t="shared" si="23"/>
        <v>index</v>
      </c>
      <c r="F30" s="118"/>
      <c r="G30" s="118"/>
      <c r="H30" s="118"/>
      <c r="I30" s="151"/>
      <c r="J30" s="219">
        <f t="shared" ref="J30:T30" si="27">IF(AND(J$24=J$4,ISNONTEXT($C30)),1/J20*(1+J$12)^0.5,0)</f>
        <v>1.2111711289165001</v>
      </c>
      <c r="K30" s="219">
        <f t="shared" si="27"/>
        <v>1.1906064571156811</v>
      </c>
      <c r="L30" s="219">
        <f t="shared" si="27"/>
        <v>1.1340278035458109</v>
      </c>
      <c r="M30" s="219">
        <f t="shared" si="27"/>
        <v>1.0689717279861126</v>
      </c>
      <c r="N30" s="219">
        <f t="shared" si="27"/>
        <v>1.0188940577765317</v>
      </c>
      <c r="O30" s="219">
        <f t="shared" si="27"/>
        <v>0.98772959664958959</v>
      </c>
      <c r="P30" s="219">
        <f t="shared" si="27"/>
        <v>0</v>
      </c>
      <c r="Q30" s="219">
        <f t="shared" si="27"/>
        <v>0</v>
      </c>
      <c r="R30" s="219">
        <f t="shared" si="27"/>
        <v>0</v>
      </c>
      <c r="S30" s="219">
        <f t="shared" si="27"/>
        <v>0</v>
      </c>
      <c r="T30" s="219">
        <f t="shared" si="27"/>
        <v>0</v>
      </c>
      <c r="U30" s="151"/>
      <c r="V30" s="153"/>
      <c r="W30" s="153"/>
    </row>
    <row r="31" spans="1:23" ht="11.25" customHeight="1" outlineLevel="1">
      <c r="A31" s="117"/>
      <c r="B31" s="117"/>
      <c r="C31" s="217">
        <v>45809</v>
      </c>
      <c r="D31" s="218" t="str">
        <f t="shared" si="21"/>
        <v>calculated</v>
      </c>
      <c r="E31" s="216" t="str">
        <f t="shared" si="23"/>
        <v>index</v>
      </c>
      <c r="F31" s="118"/>
      <c r="G31" s="118"/>
      <c r="H31" s="118"/>
      <c r="I31" s="151"/>
      <c r="J31" s="219">
        <f t="shared" ref="J31:T32" si="28">IF(AND(J$24=J$4,ISNONTEXT($C31)),1/J21*(1+J$12)^0.5,0)</f>
        <v>1.2414504071394128</v>
      </c>
      <c r="K31" s="219">
        <f t="shared" si="28"/>
        <v>1.2203716185435729</v>
      </c>
      <c r="L31" s="219">
        <f t="shared" si="28"/>
        <v>1.1623784986344561</v>
      </c>
      <c r="M31" s="219">
        <f t="shared" si="28"/>
        <v>1.0956960211857656</v>
      </c>
      <c r="N31" s="219">
        <f t="shared" si="28"/>
        <v>1.044366409220945</v>
      </c>
      <c r="O31" s="219">
        <f t="shared" si="28"/>
        <v>1.0124228365658292</v>
      </c>
      <c r="P31" s="219">
        <f t="shared" si="28"/>
        <v>0</v>
      </c>
      <c r="Q31" s="219">
        <f t="shared" si="28"/>
        <v>0</v>
      </c>
      <c r="R31" s="219">
        <f t="shared" si="28"/>
        <v>0</v>
      </c>
      <c r="S31" s="219">
        <f t="shared" si="28"/>
        <v>0</v>
      </c>
      <c r="T31" s="219">
        <f t="shared" si="28"/>
        <v>0</v>
      </c>
      <c r="U31" s="151"/>
      <c r="V31" s="153"/>
      <c r="W31" s="153"/>
    </row>
    <row r="32" spans="1:23" ht="11.25" customHeight="1" outlineLevel="1">
      <c r="A32" s="117"/>
      <c r="B32" s="117"/>
      <c r="C32" s="217" t="str">
        <v/>
      </c>
      <c r="D32" s="218" t="str">
        <f t="shared" si="21"/>
        <v/>
      </c>
      <c r="E32" s="216" t="str">
        <f t="shared" si="23"/>
        <v/>
      </c>
      <c r="F32" s="118"/>
      <c r="G32" s="118"/>
      <c r="H32" s="118"/>
      <c r="I32" s="151"/>
      <c r="J32" s="219">
        <f t="shared" si="28"/>
        <v>0</v>
      </c>
      <c r="K32" s="219">
        <f t="shared" si="28"/>
        <v>0</v>
      </c>
      <c r="L32" s="219">
        <f t="shared" si="28"/>
        <v>0</v>
      </c>
      <c r="M32" s="219">
        <f t="shared" si="28"/>
        <v>0</v>
      </c>
      <c r="N32" s="219">
        <f t="shared" si="28"/>
        <v>0</v>
      </c>
      <c r="O32" s="219">
        <f t="shared" si="28"/>
        <v>0</v>
      </c>
      <c r="P32" s="219">
        <f t="shared" si="28"/>
        <v>0</v>
      </c>
      <c r="Q32" s="219">
        <f t="shared" si="28"/>
        <v>0</v>
      </c>
      <c r="R32" s="219">
        <f t="shared" si="28"/>
        <v>0</v>
      </c>
      <c r="S32" s="219">
        <f t="shared" si="28"/>
        <v>0</v>
      </c>
      <c r="T32" s="219">
        <f t="shared" si="28"/>
        <v>0</v>
      </c>
      <c r="U32" s="151"/>
      <c r="V32" s="153"/>
      <c r="W32" s="153"/>
    </row>
    <row r="33" spans="1:34">
      <c r="A33" s="117"/>
      <c r="B33" s="117"/>
      <c r="C33" s="123"/>
      <c r="D33" s="118"/>
      <c r="E33" s="118"/>
      <c r="F33" s="118"/>
      <c r="G33" s="118"/>
      <c r="H33" s="118"/>
      <c r="I33" s="118"/>
      <c r="J33" s="118"/>
      <c r="K33" s="151"/>
      <c r="L33" s="151"/>
      <c r="M33" s="151"/>
      <c r="N33" s="151"/>
      <c r="O33" s="151"/>
      <c r="P33" s="150"/>
      <c r="Q33" s="151"/>
      <c r="R33" s="151"/>
      <c r="S33" s="151"/>
      <c r="T33" s="151"/>
      <c r="U33" s="151"/>
      <c r="V33" s="117"/>
      <c r="W33" s="117"/>
    </row>
    <row r="34" spans="1:34" customFormat="1" ht="12.75">
      <c r="A34" s="113"/>
      <c r="B34" s="38" t="s">
        <v>72</v>
      </c>
      <c r="C34" s="113"/>
      <c r="D34" s="113"/>
      <c r="E34" s="113"/>
      <c r="F34" s="114"/>
      <c r="G34" s="114"/>
      <c r="H34" s="114"/>
      <c r="I34" s="114"/>
      <c r="J34" s="114"/>
      <c r="K34" s="115"/>
      <c r="L34" s="116"/>
      <c r="M34" s="115"/>
      <c r="N34" s="116"/>
      <c r="O34" s="115"/>
      <c r="P34" s="115"/>
      <c r="Q34" s="115"/>
      <c r="R34" s="115"/>
      <c r="S34" s="115"/>
      <c r="T34" s="115"/>
      <c r="U34" s="115"/>
      <c r="V34" s="115"/>
      <c r="W34" s="115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17"/>
      <c r="B35" s="117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7"/>
      <c r="W35" s="117"/>
    </row>
    <row r="36" spans="1:34" ht="11.25" customHeight="1" outlineLevel="1">
      <c r="A36" s="117"/>
      <c r="B36" s="117"/>
      <c r="C36" s="120" t="s">
        <v>75</v>
      </c>
      <c r="D36" s="119" t="s">
        <v>7</v>
      </c>
      <c r="E36" s="119" t="s">
        <v>8</v>
      </c>
      <c r="F36" s="118"/>
      <c r="G36" s="118"/>
      <c r="H36" s="118"/>
      <c r="I36" s="118"/>
      <c r="J36" s="220" t="str">
        <f t="shared" ref="J36:U36" si="29">IF(YEAR(J$4)&gt;=FPFirstYear,IF(YEAR(J$4)&lt;=FPLastYear,J$4,""),"")</f>
        <v/>
      </c>
      <c r="K36" s="220" t="str">
        <f t="shared" si="29"/>
        <v/>
      </c>
      <c r="L36" s="220" t="str">
        <f t="shared" si="29"/>
        <v/>
      </c>
      <c r="M36" s="220" t="str">
        <f t="shared" si="29"/>
        <v/>
      </c>
      <c r="N36" s="220" t="str">
        <f t="shared" si="29"/>
        <v/>
      </c>
      <c r="O36" s="220" t="str">
        <f t="shared" si="29"/>
        <v/>
      </c>
      <c r="P36" s="220">
        <f t="shared" si="29"/>
        <v>46174</v>
      </c>
      <c r="Q36" s="220">
        <f t="shared" si="29"/>
        <v>46539</v>
      </c>
      <c r="R36" s="220">
        <f t="shared" si="29"/>
        <v>46905</v>
      </c>
      <c r="S36" s="220">
        <f t="shared" si="29"/>
        <v>47270</v>
      </c>
      <c r="T36" s="220">
        <f t="shared" si="29"/>
        <v>47635</v>
      </c>
      <c r="U36" s="220" t="str">
        <f t="shared" si="29"/>
        <v/>
      </c>
      <c r="V36" s="117"/>
      <c r="W36" s="117"/>
    </row>
    <row r="37" spans="1:34" ht="11.25" customHeight="1" outlineLevel="1">
      <c r="A37" s="117"/>
      <c r="B37" s="117"/>
      <c r="C37" s="117"/>
      <c r="D37" s="118"/>
      <c r="E37" s="118"/>
      <c r="F37" s="118"/>
      <c r="G37" s="118"/>
      <c r="H37" s="118"/>
      <c r="I37" s="118"/>
      <c r="J37" s="118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</row>
    <row r="38" spans="1:34" ht="11.25" customHeight="1" outlineLevel="1">
      <c r="A38" s="117"/>
      <c r="B38" s="117"/>
      <c r="C38" s="125" t="s">
        <v>217</v>
      </c>
      <c r="D38" s="118" t="s">
        <v>96</v>
      </c>
      <c r="E38" s="216" t="str">
        <f t="shared" ref="E38:E45" si="30">percent</f>
        <v>Per cent</v>
      </c>
      <c r="F38" s="118"/>
      <c r="G38" s="118"/>
      <c r="H38" s="118"/>
      <c r="I38" s="118"/>
      <c r="J38" s="154"/>
      <c r="K38" s="155"/>
      <c r="L38" s="155"/>
      <c r="M38" s="155"/>
      <c r="N38" s="155"/>
      <c r="O38" s="155"/>
      <c r="P38" s="156">
        <v>1.0629694082536556E-2</v>
      </c>
      <c r="Q38" s="156">
        <v>8.1313357754799753E-3</v>
      </c>
      <c r="R38" s="156">
        <v>6.8704982315614949E-3</v>
      </c>
      <c r="S38" s="156">
        <v>8.5215133744886984E-3</v>
      </c>
      <c r="T38" s="156">
        <v>1.0867497548806559E-2</v>
      </c>
      <c r="U38" s="117"/>
      <c r="V38" s="117"/>
      <c r="W38" s="117"/>
    </row>
    <row r="39" spans="1:34" ht="11.25" customHeight="1" outlineLevel="1">
      <c r="A39" s="117"/>
      <c r="B39" s="117"/>
      <c r="C39" s="157" t="s">
        <v>218</v>
      </c>
      <c r="D39" s="118" t="s">
        <v>96</v>
      </c>
      <c r="E39" s="216" t="str">
        <f t="shared" si="30"/>
        <v>Per cent</v>
      </c>
      <c r="F39" s="118"/>
      <c r="G39" s="118"/>
      <c r="H39" s="118"/>
      <c r="I39" s="118"/>
      <c r="J39" s="154"/>
      <c r="K39" s="155"/>
      <c r="L39" s="155"/>
      <c r="M39" s="155"/>
      <c r="N39" s="155"/>
      <c r="O39" s="155"/>
      <c r="P39" s="278">
        <v>4.1439995143349954E-3</v>
      </c>
      <c r="Q39" s="278">
        <v>1.0030020068882263E-2</v>
      </c>
      <c r="R39" s="278">
        <v>8.9821009146541682E-3</v>
      </c>
      <c r="S39" s="278">
        <v>1.1240048012244732E-2</v>
      </c>
      <c r="T39" s="278">
        <v>1.3130696310434264E-2</v>
      </c>
      <c r="U39" s="117"/>
      <c r="V39" s="117"/>
      <c r="W39" s="117"/>
    </row>
    <row r="40" spans="1:34" ht="11.25" customHeight="1" outlineLevel="1">
      <c r="A40" s="117"/>
      <c r="B40" s="117"/>
      <c r="C40" s="125" t="s">
        <v>170</v>
      </c>
      <c r="D40" s="118" t="s">
        <v>96</v>
      </c>
      <c r="E40" s="216" t="str">
        <f t="shared" si="30"/>
        <v>Per cent</v>
      </c>
      <c r="F40" s="118"/>
      <c r="G40" s="118"/>
      <c r="H40" s="118"/>
      <c r="I40" s="118"/>
      <c r="J40" s="154"/>
      <c r="K40" s="155"/>
      <c r="L40" s="155"/>
      <c r="M40" s="155"/>
      <c r="N40" s="155"/>
      <c r="O40" s="155"/>
      <c r="P40" s="156">
        <f>AVERAGE(P38:P39)</f>
        <v>7.3868467984357757E-3</v>
      </c>
      <c r="Q40" s="156">
        <f t="shared" ref="Q40:T40" si="31">AVERAGE(Q38:Q39)</f>
        <v>9.0806779221811185E-3</v>
      </c>
      <c r="R40" s="156">
        <f t="shared" si="31"/>
        <v>7.9262995731078315E-3</v>
      </c>
      <c r="S40" s="156">
        <f t="shared" si="31"/>
        <v>9.8807806933667152E-3</v>
      </c>
      <c r="T40" s="156">
        <f t="shared" si="31"/>
        <v>1.1999096929620413E-2</v>
      </c>
      <c r="U40" s="117"/>
      <c r="V40" s="117"/>
      <c r="W40" s="117"/>
    </row>
    <row r="41" spans="1:34" ht="11.25" customHeight="1" outlineLevel="1">
      <c r="A41" s="117"/>
      <c r="B41" s="117"/>
      <c r="C41" s="125" t="s">
        <v>158</v>
      </c>
      <c r="D41" s="118" t="s">
        <v>96</v>
      </c>
      <c r="E41" s="216" t="str">
        <f t="shared" si="30"/>
        <v>Per cent</v>
      </c>
      <c r="F41" s="118"/>
      <c r="G41" s="118"/>
      <c r="H41" s="118"/>
      <c r="I41" s="118"/>
      <c r="J41" s="154"/>
      <c r="K41" s="155"/>
      <c r="L41" s="155"/>
      <c r="M41" s="155"/>
      <c r="N41" s="155"/>
      <c r="O41" s="155"/>
      <c r="P41" s="198">
        <v>5.0000000000000001E-3</v>
      </c>
      <c r="Q41" s="198">
        <v>0</v>
      </c>
      <c r="R41" s="198">
        <v>0</v>
      </c>
      <c r="S41" s="198">
        <v>0</v>
      </c>
      <c r="T41" s="198">
        <v>0</v>
      </c>
      <c r="U41" s="158"/>
      <c r="V41" s="159"/>
      <c r="W41" s="117"/>
    </row>
    <row r="42" spans="1:34" ht="11.25" customHeight="1" outlineLevel="1">
      <c r="A42" s="117"/>
      <c r="B42" s="117"/>
      <c r="C42" s="125" t="s">
        <v>159</v>
      </c>
      <c r="D42" s="118" t="s">
        <v>96</v>
      </c>
      <c r="E42" s="216" t="str">
        <f t="shared" si="30"/>
        <v>Per cent</v>
      </c>
      <c r="F42" s="118"/>
      <c r="G42" s="118"/>
      <c r="H42" s="118"/>
      <c r="I42" s="118"/>
      <c r="J42" s="154"/>
      <c r="K42" s="155"/>
      <c r="L42" s="155"/>
      <c r="M42" s="155"/>
      <c r="N42" s="155"/>
      <c r="O42" s="155"/>
      <c r="P42" s="156">
        <f>P41+P40</f>
        <v>1.2386846798435776E-2</v>
      </c>
      <c r="Q42" s="156">
        <f t="shared" ref="Q42:T42" si="32">Q41+Q40</f>
        <v>9.0806779221811185E-3</v>
      </c>
      <c r="R42" s="156">
        <f t="shared" si="32"/>
        <v>7.9262995731078315E-3</v>
      </c>
      <c r="S42" s="156">
        <f t="shared" si="32"/>
        <v>9.8807806933667152E-3</v>
      </c>
      <c r="T42" s="156">
        <f t="shared" si="32"/>
        <v>1.1999096929620413E-2</v>
      </c>
      <c r="U42" s="158"/>
      <c r="V42" s="117"/>
      <c r="W42" s="117"/>
    </row>
    <row r="43" spans="1:34" ht="11.25" customHeight="1" outlineLevel="1">
      <c r="A43" s="117"/>
      <c r="B43" s="117"/>
      <c r="C43" s="125"/>
      <c r="D43" s="118" t="s">
        <v>96</v>
      </c>
      <c r="E43" s="216" t="str">
        <f t="shared" si="30"/>
        <v>Per cent</v>
      </c>
      <c r="F43" s="118"/>
      <c r="G43" s="118"/>
      <c r="H43" s="118"/>
      <c r="I43" s="118"/>
      <c r="J43" s="154"/>
      <c r="K43" s="155"/>
      <c r="L43" s="155"/>
      <c r="M43" s="155"/>
      <c r="N43" s="155"/>
      <c r="O43" s="155"/>
      <c r="P43" s="160"/>
      <c r="Q43" s="160"/>
      <c r="R43" s="160"/>
      <c r="S43" s="160"/>
      <c r="T43" s="160"/>
      <c r="U43" s="158"/>
      <c r="V43" s="117"/>
      <c r="W43" s="117"/>
    </row>
    <row r="44" spans="1:34" ht="11.25" customHeight="1" outlineLevel="1">
      <c r="A44" s="117"/>
      <c r="B44" s="117"/>
      <c r="C44" s="125"/>
      <c r="D44" s="118" t="s">
        <v>96</v>
      </c>
      <c r="E44" s="216" t="str">
        <f t="shared" si="30"/>
        <v>Per cent</v>
      </c>
      <c r="F44" s="118"/>
      <c r="G44" s="118"/>
      <c r="H44" s="118"/>
      <c r="I44" s="118"/>
      <c r="J44" s="154"/>
      <c r="K44" s="155"/>
      <c r="L44" s="155"/>
      <c r="M44" s="155"/>
      <c r="N44" s="155"/>
      <c r="O44" s="155"/>
      <c r="P44" s="160"/>
      <c r="Q44" s="160"/>
      <c r="R44" s="160"/>
      <c r="S44" s="160"/>
      <c r="T44" s="160"/>
      <c r="U44" s="158"/>
      <c r="V44" s="117"/>
      <c r="W44" s="117"/>
    </row>
    <row r="45" spans="1:34" ht="11.25" customHeight="1" outlineLevel="1">
      <c r="A45" s="117"/>
      <c r="B45" s="117"/>
      <c r="C45" s="125" t="s">
        <v>76</v>
      </c>
      <c r="D45" s="118" t="s">
        <v>96</v>
      </c>
      <c r="E45" s="216" t="str">
        <f t="shared" si="30"/>
        <v>Per cent</v>
      </c>
      <c r="F45" s="118"/>
      <c r="G45" s="118"/>
      <c r="H45" s="118"/>
      <c r="I45" s="118"/>
      <c r="J45" s="154"/>
      <c r="K45" s="155"/>
      <c r="L45" s="155"/>
      <c r="M45" s="155"/>
      <c r="N45" s="155"/>
      <c r="O45" s="155"/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58"/>
      <c r="V45" s="117"/>
      <c r="W45" s="117"/>
    </row>
    <row r="46" spans="1:34" ht="11.25" customHeight="1" outlineLevel="1">
      <c r="A46" s="117"/>
      <c r="B46" s="117"/>
      <c r="C46" s="117"/>
      <c r="D46" s="118"/>
      <c r="E46" s="118"/>
      <c r="F46" s="118"/>
      <c r="G46" s="118"/>
      <c r="H46" s="118"/>
      <c r="I46" s="118"/>
      <c r="J46" s="118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  <row r="47" spans="1:34" ht="11.25" customHeight="1" outlineLevel="1">
      <c r="A47" s="117"/>
      <c r="B47" s="117"/>
      <c r="C47" s="117" t="s">
        <v>40</v>
      </c>
      <c r="D47" s="118" t="s">
        <v>93</v>
      </c>
      <c r="E47" s="118" t="s">
        <v>28</v>
      </c>
      <c r="F47" s="118" t="s">
        <v>36</v>
      </c>
      <c r="G47" s="118"/>
      <c r="H47" s="118"/>
      <c r="I47" s="118"/>
      <c r="J47" s="221" t="str">
        <f t="shared" ref="J47:S47" si="33">IF(J36=J4,IF(COUNTA($C38:$C45)=COUNT(J38:J45),"Ok","Check"),"")</f>
        <v/>
      </c>
      <c r="K47" s="221" t="str">
        <f t="shared" si="33"/>
        <v/>
      </c>
      <c r="L47" s="221" t="str">
        <f t="shared" si="33"/>
        <v/>
      </c>
      <c r="M47" s="221" t="str">
        <f t="shared" si="33"/>
        <v/>
      </c>
      <c r="N47" s="221" t="str">
        <f t="shared" si="33"/>
        <v/>
      </c>
      <c r="O47" s="221" t="str">
        <f t="shared" si="33"/>
        <v/>
      </c>
      <c r="P47" s="221" t="str">
        <f t="shared" si="33"/>
        <v>Ok</v>
      </c>
      <c r="Q47" s="221" t="str">
        <f t="shared" si="33"/>
        <v>Ok</v>
      </c>
      <c r="R47" s="221" t="str">
        <f t="shared" si="33"/>
        <v>Ok</v>
      </c>
      <c r="S47" s="221" t="str">
        <f t="shared" si="33"/>
        <v>Ok</v>
      </c>
      <c r="T47" s="221" t="str">
        <f>IF(T36=T4,IF(COUNTA($C38:$C45)=COUNT(T38:T45),"Ok","Check"),"")</f>
        <v>Ok</v>
      </c>
      <c r="U47" s="221" t="str">
        <f>IF(U36=U4,IF(COUNTA($C38:$C45)=COUNT(U38:U45),"Ok","Check"),"")</f>
        <v/>
      </c>
      <c r="V47" s="162"/>
      <c r="W47" s="117"/>
      <c r="X47" s="222" t="str">
        <f>IF(COUNTIF(J47:U47,"Check")=0,"Ok","Check")</f>
        <v>Ok</v>
      </c>
    </row>
    <row r="48" spans="1:34" ht="11.25" customHeight="1" outlineLevel="1">
      <c r="A48" s="117"/>
      <c r="B48" s="117"/>
      <c r="C48" s="117"/>
      <c r="D48" s="118"/>
      <c r="E48" s="118"/>
      <c r="F48" s="118"/>
      <c r="G48" s="118"/>
      <c r="H48" s="118"/>
      <c r="I48" s="118"/>
      <c r="J48" s="118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</row>
    <row r="49" spans="1:34" ht="11.25" customHeight="1" outlineLevel="1">
      <c r="A49" s="117"/>
      <c r="B49" s="117"/>
      <c r="C49" s="120" t="s">
        <v>43</v>
      </c>
      <c r="D49" s="119" t="s">
        <v>7</v>
      </c>
      <c r="E49" s="119" t="s">
        <v>8</v>
      </c>
      <c r="F49" s="118"/>
      <c r="G49" s="118"/>
      <c r="H49" s="118"/>
      <c r="I49" s="118"/>
      <c r="J49" s="220" t="str">
        <f t="shared" ref="J49:U49" si="34">IF(YEAR(J$4)&gt;=FPFirstYear,IF(YEAR(J$4)&lt;=FPLastYear,J$4,""),"")</f>
        <v/>
      </c>
      <c r="K49" s="220" t="str">
        <f t="shared" si="34"/>
        <v/>
      </c>
      <c r="L49" s="220" t="str">
        <f t="shared" si="34"/>
        <v/>
      </c>
      <c r="M49" s="220" t="str">
        <f t="shared" si="34"/>
        <v/>
      </c>
      <c r="N49" s="220" t="str">
        <f t="shared" si="34"/>
        <v/>
      </c>
      <c r="O49" s="220" t="str">
        <f t="shared" si="34"/>
        <v/>
      </c>
      <c r="P49" s="220">
        <f t="shared" si="34"/>
        <v>46174</v>
      </c>
      <c r="Q49" s="220">
        <f t="shared" si="34"/>
        <v>46539</v>
      </c>
      <c r="R49" s="220">
        <f t="shared" si="34"/>
        <v>46905</v>
      </c>
      <c r="S49" s="220">
        <f t="shared" si="34"/>
        <v>47270</v>
      </c>
      <c r="T49" s="220">
        <f t="shared" si="34"/>
        <v>47635</v>
      </c>
      <c r="U49" s="220" t="str">
        <f t="shared" si="34"/>
        <v/>
      </c>
      <c r="V49" s="117"/>
      <c r="W49" s="117"/>
    </row>
    <row r="50" spans="1:34" ht="11.25" customHeight="1" outlineLevel="1">
      <c r="A50" s="117"/>
      <c r="B50" s="117"/>
      <c r="C50" s="117"/>
      <c r="D50" s="118"/>
      <c r="E50" s="118"/>
      <c r="F50" s="118"/>
      <c r="G50" s="118"/>
      <c r="H50" s="118"/>
      <c r="I50" s="118"/>
      <c r="J50" s="118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</row>
    <row r="51" spans="1:34" ht="11.25" customHeight="1" outlineLevel="1">
      <c r="A51" s="117"/>
      <c r="B51" s="117"/>
      <c r="C51" s="163" t="str">
        <f t="shared" ref="C51:C58" si="35">C38</f>
        <v>WPI - DAE</v>
      </c>
      <c r="D51" s="118" t="s">
        <v>96</v>
      </c>
      <c r="E51" s="216" t="str">
        <f t="shared" ref="E51:E58" si="36">percent</f>
        <v>Per cent</v>
      </c>
      <c r="F51" s="118"/>
      <c r="G51" s="118"/>
      <c r="H51" s="118"/>
      <c r="I51" s="118"/>
      <c r="J51" s="154"/>
      <c r="K51" s="155"/>
      <c r="L51" s="155"/>
      <c r="M51" s="155"/>
      <c r="N51" s="155"/>
      <c r="O51" s="155"/>
      <c r="P51" s="141"/>
      <c r="Q51" s="141"/>
      <c r="R51" s="141"/>
      <c r="S51" s="141"/>
      <c r="T51" s="141"/>
      <c r="U51" s="164"/>
      <c r="V51" s="117"/>
      <c r="W51" s="117"/>
    </row>
    <row r="52" spans="1:34" ht="11.25" customHeight="1" outlineLevel="1">
      <c r="A52" s="117"/>
      <c r="B52" s="117"/>
      <c r="C52" s="163" t="str">
        <f t="shared" si="35"/>
        <v>WPI - BIS Oxford Economics</v>
      </c>
      <c r="D52" s="118" t="s">
        <v>96</v>
      </c>
      <c r="E52" s="216" t="str">
        <f t="shared" si="36"/>
        <v>Per cent</v>
      </c>
      <c r="F52" s="118"/>
      <c r="G52" s="118"/>
      <c r="H52" s="118"/>
      <c r="I52" s="118"/>
      <c r="J52" s="154"/>
      <c r="K52" s="155"/>
      <c r="L52" s="155"/>
      <c r="M52" s="155"/>
      <c r="N52" s="155"/>
      <c r="O52" s="155"/>
      <c r="P52" s="141"/>
      <c r="Q52" s="141"/>
      <c r="R52" s="141"/>
      <c r="S52" s="141"/>
      <c r="T52" s="141"/>
      <c r="U52" s="164"/>
      <c r="V52" s="117"/>
      <c r="W52" s="117"/>
    </row>
    <row r="53" spans="1:34" ht="11.25" customHeight="1" outlineLevel="1">
      <c r="A53" s="117"/>
      <c r="B53" s="117"/>
      <c r="C53" s="163" t="str">
        <f t="shared" si="35"/>
        <v>WPI - average</v>
      </c>
      <c r="D53" s="118" t="s">
        <v>96</v>
      </c>
      <c r="E53" s="216" t="str">
        <f t="shared" si="36"/>
        <v>Per cent</v>
      </c>
      <c r="F53" s="118"/>
      <c r="G53" s="118"/>
      <c r="H53" s="118"/>
      <c r="I53" s="118"/>
      <c r="J53" s="154"/>
      <c r="K53" s="155"/>
      <c r="L53" s="155"/>
      <c r="M53" s="155"/>
      <c r="N53" s="155"/>
      <c r="O53" s="155"/>
      <c r="P53" s="141"/>
      <c r="Q53" s="141"/>
      <c r="R53" s="141"/>
      <c r="S53" s="141"/>
      <c r="T53" s="141"/>
      <c r="U53" s="164"/>
      <c r="V53" s="117"/>
      <c r="W53" s="117"/>
    </row>
    <row r="54" spans="1:34" ht="11.25" customHeight="1" outlineLevel="1">
      <c r="A54" s="117"/>
      <c r="B54" s="117"/>
      <c r="C54" s="163" t="str">
        <f t="shared" si="35"/>
        <v>Superannuation guarantee increases</v>
      </c>
      <c r="D54" s="118" t="s">
        <v>96</v>
      </c>
      <c r="E54" s="216" t="str">
        <f t="shared" si="36"/>
        <v>Per cent</v>
      </c>
      <c r="F54" s="118"/>
      <c r="G54" s="118"/>
      <c r="H54" s="118"/>
      <c r="I54" s="118"/>
      <c r="J54" s="154"/>
      <c r="K54" s="155"/>
      <c r="L54" s="155"/>
      <c r="M54" s="155"/>
      <c r="N54" s="155"/>
      <c r="O54" s="155"/>
      <c r="P54" s="141"/>
      <c r="Q54" s="141"/>
      <c r="R54" s="141"/>
      <c r="S54" s="141"/>
      <c r="T54" s="141"/>
      <c r="U54" s="164"/>
      <c r="V54" s="159"/>
      <c r="W54" s="117"/>
    </row>
    <row r="55" spans="1:34" ht="11.25" customHeight="1" outlineLevel="1">
      <c r="A55" s="117"/>
      <c r="B55" s="117"/>
      <c r="C55" s="163" t="str">
        <f t="shared" si="35"/>
        <v>WPI - average + super guarantee increases</v>
      </c>
      <c r="D55" s="118" t="s">
        <v>96</v>
      </c>
      <c r="E55" s="216" t="str">
        <f t="shared" si="36"/>
        <v>Per cent</v>
      </c>
      <c r="F55" s="118"/>
      <c r="G55" s="118"/>
      <c r="H55" s="118"/>
      <c r="I55" s="118"/>
      <c r="J55" s="154"/>
      <c r="K55" s="155"/>
      <c r="L55" s="155"/>
      <c r="M55" s="155"/>
      <c r="N55" s="155"/>
      <c r="O55" s="155"/>
      <c r="P55" s="141">
        <v>0.62</v>
      </c>
      <c r="Q55" s="141">
        <v>0.62</v>
      </c>
      <c r="R55" s="141">
        <v>0.62</v>
      </c>
      <c r="S55" s="141">
        <v>0.62</v>
      </c>
      <c r="T55" s="141">
        <v>0.62</v>
      </c>
      <c r="U55" s="164"/>
      <c r="V55" s="117"/>
      <c r="W55" s="117"/>
    </row>
    <row r="56" spans="1:34" ht="11.25" customHeight="1" outlineLevel="1">
      <c r="A56" s="117"/>
      <c r="B56" s="117"/>
      <c r="C56" s="163">
        <f t="shared" si="35"/>
        <v>0</v>
      </c>
      <c r="D56" s="118" t="s">
        <v>96</v>
      </c>
      <c r="E56" s="216" t="str">
        <f t="shared" si="36"/>
        <v>Per cent</v>
      </c>
      <c r="F56" s="118"/>
      <c r="G56" s="118"/>
      <c r="H56" s="118"/>
      <c r="I56" s="118"/>
      <c r="J56" s="154"/>
      <c r="K56" s="155"/>
      <c r="L56" s="155"/>
      <c r="M56" s="155"/>
      <c r="N56" s="155"/>
      <c r="O56" s="155"/>
      <c r="P56" s="141"/>
      <c r="Q56" s="141"/>
      <c r="R56" s="141"/>
      <c r="S56" s="141"/>
      <c r="T56" s="141"/>
      <c r="U56" s="164"/>
      <c r="V56" s="117"/>
      <c r="W56" s="117"/>
    </row>
    <row r="57" spans="1:34" ht="11.25" customHeight="1" outlineLevel="1">
      <c r="A57" s="117"/>
      <c r="B57" s="117"/>
      <c r="C57" s="163">
        <f t="shared" si="35"/>
        <v>0</v>
      </c>
      <c r="D57" s="118" t="s">
        <v>96</v>
      </c>
      <c r="E57" s="216" t="str">
        <f t="shared" si="36"/>
        <v>Per cent</v>
      </c>
      <c r="F57" s="118"/>
      <c r="G57" s="118"/>
      <c r="H57" s="118"/>
      <c r="I57" s="118"/>
      <c r="J57" s="154"/>
      <c r="K57" s="155"/>
      <c r="L57" s="155"/>
      <c r="M57" s="155"/>
      <c r="N57" s="155"/>
      <c r="O57" s="155"/>
      <c r="P57" s="141"/>
      <c r="Q57" s="141"/>
      <c r="R57" s="141"/>
      <c r="S57" s="141"/>
      <c r="T57" s="141"/>
      <c r="U57" s="164"/>
      <c r="V57" s="117"/>
      <c r="W57" s="117"/>
    </row>
    <row r="58" spans="1:34" ht="11.25" customHeight="1" outlineLevel="1">
      <c r="A58" s="117"/>
      <c r="B58" s="117"/>
      <c r="C58" s="163" t="str">
        <f t="shared" si="35"/>
        <v>CPI</v>
      </c>
      <c r="D58" s="118" t="s">
        <v>96</v>
      </c>
      <c r="E58" s="216" t="str">
        <f t="shared" si="36"/>
        <v>Per cent</v>
      </c>
      <c r="F58" s="118"/>
      <c r="G58" s="118"/>
      <c r="H58" s="118"/>
      <c r="I58" s="118"/>
      <c r="J58" s="154"/>
      <c r="K58" s="155"/>
      <c r="L58" s="155"/>
      <c r="M58" s="155"/>
      <c r="N58" s="155"/>
      <c r="O58" s="155"/>
      <c r="P58" s="141">
        <v>0.38</v>
      </c>
      <c r="Q58" s="141">
        <v>0.38</v>
      </c>
      <c r="R58" s="141">
        <v>0.38</v>
      </c>
      <c r="S58" s="141">
        <v>0.38</v>
      </c>
      <c r="T58" s="141">
        <v>0.38</v>
      </c>
      <c r="U58" s="164"/>
      <c r="V58" s="117"/>
      <c r="W58" s="117"/>
    </row>
    <row r="59" spans="1:34" ht="11.25" customHeight="1" outlineLevel="1">
      <c r="A59" s="117"/>
      <c r="B59" s="117"/>
      <c r="C59" s="117"/>
      <c r="D59" s="118"/>
      <c r="E59" s="118"/>
      <c r="F59" s="118"/>
      <c r="G59" s="118"/>
      <c r="H59" s="118"/>
      <c r="I59" s="118"/>
      <c r="J59" s="118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</row>
    <row r="60" spans="1:34" outlineLevel="1">
      <c r="A60" s="117"/>
      <c r="B60" s="117"/>
      <c r="C60" s="117" t="s">
        <v>40</v>
      </c>
      <c r="D60" s="118" t="s">
        <v>93</v>
      </c>
      <c r="E60" s="118" t="s">
        <v>28</v>
      </c>
      <c r="F60" s="118" t="s">
        <v>36</v>
      </c>
      <c r="G60" s="118"/>
      <c r="H60" s="118"/>
      <c r="I60" s="118"/>
      <c r="J60" s="221" t="str">
        <f t="shared" ref="J60:S60" si="37">IF(J49=J$4,IF(SUM(J51:J58)=1,"Ok","Check"),"")</f>
        <v/>
      </c>
      <c r="K60" s="221" t="str">
        <f t="shared" si="37"/>
        <v/>
      </c>
      <c r="L60" s="221" t="str">
        <f t="shared" si="37"/>
        <v/>
      </c>
      <c r="M60" s="221" t="str">
        <f t="shared" si="37"/>
        <v/>
      </c>
      <c r="N60" s="221" t="str">
        <f t="shared" si="37"/>
        <v/>
      </c>
      <c r="O60" s="221" t="str">
        <f t="shared" si="37"/>
        <v/>
      </c>
      <c r="P60" s="221" t="str">
        <f t="shared" si="37"/>
        <v>Ok</v>
      </c>
      <c r="Q60" s="221" t="str">
        <f t="shared" si="37"/>
        <v>Ok</v>
      </c>
      <c r="R60" s="221" t="str">
        <f t="shared" si="37"/>
        <v>Ok</v>
      </c>
      <c r="S60" s="221" t="str">
        <f t="shared" si="37"/>
        <v>Ok</v>
      </c>
      <c r="T60" s="221" t="str">
        <f>IF(T49=T$4,IF(SUM(T51:T58)=1,"Ok","Check"),"")</f>
        <v>Ok</v>
      </c>
      <c r="U60" s="221" t="str">
        <f>IF(U49=U$4,IF(SUM(U51:U58)=1,"Ok","Check"),"")</f>
        <v/>
      </c>
      <c r="V60" s="162"/>
      <c r="W60" s="117"/>
      <c r="X60" s="222" t="str">
        <f>IF(COUNTIF(J60:U60,"Check")=0,"Ok","Check")</f>
        <v>Ok</v>
      </c>
    </row>
    <row r="61" spans="1:34">
      <c r="A61" s="117"/>
      <c r="B61" s="117"/>
      <c r="C61" s="117"/>
      <c r="D61" s="118"/>
      <c r="E61" s="118"/>
      <c r="F61" s="118"/>
      <c r="G61" s="118"/>
      <c r="H61" s="118"/>
      <c r="I61" s="118"/>
      <c r="J61" s="118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</row>
    <row r="62" spans="1:34" customFormat="1" ht="12.75">
      <c r="A62" s="113"/>
      <c r="B62" s="38" t="s">
        <v>79</v>
      </c>
      <c r="C62" s="113"/>
      <c r="D62" s="113"/>
      <c r="E62" s="113"/>
      <c r="F62" s="114"/>
      <c r="G62" s="114"/>
      <c r="H62" s="114"/>
      <c r="I62" s="114"/>
      <c r="J62" s="114"/>
      <c r="K62" s="115"/>
      <c r="L62" s="116"/>
      <c r="M62" s="115"/>
      <c r="N62" s="116"/>
      <c r="O62" s="115"/>
      <c r="P62" s="115"/>
      <c r="Q62" s="115"/>
      <c r="R62" s="115"/>
      <c r="S62" s="115"/>
      <c r="T62" s="115"/>
      <c r="U62" s="115"/>
      <c r="V62" s="115"/>
      <c r="W62" s="115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17"/>
      <c r="B63" s="117"/>
      <c r="C63" s="117"/>
      <c r="D63" s="118"/>
      <c r="E63" s="118"/>
      <c r="F63" s="118"/>
      <c r="G63" s="119"/>
      <c r="H63" s="119"/>
      <c r="I63" s="118"/>
      <c r="J63" s="118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</row>
    <row r="64" spans="1:34" outlineLevel="1">
      <c r="A64" s="117"/>
      <c r="B64" s="117"/>
      <c r="C64" s="120" t="s">
        <v>80</v>
      </c>
      <c r="D64" s="119" t="s">
        <v>7</v>
      </c>
      <c r="E64" s="119" t="s">
        <v>8</v>
      </c>
      <c r="F64" s="119" t="s">
        <v>22</v>
      </c>
      <c r="G64" s="119"/>
      <c r="H64" s="119"/>
      <c r="I64" s="118"/>
      <c r="J64" s="220" t="str">
        <f t="shared" ref="J64:U64" si="38">IF(YEAR(J$4)&gt;=PPLastYear,IF(YEAR(J$4)&lt;=FPLastYear,J$4,""),"")</f>
        <v/>
      </c>
      <c r="K64" s="220" t="str">
        <f t="shared" si="38"/>
        <v/>
      </c>
      <c r="L64" s="220" t="str">
        <f t="shared" si="38"/>
        <v/>
      </c>
      <c r="M64" s="220" t="str">
        <f t="shared" si="38"/>
        <v/>
      </c>
      <c r="N64" s="220" t="str">
        <f t="shared" si="38"/>
        <v/>
      </c>
      <c r="O64" s="220">
        <f t="shared" si="38"/>
        <v>45809</v>
      </c>
      <c r="P64" s="220">
        <f t="shared" si="38"/>
        <v>46174</v>
      </c>
      <c r="Q64" s="220">
        <f t="shared" si="38"/>
        <v>46539</v>
      </c>
      <c r="R64" s="220">
        <f t="shared" si="38"/>
        <v>46905</v>
      </c>
      <c r="S64" s="220">
        <f t="shared" si="38"/>
        <v>47270</v>
      </c>
      <c r="T64" s="220">
        <f t="shared" si="38"/>
        <v>47635</v>
      </c>
      <c r="U64" s="220" t="str">
        <f t="shared" si="38"/>
        <v/>
      </c>
      <c r="V64" s="117"/>
      <c r="W64" s="117"/>
    </row>
    <row r="65" spans="1:24" outlineLevel="1">
      <c r="A65" s="117"/>
      <c r="B65" s="117"/>
      <c r="C65" s="123"/>
      <c r="D65" s="118"/>
      <c r="E65" s="118"/>
      <c r="F65" s="118"/>
      <c r="G65" s="119"/>
      <c r="H65" s="119"/>
      <c r="I65" s="118"/>
      <c r="J65" s="118"/>
      <c r="K65" s="124"/>
      <c r="L65" s="124"/>
      <c r="M65" s="124"/>
      <c r="N65" s="124"/>
      <c r="O65" s="124"/>
      <c r="P65" s="117"/>
      <c r="Q65" s="117"/>
      <c r="R65" s="117"/>
      <c r="S65" s="117"/>
      <c r="T65" s="117"/>
      <c r="U65" s="117"/>
      <c r="V65" s="117"/>
      <c r="W65" s="117"/>
    </row>
    <row r="66" spans="1:24" outlineLevel="1">
      <c r="A66" s="117"/>
      <c r="B66"/>
      <c r="C66" s="125" t="s">
        <v>171</v>
      </c>
      <c r="D66" s="118" t="s">
        <v>96</v>
      </c>
      <c r="E66" s="118" t="s">
        <v>18</v>
      </c>
      <c r="F66" s="118" t="s">
        <v>36</v>
      </c>
      <c r="G66" s="119"/>
      <c r="H66" s="119"/>
      <c r="I66" s="118"/>
      <c r="J66" s="154"/>
      <c r="K66" s="165"/>
      <c r="L66" s="165"/>
      <c r="M66" s="165"/>
      <c r="N66" s="165"/>
      <c r="O66" s="279">
        <v>1575014.2589831313</v>
      </c>
      <c r="P66" s="279">
        <v>1589296.2528820452</v>
      </c>
      <c r="Q66" s="279">
        <v>1599696.4603728685</v>
      </c>
      <c r="R66" s="279">
        <v>1607134.2009435557</v>
      </c>
      <c r="S66" s="279">
        <v>1612692.5261469216</v>
      </c>
      <c r="T66" s="279">
        <v>1614297.2930721778</v>
      </c>
      <c r="U66" s="139"/>
      <c r="V66" s="117"/>
      <c r="W66" s="117"/>
    </row>
    <row r="67" spans="1:24" outlineLevel="1">
      <c r="A67" s="117"/>
      <c r="B67"/>
      <c r="C67" s="125" t="s">
        <v>221</v>
      </c>
      <c r="D67" s="118" t="s">
        <v>96</v>
      </c>
      <c r="E67" s="118" t="s">
        <v>18</v>
      </c>
      <c r="F67" s="118" t="s">
        <v>36</v>
      </c>
      <c r="G67" s="119"/>
      <c r="H67" s="119"/>
      <c r="I67" s="118"/>
      <c r="J67" s="154"/>
      <c r="K67" s="165"/>
      <c r="L67" s="165"/>
      <c r="M67" s="165"/>
      <c r="N67" s="165"/>
      <c r="O67" s="279">
        <v>26740.633870051093</v>
      </c>
      <c r="P67" s="279">
        <v>26880.311711015787</v>
      </c>
      <c r="Q67" s="279">
        <v>27027.323513140665</v>
      </c>
      <c r="R67" s="279">
        <v>27176.627866816892</v>
      </c>
      <c r="S67" s="279">
        <v>27322.414347700931</v>
      </c>
      <c r="T67" s="279">
        <v>27431.992916767791</v>
      </c>
      <c r="U67" s="139"/>
      <c r="V67" s="117"/>
      <c r="W67" s="117"/>
    </row>
    <row r="68" spans="1:24" outlineLevel="1">
      <c r="A68" s="117"/>
      <c r="B68" s="117"/>
      <c r="C68" s="125"/>
      <c r="D68" s="118" t="s">
        <v>96</v>
      </c>
      <c r="E68" s="118" t="s">
        <v>18</v>
      </c>
      <c r="F68" s="118" t="s">
        <v>36</v>
      </c>
      <c r="G68" s="119"/>
      <c r="H68" s="119"/>
      <c r="I68" s="118"/>
      <c r="J68" s="154"/>
      <c r="K68" s="165"/>
      <c r="L68" s="165"/>
      <c r="M68" s="165"/>
      <c r="N68" s="165"/>
      <c r="O68" s="139"/>
      <c r="P68" s="139"/>
      <c r="Q68" s="139"/>
      <c r="R68" s="139"/>
      <c r="S68" s="139"/>
      <c r="T68" s="139"/>
      <c r="U68" s="139"/>
      <c r="V68" s="117"/>
      <c r="W68" s="117"/>
    </row>
    <row r="69" spans="1:24" outlineLevel="1">
      <c r="A69" s="117"/>
      <c r="B69" s="117"/>
      <c r="C69" s="125"/>
      <c r="D69" s="118" t="s">
        <v>96</v>
      </c>
      <c r="E69" s="118" t="s">
        <v>18</v>
      </c>
      <c r="F69" s="118" t="s">
        <v>36</v>
      </c>
      <c r="G69" s="119"/>
      <c r="H69" s="119"/>
      <c r="I69" s="118"/>
      <c r="J69" s="154"/>
      <c r="K69" s="165"/>
      <c r="L69" s="165"/>
      <c r="M69" s="165"/>
      <c r="N69" s="165"/>
      <c r="O69" s="139"/>
      <c r="P69" s="139"/>
      <c r="Q69" s="139"/>
      <c r="R69" s="139"/>
      <c r="S69" s="139"/>
      <c r="T69" s="139"/>
      <c r="U69" s="139"/>
      <c r="V69" s="117"/>
      <c r="W69" s="117"/>
    </row>
    <row r="70" spans="1:24" outlineLevel="1">
      <c r="A70" s="117"/>
      <c r="B70" s="117"/>
      <c r="C70" s="125"/>
      <c r="D70" s="118" t="s">
        <v>96</v>
      </c>
      <c r="E70" s="118" t="s">
        <v>18</v>
      </c>
      <c r="F70" s="118" t="s">
        <v>36</v>
      </c>
      <c r="G70" s="119"/>
      <c r="H70" s="119"/>
      <c r="I70" s="118"/>
      <c r="J70" s="154"/>
      <c r="K70" s="165"/>
      <c r="L70" s="165"/>
      <c r="M70" s="165"/>
      <c r="N70" s="165"/>
      <c r="O70" s="139"/>
      <c r="P70" s="139"/>
      <c r="Q70" s="139"/>
      <c r="R70" s="139"/>
      <c r="S70" s="139"/>
      <c r="T70" s="139"/>
      <c r="U70" s="139"/>
      <c r="V70" s="117"/>
      <c r="W70" s="117"/>
    </row>
    <row r="71" spans="1:24" outlineLevel="1">
      <c r="A71" s="117"/>
      <c r="B71" s="117"/>
      <c r="C71" s="125"/>
      <c r="D71" s="118" t="s">
        <v>96</v>
      </c>
      <c r="E71" s="118" t="s">
        <v>18</v>
      </c>
      <c r="F71" s="118" t="s">
        <v>36</v>
      </c>
      <c r="G71" s="119"/>
      <c r="H71" s="119"/>
      <c r="I71" s="118"/>
      <c r="J71" s="154"/>
      <c r="K71" s="165"/>
      <c r="L71" s="165"/>
      <c r="M71" s="165"/>
      <c r="N71" s="165"/>
      <c r="O71" s="139"/>
      <c r="P71" s="139"/>
      <c r="Q71" s="139"/>
      <c r="R71" s="139"/>
      <c r="S71" s="139"/>
      <c r="T71" s="139"/>
      <c r="U71" s="139"/>
      <c r="V71" s="117"/>
      <c r="W71" s="117"/>
    </row>
    <row r="72" spans="1:24" outlineLevel="1">
      <c r="A72" s="117"/>
      <c r="B72" s="117"/>
      <c r="C72" s="123"/>
      <c r="D72" s="118"/>
      <c r="E72" s="118"/>
      <c r="F72" s="118"/>
      <c r="G72" s="119"/>
      <c r="H72" s="119"/>
      <c r="I72" s="118"/>
      <c r="J72" s="118"/>
      <c r="K72" s="124"/>
      <c r="L72" s="124"/>
      <c r="M72" s="124"/>
      <c r="N72" s="124"/>
      <c r="O72" s="124"/>
      <c r="P72" s="117"/>
      <c r="Q72" s="117"/>
      <c r="R72" s="117"/>
      <c r="S72" s="117"/>
      <c r="T72" s="117"/>
      <c r="U72" s="117"/>
      <c r="V72" s="117"/>
      <c r="W72" s="117"/>
    </row>
    <row r="73" spans="1:24" outlineLevel="1">
      <c r="A73" s="117"/>
      <c r="B73" s="117"/>
      <c r="C73" s="117" t="s">
        <v>40</v>
      </c>
      <c r="D73" s="118" t="s">
        <v>93</v>
      </c>
      <c r="E73" s="118" t="s">
        <v>28</v>
      </c>
      <c r="F73" s="118" t="s">
        <v>36</v>
      </c>
      <c r="G73" s="118"/>
      <c r="H73" s="118"/>
      <c r="I73" s="118"/>
      <c r="J73" s="221" t="str">
        <f t="shared" ref="J73:S73" si="39">IF(J64=J$4,IF(COUNTA($C66:$C71)=COUNT(J66:J71),"Ok","Check"),"")</f>
        <v/>
      </c>
      <c r="K73" s="221" t="str">
        <f t="shared" si="39"/>
        <v/>
      </c>
      <c r="L73" s="221" t="str">
        <f t="shared" si="39"/>
        <v/>
      </c>
      <c r="M73" s="221" t="str">
        <f t="shared" si="39"/>
        <v/>
      </c>
      <c r="N73" s="221" t="str">
        <f t="shared" si="39"/>
        <v/>
      </c>
      <c r="O73" s="221" t="str">
        <f t="shared" si="39"/>
        <v>Ok</v>
      </c>
      <c r="P73" s="221" t="str">
        <f t="shared" si="39"/>
        <v>Ok</v>
      </c>
      <c r="Q73" s="221" t="str">
        <f t="shared" si="39"/>
        <v>Ok</v>
      </c>
      <c r="R73" s="221" t="str">
        <f t="shared" si="39"/>
        <v>Ok</v>
      </c>
      <c r="S73" s="221" t="str">
        <f t="shared" si="39"/>
        <v>Ok</v>
      </c>
      <c r="T73" s="221" t="str">
        <f>IF(T64=T$4,IF(COUNTA($C66:$C71)=COUNT(T66:T71),"Ok","Check"),"")</f>
        <v>Ok</v>
      </c>
      <c r="U73" s="221" t="str">
        <f>IF(U64=U$4,IF(COUNTA($C66:$C71)=COUNT(U66:U71),"Ok","Check"),"")</f>
        <v/>
      </c>
      <c r="V73" s="162"/>
      <c r="W73" s="117"/>
      <c r="X73" s="222" t="str">
        <f>IF(COUNTIF(J73:U73,"Check")=0,"Ok","Check")</f>
        <v>Ok</v>
      </c>
    </row>
    <row r="74" spans="1:24" outlineLevel="1">
      <c r="A74" s="117"/>
      <c r="B74" s="117"/>
      <c r="C74" s="123"/>
      <c r="D74" s="118"/>
      <c r="E74" s="118"/>
      <c r="F74" s="216"/>
      <c r="G74" s="119"/>
      <c r="H74" s="119"/>
      <c r="I74" s="118"/>
      <c r="J74" s="118"/>
      <c r="K74" s="124"/>
      <c r="L74" s="124"/>
      <c r="M74" s="124"/>
      <c r="N74" s="124"/>
      <c r="O74" s="124"/>
      <c r="P74" s="117"/>
      <c r="Q74" s="117"/>
      <c r="R74" s="117"/>
      <c r="S74" s="117"/>
      <c r="T74" s="117"/>
      <c r="U74" s="117"/>
      <c r="V74" s="117"/>
      <c r="W74" s="117"/>
    </row>
    <row r="75" spans="1:24" outlineLevel="1">
      <c r="A75" s="117"/>
      <c r="B75" s="117"/>
      <c r="C75" s="120" t="s">
        <v>83</v>
      </c>
      <c r="D75" s="119" t="s">
        <v>7</v>
      </c>
      <c r="E75" s="119" t="s">
        <v>8</v>
      </c>
      <c r="F75" s="119" t="s">
        <v>22</v>
      </c>
      <c r="G75" s="119"/>
      <c r="H75" s="119"/>
      <c r="I75" s="118"/>
      <c r="J75" s="220" t="str">
        <f t="shared" ref="J75:U75" si="40">IF(YEAR(J$4)&gt;=FPFirstYear,IF(YEAR(J$4)&lt;=FPLastYear,J$4,""),"")</f>
        <v/>
      </c>
      <c r="K75" s="220" t="str">
        <f t="shared" si="40"/>
        <v/>
      </c>
      <c r="L75" s="220" t="str">
        <f t="shared" si="40"/>
        <v/>
      </c>
      <c r="M75" s="220" t="str">
        <f t="shared" si="40"/>
        <v/>
      </c>
      <c r="N75" s="220" t="str">
        <f t="shared" si="40"/>
        <v/>
      </c>
      <c r="O75" s="220" t="str">
        <f t="shared" si="40"/>
        <v/>
      </c>
      <c r="P75" s="220">
        <f t="shared" si="40"/>
        <v>46174</v>
      </c>
      <c r="Q75" s="220">
        <f t="shared" si="40"/>
        <v>46539</v>
      </c>
      <c r="R75" s="220">
        <f t="shared" si="40"/>
        <v>46905</v>
      </c>
      <c r="S75" s="220">
        <f t="shared" si="40"/>
        <v>47270</v>
      </c>
      <c r="T75" s="220">
        <f t="shared" si="40"/>
        <v>47635</v>
      </c>
      <c r="U75" s="220" t="str">
        <f t="shared" si="40"/>
        <v/>
      </c>
      <c r="V75" s="223" t="str">
        <f>IF(RIGHT(V$4,2)&gt;=RIGHT('Input|General'!$G$13,2),IF(RIGHT(V$4,2)&lt;='Input|General'!$G$14,'Input|Reported opex'!U$4,""),"")</f>
        <v/>
      </c>
      <c r="W75" s="117"/>
    </row>
    <row r="76" spans="1:24" outlineLevel="1">
      <c r="A76" s="117"/>
      <c r="B76" s="117"/>
      <c r="C76" s="123"/>
      <c r="D76" s="118"/>
      <c r="E76" s="118"/>
      <c r="F76" s="118"/>
      <c r="G76" s="119"/>
      <c r="H76" s="119"/>
      <c r="I76" s="118"/>
      <c r="J76" s="118"/>
      <c r="K76" s="124"/>
      <c r="L76" s="124"/>
      <c r="M76" s="124"/>
      <c r="N76" s="124"/>
      <c r="O76" s="124"/>
      <c r="P76" s="117"/>
      <c r="Q76" s="117"/>
      <c r="R76" s="117"/>
      <c r="S76" s="117"/>
      <c r="T76" s="117"/>
      <c r="U76" s="117"/>
      <c r="V76" s="117"/>
      <c r="W76" s="117"/>
    </row>
    <row r="77" spans="1:24" outlineLevel="1">
      <c r="A77" s="117"/>
      <c r="B77" s="117"/>
      <c r="C77" s="163" t="str">
        <f>C66</f>
        <v>Customer numbers (#)</v>
      </c>
      <c r="D77" s="118" t="s">
        <v>93</v>
      </c>
      <c r="E77" s="118" t="s">
        <v>18</v>
      </c>
      <c r="F77" s="118" t="s">
        <v>36</v>
      </c>
      <c r="G77" s="119"/>
      <c r="H77" s="119"/>
      <c r="I77" s="118"/>
      <c r="J77" s="224" t="str">
        <f t="shared" ref="J77:M77" si="41">IF(ISBLANK(I66),"",IF(ISBLANK(J66),"",LN(J66)-LN(I66)))</f>
        <v/>
      </c>
      <c r="K77" s="224" t="str">
        <f t="shared" si="41"/>
        <v/>
      </c>
      <c r="L77" s="224" t="str">
        <f t="shared" si="41"/>
        <v/>
      </c>
      <c r="M77" s="224" t="str">
        <f t="shared" si="41"/>
        <v/>
      </c>
      <c r="N77" s="224" t="str">
        <f>IF(ISBLANK(M66),"",IF(ISBLANK(N66),"",LN(N66)-LN(M66)))</f>
        <v/>
      </c>
      <c r="O77" s="224" t="str">
        <f t="shared" ref="O77:U77" si="42">IF(ISBLANK(N66),"",IF(ISBLANK(O66),"",LN(O66)-LN(N66)))</f>
        <v/>
      </c>
      <c r="P77" s="224">
        <f t="shared" si="42"/>
        <v>9.0269844426718038E-3</v>
      </c>
      <c r="Q77" s="224">
        <f t="shared" si="42"/>
        <v>6.5225889792195346E-3</v>
      </c>
      <c r="R77" s="224">
        <f t="shared" si="42"/>
        <v>4.6386945199170526E-3</v>
      </c>
      <c r="S77" s="224">
        <f t="shared" si="42"/>
        <v>3.4525651197085949E-3</v>
      </c>
      <c r="T77" s="224">
        <f t="shared" si="42"/>
        <v>9.9459071608265504E-4</v>
      </c>
      <c r="U77" s="224" t="str">
        <f t="shared" si="42"/>
        <v/>
      </c>
      <c r="V77" s="117"/>
      <c r="W77" s="117"/>
    </row>
    <row r="78" spans="1:24" outlineLevel="1">
      <c r="A78" s="117"/>
      <c r="B78" s="117"/>
      <c r="C78" s="163" t="str">
        <f t="shared" ref="C78:C82" si="43">C67</f>
        <v>Mains Length (km)</v>
      </c>
      <c r="D78" s="118" t="s">
        <v>93</v>
      </c>
      <c r="E78" s="118" t="s">
        <v>18</v>
      </c>
      <c r="F78" s="118" t="s">
        <v>36</v>
      </c>
      <c r="G78" s="119"/>
      <c r="H78" s="119"/>
      <c r="I78" s="118"/>
      <c r="J78" s="224" t="str">
        <f t="shared" ref="J78:U78" si="44">IF(ISBLANK(I67),"",IF(ISBLANK(J67),"",LN(J67)-LN(I67)))</f>
        <v/>
      </c>
      <c r="K78" s="224" t="str">
        <f t="shared" si="44"/>
        <v/>
      </c>
      <c r="L78" s="224" t="str">
        <f t="shared" si="44"/>
        <v/>
      </c>
      <c r="M78" s="224" t="str">
        <f t="shared" si="44"/>
        <v/>
      </c>
      <c r="N78" s="224" t="str">
        <f t="shared" si="44"/>
        <v/>
      </c>
      <c r="O78" s="224" t="str">
        <f t="shared" si="44"/>
        <v/>
      </c>
      <c r="P78" s="224">
        <f t="shared" si="44"/>
        <v>5.2098356484933106E-3</v>
      </c>
      <c r="Q78" s="224">
        <f t="shared" si="44"/>
        <v>5.4542242842785527E-3</v>
      </c>
      <c r="R78" s="224">
        <f t="shared" si="44"/>
        <v>5.5089980519440473E-3</v>
      </c>
      <c r="S78" s="224">
        <f t="shared" si="44"/>
        <v>5.350069384713052E-3</v>
      </c>
      <c r="T78" s="224">
        <f t="shared" si="44"/>
        <v>4.002553249417673E-3</v>
      </c>
      <c r="U78" s="224" t="str">
        <f t="shared" si="44"/>
        <v/>
      </c>
      <c r="V78" s="117"/>
      <c r="W78" s="117"/>
    </row>
    <row r="79" spans="1:24" outlineLevel="1">
      <c r="A79" s="117"/>
      <c r="B79" s="117"/>
      <c r="C79" s="163">
        <f t="shared" si="43"/>
        <v>0</v>
      </c>
      <c r="D79" s="118" t="s">
        <v>93</v>
      </c>
      <c r="E79" s="118" t="s">
        <v>18</v>
      </c>
      <c r="F79" s="118" t="s">
        <v>36</v>
      </c>
      <c r="G79" s="119"/>
      <c r="H79" s="119"/>
      <c r="I79" s="118"/>
      <c r="J79" s="224" t="str">
        <f t="shared" ref="J79:U79" si="45">IF(ISBLANK(I68),"",IF(ISBLANK(J68),"",LN(J68)-LN(I68)))</f>
        <v/>
      </c>
      <c r="K79" s="224" t="str">
        <f t="shared" si="45"/>
        <v/>
      </c>
      <c r="L79" s="224" t="str">
        <f t="shared" si="45"/>
        <v/>
      </c>
      <c r="M79" s="224" t="str">
        <f t="shared" si="45"/>
        <v/>
      </c>
      <c r="N79" s="224" t="str">
        <f t="shared" si="45"/>
        <v/>
      </c>
      <c r="O79" s="224" t="str">
        <f t="shared" si="45"/>
        <v/>
      </c>
      <c r="P79" s="224" t="str">
        <f t="shared" si="45"/>
        <v/>
      </c>
      <c r="Q79" s="224" t="str">
        <f t="shared" si="45"/>
        <v/>
      </c>
      <c r="R79" s="224" t="str">
        <f t="shared" si="45"/>
        <v/>
      </c>
      <c r="S79" s="224" t="str">
        <f t="shared" si="45"/>
        <v/>
      </c>
      <c r="T79" s="224" t="str">
        <f t="shared" si="45"/>
        <v/>
      </c>
      <c r="U79" s="224" t="str">
        <f t="shared" si="45"/>
        <v/>
      </c>
      <c r="V79" s="117"/>
      <c r="W79" s="117"/>
    </row>
    <row r="80" spans="1:24" outlineLevel="1">
      <c r="A80" s="117"/>
      <c r="B80" s="117"/>
      <c r="C80" s="163">
        <f t="shared" si="43"/>
        <v>0</v>
      </c>
      <c r="D80" s="118" t="s">
        <v>93</v>
      </c>
      <c r="E80" s="118" t="s">
        <v>18</v>
      </c>
      <c r="F80" s="118" t="s">
        <v>36</v>
      </c>
      <c r="G80" s="119"/>
      <c r="H80" s="119"/>
      <c r="I80" s="118"/>
      <c r="J80" s="224" t="str">
        <f t="shared" ref="J80:U80" si="46">IF(ISBLANK(I69),"",IF(ISBLANK(J69),"",LN(J69)-LN(I69)))</f>
        <v/>
      </c>
      <c r="K80" s="224" t="str">
        <f t="shared" si="46"/>
        <v/>
      </c>
      <c r="L80" s="224" t="str">
        <f t="shared" si="46"/>
        <v/>
      </c>
      <c r="M80" s="224" t="str">
        <f t="shared" si="46"/>
        <v/>
      </c>
      <c r="N80" s="224" t="str">
        <f t="shared" si="46"/>
        <v/>
      </c>
      <c r="O80" s="224" t="str">
        <f t="shared" si="46"/>
        <v/>
      </c>
      <c r="P80" s="224" t="str">
        <f t="shared" si="46"/>
        <v/>
      </c>
      <c r="Q80" s="224" t="str">
        <f t="shared" si="46"/>
        <v/>
      </c>
      <c r="R80" s="224" t="str">
        <f t="shared" si="46"/>
        <v/>
      </c>
      <c r="S80" s="224" t="str">
        <f t="shared" si="46"/>
        <v/>
      </c>
      <c r="T80" s="224" t="str">
        <f t="shared" si="46"/>
        <v/>
      </c>
      <c r="U80" s="224" t="str">
        <f t="shared" si="46"/>
        <v/>
      </c>
      <c r="V80" s="117"/>
      <c r="W80" s="117"/>
    </row>
    <row r="81" spans="1:24" outlineLevel="1">
      <c r="A81" s="117"/>
      <c r="B81" s="117"/>
      <c r="C81" s="163">
        <f t="shared" si="43"/>
        <v>0</v>
      </c>
      <c r="D81" s="118" t="s">
        <v>93</v>
      </c>
      <c r="E81" s="118" t="s">
        <v>18</v>
      </c>
      <c r="F81" s="118" t="s">
        <v>36</v>
      </c>
      <c r="G81" s="119"/>
      <c r="H81" s="119"/>
      <c r="I81" s="118"/>
      <c r="J81" s="224" t="str">
        <f t="shared" ref="J81:T81" si="47">IF(ISBLANK(I70),"",IF(ISBLANK(J70),"",LN(J70)-LN(I70)))</f>
        <v/>
      </c>
      <c r="K81" s="224" t="str">
        <f t="shared" si="47"/>
        <v/>
      </c>
      <c r="L81" s="224" t="str">
        <f t="shared" si="47"/>
        <v/>
      </c>
      <c r="M81" s="224" t="str">
        <f t="shared" si="47"/>
        <v/>
      </c>
      <c r="N81" s="224" t="str">
        <f t="shared" si="47"/>
        <v/>
      </c>
      <c r="O81" s="224" t="str">
        <f t="shared" si="47"/>
        <v/>
      </c>
      <c r="P81" s="224" t="str">
        <f t="shared" si="47"/>
        <v/>
      </c>
      <c r="Q81" s="224" t="str">
        <f t="shared" si="47"/>
        <v/>
      </c>
      <c r="R81" s="224" t="str">
        <f t="shared" si="47"/>
        <v/>
      </c>
      <c r="S81" s="224" t="str">
        <f t="shared" si="47"/>
        <v/>
      </c>
      <c r="T81" s="224" t="str">
        <f t="shared" si="47"/>
        <v/>
      </c>
      <c r="U81" s="166"/>
      <c r="V81" s="117"/>
      <c r="W81" s="117"/>
    </row>
    <row r="82" spans="1:24" outlineLevel="1">
      <c r="A82" s="117"/>
      <c r="B82" s="117"/>
      <c r="C82" s="163">
        <f t="shared" si="43"/>
        <v>0</v>
      </c>
      <c r="D82" s="118" t="s">
        <v>93</v>
      </c>
      <c r="E82" s="118" t="s">
        <v>18</v>
      </c>
      <c r="F82" s="118" t="s">
        <v>36</v>
      </c>
      <c r="G82" s="119"/>
      <c r="H82" s="119"/>
      <c r="I82" s="118"/>
      <c r="J82" s="224" t="str">
        <f t="shared" ref="J82:T82" si="48">IF(ISBLANK(I71),"",IF(ISBLANK(J71),"",LN(J71)-LN(I71)))</f>
        <v/>
      </c>
      <c r="K82" s="224" t="str">
        <f t="shared" si="48"/>
        <v/>
      </c>
      <c r="L82" s="224" t="str">
        <f t="shared" si="48"/>
        <v/>
      </c>
      <c r="M82" s="224" t="str">
        <f t="shared" si="48"/>
        <v/>
      </c>
      <c r="N82" s="224" t="str">
        <f t="shared" si="48"/>
        <v/>
      </c>
      <c r="O82" s="224" t="str">
        <f t="shared" si="48"/>
        <v/>
      </c>
      <c r="P82" s="224" t="str">
        <f t="shared" si="48"/>
        <v/>
      </c>
      <c r="Q82" s="224" t="str">
        <f t="shared" si="48"/>
        <v/>
      </c>
      <c r="R82" s="224" t="str">
        <f t="shared" si="48"/>
        <v/>
      </c>
      <c r="S82" s="224" t="str">
        <f t="shared" si="48"/>
        <v/>
      </c>
      <c r="T82" s="224" t="str">
        <f t="shared" si="48"/>
        <v/>
      </c>
      <c r="U82" s="166"/>
      <c r="V82" s="117"/>
      <c r="W82" s="117"/>
    </row>
    <row r="83" spans="1:24" outlineLevel="1">
      <c r="A83" s="117"/>
      <c r="B83" s="117"/>
      <c r="C83" s="123"/>
      <c r="D83" s="118"/>
      <c r="E83" s="118"/>
      <c r="F83" s="216"/>
      <c r="G83" s="119"/>
      <c r="H83" s="119"/>
      <c r="I83" s="118"/>
      <c r="J83" s="118"/>
      <c r="K83" s="124"/>
      <c r="L83" s="124"/>
      <c r="M83" s="124"/>
      <c r="N83" s="124"/>
      <c r="O83" s="124"/>
      <c r="P83" s="117"/>
      <c r="Q83" s="117"/>
      <c r="R83" s="117"/>
      <c r="S83" s="117"/>
      <c r="T83" s="117"/>
      <c r="U83" s="117"/>
      <c r="V83" s="117"/>
      <c r="W83" s="117"/>
    </row>
    <row r="84" spans="1:24" outlineLevel="1">
      <c r="A84" s="117"/>
      <c r="B84" s="117"/>
      <c r="C84" s="120" t="s">
        <v>182</v>
      </c>
      <c r="D84" s="119" t="s">
        <v>7</v>
      </c>
      <c r="E84" s="119" t="s">
        <v>8</v>
      </c>
      <c r="F84" s="119" t="s">
        <v>22</v>
      </c>
      <c r="G84" s="119"/>
      <c r="H84" s="119"/>
      <c r="I84" s="118"/>
      <c r="J84" s="199" t="s">
        <v>219</v>
      </c>
      <c r="K84" s="199" t="s">
        <v>220</v>
      </c>
      <c r="L84" s="199"/>
      <c r="M84" s="199"/>
      <c r="N84" s="124"/>
      <c r="O84" s="124"/>
      <c r="P84" s="117"/>
      <c r="Q84" s="117"/>
      <c r="R84" s="117"/>
      <c r="S84" s="117"/>
      <c r="T84" s="117"/>
      <c r="U84" s="117"/>
      <c r="V84" s="117"/>
      <c r="W84" s="117"/>
    </row>
    <row r="85" spans="1:24" outlineLevel="1">
      <c r="A85" s="117"/>
      <c r="B85" s="117"/>
      <c r="C85" s="123"/>
      <c r="D85" s="118"/>
      <c r="E85" s="118"/>
      <c r="F85" s="216"/>
      <c r="G85" s="119"/>
      <c r="H85" s="119"/>
      <c r="I85" s="118"/>
      <c r="J85" s="118"/>
      <c r="K85" s="124"/>
      <c r="L85" s="124"/>
      <c r="M85" s="124"/>
      <c r="N85" s="124"/>
      <c r="O85" s="124"/>
      <c r="P85" s="117"/>
      <c r="Q85" s="117"/>
      <c r="R85" s="117"/>
      <c r="S85" s="117"/>
      <c r="T85" s="117"/>
      <c r="U85" s="117"/>
      <c r="V85" s="117"/>
      <c r="W85" s="117"/>
    </row>
    <row r="86" spans="1:24" outlineLevel="1">
      <c r="A86" s="117"/>
      <c r="B86" s="117"/>
      <c r="C86" s="163" t="str">
        <f>C66</f>
        <v>Customer numbers (#)</v>
      </c>
      <c r="D86" s="118" t="s">
        <v>96</v>
      </c>
      <c r="E86" s="118" t="s">
        <v>18</v>
      </c>
      <c r="F86" s="118" t="s">
        <v>36</v>
      </c>
      <c r="G86" s="119"/>
      <c r="H86" s="119"/>
      <c r="I86" s="118"/>
      <c r="J86" s="167">
        <v>0.41</v>
      </c>
      <c r="K86" s="167">
        <v>0.46</v>
      </c>
      <c r="L86" s="167"/>
      <c r="M86" s="167"/>
      <c r="N86" s="124"/>
      <c r="O86" s="124"/>
      <c r="P86" s="117"/>
      <c r="Q86" s="117"/>
      <c r="R86" s="117"/>
      <c r="S86" s="117"/>
      <c r="T86" s="117"/>
      <c r="U86" s="117"/>
      <c r="V86" s="117"/>
      <c r="W86" s="117"/>
    </row>
    <row r="87" spans="1:24" outlineLevel="1">
      <c r="A87" s="117"/>
      <c r="B87" s="117"/>
      <c r="C87" s="163" t="str">
        <f t="shared" ref="C87:C91" si="49">C67</f>
        <v>Mains Length (km)</v>
      </c>
      <c r="D87" s="118" t="s">
        <v>96</v>
      </c>
      <c r="E87" s="118" t="s">
        <v>18</v>
      </c>
      <c r="F87" s="118" t="s">
        <v>36</v>
      </c>
      <c r="G87" s="119"/>
      <c r="H87" s="119"/>
      <c r="I87" s="118"/>
      <c r="J87" s="167">
        <v>0.46</v>
      </c>
      <c r="K87" s="167">
        <v>0.47</v>
      </c>
      <c r="L87" s="167"/>
      <c r="M87" s="167"/>
      <c r="N87" s="124"/>
      <c r="O87" s="124"/>
      <c r="P87" s="117"/>
      <c r="Q87" s="117"/>
      <c r="R87" s="117"/>
      <c r="S87" s="117"/>
      <c r="T87" s="117"/>
      <c r="U87" s="117"/>
      <c r="V87" s="117"/>
      <c r="W87" s="117"/>
    </row>
    <row r="88" spans="1:24" outlineLevel="1">
      <c r="A88" s="117"/>
      <c r="B88" s="117"/>
      <c r="C88" s="163">
        <f t="shared" si="49"/>
        <v>0</v>
      </c>
      <c r="D88" s="118" t="s">
        <v>96</v>
      </c>
      <c r="E88" s="118" t="s">
        <v>18</v>
      </c>
      <c r="F88" s="118" t="s">
        <v>36</v>
      </c>
      <c r="G88" s="119"/>
      <c r="H88" s="119"/>
      <c r="I88" s="118"/>
      <c r="J88" s="167"/>
      <c r="K88" s="167"/>
      <c r="L88" s="167"/>
      <c r="M88" s="167"/>
      <c r="N88" s="124"/>
      <c r="O88" s="124"/>
      <c r="P88" s="117"/>
      <c r="Q88" s="117"/>
      <c r="R88" s="117"/>
      <c r="S88" s="117"/>
      <c r="T88" s="117"/>
      <c r="U88" s="117"/>
      <c r="V88" s="117"/>
      <c r="W88" s="117"/>
    </row>
    <row r="89" spans="1:24" outlineLevel="1">
      <c r="A89" s="117"/>
      <c r="B89" s="117"/>
      <c r="C89" s="163">
        <f t="shared" si="49"/>
        <v>0</v>
      </c>
      <c r="D89" s="118" t="s">
        <v>96</v>
      </c>
      <c r="E89" s="118" t="s">
        <v>18</v>
      </c>
      <c r="F89" s="118" t="s">
        <v>36</v>
      </c>
      <c r="G89" s="119"/>
      <c r="H89" s="119"/>
      <c r="I89" s="118"/>
      <c r="J89" s="167"/>
      <c r="K89" s="168"/>
      <c r="L89" s="168"/>
      <c r="M89" s="167"/>
      <c r="N89" s="124"/>
      <c r="O89" s="124"/>
      <c r="P89" s="117"/>
      <c r="Q89" s="117"/>
      <c r="R89" s="117"/>
      <c r="S89" s="117"/>
      <c r="T89" s="117"/>
      <c r="U89" s="117"/>
      <c r="V89" s="117"/>
      <c r="W89" s="117"/>
    </row>
    <row r="90" spans="1:24" outlineLevel="1">
      <c r="A90" s="117"/>
      <c r="B90" s="117"/>
      <c r="C90" s="163">
        <f t="shared" si="49"/>
        <v>0</v>
      </c>
      <c r="D90" s="118" t="s">
        <v>96</v>
      </c>
      <c r="E90" s="118" t="s">
        <v>18</v>
      </c>
      <c r="F90" s="118" t="s">
        <v>36</v>
      </c>
      <c r="G90" s="119"/>
      <c r="H90" s="119"/>
      <c r="I90" s="118"/>
      <c r="J90" s="168"/>
      <c r="K90" s="168"/>
      <c r="L90" s="168"/>
      <c r="M90" s="168"/>
      <c r="N90" s="124"/>
      <c r="O90" s="124"/>
      <c r="P90" s="117"/>
      <c r="Q90" s="117"/>
      <c r="R90" s="117"/>
      <c r="S90" s="117"/>
      <c r="T90" s="117"/>
      <c r="U90" s="117"/>
      <c r="V90" s="117"/>
      <c r="W90" s="117"/>
    </row>
    <row r="91" spans="1:24" outlineLevel="1">
      <c r="A91" s="117"/>
      <c r="B91" s="117"/>
      <c r="C91" s="163">
        <f t="shared" si="49"/>
        <v>0</v>
      </c>
      <c r="D91" s="118" t="s">
        <v>96</v>
      </c>
      <c r="E91" s="118" t="s">
        <v>18</v>
      </c>
      <c r="F91" s="118" t="s">
        <v>36</v>
      </c>
      <c r="G91" s="119"/>
      <c r="H91" s="119"/>
      <c r="I91" s="118"/>
      <c r="J91" s="168"/>
      <c r="K91" s="168"/>
      <c r="L91" s="168"/>
      <c r="M91" s="168"/>
      <c r="N91" s="124"/>
      <c r="O91" s="124"/>
      <c r="P91" s="117"/>
      <c r="Q91" s="117"/>
      <c r="R91" s="117"/>
      <c r="S91" s="117"/>
      <c r="T91" s="117"/>
      <c r="U91" s="117"/>
      <c r="V91" s="117"/>
      <c r="W91" s="117"/>
    </row>
    <row r="92" spans="1:24" outlineLevel="1">
      <c r="A92" s="117"/>
      <c r="B92" s="117"/>
      <c r="C92" s="123"/>
      <c r="D92" s="118"/>
      <c r="E92" s="118"/>
      <c r="F92" s="216"/>
      <c r="G92" s="119"/>
      <c r="H92" s="119"/>
      <c r="I92" s="118"/>
      <c r="J92" s="118"/>
      <c r="K92" s="124"/>
      <c r="L92" s="124"/>
      <c r="M92" s="124"/>
      <c r="N92" s="124"/>
      <c r="O92" s="124"/>
      <c r="P92" s="117"/>
      <c r="Q92" s="117"/>
      <c r="R92" s="117"/>
      <c r="S92" s="117"/>
      <c r="T92" s="117"/>
      <c r="U92" s="117"/>
      <c r="V92" s="117"/>
      <c r="W92" s="117"/>
    </row>
    <row r="93" spans="1:24" outlineLevel="1">
      <c r="A93" s="117"/>
      <c r="B93" s="117"/>
      <c r="C93" s="117" t="s">
        <v>40</v>
      </c>
      <c r="D93" s="118" t="s">
        <v>93</v>
      </c>
      <c r="E93" s="118" t="s">
        <v>28</v>
      </c>
      <c r="F93" s="118" t="s">
        <v>36</v>
      </c>
      <c r="G93" s="118"/>
      <c r="H93" s="118"/>
      <c r="I93" s="118"/>
      <c r="J93" s="221" t="str">
        <f>IF(AND(ISBLANK(J84),COUNT(J86:J91)=0),"Ok",IF(COUNTA($C66:$C71)=COUNT(J86:J91),"Ok","Check"))</f>
        <v>Ok</v>
      </c>
      <c r="K93" s="221" t="str">
        <f t="shared" ref="K93:M93" si="50">IF(AND(ISBLANK(K84),COUNT(K86:K91)=0),"Ok",IF(COUNTA($C66:$C71)=COUNT(K86:K91),"Ok","Check"))</f>
        <v>Ok</v>
      </c>
      <c r="L93" s="221" t="str">
        <f t="shared" si="50"/>
        <v>Ok</v>
      </c>
      <c r="M93" s="221" t="str">
        <f t="shared" si="50"/>
        <v>Ok</v>
      </c>
      <c r="N93" s="161"/>
      <c r="O93" s="161"/>
      <c r="P93" s="161"/>
      <c r="Q93" s="161"/>
      <c r="R93" s="161"/>
      <c r="S93" s="161"/>
      <c r="T93" s="161"/>
      <c r="U93" s="161"/>
      <c r="V93" s="162"/>
      <c r="W93" s="117"/>
      <c r="X93" s="222" t="str">
        <f>IF(COUNTIF(K93:T93,"Check")=0,"Ok","Check")</f>
        <v>Ok</v>
      </c>
    </row>
    <row r="94" spans="1:24" outlineLevel="1">
      <c r="A94" s="117"/>
      <c r="B94" s="117"/>
      <c r="C94" s="123"/>
      <c r="D94" s="118"/>
      <c r="E94" s="118"/>
      <c r="F94" s="216"/>
      <c r="G94" s="119"/>
      <c r="H94" s="119"/>
      <c r="I94" s="118"/>
      <c r="J94" s="118"/>
      <c r="K94" s="124"/>
      <c r="L94" s="124"/>
      <c r="M94" s="124"/>
      <c r="N94" s="124"/>
      <c r="O94" s="124"/>
      <c r="P94" s="117"/>
      <c r="Q94" s="117"/>
      <c r="R94" s="117"/>
      <c r="S94" s="117"/>
      <c r="T94" s="117"/>
      <c r="U94" s="117"/>
      <c r="V94" s="117"/>
      <c r="W94" s="117"/>
    </row>
    <row r="95" spans="1:24" outlineLevel="1">
      <c r="A95" s="117"/>
      <c r="B95" s="117"/>
      <c r="C95" s="120" t="s">
        <v>151</v>
      </c>
      <c r="D95" s="119" t="s">
        <v>7</v>
      </c>
      <c r="E95" s="119" t="s">
        <v>8</v>
      </c>
      <c r="F95" s="119" t="s">
        <v>22</v>
      </c>
      <c r="G95" s="119"/>
      <c r="H95" s="119"/>
      <c r="I95" s="118"/>
      <c r="J95" s="184" t="str">
        <f t="shared" ref="J95:K95" si="51">J84</f>
        <v>SFA</v>
      </c>
      <c r="K95" s="184" t="str">
        <f t="shared" si="51"/>
        <v>GLS</v>
      </c>
      <c r="L95" s="280"/>
      <c r="M95" s="280"/>
      <c r="N95" s="136"/>
      <c r="O95" s="136"/>
      <c r="P95" s="136"/>
      <c r="Q95" s="136"/>
      <c r="R95" s="136"/>
      <c r="S95" s="136"/>
      <c r="T95" s="136"/>
      <c r="U95" s="136"/>
      <c r="V95" s="117"/>
      <c r="W95" s="117"/>
    </row>
    <row r="96" spans="1:24" outlineLevel="1">
      <c r="A96" s="117"/>
      <c r="B96" s="117"/>
      <c r="C96" s="123"/>
      <c r="D96" s="118"/>
      <c r="E96" s="118"/>
      <c r="F96" s="216"/>
      <c r="G96" s="119"/>
      <c r="H96" s="119"/>
      <c r="I96" s="118"/>
      <c r="J96" s="185"/>
      <c r="K96" s="124"/>
      <c r="L96" s="124"/>
      <c r="M96" s="124"/>
      <c r="N96" s="124"/>
      <c r="O96" s="169"/>
      <c r="P96" s="169"/>
      <c r="Q96" s="169"/>
      <c r="R96" s="169"/>
      <c r="S96" s="169"/>
      <c r="T96" s="169"/>
      <c r="U96" s="169"/>
      <c r="V96" s="117"/>
      <c r="W96" s="117"/>
    </row>
    <row r="97" spans="1:34" outlineLevel="1">
      <c r="A97" s="117"/>
      <c r="B97" s="117"/>
      <c r="C97" s="163" t="str">
        <f t="shared" ref="C97:C102" si="52">C66</f>
        <v>Customer numbers (#)</v>
      </c>
      <c r="D97" s="118" t="s">
        <v>93</v>
      </c>
      <c r="E97" s="216" t="str">
        <f t="shared" ref="E97:E102" si="53">percent</f>
        <v>Per cent</v>
      </c>
      <c r="F97" s="118" t="s">
        <v>36</v>
      </c>
      <c r="G97" s="119"/>
      <c r="H97" s="119"/>
      <c r="I97" s="118"/>
      <c r="J97" s="186">
        <f t="shared" ref="J97:K102" si="54">J86/SUM(J$86:J$91)</f>
        <v>0.47126436781609193</v>
      </c>
      <c r="K97" s="186">
        <f t="shared" si="54"/>
        <v>0.49462365591397855</v>
      </c>
      <c r="L97" s="186"/>
      <c r="M97" s="186"/>
      <c r="N97" s="170"/>
      <c r="O97" s="170"/>
      <c r="P97" s="170"/>
      <c r="Q97" s="170"/>
      <c r="R97" s="170"/>
      <c r="S97" s="170"/>
      <c r="T97" s="170"/>
      <c r="U97" s="170"/>
      <c r="V97" s="117"/>
      <c r="W97" s="117"/>
    </row>
    <row r="98" spans="1:34" outlineLevel="1">
      <c r="A98" s="117"/>
      <c r="B98" s="117"/>
      <c r="C98" s="163" t="str">
        <f t="shared" si="52"/>
        <v>Mains Length (km)</v>
      </c>
      <c r="D98" s="118" t="s">
        <v>93</v>
      </c>
      <c r="E98" s="216" t="str">
        <f t="shared" si="53"/>
        <v>Per cent</v>
      </c>
      <c r="F98" s="118" t="s">
        <v>36</v>
      </c>
      <c r="G98" s="119"/>
      <c r="H98" s="119"/>
      <c r="I98" s="118"/>
      <c r="J98" s="186">
        <f t="shared" si="54"/>
        <v>0.52873563218390807</v>
      </c>
      <c r="K98" s="186">
        <f t="shared" si="54"/>
        <v>0.5053763440860215</v>
      </c>
      <c r="L98" s="186"/>
      <c r="M98" s="186"/>
      <c r="N98" s="170"/>
      <c r="O98" s="170"/>
      <c r="P98" s="170"/>
      <c r="Q98" s="170"/>
      <c r="R98" s="170"/>
      <c r="S98" s="170"/>
      <c r="T98" s="170"/>
      <c r="U98" s="170"/>
      <c r="V98" s="117"/>
      <c r="W98" s="117"/>
    </row>
    <row r="99" spans="1:34" outlineLevel="1">
      <c r="A99" s="117"/>
      <c r="B99" s="117"/>
      <c r="C99" s="163">
        <f t="shared" si="52"/>
        <v>0</v>
      </c>
      <c r="D99" s="118" t="s">
        <v>93</v>
      </c>
      <c r="E99" s="216" t="str">
        <f t="shared" si="53"/>
        <v>Per cent</v>
      </c>
      <c r="F99" s="118" t="s">
        <v>36</v>
      </c>
      <c r="G99" s="119"/>
      <c r="H99" s="119"/>
      <c r="I99" s="118"/>
      <c r="J99" s="186">
        <f t="shared" si="54"/>
        <v>0</v>
      </c>
      <c r="K99" s="186">
        <f t="shared" si="54"/>
        <v>0</v>
      </c>
      <c r="L99" s="186"/>
      <c r="M99" s="186"/>
      <c r="N99" s="170"/>
      <c r="O99" s="170"/>
      <c r="P99" s="170"/>
      <c r="Q99" s="170"/>
      <c r="R99" s="170"/>
      <c r="S99" s="170"/>
      <c r="T99" s="170"/>
      <c r="U99" s="170"/>
      <c r="V99" s="117"/>
      <c r="W99" s="117"/>
    </row>
    <row r="100" spans="1:34" outlineLevel="1">
      <c r="A100" s="117"/>
      <c r="B100" s="117"/>
      <c r="C100" s="163">
        <f t="shared" si="52"/>
        <v>0</v>
      </c>
      <c r="D100" s="118" t="s">
        <v>93</v>
      </c>
      <c r="E100" s="216" t="str">
        <f t="shared" si="53"/>
        <v>Per cent</v>
      </c>
      <c r="F100" s="118" t="s">
        <v>36</v>
      </c>
      <c r="G100" s="119"/>
      <c r="H100" s="119"/>
      <c r="I100" s="118"/>
      <c r="J100" s="186">
        <f t="shared" si="54"/>
        <v>0</v>
      </c>
      <c r="K100" s="186">
        <f t="shared" si="54"/>
        <v>0</v>
      </c>
      <c r="L100" s="186"/>
      <c r="M100" s="186"/>
      <c r="N100" s="170"/>
      <c r="O100" s="170"/>
      <c r="P100" s="170"/>
      <c r="Q100" s="170"/>
      <c r="R100" s="170"/>
      <c r="S100" s="170"/>
      <c r="T100" s="170"/>
      <c r="U100" s="170"/>
      <c r="V100" s="117"/>
      <c r="W100" s="117"/>
    </row>
    <row r="101" spans="1:34" outlineLevel="1">
      <c r="A101" s="117"/>
      <c r="B101" s="117"/>
      <c r="C101" s="163">
        <f t="shared" si="52"/>
        <v>0</v>
      </c>
      <c r="D101" s="118" t="s">
        <v>93</v>
      </c>
      <c r="E101" s="216" t="str">
        <f t="shared" si="53"/>
        <v>Per cent</v>
      </c>
      <c r="F101" s="118" t="s">
        <v>36</v>
      </c>
      <c r="G101" s="119"/>
      <c r="H101" s="119"/>
      <c r="I101" s="118"/>
      <c r="J101" s="186">
        <f t="shared" si="54"/>
        <v>0</v>
      </c>
      <c r="K101" s="186">
        <f t="shared" si="54"/>
        <v>0</v>
      </c>
      <c r="L101" s="186"/>
      <c r="M101" s="186"/>
      <c r="N101" s="170"/>
      <c r="O101" s="170"/>
      <c r="P101" s="170"/>
      <c r="Q101" s="170"/>
      <c r="R101" s="170"/>
      <c r="S101" s="170"/>
      <c r="T101" s="170"/>
      <c r="U101" s="170"/>
      <c r="V101" s="117"/>
      <c r="W101" s="117"/>
    </row>
    <row r="102" spans="1:34" outlineLevel="1">
      <c r="A102" s="117"/>
      <c r="B102" s="117"/>
      <c r="C102" s="163">
        <f t="shared" si="52"/>
        <v>0</v>
      </c>
      <c r="D102" s="118" t="s">
        <v>93</v>
      </c>
      <c r="E102" s="216" t="str">
        <f t="shared" si="53"/>
        <v>Per cent</v>
      </c>
      <c r="F102" s="118" t="s">
        <v>36</v>
      </c>
      <c r="G102" s="119"/>
      <c r="H102" s="119"/>
      <c r="I102" s="118"/>
      <c r="J102" s="186">
        <f t="shared" si="54"/>
        <v>0</v>
      </c>
      <c r="K102" s="186">
        <f t="shared" si="54"/>
        <v>0</v>
      </c>
      <c r="L102" s="186"/>
      <c r="M102" s="186"/>
      <c r="N102" s="170"/>
      <c r="O102" s="170"/>
      <c r="P102" s="170"/>
      <c r="Q102" s="170"/>
      <c r="R102" s="170"/>
      <c r="S102" s="170"/>
      <c r="T102" s="170"/>
      <c r="U102" s="170"/>
      <c r="V102" s="117"/>
      <c r="W102" s="117"/>
    </row>
    <row r="103" spans="1:34" outlineLevel="1">
      <c r="A103" s="117"/>
      <c r="B103" s="117"/>
      <c r="C103" s="117"/>
      <c r="D103" s="118"/>
      <c r="E103" s="118"/>
      <c r="F103" s="118"/>
      <c r="G103" s="119"/>
      <c r="H103" s="119"/>
      <c r="I103" s="118"/>
      <c r="J103" s="171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34" outlineLevel="1">
      <c r="A104" s="117"/>
      <c r="B104" s="117"/>
      <c r="C104" s="120" t="s">
        <v>152</v>
      </c>
      <c r="D104" s="119" t="s">
        <v>7</v>
      </c>
      <c r="E104" s="119" t="s">
        <v>8</v>
      </c>
      <c r="F104" s="119" t="s">
        <v>22</v>
      </c>
      <c r="G104" s="118"/>
      <c r="H104" s="118"/>
      <c r="I104" s="118"/>
      <c r="J104" s="220" t="str">
        <f t="shared" ref="J104:U104" si="55">IF(YEAR(J$4)&gt;=FPFirstYear,IF(YEAR(J$4)&lt;=FPLastYear,J$4,""),"")</f>
        <v/>
      </c>
      <c r="K104" s="220" t="str">
        <f t="shared" si="55"/>
        <v/>
      </c>
      <c r="L104" s="220" t="str">
        <f t="shared" si="55"/>
        <v/>
      </c>
      <c r="M104" s="220" t="str">
        <f t="shared" si="55"/>
        <v/>
      </c>
      <c r="N104" s="220" t="str">
        <f t="shared" si="55"/>
        <v/>
      </c>
      <c r="O104" s="220" t="str">
        <f t="shared" si="55"/>
        <v/>
      </c>
      <c r="P104" s="220">
        <f t="shared" si="55"/>
        <v>46174</v>
      </c>
      <c r="Q104" s="220">
        <f t="shared" si="55"/>
        <v>46539</v>
      </c>
      <c r="R104" s="220">
        <f t="shared" si="55"/>
        <v>46905</v>
      </c>
      <c r="S104" s="220">
        <f t="shared" si="55"/>
        <v>47270</v>
      </c>
      <c r="T104" s="220">
        <f t="shared" si="55"/>
        <v>47635</v>
      </c>
      <c r="U104" s="220" t="str">
        <f t="shared" si="55"/>
        <v/>
      </c>
      <c r="V104" s="162"/>
      <c r="W104" s="117"/>
      <c r="X104" s="81"/>
    </row>
    <row r="105" spans="1:34" outlineLevel="1">
      <c r="A105" s="117"/>
      <c r="B105" s="117"/>
      <c r="C105" s="117"/>
      <c r="D105" s="118"/>
      <c r="E105" s="118"/>
      <c r="F105" s="118"/>
      <c r="G105" s="118"/>
      <c r="H105" s="118"/>
      <c r="I105" s="118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2"/>
      <c r="W105" s="117"/>
      <c r="X105" s="81"/>
    </row>
    <row r="106" spans="1:34" outlineLevel="1">
      <c r="A106" s="117"/>
      <c r="B106" s="117"/>
      <c r="C106" s="163" t="str">
        <f t="array" ref="C106:C109">TRANSPOSE(J95:M95)</f>
        <v>SFA</v>
      </c>
      <c r="D106" s="118" t="s">
        <v>93</v>
      </c>
      <c r="E106" s="118" t="s">
        <v>18</v>
      </c>
      <c r="F106" s="118" t="s">
        <v>36</v>
      </c>
      <c r="G106" s="118"/>
      <c r="H106" s="118"/>
      <c r="I106" s="118"/>
      <c r="J106" s="224" t="str">
        <f t="shared" ref="J106:U106" si="56">IF(J$104=J$4,SUMPRODUCT(J$77:J$82,$J$97:$J$102),"")</f>
        <v/>
      </c>
      <c r="K106" s="224" t="str">
        <f t="shared" si="56"/>
        <v/>
      </c>
      <c r="L106" s="224" t="str">
        <f t="shared" si="56"/>
        <v/>
      </c>
      <c r="M106" s="224" t="str">
        <f t="shared" si="56"/>
        <v/>
      </c>
      <c r="N106" s="224" t="str">
        <f t="shared" si="56"/>
        <v/>
      </c>
      <c r="O106" s="224" t="str">
        <f t="shared" si="56"/>
        <v/>
      </c>
      <c r="P106" s="224">
        <f t="shared" si="56"/>
        <v>7.0087218618417949E-3</v>
      </c>
      <c r="Q106" s="224">
        <f t="shared" si="56"/>
        <v>5.9577064968369467E-3</v>
      </c>
      <c r="R106" s="224">
        <f t="shared" si="56"/>
        <v>5.0988550081152335E-3</v>
      </c>
      <c r="S106" s="224">
        <f t="shared" si="56"/>
        <v>4.4558432368373884E-3</v>
      </c>
      <c r="T106" s="224">
        <f t="shared" si="56"/>
        <v>2.5850076877310555E-3</v>
      </c>
      <c r="U106" s="224" t="str">
        <f t="shared" si="56"/>
        <v/>
      </c>
      <c r="V106" s="162"/>
      <c r="W106" s="117"/>
      <c r="X106" s="81"/>
    </row>
    <row r="107" spans="1:34" outlineLevel="1">
      <c r="A107" s="117"/>
      <c r="B107" s="117"/>
      <c r="C107" s="163" t="str">
        <v>GLS</v>
      </c>
      <c r="D107" s="118" t="s">
        <v>93</v>
      </c>
      <c r="E107" s="118" t="s">
        <v>18</v>
      </c>
      <c r="F107" s="118" t="s">
        <v>36</v>
      </c>
      <c r="G107" s="118"/>
      <c r="H107" s="118"/>
      <c r="I107" s="118"/>
      <c r="J107" s="224" t="str">
        <f t="shared" ref="J107:U107" si="57">IF(J$104=J$4,SUMPRODUCT(J$77:J$82,$K$97:$K$102),"")</f>
        <v/>
      </c>
      <c r="K107" s="224" t="str">
        <f t="shared" si="57"/>
        <v/>
      </c>
      <c r="L107" s="224" t="str">
        <f t="shared" si="57"/>
        <v/>
      </c>
      <c r="M107" s="224" t="str">
        <f t="shared" si="57"/>
        <v/>
      </c>
      <c r="N107" s="224" t="str">
        <f t="shared" si="57"/>
        <v/>
      </c>
      <c r="O107" s="224" t="str">
        <f t="shared" si="57"/>
        <v/>
      </c>
      <c r="P107" s="224">
        <f t="shared" si="57"/>
        <v>7.0978877402375126E-3</v>
      </c>
      <c r="Q107" s="224">
        <f t="shared" si="57"/>
        <v>5.9826627355396844E-3</v>
      </c>
      <c r="R107" s="224">
        <f t="shared" si="57"/>
        <v>5.0785253371780073E-3</v>
      </c>
      <c r="S107" s="224">
        <f t="shared" si="57"/>
        <v>4.4115188880441813E-3</v>
      </c>
      <c r="T107" s="224">
        <f t="shared" si="57"/>
        <v>2.5147438243272339E-3</v>
      </c>
      <c r="U107" s="224" t="str">
        <f t="shared" si="57"/>
        <v/>
      </c>
      <c r="V107" s="162"/>
      <c r="W107" s="117"/>
      <c r="X107" s="81"/>
    </row>
    <row r="108" spans="1:34" outlineLevel="1">
      <c r="A108" s="117"/>
      <c r="B108" s="117"/>
      <c r="C108" s="163">
        <v>0</v>
      </c>
      <c r="D108" s="118" t="s">
        <v>93</v>
      </c>
      <c r="E108" s="118" t="s">
        <v>18</v>
      </c>
      <c r="F108" s="118" t="s">
        <v>36</v>
      </c>
      <c r="G108" s="118"/>
      <c r="H108" s="118"/>
      <c r="I108" s="118"/>
      <c r="J108" s="224" t="str">
        <f t="shared" ref="J108:U108" si="58">IF(J$104=J$4,SUMPRODUCT(J$77:J$82,$L$97:$L$102),"")</f>
        <v/>
      </c>
      <c r="K108" s="224" t="str">
        <f t="shared" si="58"/>
        <v/>
      </c>
      <c r="L108" s="224" t="str">
        <f t="shared" si="58"/>
        <v/>
      </c>
      <c r="M108" s="224" t="str">
        <f t="shared" si="58"/>
        <v/>
      </c>
      <c r="N108" s="224" t="str">
        <f t="shared" si="58"/>
        <v/>
      </c>
      <c r="O108" s="224" t="str">
        <f t="shared" si="58"/>
        <v/>
      </c>
      <c r="P108" s="224">
        <f t="shared" si="58"/>
        <v>0</v>
      </c>
      <c r="Q108" s="224">
        <f t="shared" si="58"/>
        <v>0</v>
      </c>
      <c r="R108" s="224">
        <f t="shared" si="58"/>
        <v>0</v>
      </c>
      <c r="S108" s="224">
        <f t="shared" si="58"/>
        <v>0</v>
      </c>
      <c r="T108" s="224">
        <f t="shared" si="58"/>
        <v>0</v>
      </c>
      <c r="U108" s="224" t="str">
        <f t="shared" si="58"/>
        <v/>
      </c>
      <c r="V108" s="162"/>
      <c r="W108" s="117"/>
      <c r="X108" s="81"/>
    </row>
    <row r="109" spans="1:34" outlineLevel="1">
      <c r="A109" s="117"/>
      <c r="B109" s="117"/>
      <c r="C109" s="163">
        <v>0</v>
      </c>
      <c r="D109" s="118" t="s">
        <v>93</v>
      </c>
      <c r="E109" s="118" t="s">
        <v>18</v>
      </c>
      <c r="F109" s="118" t="s">
        <v>36</v>
      </c>
      <c r="G109" s="118"/>
      <c r="H109" s="118"/>
      <c r="I109" s="118"/>
      <c r="J109" s="224" t="str">
        <f t="shared" ref="J109:U109" si="59">IF(J$104=J$4,SUMPRODUCT(J$77:J$82,$M$97:$M$102),"")</f>
        <v/>
      </c>
      <c r="K109" s="224" t="str">
        <f t="shared" si="59"/>
        <v/>
      </c>
      <c r="L109" s="224" t="str">
        <f t="shared" si="59"/>
        <v/>
      </c>
      <c r="M109" s="224" t="str">
        <f t="shared" si="59"/>
        <v/>
      </c>
      <c r="N109" s="224" t="str">
        <f t="shared" si="59"/>
        <v/>
      </c>
      <c r="O109" s="224" t="str">
        <f t="shared" si="59"/>
        <v/>
      </c>
      <c r="P109" s="224">
        <f t="shared" si="59"/>
        <v>0</v>
      </c>
      <c r="Q109" s="224">
        <f t="shared" si="59"/>
        <v>0</v>
      </c>
      <c r="R109" s="224">
        <f t="shared" si="59"/>
        <v>0</v>
      </c>
      <c r="S109" s="224">
        <f t="shared" si="59"/>
        <v>0</v>
      </c>
      <c r="T109" s="224">
        <f t="shared" si="59"/>
        <v>0</v>
      </c>
      <c r="U109" s="224" t="str">
        <f t="shared" si="59"/>
        <v/>
      </c>
      <c r="V109" s="162"/>
      <c r="W109" s="117"/>
      <c r="X109" s="81"/>
    </row>
    <row r="110" spans="1:34" outlineLevel="1">
      <c r="A110" s="117"/>
      <c r="B110" s="117"/>
      <c r="C110" s="123"/>
      <c r="D110" s="118"/>
      <c r="E110" s="118"/>
      <c r="F110" s="216"/>
      <c r="G110" s="119"/>
      <c r="H110" s="119"/>
      <c r="I110" s="118"/>
      <c r="J110" s="118"/>
      <c r="K110" s="124"/>
      <c r="L110" s="124"/>
      <c r="M110" s="124"/>
      <c r="N110" s="124"/>
      <c r="O110" s="124"/>
      <c r="P110" s="117"/>
      <c r="Q110" s="117"/>
      <c r="R110" s="117"/>
      <c r="S110" s="117"/>
      <c r="T110" s="117"/>
      <c r="U110" s="117"/>
      <c r="V110" s="117"/>
      <c r="W110" s="117"/>
    </row>
    <row r="111" spans="1:34" customFormat="1" ht="12.75">
      <c r="A111" s="113"/>
      <c r="B111" s="38" t="s">
        <v>73</v>
      </c>
      <c r="C111" s="113"/>
      <c r="D111" s="113"/>
      <c r="E111" s="113"/>
      <c r="F111" s="114"/>
      <c r="G111" s="114"/>
      <c r="H111" s="114"/>
      <c r="I111" s="114"/>
      <c r="J111" s="114"/>
      <c r="K111" s="115"/>
      <c r="L111" s="116"/>
      <c r="M111" s="115"/>
      <c r="N111" s="116"/>
      <c r="O111" s="115"/>
      <c r="P111" s="115"/>
      <c r="Q111" s="115"/>
      <c r="R111" s="115"/>
      <c r="S111" s="115"/>
      <c r="T111" s="115"/>
      <c r="U111" s="115"/>
      <c r="V111" s="115"/>
      <c r="W111" s="115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17"/>
      <c r="B112" s="117"/>
      <c r="C112" s="117"/>
      <c r="D112" s="118"/>
      <c r="E112" s="118"/>
      <c r="F112" s="118"/>
      <c r="G112" s="119"/>
      <c r="H112" s="119"/>
      <c r="I112" s="118"/>
      <c r="J112" s="118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</row>
    <row r="113" spans="1:34" outlineLevel="1">
      <c r="A113" s="117"/>
      <c r="B113" s="117"/>
      <c r="C113" s="120" t="s">
        <v>47</v>
      </c>
      <c r="D113" s="119" t="s">
        <v>7</v>
      </c>
      <c r="E113" s="119" t="s">
        <v>8</v>
      </c>
      <c r="F113" s="119" t="s">
        <v>22</v>
      </c>
      <c r="G113" s="119"/>
      <c r="H113" s="119"/>
      <c r="I113" s="118"/>
      <c r="J113" s="220" t="str">
        <f t="shared" ref="J113:U113" si="60">IF(YEAR(J$4)&gt;=FPFirstYear,IF(YEAR(J$4)&lt;=FPLastYear,J$4,""),"")</f>
        <v/>
      </c>
      <c r="K113" s="220" t="str">
        <f t="shared" si="60"/>
        <v/>
      </c>
      <c r="L113" s="220" t="str">
        <f t="shared" si="60"/>
        <v/>
      </c>
      <c r="M113" s="220" t="str">
        <f t="shared" si="60"/>
        <v/>
      </c>
      <c r="N113" s="220" t="str">
        <f t="shared" si="60"/>
        <v/>
      </c>
      <c r="O113" s="220" t="str">
        <f t="shared" si="60"/>
        <v/>
      </c>
      <c r="P113" s="220">
        <f t="shared" si="60"/>
        <v>46174</v>
      </c>
      <c r="Q113" s="220">
        <f t="shared" si="60"/>
        <v>46539</v>
      </c>
      <c r="R113" s="220">
        <f t="shared" si="60"/>
        <v>46905</v>
      </c>
      <c r="S113" s="220">
        <f t="shared" si="60"/>
        <v>47270</v>
      </c>
      <c r="T113" s="220">
        <f t="shared" si="60"/>
        <v>47635</v>
      </c>
      <c r="U113" s="220" t="str">
        <f t="shared" si="60"/>
        <v/>
      </c>
      <c r="V113" s="117"/>
      <c r="W113" s="117"/>
    </row>
    <row r="114" spans="1:34" outlineLevel="1">
      <c r="A114" s="117"/>
      <c r="B114" s="117"/>
      <c r="C114" s="123"/>
      <c r="D114" s="118"/>
      <c r="E114" s="118"/>
      <c r="F114" s="118"/>
      <c r="G114" s="119"/>
      <c r="H114" s="119"/>
      <c r="I114" s="118"/>
      <c r="J114" s="118"/>
      <c r="K114" s="124"/>
      <c r="L114" s="124"/>
      <c r="M114" s="124"/>
      <c r="N114" s="124"/>
      <c r="O114" s="124"/>
      <c r="P114" s="117"/>
      <c r="Q114" s="117"/>
      <c r="R114" s="117"/>
      <c r="S114" s="117"/>
      <c r="T114" s="117"/>
      <c r="U114" s="117"/>
      <c r="V114" s="117"/>
      <c r="W114" s="117"/>
    </row>
    <row r="115" spans="1:34" outlineLevel="1">
      <c r="A115" s="117"/>
      <c r="B115" s="117"/>
      <c r="C115" s="123" t="s">
        <v>47</v>
      </c>
      <c r="D115" s="118" t="s">
        <v>96</v>
      </c>
      <c r="E115" s="216" t="str">
        <f>percent</f>
        <v>Per cent</v>
      </c>
      <c r="F115" s="118" t="s">
        <v>36</v>
      </c>
      <c r="G115" s="119"/>
      <c r="H115" s="119"/>
      <c r="I115" s="118"/>
      <c r="J115" s="154"/>
      <c r="K115" s="172"/>
      <c r="L115" s="172"/>
      <c r="M115" s="172"/>
      <c r="N115" s="172"/>
      <c r="O115" s="164"/>
      <c r="P115" s="164">
        <v>8.6239999999999997E-3</v>
      </c>
      <c r="Q115" s="164">
        <v>8.6239999999999997E-3</v>
      </c>
      <c r="R115" s="164">
        <v>8.6239999999999997E-3</v>
      </c>
      <c r="S115" s="164">
        <v>8.6239999999999997E-3</v>
      </c>
      <c r="T115" s="164">
        <v>8.6239999999999997E-3</v>
      </c>
      <c r="U115" s="164"/>
      <c r="V115" s="117"/>
      <c r="W115" s="117"/>
    </row>
    <row r="116" spans="1:34" outlineLevel="1">
      <c r="A116" s="117"/>
      <c r="B116" s="117"/>
      <c r="C116" s="123"/>
      <c r="D116" s="118"/>
      <c r="E116" s="118"/>
      <c r="F116" s="118"/>
      <c r="G116" s="119"/>
      <c r="H116" s="119"/>
      <c r="I116" s="118"/>
      <c r="J116" s="118"/>
      <c r="K116" s="124"/>
      <c r="L116" s="124"/>
      <c r="M116" s="124"/>
      <c r="N116" s="124"/>
      <c r="O116" s="124"/>
      <c r="P116" s="173"/>
      <c r="Q116" s="173"/>
      <c r="R116" s="173"/>
      <c r="S116" s="173"/>
      <c r="T116" s="173"/>
      <c r="U116" s="173"/>
      <c r="V116" s="117"/>
      <c r="W116" s="117"/>
    </row>
    <row r="117" spans="1:34" outlineLevel="1">
      <c r="A117" s="117"/>
      <c r="B117" s="117"/>
      <c r="C117" s="117" t="s">
        <v>40</v>
      </c>
      <c r="D117" s="118" t="s">
        <v>93</v>
      </c>
      <c r="E117" s="118" t="s">
        <v>28</v>
      </c>
      <c r="F117" s="118" t="s">
        <v>36</v>
      </c>
      <c r="G117" s="118"/>
      <c r="H117" s="118"/>
      <c r="I117" s="118"/>
      <c r="J117" s="221" t="str">
        <f t="shared" ref="J117:S117" si="61">IF(J113=J$4,IF(ISBLANK(J115),"Check","Ok"),"")</f>
        <v/>
      </c>
      <c r="K117" s="221" t="str">
        <f t="shared" si="61"/>
        <v/>
      </c>
      <c r="L117" s="221" t="str">
        <f t="shared" si="61"/>
        <v/>
      </c>
      <c r="M117" s="221" t="str">
        <f t="shared" si="61"/>
        <v/>
      </c>
      <c r="N117" s="221" t="str">
        <f t="shared" si="61"/>
        <v/>
      </c>
      <c r="O117" s="221" t="str">
        <f t="shared" si="61"/>
        <v/>
      </c>
      <c r="P117" s="221" t="str">
        <f t="shared" si="61"/>
        <v>Ok</v>
      </c>
      <c r="Q117" s="221" t="str">
        <f t="shared" si="61"/>
        <v>Ok</v>
      </c>
      <c r="R117" s="221" t="str">
        <f t="shared" si="61"/>
        <v>Ok</v>
      </c>
      <c r="S117" s="221" t="str">
        <f t="shared" si="61"/>
        <v>Ok</v>
      </c>
      <c r="T117" s="221" t="str">
        <f>IF(T113=T$4,IF(ISBLANK(T115),"Check","Ok"),"")</f>
        <v>Ok</v>
      </c>
      <c r="U117" s="221" t="str">
        <f>IF(U113=U$4,IF(ISBLANK(U115),"Check","Ok"),"")</f>
        <v/>
      </c>
      <c r="V117" s="162"/>
      <c r="W117" s="117"/>
      <c r="X117" s="222" t="str">
        <f>IF(COUNTIF(J117:T117,"Check")=0,"Ok","Check")</f>
        <v>Ok</v>
      </c>
    </row>
    <row r="118" spans="1:34" outlineLevel="1">
      <c r="A118" s="117"/>
      <c r="B118" s="117"/>
      <c r="C118" s="123"/>
      <c r="D118" s="118"/>
      <c r="E118" s="118"/>
      <c r="F118" s="216"/>
      <c r="G118" s="119"/>
      <c r="H118" s="119"/>
      <c r="I118" s="118"/>
      <c r="J118" s="118"/>
      <c r="K118" s="124"/>
      <c r="L118" s="124"/>
      <c r="M118" s="124"/>
      <c r="N118" s="124"/>
      <c r="O118" s="124"/>
      <c r="P118" s="117"/>
      <c r="Q118" s="117"/>
      <c r="R118" s="117"/>
      <c r="S118" s="117"/>
      <c r="T118" s="117"/>
      <c r="U118" s="117"/>
      <c r="V118" s="117"/>
      <c r="W118" s="117"/>
    </row>
    <row r="119" spans="1:34" customFormat="1" ht="12.75">
      <c r="A119" s="113"/>
      <c r="B119" s="38" t="s">
        <v>21</v>
      </c>
      <c r="C119" s="113"/>
      <c r="D119" s="113"/>
      <c r="E119" s="113"/>
      <c r="F119" s="114"/>
      <c r="G119" s="114"/>
      <c r="H119" s="114"/>
      <c r="I119" s="114"/>
      <c r="J119" s="114"/>
      <c r="K119" s="115"/>
      <c r="L119" s="116"/>
      <c r="M119" s="115"/>
      <c r="N119" s="116"/>
      <c r="O119" s="115"/>
      <c r="P119" s="115"/>
      <c r="Q119" s="115"/>
      <c r="R119" s="115"/>
      <c r="S119" s="115"/>
      <c r="T119" s="115"/>
      <c r="U119" s="115"/>
      <c r="V119" s="115"/>
      <c r="W119" s="115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X1 X104:X109">
    <cfRule type="cellIs" dxfId="166" priority="122" operator="equal">
      <formula>"Check"</formula>
    </cfRule>
    <cfRule type="cellIs" dxfId="165" priority="123" operator="equal">
      <formula>"Ok"</formula>
    </cfRule>
  </conditionalFormatting>
  <conditionalFormatting sqref="T1:U1">
    <cfRule type="cellIs" dxfId="164" priority="86" operator="equal">
      <formula>"Check"</formula>
    </cfRule>
    <cfRule type="cellIs" dxfId="163" priority="87" operator="equal">
      <formula>"Ok"</formula>
    </cfRule>
  </conditionalFormatting>
  <conditionalFormatting sqref="X60">
    <cfRule type="cellIs" dxfId="162" priority="74" operator="equal">
      <formula>"Check"</formula>
    </cfRule>
    <cfRule type="cellIs" dxfId="161" priority="75" operator="equal">
      <formula>"Ok"</formula>
    </cfRule>
  </conditionalFormatting>
  <conditionalFormatting sqref="J60:U60">
    <cfRule type="cellIs" dxfId="160" priority="66" operator="equal">
      <formula>"Check"</formula>
    </cfRule>
    <cfRule type="cellIs" dxfId="159" priority="67" operator="equal">
      <formula>"Ok"</formula>
    </cfRule>
  </conditionalFormatting>
  <conditionalFormatting sqref="J36:U36">
    <cfRule type="expression" dxfId="158" priority="57">
      <formula>J$36=J$4</formula>
    </cfRule>
  </conditionalFormatting>
  <conditionalFormatting sqref="T38 J41:O41 U41 J42:U45 J40:T40 J38:O39">
    <cfRule type="expression" dxfId="157" priority="55">
      <formula>J$36=J$4</formula>
    </cfRule>
  </conditionalFormatting>
  <conditionalFormatting sqref="J51:T58">
    <cfRule type="expression" dxfId="156" priority="54">
      <formula>J$49=J$4</formula>
    </cfRule>
  </conditionalFormatting>
  <conditionalFormatting sqref="X117">
    <cfRule type="cellIs" dxfId="155" priority="48" operator="equal">
      <formula>"Check"</formula>
    </cfRule>
    <cfRule type="cellIs" dxfId="154" priority="49" operator="equal">
      <formula>"Ok"</formula>
    </cfRule>
  </conditionalFormatting>
  <conditionalFormatting sqref="J117:U117">
    <cfRule type="cellIs" dxfId="153" priority="46" operator="equal">
      <formula>"Check"</formula>
    </cfRule>
    <cfRule type="cellIs" dxfId="152" priority="47" operator="equal">
      <formula>"Ok"</formula>
    </cfRule>
  </conditionalFormatting>
  <conditionalFormatting sqref="X47">
    <cfRule type="cellIs" dxfId="151" priority="44" operator="equal">
      <formula>"Check"</formula>
    </cfRule>
    <cfRule type="cellIs" dxfId="150" priority="45" operator="equal">
      <formula>"Ok"</formula>
    </cfRule>
  </conditionalFormatting>
  <conditionalFormatting sqref="J47:U47">
    <cfRule type="cellIs" dxfId="149" priority="42" operator="equal">
      <formula>"Check"</formula>
    </cfRule>
    <cfRule type="cellIs" dxfId="148" priority="43" operator="equal">
      <formula>"Ok"</formula>
    </cfRule>
  </conditionalFormatting>
  <conditionalFormatting sqref="X73">
    <cfRule type="cellIs" dxfId="147" priority="40" operator="equal">
      <formula>"Check"</formula>
    </cfRule>
    <cfRule type="cellIs" dxfId="146" priority="41" operator="equal">
      <formula>"Ok"</formula>
    </cfRule>
  </conditionalFormatting>
  <conditionalFormatting sqref="J73:U73">
    <cfRule type="cellIs" dxfId="145" priority="38" operator="equal">
      <formula>"Check"</formula>
    </cfRule>
    <cfRule type="cellIs" dxfId="144" priority="39" operator="equal">
      <formula>"Ok"</formula>
    </cfRule>
  </conditionalFormatting>
  <conditionalFormatting sqref="J64:U64">
    <cfRule type="expression" dxfId="143" priority="32">
      <formula>J$64=J$4</formula>
    </cfRule>
  </conditionalFormatting>
  <conditionalFormatting sqref="J68:U71 J66:N67 U66:U67">
    <cfRule type="expression" dxfId="142" priority="30">
      <formula>J$64=J$4</formula>
    </cfRule>
  </conditionalFormatting>
  <conditionalFormatting sqref="J49:U49">
    <cfRule type="expression" dxfId="141" priority="27">
      <formula>J$36=J$4</formula>
    </cfRule>
  </conditionalFormatting>
  <conditionalFormatting sqref="J75:U75">
    <cfRule type="expression" dxfId="140" priority="26">
      <formula>J$36=J$4</formula>
    </cfRule>
  </conditionalFormatting>
  <conditionalFormatting sqref="J113:U113">
    <cfRule type="expression" dxfId="139" priority="25">
      <formula>J$36=J$4</formula>
    </cfRule>
  </conditionalFormatting>
  <conditionalFormatting sqref="J26:U32">
    <cfRule type="cellIs" dxfId="138" priority="23" operator="equal">
      <formula>0</formula>
    </cfRule>
  </conditionalFormatting>
  <conditionalFormatting sqref="J16:U22">
    <cfRule type="cellIs" dxfId="137" priority="22" operator="equal">
      <formula>0</formula>
    </cfRule>
  </conditionalFormatting>
  <conditionalFormatting sqref="J105:U105">
    <cfRule type="cellIs" dxfId="136" priority="15" operator="equal">
      <formula>"Check"</formula>
    </cfRule>
    <cfRule type="cellIs" dxfId="135" priority="16" operator="equal">
      <formula>"Ok"</formula>
    </cfRule>
  </conditionalFormatting>
  <conditionalFormatting sqref="U51:U58">
    <cfRule type="expression" dxfId="134" priority="11">
      <formula>U$49=U$4</formula>
    </cfRule>
  </conditionalFormatting>
  <conditionalFormatting sqref="P38:T38">
    <cfRule type="expression" dxfId="133" priority="10">
      <formula>P$36=P$4</formula>
    </cfRule>
  </conditionalFormatting>
  <conditionalFormatting sqref="L86:M88 K89:M91">
    <cfRule type="expression" dxfId="132" priority="174">
      <formula>K$95=K$4</formula>
    </cfRule>
  </conditionalFormatting>
  <conditionalFormatting sqref="X93">
    <cfRule type="cellIs" dxfId="131" priority="4" operator="equal">
      <formula>"Check"</formula>
    </cfRule>
    <cfRule type="cellIs" dxfId="130" priority="5" operator="equal">
      <formula>"Ok"</formula>
    </cfRule>
  </conditionalFormatting>
  <conditionalFormatting sqref="J93:U93">
    <cfRule type="cellIs" dxfId="129" priority="2" operator="equal">
      <formula>"Check"</formula>
    </cfRule>
    <cfRule type="cellIs" dxfId="128" priority="3" operator="equal">
      <formula>"Ok"</formula>
    </cfRule>
  </conditionalFormatting>
  <conditionalFormatting sqref="J104:U104">
    <cfRule type="expression" dxfId="127" priority="177">
      <formula>J$104=J$4</formula>
    </cfRule>
  </conditionalFormatting>
  <conditionalFormatting sqref="J115:U115">
    <cfRule type="expression" dxfId="126" priority="178">
      <formula>J$113=J$4</formula>
    </cfRule>
  </conditionalFormatting>
  <conditionalFormatting sqref="P41:T41">
    <cfRule type="expression" dxfId="125" priority="1">
      <formula>P$36=P$4</formula>
    </cfRule>
  </conditionalFormatting>
  <dataValidations disablePrompts="1"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227" t="s">
        <v>226</v>
      </c>
      <c r="R1" s="28" t="s">
        <v>77</v>
      </c>
      <c r="S1" s="29" t="str">
        <f>IF(COUNTA($W$8:$W$237)=COUNTIF($W$8:$W$237,"OK"),"OK","Check")</f>
        <v>OK</v>
      </c>
      <c r="U1" s="181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0"/>
      <c r="E3" s="100"/>
      <c r="F3" s="100"/>
      <c r="G3" s="100"/>
      <c r="H3" s="100"/>
      <c r="I3" s="100"/>
      <c r="J3" s="93" t="s">
        <v>109</v>
      </c>
      <c r="K3" s="97"/>
      <c r="L3" s="97"/>
      <c r="M3" s="100"/>
      <c r="N3" s="363"/>
      <c r="O3" s="363"/>
      <c r="P3" s="363"/>
      <c r="Q3" s="363"/>
      <c r="R3" s="363"/>
      <c r="S3" s="363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2" t="s">
        <v>22</v>
      </c>
      <c r="G4" s="143"/>
      <c r="H4" s="143"/>
      <c r="I4" s="143"/>
      <c r="J4" s="91">
        <f>DATE(PPFirstYear,MONTH('Input|General'!$G$9),1)</f>
        <v>44348</v>
      </c>
      <c r="K4" s="91">
        <f>DATE(PPFirstYear+1,MONTH('Input|General'!$G$9),1)</f>
        <v>44713</v>
      </c>
      <c r="L4" s="91">
        <f>DATE(PPFirstYear+2,MONTH('Input|General'!$G$9),1)</f>
        <v>45078</v>
      </c>
      <c r="M4" s="91">
        <f>DATE(PPFirstYear+3,MONTH('Input|General'!$G$9),1)</f>
        <v>45444</v>
      </c>
      <c r="N4" s="91">
        <f>DATE(PPFirstYear+4,MONTH('Input|General'!$G$9),1)</f>
        <v>45809</v>
      </c>
      <c r="O4" s="91">
        <f>DATE(PPFirstYear+5,MONTH('Input|General'!$G$9),1)</f>
        <v>46174</v>
      </c>
      <c r="P4" s="91">
        <f>DATE(PPFirstYear+6,MONTH('Input|General'!$G$9),1)</f>
        <v>46539</v>
      </c>
      <c r="Q4" s="91">
        <f>DATE(PPFirstYear+7,MONTH('Input|General'!$G$9),1)</f>
        <v>46905</v>
      </c>
      <c r="R4" s="91">
        <f>DATE(PPFirstYear+8,MONTH('Input|General'!$G$9),1)</f>
        <v>47270</v>
      </c>
      <c r="S4" s="91">
        <f>DATE(PPFirstYear+9,MONTH('Input|General'!$G$9),1)</f>
        <v>47635</v>
      </c>
      <c r="T4" s="91">
        <f>DATE(PPFirstYear+10,MONTH('Input|General'!$G$9),1)</f>
        <v>48000</v>
      </c>
      <c r="U4" s="59"/>
      <c r="V4" s="174"/>
      <c r="W4" s="60"/>
    </row>
    <row r="5" spans="1:30" s="6" customFormat="1" ht="3.2" customHeight="1">
      <c r="A5" s="144"/>
      <c r="B5" s="144"/>
      <c r="C5" s="144"/>
      <c r="D5" s="145"/>
      <c r="E5" s="145"/>
      <c r="F5" s="145"/>
      <c r="G5" s="145"/>
      <c r="H5" s="145"/>
      <c r="I5" s="145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30" s="6" customFormat="1" ht="9" customHeight="1">
      <c r="A6" s="144"/>
      <c r="B6" s="144"/>
      <c r="C6" s="144"/>
      <c r="D6" s="145"/>
      <c r="E6" s="145"/>
      <c r="F6" s="145"/>
      <c r="G6" s="145"/>
      <c r="H6" s="145"/>
      <c r="I6" s="145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30" s="6" customFormat="1" ht="3.2" customHeight="1">
      <c r="A7" s="144"/>
      <c r="B7" s="144"/>
      <c r="C7" s="144"/>
      <c r="D7" s="145"/>
      <c r="E7" s="145"/>
      <c r="F7" s="145"/>
      <c r="G7" s="145"/>
      <c r="H7" s="145"/>
      <c r="I7" s="145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spans="1:30" customFormat="1" ht="12.75">
      <c r="A8" s="113"/>
      <c r="B8" s="38" t="s">
        <v>49</v>
      </c>
      <c r="C8" s="113"/>
      <c r="D8" s="113"/>
      <c r="E8" s="113"/>
      <c r="F8" s="114"/>
      <c r="G8" s="114"/>
      <c r="H8" s="114"/>
      <c r="I8" s="114"/>
      <c r="J8" s="115"/>
      <c r="K8" s="116"/>
      <c r="L8" s="115"/>
      <c r="M8" s="116"/>
      <c r="N8" s="115"/>
      <c r="O8" s="115"/>
      <c r="P8" s="115"/>
      <c r="Q8" s="115"/>
      <c r="R8" s="115"/>
      <c r="S8" s="115"/>
      <c r="T8" s="115"/>
      <c r="U8" s="115"/>
      <c r="V8" s="116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17"/>
      <c r="B9" s="117"/>
      <c r="C9" s="117"/>
      <c r="D9" s="118"/>
      <c r="E9" s="118"/>
      <c r="F9" s="118"/>
      <c r="G9" s="119"/>
      <c r="H9" s="119"/>
      <c r="I9" s="118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30" outlineLevel="1">
      <c r="A10" s="117"/>
      <c r="B10" s="117"/>
      <c r="C10" s="120" t="s">
        <v>74</v>
      </c>
      <c r="D10" s="119" t="s">
        <v>7</v>
      </c>
      <c r="E10" s="119" t="s">
        <v>8</v>
      </c>
      <c r="F10" s="119" t="s">
        <v>22</v>
      </c>
      <c r="G10" s="119"/>
      <c r="H10" s="119"/>
      <c r="I10" s="136"/>
      <c r="J10" s="136" t="str">
        <f t="shared" ref="J10:T10" si="0">IF(YEAR(J$4)&gt;=FPFirstYear,IF(YEAR(J$4)&lt;=FPLastYear,J$4,""),"")</f>
        <v/>
      </c>
      <c r="K10" s="136" t="str">
        <f t="shared" si="0"/>
        <v/>
      </c>
      <c r="L10" s="136" t="str">
        <f t="shared" si="0"/>
        <v/>
      </c>
      <c r="M10" s="136" t="str">
        <f t="shared" si="0"/>
        <v/>
      </c>
      <c r="N10" s="136" t="str">
        <f t="shared" si="0"/>
        <v/>
      </c>
      <c r="O10" s="136">
        <f t="shared" si="0"/>
        <v>46174</v>
      </c>
      <c r="P10" s="136">
        <f t="shared" si="0"/>
        <v>46539</v>
      </c>
      <c r="Q10" s="136">
        <f t="shared" si="0"/>
        <v>46905</v>
      </c>
      <c r="R10" s="136">
        <f t="shared" si="0"/>
        <v>47270</v>
      </c>
      <c r="S10" s="136">
        <f t="shared" si="0"/>
        <v>47635</v>
      </c>
      <c r="T10" s="136" t="str">
        <f t="shared" si="0"/>
        <v/>
      </c>
      <c r="U10" s="117"/>
      <c r="V10" s="117"/>
    </row>
    <row r="11" spans="1:30" outlineLevel="1">
      <c r="A11" s="117"/>
      <c r="B11" s="117"/>
      <c r="C11" s="117"/>
      <c r="D11" s="118"/>
      <c r="E11" s="118"/>
      <c r="F11" s="118"/>
      <c r="G11" s="119"/>
      <c r="H11" s="119"/>
      <c r="I11" s="118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30" outlineLevel="1">
      <c r="A12" s="117"/>
      <c r="B12" s="117"/>
      <c r="C12" s="125" t="s">
        <v>209</v>
      </c>
      <c r="D12" s="118" t="s">
        <v>64</v>
      </c>
      <c r="E12" s="118" t="str">
        <f t="shared" ref="E12:E20" si="1">units</f>
        <v>$millions</v>
      </c>
      <c r="F12" s="137">
        <f t="shared" ref="F12:F20" si="2">DATE(PPLastYear,MONTH(month),1)</f>
        <v>45809</v>
      </c>
      <c r="G12" s="119"/>
      <c r="H12" s="119"/>
      <c r="I12" s="118"/>
      <c r="J12" s="155"/>
      <c r="K12" s="155"/>
      <c r="L12" s="155"/>
      <c r="M12" s="155"/>
      <c r="N12" s="155"/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175"/>
      <c r="U12" s="117"/>
      <c r="V12" s="117"/>
      <c r="W12" s="80" t="str">
        <f>IF(ISBLANK(C12),IF(COUNT(J12:T12)=0,"Ok","Check"),IF(COUNT(J12:T12)=COUNT(J$10:T$10),"Ok","Check"))</f>
        <v>Ok</v>
      </c>
    </row>
    <row r="13" spans="1:30" outlineLevel="1">
      <c r="A13" s="117"/>
      <c r="B13" s="117"/>
      <c r="C13" s="125" t="s">
        <v>210</v>
      </c>
      <c r="D13" s="118" t="s">
        <v>250</v>
      </c>
      <c r="E13" s="118" t="str">
        <f t="shared" si="1"/>
        <v>$millions</v>
      </c>
      <c r="F13" s="137">
        <f t="shared" si="2"/>
        <v>45809</v>
      </c>
      <c r="G13" s="119"/>
      <c r="H13" s="119"/>
      <c r="I13" s="118"/>
      <c r="J13" s="155"/>
      <c r="K13" s="155"/>
      <c r="L13" s="155"/>
      <c r="M13" s="155"/>
      <c r="N13" s="155"/>
      <c r="O13" s="282">
        <v>0.75441751701203819</v>
      </c>
      <c r="P13" s="282">
        <v>2.1582259442023397</v>
      </c>
      <c r="Q13" s="282">
        <v>3.6555076087698519</v>
      </c>
      <c r="R13" s="282">
        <v>3.8293401766261943</v>
      </c>
      <c r="S13" s="282">
        <v>4.2442613331426466</v>
      </c>
      <c r="T13" s="175"/>
      <c r="U13" s="117"/>
      <c r="V13" s="117"/>
      <c r="W13" s="80" t="str">
        <f>IF(ISBLANK(C13),IF(COUNT(J13:T13)=0,"Ok","Check"),IF(COUNT(J13:T13)=COUNT(J$10:T$10),"Ok","Check"))</f>
        <v>Ok</v>
      </c>
    </row>
    <row r="14" spans="1:30" outlineLevel="1">
      <c r="A14" s="117"/>
      <c r="B14" s="117"/>
      <c r="C14" s="125" t="s">
        <v>222</v>
      </c>
      <c r="D14" s="118" t="s">
        <v>64</v>
      </c>
      <c r="E14" s="118" t="str">
        <f t="shared" si="1"/>
        <v>$millions</v>
      </c>
      <c r="F14" s="137">
        <f t="shared" si="2"/>
        <v>45809</v>
      </c>
      <c r="G14" s="119"/>
      <c r="H14" s="119"/>
      <c r="I14" s="118"/>
      <c r="J14" s="155"/>
      <c r="K14" s="155"/>
      <c r="L14" s="155"/>
      <c r="M14" s="155"/>
      <c r="N14" s="155"/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175"/>
      <c r="U14" s="117"/>
      <c r="V14" s="117"/>
      <c r="W14" s="80" t="str">
        <f>IF(ISBLANK(C14),IF(COUNT(J14:T14)=0,"Ok","Check"),IF(COUNT(J14:T14)=COUNT(J$10:T$10),"Ok","Check"))</f>
        <v>Ok</v>
      </c>
    </row>
    <row r="15" spans="1:30" outlineLevel="1">
      <c r="A15" s="117"/>
      <c r="B15" s="117"/>
      <c r="C15" s="125" t="s">
        <v>211</v>
      </c>
      <c r="D15" s="118" t="s">
        <v>250</v>
      </c>
      <c r="E15" s="118" t="str">
        <f t="shared" si="1"/>
        <v>$millions</v>
      </c>
      <c r="F15" s="137">
        <f t="shared" si="2"/>
        <v>45809</v>
      </c>
      <c r="G15" s="119"/>
      <c r="H15" s="119"/>
      <c r="I15" s="118"/>
      <c r="J15" s="155"/>
      <c r="K15" s="155"/>
      <c r="L15" s="155"/>
      <c r="M15" s="155"/>
      <c r="N15" s="155"/>
      <c r="O15" s="283">
        <v>3.0735185183820062</v>
      </c>
      <c r="P15" s="283">
        <v>3.0505424573791458</v>
      </c>
      <c r="Q15" s="283">
        <v>3.063827308242709</v>
      </c>
      <c r="R15" s="283">
        <v>3.063827308242709</v>
      </c>
      <c r="S15" s="283">
        <v>3.063827308242709</v>
      </c>
      <c r="T15" s="175"/>
      <c r="U15" s="117"/>
      <c r="V15" s="117"/>
      <c r="W15" s="80" t="str">
        <f>IF(ISBLANK(C15),IF(COUNT(J15:T15)=0,"Ok","Check"),IF(COUNT(J15:T15)=COUNT(J$10:T$10),"Ok","Check"))</f>
        <v>Ok</v>
      </c>
    </row>
    <row r="16" spans="1:30" outlineLevel="1">
      <c r="A16" s="117"/>
      <c r="B16" s="117"/>
      <c r="C16" s="125" t="s">
        <v>212</v>
      </c>
      <c r="D16" s="118" t="s">
        <v>64</v>
      </c>
      <c r="E16" s="118" t="str">
        <f t="shared" si="1"/>
        <v>$millions</v>
      </c>
      <c r="F16" s="137">
        <f t="shared" si="2"/>
        <v>45809</v>
      </c>
      <c r="G16" s="119"/>
      <c r="H16" s="119"/>
      <c r="I16" s="118"/>
      <c r="J16" s="155"/>
      <c r="K16" s="155"/>
      <c r="L16" s="155"/>
      <c r="M16" s="155"/>
      <c r="N16" s="155"/>
      <c r="O16" s="175">
        <v>7.0736990414752547</v>
      </c>
      <c r="P16" s="175">
        <v>0.91409563630791757</v>
      </c>
      <c r="Q16" s="175">
        <v>1.8448547556981127</v>
      </c>
      <c r="R16" s="175">
        <v>1.8028255690497197</v>
      </c>
      <c r="S16" s="175">
        <v>5.345288439590095</v>
      </c>
      <c r="T16" s="175"/>
      <c r="U16" s="117"/>
      <c r="V16" s="117"/>
      <c r="W16" s="80" t="str">
        <f t="shared" ref="W16:W20" si="3">IF(ISBLANK(C16),IF(COUNT(J16:T16)=0,"Ok","Check"),IF(COUNT(J16:T16)=COUNT(J$10:T$10),"Ok","Check"))</f>
        <v>Ok</v>
      </c>
    </row>
    <row r="17" spans="1:30" outlineLevel="1">
      <c r="A17" s="117"/>
      <c r="B17" s="117"/>
      <c r="C17" s="125" t="s">
        <v>214</v>
      </c>
      <c r="D17" s="118" t="s">
        <v>250</v>
      </c>
      <c r="E17" s="118" t="str">
        <f t="shared" si="1"/>
        <v>$millions</v>
      </c>
      <c r="F17" s="137">
        <f t="shared" si="2"/>
        <v>45809</v>
      </c>
      <c r="G17" s="119"/>
      <c r="H17" s="119"/>
      <c r="I17" s="118"/>
      <c r="J17" s="155"/>
      <c r="K17" s="155"/>
      <c r="L17" s="155"/>
      <c r="M17" s="155"/>
      <c r="N17" s="155"/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175"/>
      <c r="U17" s="117"/>
      <c r="V17" s="117"/>
      <c r="W17" s="80" t="str">
        <f t="shared" si="3"/>
        <v>Ok</v>
      </c>
    </row>
    <row r="18" spans="1:30" outlineLevel="1">
      <c r="A18" s="117"/>
      <c r="B18" s="117"/>
      <c r="C18" s="125"/>
      <c r="D18" s="118" t="s">
        <v>64</v>
      </c>
      <c r="E18" s="118" t="str">
        <f t="shared" si="1"/>
        <v>$millions</v>
      </c>
      <c r="F18" s="137">
        <f t="shared" si="2"/>
        <v>45809</v>
      </c>
      <c r="G18" s="119"/>
      <c r="H18" s="119"/>
      <c r="I18" s="118"/>
      <c r="J18" s="155"/>
      <c r="K18" s="155"/>
      <c r="L18" s="155"/>
      <c r="M18" s="155"/>
      <c r="N18" s="155"/>
      <c r="O18" s="175"/>
      <c r="P18" s="175"/>
      <c r="Q18" s="175"/>
      <c r="R18" s="175"/>
      <c r="S18" s="175"/>
      <c r="T18" s="175"/>
      <c r="U18" s="117"/>
      <c r="V18" s="117"/>
      <c r="W18" s="80" t="str">
        <f t="shared" si="3"/>
        <v>Ok</v>
      </c>
    </row>
    <row r="19" spans="1:30" outlineLevel="1">
      <c r="A19" s="117"/>
      <c r="B19" s="117"/>
      <c r="C19" s="125"/>
      <c r="D19" s="118" t="s">
        <v>64</v>
      </c>
      <c r="E19" s="118" t="str">
        <f t="shared" si="1"/>
        <v>$millions</v>
      </c>
      <c r="F19" s="137">
        <f t="shared" si="2"/>
        <v>45809</v>
      </c>
      <c r="G19" s="119"/>
      <c r="H19" s="119"/>
      <c r="I19" s="118"/>
      <c r="J19" s="155"/>
      <c r="K19" s="155"/>
      <c r="L19" s="155"/>
      <c r="M19" s="155"/>
      <c r="N19" s="155"/>
      <c r="O19" s="175"/>
      <c r="P19" s="175"/>
      <c r="Q19" s="175"/>
      <c r="R19" s="175"/>
      <c r="S19" s="175"/>
      <c r="T19" s="175"/>
      <c r="U19" s="117"/>
      <c r="V19" s="117"/>
      <c r="W19" s="80" t="str">
        <f t="shared" si="3"/>
        <v>Ok</v>
      </c>
    </row>
    <row r="20" spans="1:30" outlineLevel="1">
      <c r="A20" s="117"/>
      <c r="B20" s="117"/>
      <c r="C20" s="125"/>
      <c r="D20" s="118" t="s">
        <v>64</v>
      </c>
      <c r="E20" s="118" t="str">
        <f t="shared" si="1"/>
        <v>$millions</v>
      </c>
      <c r="F20" s="137">
        <f t="shared" si="2"/>
        <v>45809</v>
      </c>
      <c r="G20" s="119"/>
      <c r="H20" s="119"/>
      <c r="I20" s="118"/>
      <c r="J20" s="155"/>
      <c r="K20" s="155"/>
      <c r="L20" s="155"/>
      <c r="M20" s="155"/>
      <c r="N20" s="155"/>
      <c r="O20" s="175"/>
      <c r="P20" s="175"/>
      <c r="Q20" s="175"/>
      <c r="R20" s="175"/>
      <c r="S20" s="175"/>
      <c r="T20" s="175"/>
      <c r="U20" s="117"/>
      <c r="V20" s="117"/>
      <c r="W20" s="80" t="str">
        <f t="shared" si="3"/>
        <v>Ok</v>
      </c>
    </row>
    <row r="21" spans="1:30" outlineLevel="1">
      <c r="A21" s="117"/>
      <c r="B21" s="117"/>
      <c r="C21" s="117"/>
      <c r="D21" s="118"/>
      <c r="E21" s="118"/>
      <c r="F21" s="118"/>
      <c r="G21" s="119"/>
      <c r="H21" s="119"/>
      <c r="I21" s="118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30" outlineLevel="1">
      <c r="A22" s="117"/>
      <c r="B22" s="117"/>
      <c r="C22" s="117" t="s">
        <v>40</v>
      </c>
      <c r="D22" s="118" t="s">
        <v>93</v>
      </c>
      <c r="E22" s="118" t="s">
        <v>28</v>
      </c>
      <c r="F22" s="118" t="s">
        <v>36</v>
      </c>
      <c r="G22" s="118"/>
      <c r="H22" s="118"/>
      <c r="I22" s="118"/>
      <c r="J22" s="161" t="str">
        <f t="shared" ref="J22:S22" si="4">IF(J10=J4,IF(COUNTA($C12:$C20)=COUNT(J12:J20),"Ok","Check"),"")</f>
        <v/>
      </c>
      <c r="K22" s="161" t="str">
        <f t="shared" si="4"/>
        <v/>
      </c>
      <c r="L22" s="161" t="str">
        <f t="shared" si="4"/>
        <v/>
      </c>
      <c r="M22" s="161" t="str">
        <f t="shared" si="4"/>
        <v/>
      </c>
      <c r="N22" s="161" t="str">
        <f t="shared" si="4"/>
        <v/>
      </c>
      <c r="O22" s="161" t="str">
        <f t="shared" si="4"/>
        <v>Ok</v>
      </c>
      <c r="P22" s="161" t="str">
        <f t="shared" si="4"/>
        <v>Ok</v>
      </c>
      <c r="Q22" s="161" t="str">
        <f t="shared" si="4"/>
        <v>Ok</v>
      </c>
      <c r="R22" s="161" t="str">
        <f t="shared" si="4"/>
        <v>Ok</v>
      </c>
      <c r="S22" s="161" t="str">
        <f t="shared" si="4"/>
        <v>Ok</v>
      </c>
      <c r="T22" s="161" t="str">
        <f t="shared" ref="T22" si="5">IF(T10=T4,IF(COUNTA($C12:$C20)=COUNT(T12:T20),"Ok","Check"),"")</f>
        <v/>
      </c>
      <c r="U22" s="162"/>
      <c r="V22" s="117"/>
      <c r="W22" s="80" t="str">
        <f>IF(COUNTIF(J22:T22,"Check")=0,"Ok","Check")</f>
        <v>Ok</v>
      </c>
    </row>
    <row r="23" spans="1:30">
      <c r="A23" s="117"/>
      <c r="B23" s="117"/>
      <c r="C23" s="117"/>
      <c r="D23" s="118"/>
      <c r="E23" s="118"/>
      <c r="F23" s="118"/>
      <c r="G23" s="119"/>
      <c r="H23" s="119"/>
      <c r="I23" s="118"/>
      <c r="J23" s="117"/>
      <c r="K23" s="117"/>
      <c r="L23" s="117"/>
      <c r="M23" s="117"/>
      <c r="N23" s="117"/>
      <c r="O23"/>
      <c r="P23"/>
      <c r="Q23"/>
      <c r="R23"/>
      <c r="S23"/>
      <c r="T23" s="117"/>
      <c r="U23" s="117"/>
      <c r="V23" s="117"/>
    </row>
    <row r="24" spans="1:30" customFormat="1" ht="12.75">
      <c r="A24" s="113"/>
      <c r="B24" s="38" t="s">
        <v>106</v>
      </c>
      <c r="C24" s="113"/>
      <c r="D24" s="113"/>
      <c r="E24" s="113"/>
      <c r="F24" s="114"/>
      <c r="G24" s="114"/>
      <c r="H24" s="114"/>
      <c r="I24" s="114"/>
      <c r="J24" s="115"/>
      <c r="K24" s="116"/>
      <c r="L24" s="115"/>
      <c r="M24" s="116"/>
      <c r="N24" s="115"/>
      <c r="O24" s="115"/>
      <c r="P24" s="115"/>
      <c r="Q24" s="115"/>
      <c r="R24" s="115"/>
      <c r="S24" s="115"/>
      <c r="T24" s="115"/>
      <c r="U24" s="115"/>
      <c r="V24" s="116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17"/>
      <c r="B25" s="117"/>
      <c r="C25" s="117"/>
      <c r="D25" s="118"/>
      <c r="E25" s="118"/>
      <c r="F25" s="118"/>
      <c r="G25" s="119"/>
      <c r="H25" s="119"/>
      <c r="I25" s="118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30" outlineLevel="1">
      <c r="A26" s="117"/>
      <c r="B26" s="117"/>
      <c r="C26" s="120" t="s">
        <v>102</v>
      </c>
      <c r="D26" s="119" t="s">
        <v>7</v>
      </c>
      <c r="E26" s="119" t="s">
        <v>8</v>
      </c>
      <c r="F26" s="119" t="s">
        <v>22</v>
      </c>
      <c r="G26" s="119"/>
      <c r="H26" s="119"/>
      <c r="I26" s="118"/>
      <c r="J26" s="136" t="str">
        <f t="shared" ref="J26:T26" si="6">IF(YEAR(J$4)&gt;=FPFirstYear,IF(YEAR(J$4)&lt;=FPLastYear,J$4,""),"")</f>
        <v/>
      </c>
      <c r="K26" s="136" t="str">
        <f t="shared" si="6"/>
        <v/>
      </c>
      <c r="L26" s="136" t="str">
        <f t="shared" si="6"/>
        <v/>
      </c>
      <c r="M26" s="136" t="str">
        <f t="shared" si="6"/>
        <v/>
      </c>
      <c r="N26" s="136" t="str">
        <f t="shared" si="6"/>
        <v/>
      </c>
      <c r="O26" s="136">
        <f t="shared" si="6"/>
        <v>46174</v>
      </c>
      <c r="P26" s="136">
        <f t="shared" si="6"/>
        <v>46539</v>
      </c>
      <c r="Q26" s="136">
        <f t="shared" si="6"/>
        <v>46905</v>
      </c>
      <c r="R26" s="136">
        <f t="shared" si="6"/>
        <v>47270</v>
      </c>
      <c r="S26" s="136">
        <f t="shared" si="6"/>
        <v>47635</v>
      </c>
      <c r="T26" s="136" t="str">
        <f t="shared" si="6"/>
        <v/>
      </c>
      <c r="U26" s="117"/>
      <c r="V26" s="117"/>
    </row>
    <row r="27" spans="1:30" outlineLevel="1">
      <c r="A27" s="117"/>
      <c r="B27" s="117"/>
      <c r="C27" s="117"/>
      <c r="D27" s="118"/>
      <c r="E27" s="118"/>
      <c r="F27" s="118"/>
      <c r="G27" s="119"/>
      <c r="H27" s="119"/>
      <c r="I27" s="118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30" outlineLevel="1">
      <c r="A28" s="117"/>
      <c r="B28"/>
      <c r="C28" s="176" t="s">
        <v>213</v>
      </c>
      <c r="D28" s="118" t="s">
        <v>250</v>
      </c>
      <c r="E28" s="118" t="str">
        <f>units</f>
        <v>$millions</v>
      </c>
      <c r="F28" s="137">
        <f>DATE(PPLastYear,MONTH(month),1)</f>
        <v>45809</v>
      </c>
      <c r="G28" s="119"/>
      <c r="H28" s="119"/>
      <c r="I28" s="118"/>
      <c r="J28" s="155"/>
      <c r="K28" s="155"/>
      <c r="L28" s="155"/>
      <c r="M28" s="155"/>
      <c r="N28" s="175"/>
      <c r="O28" s="282">
        <f>+'Input|UAG'!K24*'Input|Rate of change'!$O$19</f>
        <v>33.961295956935125</v>
      </c>
      <c r="P28" s="282">
        <f>+'Input|UAG'!L24*'Input|Rate of change'!$O$19</f>
        <v>30.686268794309498</v>
      </c>
      <c r="Q28" s="282">
        <f>+'Input|UAG'!M24*'Input|Rate of change'!$O$19</f>
        <v>26.604394860546865</v>
      </c>
      <c r="R28" s="282">
        <f>+'Input|UAG'!N24*'Input|Rate of change'!$O$19</f>
        <v>24.347096250039932</v>
      </c>
      <c r="S28" s="282">
        <f>+'Input|UAG'!O24*'Input|Rate of change'!$O$19</f>
        <v>23.702930741124849</v>
      </c>
      <c r="T28" s="175"/>
      <c r="U28" s="117"/>
      <c r="V28" s="117"/>
      <c r="W28" s="222" t="str">
        <f>IF(ISBLANK(C28),IF(COUNT(J28:T28)=0,"Ok","Check"),IF(COUNT(J28:T28)=COUNT(J$10:T$10),"Ok","Check"))</f>
        <v>Ok</v>
      </c>
    </row>
    <row r="29" spans="1:30" outlineLevel="1">
      <c r="A29" s="117"/>
      <c r="B29" s="117"/>
      <c r="C29" s="206" t="s">
        <v>214</v>
      </c>
      <c r="D29" s="118" t="s">
        <v>250</v>
      </c>
      <c r="E29" s="118" t="str">
        <f>units</f>
        <v>$millions</v>
      </c>
      <c r="F29" s="137">
        <f>DATE(PPLastYear,MONTH(month),1)</f>
        <v>45809</v>
      </c>
      <c r="G29" s="119"/>
      <c r="H29" s="119"/>
      <c r="I29" s="118"/>
      <c r="J29" s="155"/>
      <c r="K29" s="155"/>
      <c r="L29" s="155"/>
      <c r="M29" s="155"/>
      <c r="N29" s="175"/>
      <c r="O29" s="282">
        <v>4.8272960849805635</v>
      </c>
      <c r="P29" s="282">
        <v>4.8272960849805635</v>
      </c>
      <c r="Q29" s="282">
        <v>4.8272960849805635</v>
      </c>
      <c r="R29" s="282">
        <v>4.8272960849805635</v>
      </c>
      <c r="S29" s="282">
        <v>4.8272960849805635</v>
      </c>
      <c r="T29" s="175"/>
      <c r="U29" s="117"/>
      <c r="V29" s="117"/>
      <c r="W29" s="222" t="str">
        <f>IF(ISBLANK(C29),IF(COUNT(J29:T29)=0,"Ok","Check"),IF(COUNT(J29:T29)=COUNT(J$10:T$10),"Ok","Check"))</f>
        <v>Ok</v>
      </c>
    </row>
    <row r="30" spans="1:30" outlineLevel="1">
      <c r="A30" s="117"/>
      <c r="B30" s="117"/>
      <c r="C30" s="176" t="s">
        <v>215</v>
      </c>
      <c r="D30" s="118" t="s">
        <v>64</v>
      </c>
      <c r="E30" s="118" t="str">
        <f>units</f>
        <v>$millions</v>
      </c>
      <c r="F30" s="137">
        <f>DATE(PPLastYear,MONTH(month),1)</f>
        <v>45809</v>
      </c>
      <c r="G30" s="119"/>
      <c r="H30" s="119"/>
      <c r="I30" s="118"/>
      <c r="J30" s="155"/>
      <c r="K30" s="155"/>
      <c r="L30" s="155"/>
      <c r="M30" s="155"/>
      <c r="N30" s="175"/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175"/>
      <c r="U30" s="117"/>
      <c r="V30" s="117"/>
      <c r="W30" s="80" t="str">
        <f>IF(ISBLANK(C30),IF(COUNT(J30:T30)=0,"Ok","Check"),IF(COUNT(J30:T30)=COUNT(J$10:T$10),"Ok","Check"))</f>
        <v>Ok</v>
      </c>
    </row>
    <row r="31" spans="1:30" outlineLevel="1">
      <c r="A31" s="117"/>
      <c r="B31" s="117"/>
      <c r="C31" s="177" t="s">
        <v>209</v>
      </c>
      <c r="D31" s="118" t="s">
        <v>64</v>
      </c>
      <c r="E31" s="118" t="str">
        <f>units</f>
        <v>$millions</v>
      </c>
      <c r="F31" s="137">
        <f>DATE(PPLastYear,MONTH(month),1)</f>
        <v>45809</v>
      </c>
      <c r="G31" s="119"/>
      <c r="H31" s="119"/>
      <c r="I31" s="118"/>
      <c r="J31" s="155"/>
      <c r="K31" s="155"/>
      <c r="L31" s="155"/>
      <c r="M31" s="155"/>
      <c r="N31" s="175"/>
      <c r="O31" s="205">
        <v>0.53251149999999992</v>
      </c>
      <c r="P31" s="205">
        <v>0.53251149999999992</v>
      </c>
      <c r="Q31" s="205">
        <v>0.53251149999999992</v>
      </c>
      <c r="R31" s="205">
        <v>0.53251149999999992</v>
      </c>
      <c r="S31" s="205">
        <v>0.53251149999999992</v>
      </c>
      <c r="T31" s="175"/>
      <c r="U31" s="117"/>
      <c r="V31" s="117"/>
      <c r="W31" s="80" t="str">
        <f>IF(ISBLANK(C31),IF(COUNT(J31:T31)=0,"Ok","Check"),IF(COUNT(J31:T31)=COUNT(J$10:T$10),"Ok","Check"))</f>
        <v>Ok</v>
      </c>
    </row>
    <row r="32" spans="1:30" outlineLevel="1">
      <c r="A32" s="117"/>
      <c r="B32" s="117"/>
      <c r="C32" s="300" t="s">
        <v>264</v>
      </c>
      <c r="D32" s="118" t="s">
        <v>250</v>
      </c>
      <c r="E32" s="118" t="str">
        <f>units</f>
        <v>$millions</v>
      </c>
      <c r="F32" s="137">
        <f>DATE(PPLastYear,MONTH(month),1)</f>
        <v>45809</v>
      </c>
      <c r="G32" s="119"/>
      <c r="H32" s="119"/>
      <c r="I32" s="118"/>
      <c r="J32" s="155"/>
      <c r="K32" s="155"/>
      <c r="L32" s="155"/>
      <c r="M32" s="155"/>
      <c r="N32" s="175"/>
      <c r="O32" s="283">
        <v>0</v>
      </c>
      <c r="P32" s="283">
        <v>2.7191626556250807</v>
      </c>
      <c r="Q32" s="283">
        <v>3.6332847374987809</v>
      </c>
      <c r="R32" s="283">
        <v>4.5371711907315557</v>
      </c>
      <c r="S32" s="283">
        <v>5.4151686275618651</v>
      </c>
      <c r="T32" s="175"/>
      <c r="U32" s="117"/>
      <c r="V32" s="117"/>
      <c r="W32" s="80" t="str">
        <f>IF(ISBLANK(C32),IF(COUNT(J32:T32)=0,"Ok","Check"),IF(COUNT(J32:T32)=COUNT(J$10:T$10),"Ok","Check"))</f>
        <v>Ok</v>
      </c>
    </row>
    <row r="33" spans="1:30" outlineLevel="1">
      <c r="A33" s="117"/>
      <c r="B33" s="117"/>
      <c r="C33" s="117"/>
      <c r="D33" s="118"/>
      <c r="E33" s="118"/>
      <c r="F33" s="118"/>
      <c r="G33" s="119"/>
      <c r="H33" s="119"/>
      <c r="I33" s="118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30" outlineLevel="1">
      <c r="A34" s="117"/>
      <c r="B34" s="117"/>
      <c r="C34" s="117" t="s">
        <v>40</v>
      </c>
      <c r="D34" s="118" t="s">
        <v>93</v>
      </c>
      <c r="E34" s="118" t="s">
        <v>28</v>
      </c>
      <c r="F34" s="118" t="s">
        <v>36</v>
      </c>
      <c r="G34" s="118"/>
      <c r="H34" s="118"/>
      <c r="I34" s="118"/>
      <c r="J34" s="161" t="str">
        <f t="shared" ref="J34:T34" si="7">IF(J26=J4,IF(COUNTA($C28:$C32)=COUNT(J28:J32),"Ok","Check"),"")</f>
        <v/>
      </c>
      <c r="K34" s="161" t="str">
        <f t="shared" si="7"/>
        <v/>
      </c>
      <c r="L34" s="161" t="str">
        <f t="shared" si="7"/>
        <v/>
      </c>
      <c r="M34" s="161" t="str">
        <f t="shared" si="7"/>
        <v/>
      </c>
      <c r="N34" s="161" t="str">
        <f t="shared" si="7"/>
        <v/>
      </c>
      <c r="O34" s="221" t="str">
        <f t="shared" si="7"/>
        <v>Ok</v>
      </c>
      <c r="P34" s="221" t="str">
        <f t="shared" si="7"/>
        <v>Ok</v>
      </c>
      <c r="Q34" s="221" t="str">
        <f t="shared" si="7"/>
        <v>Ok</v>
      </c>
      <c r="R34" s="221" t="str">
        <f t="shared" si="7"/>
        <v>Ok</v>
      </c>
      <c r="S34" s="221" t="str">
        <f t="shared" si="7"/>
        <v>Ok</v>
      </c>
      <c r="T34" s="161" t="str">
        <f t="shared" si="7"/>
        <v/>
      </c>
      <c r="U34" s="162"/>
      <c r="V34" s="117"/>
      <c r="W34" s="80" t="str">
        <f>IF(COUNTIF(J34:T34,"Check")=0,"Ok","Check")</f>
        <v>Ok</v>
      </c>
    </row>
    <row r="35" spans="1:30">
      <c r="A35" s="117"/>
      <c r="B35" s="117"/>
      <c r="C35" s="117"/>
      <c r="D35" s="118"/>
      <c r="E35" s="118"/>
      <c r="F35" s="118"/>
      <c r="G35" s="119"/>
      <c r="H35" s="119"/>
      <c r="I35" s="118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30" customFormat="1" ht="12.75">
      <c r="A36" s="113"/>
      <c r="B36" s="38" t="s">
        <v>44</v>
      </c>
      <c r="C36" s="113"/>
      <c r="D36" s="113"/>
      <c r="E36" s="113"/>
      <c r="F36" s="114"/>
      <c r="G36" s="114"/>
      <c r="H36" s="114"/>
      <c r="I36" s="114"/>
      <c r="J36" s="115"/>
      <c r="K36" s="116"/>
      <c r="L36" s="115"/>
      <c r="M36" s="116"/>
      <c r="N36" s="115"/>
      <c r="O36" s="115"/>
      <c r="P36" s="115"/>
      <c r="Q36" s="115"/>
      <c r="R36" s="115"/>
      <c r="S36" s="115"/>
      <c r="T36" s="115"/>
      <c r="U36" s="115"/>
      <c r="V36" s="116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17"/>
      <c r="B37" s="117"/>
      <c r="C37" s="117"/>
      <c r="D37" s="118"/>
      <c r="E37" s="118"/>
      <c r="F37" s="118"/>
      <c r="G37" s="119"/>
      <c r="H37" s="119"/>
      <c r="I37" s="118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30" outlineLevel="1">
      <c r="A38" s="117"/>
      <c r="B38" s="117"/>
      <c r="C38" s="120" t="s">
        <v>32</v>
      </c>
      <c r="D38" s="119" t="s">
        <v>7</v>
      </c>
      <c r="E38" s="119" t="s">
        <v>8</v>
      </c>
      <c r="F38" s="119" t="s">
        <v>22</v>
      </c>
      <c r="G38" s="119"/>
      <c r="H38" s="119"/>
      <c r="I38" s="118"/>
      <c r="J38" s="136" t="str">
        <f t="shared" ref="J38:T38" si="8">IF(YEAR(J$4)&gt;=FPFirstYear,IF(YEAR(J$4)&lt;=FPLastYear,J$4,""),"")</f>
        <v/>
      </c>
      <c r="K38" s="136" t="str">
        <f t="shared" si="8"/>
        <v/>
      </c>
      <c r="L38" s="136" t="str">
        <f t="shared" si="8"/>
        <v/>
      </c>
      <c r="M38" s="136" t="str">
        <f t="shared" si="8"/>
        <v/>
      </c>
      <c r="N38" s="136" t="str">
        <f t="shared" si="8"/>
        <v/>
      </c>
      <c r="O38" s="136">
        <f t="shared" si="8"/>
        <v>46174</v>
      </c>
      <c r="P38" s="136">
        <f t="shared" si="8"/>
        <v>46539</v>
      </c>
      <c r="Q38" s="136">
        <f t="shared" si="8"/>
        <v>46905</v>
      </c>
      <c r="R38" s="136">
        <f t="shared" si="8"/>
        <v>47270</v>
      </c>
      <c r="S38" s="136">
        <f t="shared" si="8"/>
        <v>47635</v>
      </c>
      <c r="T38" s="136" t="str">
        <f t="shared" si="8"/>
        <v/>
      </c>
      <c r="U38" s="117"/>
      <c r="V38" s="117"/>
    </row>
    <row r="39" spans="1:30" outlineLevel="1">
      <c r="A39" s="117"/>
      <c r="B39" s="117"/>
      <c r="C39" s="117"/>
      <c r="D39" s="118"/>
      <c r="E39" s="118"/>
      <c r="F39" s="118"/>
      <c r="G39" s="119"/>
      <c r="H39" s="119"/>
      <c r="I39" s="118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30" outlineLevel="1">
      <c r="A40" s="117"/>
      <c r="B40"/>
      <c r="C40" s="123" t="s">
        <v>39</v>
      </c>
      <c r="D40" s="118" t="s">
        <v>67</v>
      </c>
      <c r="E40" s="118" t="s">
        <v>15</v>
      </c>
      <c r="F40" s="137">
        <f>DATE(PPLastYear,MONTH(month),1)</f>
        <v>45809</v>
      </c>
      <c r="G40" s="119"/>
      <c r="H40" s="119"/>
      <c r="I40" s="119"/>
      <c r="J40" s="175"/>
      <c r="K40" s="175"/>
      <c r="L40" s="175"/>
      <c r="M40" s="175"/>
      <c r="N40" s="175"/>
      <c r="O40" s="282">
        <v>1.9438963623530585</v>
      </c>
      <c r="P40" s="282">
        <v>1.9403704711366669</v>
      </c>
      <c r="Q40" s="282">
        <v>1.9376314925521403</v>
      </c>
      <c r="R40" s="282">
        <v>1.9165024172492104</v>
      </c>
      <c r="S40" s="282">
        <v>1.8723443639170956</v>
      </c>
      <c r="T40" s="175"/>
      <c r="U40" s="117"/>
      <c r="V40" s="117"/>
    </row>
    <row r="41" spans="1:30" outlineLevel="1">
      <c r="A41" s="117"/>
      <c r="B41" s="117"/>
      <c r="C41" s="117"/>
      <c r="D41" s="118"/>
      <c r="E41" s="118"/>
      <c r="F41" s="118"/>
      <c r="G41" s="119"/>
      <c r="H41" s="119"/>
      <c r="I41" s="118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30" outlineLevel="1">
      <c r="A42" s="117"/>
      <c r="B42" s="117"/>
      <c r="C42" s="117" t="s">
        <v>40</v>
      </c>
      <c r="D42" s="118" t="s">
        <v>93</v>
      </c>
      <c r="E42" s="118" t="s">
        <v>28</v>
      </c>
      <c r="F42" s="118" t="s">
        <v>36</v>
      </c>
      <c r="G42" s="118"/>
      <c r="H42" s="118"/>
      <c r="I42" s="118"/>
      <c r="J42" s="161" t="str">
        <f t="shared" ref="J42:T42" si="9">IF(J38=J4,IF(ISBLANK(J40),"Check","Ok"),"")</f>
        <v/>
      </c>
      <c r="K42" s="161" t="str">
        <f t="shared" si="9"/>
        <v/>
      </c>
      <c r="L42" s="161" t="str">
        <f t="shared" si="9"/>
        <v/>
      </c>
      <c r="M42" s="161" t="str">
        <f t="shared" si="9"/>
        <v/>
      </c>
      <c r="N42" s="161" t="str">
        <f t="shared" si="9"/>
        <v/>
      </c>
      <c r="O42" s="161" t="str">
        <f t="shared" si="9"/>
        <v>Ok</v>
      </c>
      <c r="P42" s="161" t="str">
        <f t="shared" si="9"/>
        <v>Ok</v>
      </c>
      <c r="Q42" s="161" t="str">
        <f t="shared" si="9"/>
        <v>Ok</v>
      </c>
      <c r="R42" s="161" t="str">
        <f t="shared" si="9"/>
        <v>Ok</v>
      </c>
      <c r="S42" s="161" t="str">
        <f t="shared" si="9"/>
        <v>Ok</v>
      </c>
      <c r="T42" s="161" t="str">
        <f t="shared" si="9"/>
        <v/>
      </c>
      <c r="U42" s="162"/>
      <c r="V42" s="117"/>
      <c r="W42" s="80" t="str">
        <f>IF(COUNTIF(J42:T42,"Check")=0,"Ok","Check")</f>
        <v>Ok</v>
      </c>
    </row>
    <row r="43" spans="1:30">
      <c r="A43" s="117"/>
      <c r="B43" s="117"/>
      <c r="C43" s="117"/>
      <c r="D43" s="118"/>
      <c r="E43" s="118"/>
      <c r="F43" s="118"/>
      <c r="G43" s="119"/>
      <c r="H43" s="119"/>
      <c r="I43" s="118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30" customFormat="1" ht="12.75">
      <c r="A44" s="113"/>
      <c r="B44" s="38" t="s">
        <v>21</v>
      </c>
      <c r="C44" s="113"/>
      <c r="D44" s="113"/>
      <c r="E44" s="113"/>
      <c r="F44" s="114"/>
      <c r="G44" s="114"/>
      <c r="H44" s="114"/>
      <c r="I44" s="114"/>
      <c r="J44" s="115"/>
      <c r="K44" s="116"/>
      <c r="L44" s="115"/>
      <c r="M44" s="116"/>
      <c r="N44" s="115"/>
      <c r="O44" s="357"/>
      <c r="P44" s="357"/>
      <c r="Q44" s="357"/>
      <c r="R44" s="357"/>
      <c r="S44" s="357"/>
      <c r="T44" s="115"/>
      <c r="U44" s="115"/>
      <c r="V44" s="116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S1">
    <cfRule type="cellIs" dxfId="124" priority="41" operator="equal">
      <formula>"Check"</formula>
    </cfRule>
    <cfRule type="cellIs" dxfId="123" priority="42" operator="equal">
      <formula>"Ok"</formula>
    </cfRule>
  </conditionalFormatting>
  <conditionalFormatting sqref="V1">
    <cfRule type="cellIs" dxfId="122" priority="43" operator="equal">
      <formula>"Check"</formula>
    </cfRule>
    <cfRule type="cellIs" dxfId="121" priority="44" operator="equal">
      <formula>"Ok"</formula>
    </cfRule>
  </conditionalFormatting>
  <conditionalFormatting sqref="J10:T10">
    <cfRule type="expression" dxfId="120" priority="39">
      <formula>J$10=J$4</formula>
    </cfRule>
  </conditionalFormatting>
  <conditionalFormatting sqref="J18:T20 J12:N17 T12:T17">
    <cfRule type="expression" dxfId="119" priority="38">
      <formula>J$10=J$4</formula>
    </cfRule>
  </conditionalFormatting>
  <conditionalFormatting sqref="W22">
    <cfRule type="cellIs" dxfId="118" priority="34" operator="equal">
      <formula>"Check"</formula>
    </cfRule>
    <cfRule type="cellIs" dxfId="117" priority="35" operator="equal">
      <formula>"Ok"</formula>
    </cfRule>
  </conditionalFormatting>
  <conditionalFormatting sqref="J22:T22">
    <cfRule type="cellIs" dxfId="116" priority="32" operator="equal">
      <formula>"Check"</formula>
    </cfRule>
    <cfRule type="cellIs" dxfId="115" priority="33" operator="equal">
      <formula>"Ok"</formula>
    </cfRule>
  </conditionalFormatting>
  <conditionalFormatting sqref="W34">
    <cfRule type="cellIs" dxfId="114" priority="30" operator="equal">
      <formula>"Check"</formula>
    </cfRule>
    <cfRule type="cellIs" dxfId="113" priority="31" operator="equal">
      <formula>"Ok"</formula>
    </cfRule>
  </conditionalFormatting>
  <conditionalFormatting sqref="J34:T34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28:M32 O31">
    <cfRule type="expression" dxfId="110" priority="27">
      <formula>J$26=J$4</formula>
    </cfRule>
  </conditionalFormatting>
  <conditionalFormatting sqref="W42">
    <cfRule type="cellIs" dxfId="109" priority="25" operator="equal">
      <formula>"Check"</formula>
    </cfRule>
    <cfRule type="cellIs" dxfId="108" priority="26" operator="equal">
      <formula>"Ok"</formula>
    </cfRule>
  </conditionalFormatting>
  <conditionalFormatting sqref="J42:T42">
    <cfRule type="cellIs" dxfId="107" priority="23" operator="equal">
      <formula>"Check"</formula>
    </cfRule>
    <cfRule type="cellIs" dxfId="106" priority="24" operator="equal">
      <formula>"Ok"</formula>
    </cfRule>
  </conditionalFormatting>
  <conditionalFormatting sqref="P31:T31 O30:T30 T28:T29 T32">
    <cfRule type="expression" dxfId="105" priority="22">
      <formula>O$10=O$4</formula>
    </cfRule>
  </conditionalFormatting>
  <conditionalFormatting sqref="N28:N32">
    <cfRule type="expression" dxfId="104" priority="21">
      <formula>N$10=N$4</formula>
    </cfRule>
  </conditionalFormatting>
  <conditionalFormatting sqref="J40:N40 T40">
    <cfRule type="expression" dxfId="103" priority="18">
      <formula>J$38=J$4</formula>
    </cfRule>
  </conditionalFormatting>
  <conditionalFormatting sqref="J26:T26">
    <cfRule type="expression" dxfId="102" priority="17">
      <formula>J$10=J$4</formula>
    </cfRule>
  </conditionalFormatting>
  <conditionalFormatting sqref="J38:T38">
    <cfRule type="expression" dxfId="101" priority="16">
      <formula>J$10=J$4</formula>
    </cfRule>
  </conditionalFormatting>
  <conditionalFormatting sqref="O12:S12 O14:S14">
    <cfRule type="expression" dxfId="100" priority="15">
      <formula>O$10=O$4</formula>
    </cfRule>
  </conditionalFormatting>
  <conditionalFormatting sqref="W12:W20">
    <cfRule type="cellIs" dxfId="99" priority="13" operator="equal">
      <formula>"Check"</formula>
    </cfRule>
    <cfRule type="cellIs" dxfId="98" priority="14" operator="equal">
      <formula>"Ok"</formula>
    </cfRule>
  </conditionalFormatting>
  <conditionalFormatting sqref="W28">
    <cfRule type="cellIs" dxfId="97" priority="11" operator="equal">
      <formula>"Check"</formula>
    </cfRule>
    <cfRule type="cellIs" dxfId="96" priority="12" operator="equal">
      <formula>"Ok"</formula>
    </cfRule>
  </conditionalFormatting>
  <conditionalFormatting sqref="W29">
    <cfRule type="cellIs" dxfId="95" priority="9" operator="equal">
      <formula>"Check"</formula>
    </cfRule>
    <cfRule type="cellIs" dxfId="94" priority="10" operator="equal">
      <formula>"Ok"</formula>
    </cfRule>
  </conditionalFormatting>
  <conditionalFormatting sqref="W30">
    <cfRule type="cellIs" dxfId="93" priority="7" operator="equal">
      <formula>"Check"</formula>
    </cfRule>
    <cfRule type="cellIs" dxfId="92" priority="8" operator="equal">
      <formula>"Ok"</formula>
    </cfRule>
  </conditionalFormatting>
  <conditionalFormatting sqref="W31">
    <cfRule type="cellIs" dxfId="91" priority="5" operator="equal">
      <formula>"Check"</formula>
    </cfRule>
    <cfRule type="cellIs" dxfId="90" priority="6" operator="equal">
      <formula>"Ok"</formula>
    </cfRule>
  </conditionalFormatting>
  <conditionalFormatting sqref="W32">
    <cfRule type="cellIs" dxfId="89" priority="3" operator="equal">
      <formula>"Check"</formula>
    </cfRule>
    <cfRule type="cellIs" dxfId="88" priority="4" operator="equal">
      <formula>"Ok"</formula>
    </cfRule>
  </conditionalFormatting>
  <conditionalFormatting sqref="O16:S16">
    <cfRule type="expression" dxfId="87" priority="1">
      <formula>O$10=O$4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2E06-1819-423E-B1BF-DA0939A5828E}">
  <sheetPr>
    <tabColor rgb="FFB1A0C8"/>
  </sheetPr>
  <dimension ref="A1:W36"/>
  <sheetViews>
    <sheetView showGridLines="0" workbookViewId="0"/>
  </sheetViews>
  <sheetFormatPr defaultRowHeight="11.25" customHeight="1"/>
  <cols>
    <col min="1" max="1" width="1.6640625" style="308" customWidth="1"/>
    <col min="2" max="2" width="2.33203125" style="308" customWidth="1"/>
    <col min="3" max="3" width="37.83203125" style="308" customWidth="1"/>
    <col min="4" max="4" width="20.5" style="308" customWidth="1"/>
    <col min="5" max="6" width="9.33203125" style="308"/>
    <col min="7" max="7" width="15.1640625" style="308" customWidth="1"/>
    <col min="8" max="9" width="2" style="308" customWidth="1"/>
    <col min="10" max="10" width="5" style="308" customWidth="1"/>
    <col min="11" max="18" width="14.6640625" style="308" customWidth="1"/>
    <col min="19" max="16384" width="9.33203125" style="308"/>
  </cols>
  <sheetData>
    <row r="1" spans="1:23" s="315" customFormat="1" ht="15.75">
      <c r="B1" s="316"/>
      <c r="C1" s="317" t="str">
        <f>Index!$B$1</f>
        <v>AER opex model v2.3</v>
      </c>
      <c r="D1" s="317"/>
      <c r="E1" s="317"/>
      <c r="F1" s="317"/>
      <c r="G1" s="317"/>
      <c r="H1" s="317"/>
      <c r="I1" s="317"/>
      <c r="J1" s="318" t="s">
        <v>3</v>
      </c>
      <c r="K1" s="301" t="s">
        <v>270</v>
      </c>
      <c r="L1" s="302" t="s">
        <v>5</v>
      </c>
      <c r="M1" s="303" t="s">
        <v>6</v>
      </c>
      <c r="N1" s="304" t="s">
        <v>271</v>
      </c>
      <c r="O1" s="305" t="s">
        <v>272</v>
      </c>
      <c r="P1" s="306" t="s">
        <v>273</v>
      </c>
      <c r="Q1" s="307" t="s">
        <v>274</v>
      </c>
    </row>
    <row r="2" spans="1:23" s="319" customFormat="1" ht="15.75" thickBot="1">
      <c r="B2" s="320"/>
      <c r="C2" s="364" t="str">
        <f ca="1">MID(CELL("filename",A1),FIND("]",CELL("filename",A1))+1,255)</f>
        <v>Input|UAG</v>
      </c>
      <c r="D2" s="365" t="str">
        <f ca="1">MID(CELL("filename",B1),FIND("]",CELL("filename",B1))+1,255)</f>
        <v>Input|UAG</v>
      </c>
      <c r="E2" s="365" t="str">
        <f ca="1">MID(CELL("filename",C1),FIND("]",CELL("filename",C1))+1,255)</f>
        <v>Input|UAG</v>
      </c>
      <c r="F2" s="321"/>
      <c r="G2" s="322"/>
      <c r="H2" s="322"/>
      <c r="I2" s="322"/>
    </row>
    <row r="3" spans="1:23" s="323" customFormat="1">
      <c r="B3" s="324"/>
      <c r="C3" s="325"/>
      <c r="D3" s="326"/>
      <c r="E3" s="326"/>
      <c r="F3" s="326"/>
      <c r="G3" s="326"/>
      <c r="H3" s="326"/>
      <c r="I3" s="327"/>
      <c r="J3" s="327"/>
      <c r="K3" s="327">
        <v>2026</v>
      </c>
      <c r="L3" s="327">
        <f>K3+1</f>
        <v>2027</v>
      </c>
      <c r="M3" s="327">
        <f>L3+1</f>
        <v>2028</v>
      </c>
      <c r="N3" s="327">
        <f>M3+1</f>
        <v>2029</v>
      </c>
      <c r="O3" s="327">
        <f>N3+1</f>
        <v>2030</v>
      </c>
      <c r="P3" s="327"/>
      <c r="Q3" s="327"/>
      <c r="R3" s="327"/>
      <c r="S3" s="327"/>
      <c r="T3" s="327"/>
    </row>
    <row r="4" spans="1:23" s="332" customFormat="1" ht="3" customHeight="1">
      <c r="B4" s="333"/>
      <c r="D4" s="334"/>
      <c r="E4" s="334"/>
      <c r="F4" s="334"/>
      <c r="G4" s="334"/>
      <c r="H4" s="334"/>
      <c r="I4" s="334"/>
    </row>
    <row r="5" spans="1:23" s="332" customFormat="1" ht="9" customHeight="1">
      <c r="B5" s="333" t="s">
        <v>275</v>
      </c>
      <c r="D5" s="334"/>
      <c r="E5" s="334"/>
      <c r="F5" s="334"/>
      <c r="G5" s="334"/>
      <c r="H5" s="334"/>
      <c r="I5" s="334"/>
      <c r="J5" s="334"/>
    </row>
    <row r="6" spans="1:23" s="332" customFormat="1" ht="3" customHeight="1">
      <c r="B6" s="333"/>
      <c r="D6" s="334"/>
      <c r="E6" s="334"/>
      <c r="F6" s="334"/>
      <c r="G6" s="334"/>
      <c r="H6" s="334"/>
      <c r="I6" s="334"/>
    </row>
    <row r="7" spans="1:23" s="328" customFormat="1" ht="11.25" customHeight="1">
      <c r="B7" s="329" t="s">
        <v>276</v>
      </c>
      <c r="D7" s="330"/>
      <c r="E7" s="331"/>
      <c r="F7" s="331"/>
      <c r="G7" s="331"/>
      <c r="H7" s="331"/>
      <c r="I7" s="331"/>
      <c r="J7" s="331"/>
      <c r="K7" s="331"/>
      <c r="L7" s="331"/>
    </row>
    <row r="8" spans="1:23" s="339" customFormat="1" ht="11.25" customHeight="1">
      <c r="A8" s="335"/>
      <c r="B8" s="335"/>
      <c r="C8" s="335"/>
      <c r="D8" s="336"/>
      <c r="E8" s="336"/>
      <c r="F8" s="336"/>
      <c r="G8" s="337"/>
      <c r="H8" s="337"/>
      <c r="I8" s="336"/>
      <c r="J8" s="335"/>
      <c r="K8" s="335"/>
      <c r="L8" s="335"/>
      <c r="M8" s="335"/>
      <c r="N8" s="335"/>
      <c r="O8" s="338"/>
      <c r="P8" s="338"/>
      <c r="Q8" s="338"/>
      <c r="R8" s="338"/>
      <c r="S8" s="338"/>
      <c r="T8" s="335"/>
      <c r="U8" s="335"/>
      <c r="V8" s="335"/>
      <c r="W8" s="335"/>
    </row>
    <row r="9" spans="1:23" s="339" customFormat="1" ht="11.25" customHeight="1">
      <c r="A9" s="335"/>
      <c r="B9" s="335"/>
      <c r="C9" s="340" t="s">
        <v>277</v>
      </c>
      <c r="D9" s="337" t="s">
        <v>7</v>
      </c>
      <c r="E9" s="337" t="s">
        <v>8</v>
      </c>
      <c r="F9" s="337" t="s">
        <v>22</v>
      </c>
      <c r="G9" s="337" t="s">
        <v>278</v>
      </c>
      <c r="H9" s="337"/>
      <c r="I9" s="336"/>
      <c r="J9" s="335"/>
      <c r="K9" s="346" t="str">
        <f>"RY"&amp;RIGHT(K$3,2)</f>
        <v>RY26</v>
      </c>
      <c r="L9" s="346" t="str">
        <f>"RY"&amp;RIGHT(L$3,2)</f>
        <v>RY27</v>
      </c>
      <c r="M9" s="346" t="str">
        <f>"RY"&amp;RIGHT(M$3,2)</f>
        <v>RY28</v>
      </c>
      <c r="N9" s="346" t="str">
        <f>"RY"&amp;RIGHT(N$3,2)</f>
        <v>RY29</v>
      </c>
      <c r="O9" s="346" t="str">
        <f>"RY"&amp;RIGHT(O$3,2)</f>
        <v>RY30</v>
      </c>
      <c r="Q9"/>
      <c r="T9" s="335"/>
      <c r="U9" s="335"/>
      <c r="V9" s="335"/>
      <c r="W9" s="335"/>
    </row>
    <row r="10" spans="1:23" s="339" customFormat="1" ht="11.25" customHeight="1">
      <c r="A10" s="335"/>
      <c r="B10" s="335"/>
      <c r="C10" s="340" t="s">
        <v>279</v>
      </c>
      <c r="D10" s="336"/>
      <c r="E10" s="336"/>
      <c r="F10" s="336"/>
      <c r="G10" s="336"/>
      <c r="H10" s="337"/>
      <c r="I10" s="336"/>
      <c r="J10" s="335"/>
      <c r="K10" s="335"/>
      <c r="L10" s="335"/>
      <c r="M10" s="335"/>
      <c r="N10" s="335"/>
      <c r="O10" s="335"/>
      <c r="Q10"/>
      <c r="T10" s="335"/>
      <c r="U10" s="335"/>
      <c r="V10" s="335"/>
      <c r="W10" s="335"/>
    </row>
    <row r="11" spans="1:23" s="339" customFormat="1" ht="11.25" customHeight="1">
      <c r="A11" s="335"/>
      <c r="B11" s="335"/>
      <c r="C11" s="341" t="s">
        <v>280</v>
      </c>
      <c r="D11" s="336" t="s">
        <v>250</v>
      </c>
      <c r="E11" s="336" t="s">
        <v>281</v>
      </c>
      <c r="F11" s="336" t="s">
        <v>36</v>
      </c>
      <c r="G11" s="336" t="s">
        <v>36</v>
      </c>
      <c r="H11" s="337"/>
      <c r="I11" s="336"/>
      <c r="J11" s="335"/>
      <c r="K11" s="359">
        <v>39246.720948626382</v>
      </c>
      <c r="L11" s="359">
        <v>38967.433038808107</v>
      </c>
      <c r="M11" s="359">
        <v>38409.335479159221</v>
      </c>
      <c r="N11" s="359">
        <v>37676.866294458108</v>
      </c>
      <c r="O11" s="359">
        <v>36753.259905206876</v>
      </c>
      <c r="Q11"/>
      <c r="T11" s="335"/>
      <c r="U11" s="335"/>
      <c r="V11" s="335"/>
      <c r="W11" s="335"/>
    </row>
    <row r="12" spans="1:23" s="339" customFormat="1" ht="11.25" customHeight="1">
      <c r="A12" s="335"/>
      <c r="B12" s="335"/>
      <c r="C12" s="341" t="s">
        <v>282</v>
      </c>
      <c r="D12" s="336" t="s">
        <v>250</v>
      </c>
      <c r="E12" s="336" t="s">
        <v>31</v>
      </c>
      <c r="F12" s="336" t="s">
        <v>36</v>
      </c>
      <c r="G12" s="336" t="s">
        <v>36</v>
      </c>
      <c r="H12" s="337"/>
      <c r="I12" s="336"/>
      <c r="J12" s="335"/>
      <c r="K12" s="347">
        <v>4.9520000000000002E-2</v>
      </c>
      <c r="L12" s="347">
        <f>K12</f>
        <v>4.9520000000000002E-2</v>
      </c>
      <c r="M12" s="347">
        <f>L12</f>
        <v>4.9520000000000002E-2</v>
      </c>
      <c r="N12" s="347">
        <f>M12</f>
        <v>4.9520000000000002E-2</v>
      </c>
      <c r="O12" s="347">
        <f>N12</f>
        <v>4.9520000000000002E-2</v>
      </c>
      <c r="Q12"/>
      <c r="T12" s="335"/>
      <c r="U12" s="335"/>
      <c r="V12" s="335"/>
      <c r="W12" s="335"/>
    </row>
    <row r="13" spans="1:23" s="339" customFormat="1" ht="11.25" customHeight="1">
      <c r="A13" s="335"/>
      <c r="B13" s="335"/>
      <c r="C13" s="341" t="s">
        <v>283</v>
      </c>
      <c r="D13" s="336" t="s">
        <v>284</v>
      </c>
      <c r="E13" s="336" t="s">
        <v>285</v>
      </c>
      <c r="F13" s="336" t="s">
        <v>286</v>
      </c>
      <c r="G13" s="336" t="s">
        <v>287</v>
      </c>
      <c r="H13" s="337"/>
      <c r="I13" s="336"/>
      <c r="J13" s="335"/>
      <c r="K13" s="348">
        <v>12.090165853087321</v>
      </c>
      <c r="L13" s="348">
        <v>10.958834086681939</v>
      </c>
      <c r="M13" s="348">
        <v>9.6338819391185027</v>
      </c>
      <c r="N13" s="348">
        <v>9.0335556897255884</v>
      </c>
      <c r="O13" s="348">
        <v>8.9166592985698543</v>
      </c>
      <c r="Q13"/>
      <c r="T13" s="335"/>
      <c r="U13" s="335"/>
      <c r="V13" s="335"/>
      <c r="W13" s="335"/>
    </row>
    <row r="14" spans="1:23" s="339" customFormat="1" ht="11.25" customHeight="1">
      <c r="A14" s="335"/>
      <c r="B14" s="335"/>
      <c r="C14" s="341"/>
      <c r="D14" s="336"/>
      <c r="E14" s="336"/>
      <c r="F14" s="336"/>
      <c r="G14" s="336"/>
      <c r="H14" s="337"/>
      <c r="I14" s="336"/>
      <c r="J14" s="335"/>
      <c r="K14" s="335"/>
      <c r="L14" s="335"/>
      <c r="M14" s="335"/>
      <c r="N14" s="335"/>
      <c r="O14" s="335"/>
      <c r="Q14"/>
      <c r="T14" s="335"/>
      <c r="U14" s="335"/>
      <c r="V14" s="335"/>
      <c r="W14" s="335"/>
    </row>
    <row r="15" spans="1:23" s="339" customFormat="1" ht="11.25" customHeight="1">
      <c r="A15" s="335"/>
      <c r="B15" s="335"/>
      <c r="C15" s="342" t="s">
        <v>288</v>
      </c>
      <c r="D15" s="343" t="s">
        <v>30</v>
      </c>
      <c r="E15" s="343" t="s">
        <v>15</v>
      </c>
      <c r="F15" s="349" t="str">
        <f>F$13</f>
        <v>Real 2023</v>
      </c>
      <c r="G15" s="349" t="str">
        <f>G$13</f>
        <v>End-year</v>
      </c>
      <c r="H15" s="337"/>
      <c r="I15" s="336"/>
      <c r="J15" s="335"/>
      <c r="K15" s="350">
        <f>K11*K12*K13/10^3</f>
        <v>23.497208577516286</v>
      </c>
      <c r="L15" s="350">
        <f>L11*L12*L13/10^3</f>
        <v>21.146903608750346</v>
      </c>
      <c r="M15" s="350">
        <f>M11*M12*M13/10^3</f>
        <v>18.323935286694994</v>
      </c>
      <c r="N15" s="350">
        <f>N11*N12*N13/10^3</f>
        <v>16.854432580721657</v>
      </c>
      <c r="O15" s="350">
        <f>O11*O12*O13/10^3</f>
        <v>16.228511011916346</v>
      </c>
      <c r="Q15"/>
      <c r="T15" s="335"/>
      <c r="U15" s="335"/>
      <c r="V15" s="335"/>
      <c r="W15" s="335"/>
    </row>
    <row r="16" spans="1:23" s="339" customFormat="1" ht="11.25" customHeight="1">
      <c r="A16" s="335"/>
      <c r="B16" s="335"/>
      <c r="C16" s="341"/>
      <c r="D16" s="336"/>
      <c r="E16" s="336"/>
      <c r="F16" s="336"/>
      <c r="G16" s="337"/>
      <c r="H16" s="337"/>
      <c r="I16" s="336"/>
      <c r="J16" s="335"/>
      <c r="K16" s="344"/>
      <c r="L16" s="344"/>
      <c r="M16" s="344"/>
      <c r="N16" s="344"/>
      <c r="O16" s="344"/>
      <c r="Q16"/>
      <c r="T16" s="335"/>
      <c r="U16" s="335"/>
      <c r="V16" s="335"/>
      <c r="W16" s="335"/>
    </row>
    <row r="17" spans="1:23" s="339" customFormat="1" ht="11.25" customHeight="1">
      <c r="A17" s="335"/>
      <c r="B17" s="335"/>
      <c r="C17" s="340" t="s">
        <v>289</v>
      </c>
      <c r="D17" s="336"/>
      <c r="E17" s="336"/>
      <c r="F17" s="336"/>
      <c r="G17" s="337"/>
      <c r="H17" s="337"/>
      <c r="I17" s="336"/>
      <c r="J17" s="335"/>
      <c r="K17" s="335"/>
      <c r="L17" s="335"/>
      <c r="M17" s="335"/>
      <c r="N17" s="335"/>
      <c r="O17" s="335"/>
      <c r="Q17"/>
      <c r="T17" s="335"/>
      <c r="U17" s="335"/>
      <c r="V17" s="335"/>
      <c r="W17" s="335"/>
    </row>
    <row r="18" spans="1:23" s="339" customFormat="1" ht="11.25" customHeight="1">
      <c r="A18" s="335"/>
      <c r="B18" s="335"/>
      <c r="C18" s="351" t="str">
        <f t="shared" ref="C18:F19" si="0">C11</f>
        <v>Demand</v>
      </c>
      <c r="D18" s="352" t="str">
        <f t="shared" si="0"/>
        <v>JGN</v>
      </c>
      <c r="E18" s="352" t="str">
        <f t="shared" si="0"/>
        <v>TJ</v>
      </c>
      <c r="F18" s="352" t="str">
        <f t="shared" si="0"/>
        <v>n/a</v>
      </c>
      <c r="G18" s="352" t="str">
        <f>G11</f>
        <v>n/a</v>
      </c>
      <c r="H18" s="337"/>
      <c r="I18" s="336"/>
      <c r="J18" s="335"/>
      <c r="K18" s="359">
        <v>42276.659798029796</v>
      </c>
      <c r="L18" s="359">
        <v>42610.746370426794</v>
      </c>
      <c r="M18" s="359">
        <v>42086.555802484152</v>
      </c>
      <c r="N18" s="359">
        <v>40502.39126241859</v>
      </c>
      <c r="O18" s="359">
        <v>41173.366177082687</v>
      </c>
      <c r="Q18"/>
      <c r="T18" s="335"/>
      <c r="U18" s="335"/>
      <c r="V18" s="335"/>
      <c r="W18" s="335"/>
    </row>
    <row r="19" spans="1:23" s="339" customFormat="1" ht="11.25" customHeight="1">
      <c r="A19" s="335"/>
      <c r="B19" s="335"/>
      <c r="C19" s="351" t="str">
        <f t="shared" si="0"/>
        <v>UAG Rate</v>
      </c>
      <c r="D19" s="352" t="str">
        <f t="shared" si="0"/>
        <v>JGN</v>
      </c>
      <c r="E19" s="352" t="str">
        <f t="shared" si="0"/>
        <v>Per cent</v>
      </c>
      <c r="F19" s="352" t="str">
        <f t="shared" si="0"/>
        <v>n/a</v>
      </c>
      <c r="G19" s="352" t="str">
        <f>G12</f>
        <v>n/a</v>
      </c>
      <c r="H19" s="337"/>
      <c r="I19" s="336"/>
      <c r="J19" s="335"/>
      <c r="K19" s="347">
        <v>1.6469999999999999E-2</v>
      </c>
      <c r="L19" s="347">
        <f>K19</f>
        <v>1.6469999999999999E-2</v>
      </c>
      <c r="M19" s="347">
        <f>L19</f>
        <v>1.6469999999999999E-2</v>
      </c>
      <c r="N19" s="347">
        <f>M19</f>
        <v>1.6469999999999999E-2</v>
      </c>
      <c r="O19" s="347">
        <f>N19</f>
        <v>1.6469999999999999E-2</v>
      </c>
      <c r="Q19"/>
      <c r="T19" s="335"/>
      <c r="U19" s="335"/>
      <c r="V19" s="335"/>
      <c r="W19" s="335"/>
    </row>
    <row r="20" spans="1:23" s="339" customFormat="1" ht="11.25" customHeight="1">
      <c r="A20" s="335"/>
      <c r="B20" s="335"/>
      <c r="C20" s="351" t="str">
        <f>C13</f>
        <v>Wholesale Gas Price</v>
      </c>
      <c r="D20" s="352" t="str">
        <f>D13</f>
        <v>AEMO 2024 GSOO Sydney Industrial  Step Change</v>
      </c>
      <c r="E20" s="352" t="str">
        <f>E13</f>
        <v>$/GJ</v>
      </c>
      <c r="F20" s="336" t="s">
        <v>286</v>
      </c>
      <c r="G20" s="336" t="s">
        <v>287</v>
      </c>
      <c r="H20" s="337"/>
      <c r="I20" s="336"/>
      <c r="J20" s="335"/>
      <c r="K20" s="348">
        <f>K13</f>
        <v>12.090165853087321</v>
      </c>
      <c r="L20" s="348">
        <f>L13</f>
        <v>10.958834086681939</v>
      </c>
      <c r="M20" s="348">
        <f>M13</f>
        <v>9.6338819391185027</v>
      </c>
      <c r="N20" s="348">
        <f>N13</f>
        <v>9.0335556897255884</v>
      </c>
      <c r="O20" s="348">
        <f>O13</f>
        <v>8.9166592985698543</v>
      </c>
      <c r="Q20"/>
      <c r="T20" s="335"/>
      <c r="U20" s="335"/>
      <c r="V20" s="335"/>
      <c r="W20" s="335"/>
    </row>
    <row r="21" spans="1:23" s="339" customFormat="1" ht="11.25" customHeight="1">
      <c r="A21" s="335"/>
      <c r="B21" s="335"/>
      <c r="C21" s="341"/>
      <c r="D21" s="336"/>
      <c r="E21" s="336"/>
      <c r="F21" s="336"/>
      <c r="G21" s="336"/>
      <c r="H21" s="337"/>
      <c r="I21" s="336"/>
      <c r="J21" s="335"/>
      <c r="K21" s="335"/>
      <c r="L21" s="335"/>
      <c r="M21" s="335"/>
      <c r="N21" s="335"/>
      <c r="O21" s="335"/>
      <c r="Q21"/>
      <c r="T21" s="335"/>
      <c r="U21" s="335"/>
      <c r="V21" s="335"/>
      <c r="W21" s="335"/>
    </row>
    <row r="22" spans="1:23" s="339" customFormat="1" ht="11.25" customHeight="1">
      <c r="A22" s="335"/>
      <c r="B22" s="335"/>
      <c r="C22" s="342" t="s">
        <v>290</v>
      </c>
      <c r="D22" s="353" t="str">
        <f>D15</f>
        <v>Calculated</v>
      </c>
      <c r="E22" s="353" t="str">
        <f>E15</f>
        <v>$millions</v>
      </c>
      <c r="F22" s="349" t="str">
        <f>F$20</f>
        <v>Real 2023</v>
      </c>
      <c r="G22" s="349" t="str">
        <f>G$13</f>
        <v>End-year</v>
      </c>
      <c r="H22" s="337"/>
      <c r="I22" s="336"/>
      <c r="J22" s="335"/>
      <c r="K22" s="350">
        <f>K18*K19*K20/10^3</f>
        <v>8.4183412182398509</v>
      </c>
      <c r="L22" s="350">
        <f>L18*L19*L20/10^3</f>
        <v>7.6908987234291697</v>
      </c>
      <c r="M22" s="350">
        <f>M18*M19*M20/10^3</f>
        <v>6.6778753048219501</v>
      </c>
      <c r="N22" s="350">
        <f>N18*N19*N20/10^3</f>
        <v>6.0260535978847871</v>
      </c>
      <c r="O22" s="350">
        <f>O18*O19*O20/10^3</f>
        <v>6.0466126268577574</v>
      </c>
      <c r="Q22"/>
      <c r="T22" s="335"/>
      <c r="U22" s="335"/>
      <c r="V22" s="335"/>
      <c r="W22" s="335"/>
    </row>
    <row r="23" spans="1:23" s="339" customFormat="1" ht="11.25" customHeight="1">
      <c r="A23" s="335"/>
      <c r="B23" s="335"/>
      <c r="C23" s="341"/>
      <c r="D23" s="336"/>
      <c r="E23" s="336"/>
      <c r="F23" s="336"/>
      <c r="G23" s="337"/>
      <c r="H23" s="337"/>
      <c r="I23" s="336"/>
      <c r="J23" s="335"/>
      <c r="K23" s="335"/>
      <c r="L23" s="335"/>
      <c r="M23" s="335"/>
      <c r="N23" s="335"/>
      <c r="O23" s="335"/>
      <c r="Q23"/>
      <c r="T23" s="335"/>
      <c r="U23" s="335"/>
      <c r="V23" s="335"/>
      <c r="W23" s="335"/>
    </row>
    <row r="24" spans="1:23" s="339" customFormat="1" ht="11.25" customHeight="1">
      <c r="A24" s="335"/>
      <c r="B24" s="335"/>
      <c r="C24" s="345" t="s">
        <v>199</v>
      </c>
      <c r="D24" s="354" t="str">
        <f>D22</f>
        <v>Calculated</v>
      </c>
      <c r="E24" s="354" t="str">
        <f>E22</f>
        <v>$millions</v>
      </c>
      <c r="F24" s="355" t="str">
        <f>F$20</f>
        <v>Real 2023</v>
      </c>
      <c r="G24" s="336" t="s">
        <v>287</v>
      </c>
      <c r="H24" s="337"/>
      <c r="I24" s="336"/>
      <c r="J24" s="335"/>
      <c r="K24" s="356">
        <f>SUM(K15,K22)</f>
        <v>31.915549795756135</v>
      </c>
      <c r="L24" s="356">
        <f>SUM(L15,L22)</f>
        <v>28.837802332179514</v>
      </c>
      <c r="M24" s="356">
        <f>SUM(M15,M22)</f>
        <v>25.001810591516943</v>
      </c>
      <c r="N24" s="356">
        <f>SUM(N15,N22)</f>
        <v>22.880486178606443</v>
      </c>
      <c r="O24" s="356">
        <f>SUM(O15,O22)</f>
        <v>22.275123638774105</v>
      </c>
      <c r="Q24"/>
      <c r="T24" s="335"/>
      <c r="U24" s="335"/>
      <c r="V24" s="335"/>
      <c r="W24" s="335"/>
    </row>
    <row r="25" spans="1:23" s="339" customFormat="1" ht="11.25" customHeight="1"/>
    <row r="26" spans="1:23" s="328" customFormat="1" ht="11.25" customHeight="1">
      <c r="B26" s="329" t="s">
        <v>21</v>
      </c>
      <c r="D26" s="330"/>
      <c r="E26" s="331"/>
      <c r="F26" s="331"/>
      <c r="G26" s="331"/>
      <c r="H26" s="331"/>
      <c r="I26" s="331"/>
      <c r="J26" s="331"/>
      <c r="K26" s="331"/>
      <c r="L26" s="331"/>
    </row>
    <row r="28" spans="1:23" ht="11.25" customHeight="1">
      <c r="K28" s="310"/>
      <c r="L28" s="311"/>
      <c r="M28" s="311"/>
      <c r="N28" s="311"/>
      <c r="O28" s="311"/>
    </row>
    <row r="30" spans="1:23" ht="11.25" customHeight="1">
      <c r="G30" s="312"/>
      <c r="J30" s="313"/>
      <c r="K30" s="314"/>
      <c r="L30" s="314"/>
      <c r="M30" s="314"/>
      <c r="N30" s="314"/>
      <c r="O30" s="314"/>
      <c r="P30" s="314"/>
    </row>
    <row r="31" spans="1:23" ht="11.25" customHeight="1">
      <c r="J31" s="313"/>
      <c r="K31" s="313"/>
      <c r="L31" s="313"/>
      <c r="M31" s="313"/>
      <c r="N31" s="313"/>
      <c r="O31" s="313"/>
      <c r="P31" s="313"/>
    </row>
    <row r="32" spans="1:23" ht="11.25" customHeight="1">
      <c r="K32" s="309"/>
      <c r="L32" s="309"/>
      <c r="M32" s="309"/>
      <c r="N32" s="309"/>
      <c r="O32" s="309"/>
    </row>
    <row r="35" spans="11:15" ht="11.25" customHeight="1">
      <c r="K35" s="309"/>
      <c r="L35" s="309"/>
      <c r="M35" s="309"/>
      <c r="N35" s="309"/>
      <c r="O35" s="309"/>
    </row>
    <row r="36" spans="11:15" ht="11.25" customHeight="1">
      <c r="K36" s="309"/>
      <c r="L36" s="309"/>
      <c r="M36" s="309"/>
      <c r="N36" s="309"/>
      <c r="O36" s="309"/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7" customFormat="1" ht="16.5" thickBot="1">
      <c r="B1" s="209" t="str">
        <f>Index!$B$1</f>
        <v>AER opex model v2.3</v>
      </c>
      <c r="C1" s="25"/>
      <c r="D1" s="25"/>
      <c r="E1" s="25"/>
      <c r="F1" s="26"/>
      <c r="G1" s="26"/>
      <c r="H1" s="26"/>
      <c r="I1" s="26"/>
      <c r="J1" s="21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31"/>
      <c r="R1" s="28" t="s">
        <v>77</v>
      </c>
      <c r="S1" s="29" t="s">
        <v>36</v>
      </c>
      <c r="T1" s="29"/>
      <c r="V1" s="213" t="s">
        <v>24</v>
      </c>
      <c r="W1" s="212" t="str">
        <f>'Check|List'!$S$1</f>
        <v>Ok</v>
      </c>
    </row>
    <row r="2" spans="1:31" s="31" customFormat="1" ht="13.5" thickBot="1">
      <c r="B2" s="210" t="str">
        <f>Index!$C$13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0"/>
      <c r="E3" s="100"/>
      <c r="F3" s="100"/>
      <c r="G3" s="100"/>
      <c r="H3" s="100"/>
      <c r="I3" s="100"/>
      <c r="J3" s="97" t="s">
        <v>109</v>
      </c>
      <c r="K3" s="97"/>
      <c r="L3" s="97"/>
      <c r="M3" s="100"/>
      <c r="N3" s="363"/>
      <c r="O3" s="363"/>
      <c r="P3" s="363"/>
      <c r="Q3" s="363"/>
      <c r="R3" s="363"/>
      <c r="S3" s="363"/>
      <c r="T3" s="100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214">
        <f>DATE(PPFirstYear,MONTH('Input|General'!$G$9),1)</f>
        <v>44348</v>
      </c>
      <c r="K4" s="214">
        <f>DATE(PPFirstYear+1,MONTH('Input|General'!$G$9),1)</f>
        <v>44713</v>
      </c>
      <c r="L4" s="214">
        <f>DATE(PPFirstYear+2,MONTH('Input|General'!$G$9),1)</f>
        <v>45078</v>
      </c>
      <c r="M4" s="214">
        <f>DATE(PPFirstYear+3,MONTH('Input|General'!$G$9),1)</f>
        <v>45444</v>
      </c>
      <c r="N4" s="214">
        <f>DATE(PPFirstYear+4,MONTH('Input|General'!$G$9),1)</f>
        <v>45809</v>
      </c>
      <c r="O4" s="214">
        <f>DATE(PPFirstYear+5,MONTH('Input|General'!$G$9),1)</f>
        <v>46174</v>
      </c>
      <c r="P4" s="214">
        <f>DATE(PPFirstYear+6,MONTH('Input|General'!$G$9),1)</f>
        <v>46539</v>
      </c>
      <c r="Q4" s="214">
        <f>DATE(PPFirstYear+7,MONTH('Input|General'!$G$9),1)</f>
        <v>46905</v>
      </c>
      <c r="R4" s="214">
        <f>DATE(PPFirstYear+8,MONTH('Input|General'!$G$9),1)</f>
        <v>47270</v>
      </c>
      <c r="S4" s="214">
        <f>DATE(PPFirstYear+9,MONTH('Input|General'!$G$9),1)</f>
        <v>47635</v>
      </c>
      <c r="T4" s="214">
        <f>DATE(PPFirstYear+10,MONTH('Input|General'!$G$9),1)</f>
        <v>48000</v>
      </c>
      <c r="U4" s="59"/>
      <c r="V4" s="59"/>
      <c r="W4" s="60"/>
      <c r="X4" s="60"/>
    </row>
    <row r="5" spans="1:31" s="6" customFormat="1" ht="3.2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.2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81</v>
      </c>
      <c r="C8" s="32"/>
      <c r="D8" s="32"/>
      <c r="E8" s="285" t="s">
        <v>15</v>
      </c>
      <c r="F8" s="106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286">
        <f t="shared" ref="J10:S10" si="0">IF(YEAR(J$4)&lt;=PPLastYear,J$4,"")</f>
        <v>44348</v>
      </c>
      <c r="K10" s="286">
        <f t="shared" si="0"/>
        <v>44713</v>
      </c>
      <c r="L10" s="286">
        <f t="shared" si="0"/>
        <v>45078</v>
      </c>
      <c r="M10" s="286">
        <f t="shared" si="0"/>
        <v>45444</v>
      </c>
      <c r="N10" s="286">
        <f t="shared" si="0"/>
        <v>45809</v>
      </c>
      <c r="O10" s="286" t="str">
        <f t="shared" si="0"/>
        <v/>
      </c>
      <c r="P10" s="286" t="str">
        <f t="shared" si="0"/>
        <v/>
      </c>
      <c r="Q10" s="286" t="str">
        <f t="shared" si="0"/>
        <v/>
      </c>
      <c r="R10" s="286" t="str">
        <f t="shared" si="0"/>
        <v/>
      </c>
      <c r="S10" s="286" t="str">
        <f t="shared" si="0"/>
        <v/>
      </c>
      <c r="T10" s="96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287" t="str">
        <f>'Input|Reported opex'!E57</f>
        <v>$millions</v>
      </c>
      <c r="F12" s="288" t="str">
        <f>'Input|Reported opex'!F57</f>
        <v>nominal</v>
      </c>
      <c r="J12" s="208">
        <f>IF(YEAR(J$4)=BaseYear,'Input|Reported opex'!J47,0)</f>
        <v>0</v>
      </c>
      <c r="K12" s="208">
        <f>IF(YEAR(K$4)=BaseYear,'Input|Reported opex'!K47,0)</f>
        <v>0</v>
      </c>
      <c r="L12" s="208">
        <f>IF(YEAR(L$4)=BaseYear,'Input|Reported opex'!L47,0)</f>
        <v>0</v>
      </c>
      <c r="M12" s="208">
        <f>IF(YEAR(M$4)=BaseYear,'Input|Reported opex'!M47,0)</f>
        <v>238.47428197828827</v>
      </c>
      <c r="N12" s="208">
        <f>IF(YEAR(N$4)=BaseYear,'Input|Reported opex'!N47,0)</f>
        <v>0</v>
      </c>
      <c r="O12" s="208">
        <f>IF(YEAR(O$4)=BaseYear,'Input|Reported opex'!O47,0)</f>
        <v>0</v>
      </c>
      <c r="P12" s="208">
        <f>IF(YEAR(P$4)=BaseYear,'Input|Reported opex'!P47,0)</f>
        <v>0</v>
      </c>
      <c r="Q12" s="208">
        <f>IF(YEAR(Q$4)=BaseYear,'Input|Reported opex'!Q47,0)</f>
        <v>0</v>
      </c>
      <c r="R12" s="208">
        <f>IF(YEAR(R$4)=BaseYear,'Input|Reported opex'!R47,0)</f>
        <v>0</v>
      </c>
      <c r="S12" s="208">
        <f>IF(YEAR(S$4)=BaseYear,'Input|Reported opex'!S47,0)</f>
        <v>0</v>
      </c>
      <c r="T12" s="208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287" t="str">
        <f>$E$8</f>
        <v>$millions</v>
      </c>
      <c r="F13" s="288">
        <f>$F$8</f>
        <v>45809</v>
      </c>
      <c r="J13" s="208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208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208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208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249.05452956120806</v>
      </c>
      <c r="N13" s="208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208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208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208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208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208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208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194</v>
      </c>
      <c r="D14" s="65" t="s">
        <v>87</v>
      </c>
      <c r="E14" s="287" t="str">
        <f>'Input|Reported opex'!E15</f>
        <v>$millions</v>
      </c>
      <c r="F14" s="288">
        <f>'Input|Reported opex'!F15</f>
        <v>43983</v>
      </c>
      <c r="J14" s="208">
        <f>IF(YEAR(J$4)=BaseYear,'Input|Reported opex'!J15,0)</f>
        <v>0</v>
      </c>
      <c r="K14" s="208">
        <f>IF(YEAR(K$4)=BaseYear,'Input|Reported opex'!K15,0)</f>
        <v>0</v>
      </c>
      <c r="L14" s="208">
        <f>IF(YEAR(L$4)=BaseYear,'Input|Reported opex'!L15,0)</f>
        <v>0</v>
      </c>
      <c r="M14" s="208">
        <f>IF(YEAR(M$4)=BaseYear,'Input|Reported opex'!M15,0)</f>
        <v>222.59951234345303</v>
      </c>
      <c r="N14" s="208">
        <f>IF(YEAR(N$4)=BaseYear,'Input|Reported opex'!N15,0)</f>
        <v>0</v>
      </c>
      <c r="O14" s="208">
        <f>IF(YEAR(O$4)=BaseYear,'Input|Reported opex'!O15,0)</f>
        <v>0</v>
      </c>
      <c r="P14" s="208">
        <f>IF(YEAR(P$4)=BaseYear,'Input|Reported opex'!P15,0)</f>
        <v>0</v>
      </c>
      <c r="Q14" s="208">
        <f>IF(YEAR(Q$4)=BaseYear,'Input|Reported opex'!Q15,0)</f>
        <v>0</v>
      </c>
      <c r="R14" s="208">
        <f>IF(YEAR(R$4)=BaseYear,'Input|Reported opex'!R15,0)</f>
        <v>0</v>
      </c>
      <c r="S14" s="208">
        <f>IF(YEAR(S$4)=BaseYear,'Input|Reported opex'!S15,0)</f>
        <v>0</v>
      </c>
      <c r="T14" s="66"/>
    </row>
    <row r="15" spans="1:31" outlineLevel="1">
      <c r="C15" s="15" t="s">
        <v>194</v>
      </c>
      <c r="D15" s="16" t="s">
        <v>30</v>
      </c>
      <c r="E15" s="287" t="str">
        <f>$E$8</f>
        <v>$millions</v>
      </c>
      <c r="F15" s="288">
        <f>$F$8</f>
        <v>45809</v>
      </c>
      <c r="J15" s="208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208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208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208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276.82895647817361</v>
      </c>
      <c r="N15" s="208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208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208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208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208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208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208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195</v>
      </c>
      <c r="D16" s="65" t="s">
        <v>87</v>
      </c>
      <c r="E16" s="287" t="str">
        <f>'Input|Reported opex'!E15</f>
        <v>$millions</v>
      </c>
      <c r="F16" s="288">
        <f>'Input|Reported opex'!F15</f>
        <v>43983</v>
      </c>
      <c r="J16" s="208">
        <f>IF(YEAR(J$4)=PPLastYear,'Input|Reported opex'!J15,0)</f>
        <v>0</v>
      </c>
      <c r="K16" s="208">
        <f>IF(YEAR(K$4)=PPLastYear,'Input|Reported opex'!K15,0)</f>
        <v>0</v>
      </c>
      <c r="L16" s="208">
        <f>IF(YEAR(L$4)=PPLastYear,'Input|Reported opex'!L15,0)</f>
        <v>0</v>
      </c>
      <c r="M16" s="208">
        <f>IF(YEAR(M$4)=PPLastYear,'Input|Reported opex'!M15,0)</f>
        <v>0</v>
      </c>
      <c r="N16" s="208">
        <f>IF(YEAR(N$4)=PPLastYear,'Input|Reported opex'!N15,0)</f>
        <v>226.21971960316213</v>
      </c>
      <c r="O16" s="208">
        <f>IF(YEAR(O$4)=PPLastYear,'Input|Reported opex'!O15,0)</f>
        <v>0</v>
      </c>
      <c r="P16" s="208">
        <f>IF(YEAR(P$4)=PPLastYear,'Input|Reported opex'!P15,0)</f>
        <v>0</v>
      </c>
      <c r="Q16" s="208">
        <f>IF(YEAR(Q$4)=PPLastYear,'Input|Reported opex'!Q15,0)</f>
        <v>0</v>
      </c>
      <c r="R16" s="208">
        <f>IF(YEAR(R$4)=PPLastYear,'Input|Reported opex'!R15,0)</f>
        <v>0</v>
      </c>
      <c r="S16" s="208">
        <f>IF(YEAR(S$4)=PPLastYear,'Input|Reported opex'!S15,0)</f>
        <v>0</v>
      </c>
      <c r="T16" s="66"/>
    </row>
    <row r="17" spans="3:20" outlineLevel="1">
      <c r="C17" s="15" t="s">
        <v>195</v>
      </c>
      <c r="D17" s="16" t="s">
        <v>30</v>
      </c>
      <c r="E17" s="287" t="str">
        <f>$E$8</f>
        <v>$millions</v>
      </c>
      <c r="F17" s="288">
        <f>$F$8</f>
        <v>45809</v>
      </c>
      <c r="J17" s="208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208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208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208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208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281.33111457991151</v>
      </c>
      <c r="O17" s="208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208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208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208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208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208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287" t="str">
        <f>'Input|Reported opex'!E64</f>
        <v>$millions</v>
      </c>
      <c r="F19" s="288" t="str">
        <f>'Input|Reported opex'!F57</f>
        <v>nominal</v>
      </c>
      <c r="J19" s="208">
        <f>IF(YEAR(J$4)=BaseYear,'Input|Reported opex'!J57,0)</f>
        <v>0</v>
      </c>
      <c r="K19" s="208">
        <f>IF(YEAR(K$4)=BaseYear,'Input|Reported opex'!K57,0)</f>
        <v>0</v>
      </c>
      <c r="L19" s="208">
        <f>IF(YEAR(L$4)=BaseYear,'Input|Reported opex'!L57,0)</f>
        <v>0</v>
      </c>
      <c r="M19" s="208">
        <f>IF(YEAR(M$4)=BaseYear,'Input|Reported opex'!M57,0)</f>
        <v>74.920673909999991</v>
      </c>
      <c r="N19" s="208">
        <f>IF(YEAR(N$4)=BaseYear,'Input|Reported opex'!N57,0)</f>
        <v>0</v>
      </c>
      <c r="O19" s="208">
        <f>IF(YEAR(O$4)=BaseYear,'Input|Reported opex'!O57,0)</f>
        <v>0</v>
      </c>
      <c r="P19" s="208">
        <f>IF(YEAR(P$4)=BaseYear,'Input|Reported opex'!P57,0)</f>
        <v>0</v>
      </c>
      <c r="Q19" s="208">
        <f>IF(YEAR(Q$4)=BaseYear,'Input|Reported opex'!Q57,0)</f>
        <v>0</v>
      </c>
      <c r="R19" s="208">
        <f>IF(YEAR(R$4)=BaseYear,'Input|Reported opex'!R57,0)</f>
        <v>0</v>
      </c>
      <c r="S19" s="208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287" t="str">
        <f>$E$8</f>
        <v>$millions</v>
      </c>
      <c r="F20" s="288">
        <f>$F$8</f>
        <v>45809</v>
      </c>
      <c r="J20" s="208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208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208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208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78.244635187800029</v>
      </c>
      <c r="N20" s="208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208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208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208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208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208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208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196</v>
      </c>
      <c r="D21" s="65" t="s">
        <v>87</v>
      </c>
      <c r="E21" s="287" t="str">
        <f>'Input|Reported opex'!E22</f>
        <v>$millions</v>
      </c>
      <c r="F21" s="288">
        <f>'Input|Reported opex'!F29</f>
        <v>43983</v>
      </c>
      <c r="J21" s="208">
        <f>IF(YEAR(J$4)=BaseYear,'Input|Reported opex'!J29,0)</f>
        <v>0</v>
      </c>
      <c r="K21" s="208">
        <f>IF(YEAR(K$4)=BaseYear,'Input|Reported opex'!K29,0)</f>
        <v>0</v>
      </c>
      <c r="L21" s="208">
        <f>IF(YEAR(L$4)=BaseYear,'Input|Reported opex'!L29,0)</f>
        <v>0</v>
      </c>
      <c r="M21" s="208">
        <f>IF(YEAR(M$4)=BaseYear,'Input|Reported opex'!M29,0)</f>
        <v>35.936916369965012</v>
      </c>
      <c r="N21" s="208">
        <f>IF(YEAR(N$4)=BaseYear,'Input|Reported opex'!N29,0)</f>
        <v>0</v>
      </c>
      <c r="O21" s="208">
        <f>IF(YEAR(O$4)=BaseYear,'Input|Reported opex'!O29,0)</f>
        <v>0</v>
      </c>
      <c r="P21" s="208">
        <f>IF(YEAR(P$4)=BaseYear,'Input|Reported opex'!P29,0)</f>
        <v>0</v>
      </c>
      <c r="Q21" s="208">
        <f>IF(YEAR(Q$4)=BaseYear,'Input|Reported opex'!Q29,0)</f>
        <v>0</v>
      </c>
      <c r="R21" s="208">
        <f>IF(YEAR(R$4)=BaseYear,'Input|Reported opex'!R29,0)</f>
        <v>0</v>
      </c>
      <c r="S21" s="208">
        <f>IF(YEAR(S$4)=BaseYear,'Input|Reported opex'!S29,0)</f>
        <v>0</v>
      </c>
      <c r="T21" s="66"/>
    </row>
    <row r="22" spans="3:20" outlineLevel="1">
      <c r="C22" s="15" t="s">
        <v>196</v>
      </c>
      <c r="D22" s="16" t="s">
        <v>30</v>
      </c>
      <c r="E22" s="287" t="str">
        <f>$E$8</f>
        <v>$millions</v>
      </c>
      <c r="F22" s="288">
        <f>$F$8</f>
        <v>45809</v>
      </c>
      <c r="J22" s="208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208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208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208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44.691827726878692</v>
      </c>
      <c r="N22" s="208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208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208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208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208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208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208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197</v>
      </c>
      <c r="D23" s="65" t="s">
        <v>87</v>
      </c>
      <c r="E23" s="287" t="str">
        <f>'Input|Reported opex'!E22</f>
        <v>$millions</v>
      </c>
      <c r="F23" s="288">
        <f>'Input|Reported opex'!F29</f>
        <v>43983</v>
      </c>
      <c r="J23" s="208">
        <f>IF(YEAR(J$4)=PPLastYear,'Input|Reported opex'!J29,0)</f>
        <v>0</v>
      </c>
      <c r="K23" s="208">
        <f>IF(YEAR(K$4)=PPLastYear,'Input|Reported opex'!K29,0)</f>
        <v>0</v>
      </c>
      <c r="L23" s="208">
        <f>IF(YEAR(L$4)=PPLastYear,'Input|Reported opex'!L29,0)</f>
        <v>0</v>
      </c>
      <c r="M23" s="208">
        <f>IF(YEAR(M$4)=PPLastYear,'Input|Reported opex'!M29,0)</f>
        <v>0</v>
      </c>
      <c r="N23" s="208">
        <f>IF(YEAR(N$4)=PPLastYear,'Input|Reported opex'!N29,0)</f>
        <v>35.519783606302127</v>
      </c>
      <c r="O23" s="208">
        <f>IF(YEAR(O$4)=PPLastYear,'Input|Reported opex'!O29,0)</f>
        <v>0</v>
      </c>
      <c r="P23" s="208">
        <f>IF(YEAR(P$4)=PPLastYear,'Input|Reported opex'!P29,0)</f>
        <v>0</v>
      </c>
      <c r="Q23" s="208">
        <f>IF(YEAR(Q$4)=PPLastYear,'Input|Reported opex'!Q29,0)</f>
        <v>0</v>
      </c>
      <c r="R23" s="208">
        <f>IF(YEAR(R$4)=PPLastYear,'Input|Reported opex'!R29,0)</f>
        <v>0</v>
      </c>
      <c r="S23" s="208">
        <f>IF(YEAR(S$4)=PPLastYear,'Input|Reported opex'!S29,0)</f>
        <v>0</v>
      </c>
      <c r="T23" s="66"/>
    </row>
    <row r="24" spans="3:20" outlineLevel="1">
      <c r="C24" s="15" t="s">
        <v>197</v>
      </c>
      <c r="D24" s="16" t="s">
        <v>30</v>
      </c>
      <c r="E24" s="287" t="str">
        <f>$E$8</f>
        <v>$millions</v>
      </c>
      <c r="F24" s="288">
        <f>$F$8</f>
        <v>45809</v>
      </c>
      <c r="J24" s="208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208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208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208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208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44.173073546054226</v>
      </c>
      <c r="O24" s="208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208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208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208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208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208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126</v>
      </c>
      <c r="D26" s="69" t="s">
        <v>30</v>
      </c>
      <c r="E26" s="289" t="str">
        <f>$E$8</f>
        <v>$millions</v>
      </c>
      <c r="F26" s="288">
        <f>$F$8</f>
        <v>45809</v>
      </c>
      <c r="J26" s="290">
        <f ca="1">J13</f>
        <v>0</v>
      </c>
      <c r="K26" s="290">
        <f t="shared" ref="K26:S26" ca="1" si="1">K13</f>
        <v>0</v>
      </c>
      <c r="L26" s="290">
        <f t="shared" ca="1" si="1"/>
        <v>0</v>
      </c>
      <c r="M26" s="290">
        <f t="shared" ca="1" si="1"/>
        <v>249.05452956120806</v>
      </c>
      <c r="N26" s="290">
        <f t="shared" ca="1" si="1"/>
        <v>0</v>
      </c>
      <c r="O26" s="290">
        <f t="shared" ca="1" si="1"/>
        <v>0</v>
      </c>
      <c r="P26" s="290">
        <f t="shared" ca="1" si="1"/>
        <v>0</v>
      </c>
      <c r="Q26" s="290">
        <f t="shared" ca="1" si="1"/>
        <v>0</v>
      </c>
      <c r="R26" s="290">
        <f t="shared" ca="1" si="1"/>
        <v>0</v>
      </c>
      <c r="S26" s="290">
        <f t="shared" ca="1" si="1"/>
        <v>0</v>
      </c>
      <c r="T26" s="70"/>
    </row>
    <row r="27" spans="3:20" outlineLevel="1">
      <c r="C27" s="77"/>
      <c r="F27" s="9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146</v>
      </c>
      <c r="D28" s="65" t="s">
        <v>87</v>
      </c>
      <c r="E28" s="287" t="str">
        <f>'Input|Reported opex'!E69</f>
        <v>$millions</v>
      </c>
      <c r="F28" s="288">
        <f>'Input|Reported opex'!F69</f>
        <v>45809</v>
      </c>
      <c r="J28" s="290">
        <f>IF('Input|Reported opex'!J$61='Input|Reported opex'!J$10,'Input|Reported opex'!J69,0)</f>
        <v>0</v>
      </c>
      <c r="K28" s="290">
        <f>IF('Input|Reported opex'!K$61='Input|Reported opex'!K$10,'Input|Reported opex'!K69,0)</f>
        <v>0</v>
      </c>
      <c r="L28" s="290">
        <f>IF('Input|Reported opex'!L$61='Input|Reported opex'!L$10,'Input|Reported opex'!L69,0)</f>
        <v>0</v>
      </c>
      <c r="M28" s="290">
        <f>IF('Input|Reported opex'!M$61='Input|Reported opex'!M$10,'Input|Reported opex'!M69,0)</f>
        <v>0</v>
      </c>
      <c r="N28" s="290">
        <f>IF('Input|Reported opex'!N$61='Input|Reported opex'!N$10,'Input|Reported opex'!N69,0)</f>
        <v>0</v>
      </c>
      <c r="O28" s="290">
        <f>IF('Input|Reported opex'!O$61='Input|Reported opex'!O$10,'Input|Reported opex'!O69,0)</f>
        <v>0</v>
      </c>
      <c r="P28" s="290">
        <f>IF('Input|Reported opex'!P$61='Input|Reported opex'!P$10,'Input|Reported opex'!P69,0)</f>
        <v>0</v>
      </c>
      <c r="Q28" s="290">
        <f>IF('Input|Reported opex'!Q$61='Input|Reported opex'!Q$10,'Input|Reported opex'!Q69,0)</f>
        <v>0</v>
      </c>
      <c r="R28" s="290">
        <f>IF('Input|Reported opex'!R$61='Input|Reported opex'!R$10,'Input|Reported opex'!R69,0)</f>
        <v>0</v>
      </c>
      <c r="S28" s="290">
        <f>IF('Input|Reported opex'!S$61='Input|Reported opex'!S$10,'Input|Reported opex'!S69,0)</f>
        <v>0</v>
      </c>
      <c r="T28" s="70"/>
    </row>
    <row r="29" spans="3:20" outlineLevel="1">
      <c r="C29" s="291" t="str">
        <f>C28</f>
        <v>Add back non-recurrent efficiency gains in the base year</v>
      </c>
      <c r="D29" s="16" t="s">
        <v>30</v>
      </c>
      <c r="E29" s="287" t="str">
        <f>$E$8</f>
        <v>$millions</v>
      </c>
      <c r="F29" s="288">
        <f>$F$8</f>
        <v>45809</v>
      </c>
      <c r="J29" s="29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29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29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29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29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29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29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29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29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29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29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144</v>
      </c>
      <c r="D31" s="16" t="s">
        <v>30</v>
      </c>
      <c r="E31" s="287" t="str">
        <f>$E$8</f>
        <v>$millions</v>
      </c>
      <c r="F31" s="288">
        <f>$F$8</f>
        <v>45809</v>
      </c>
      <c r="J31" s="290">
        <f t="shared" ref="J31:S31" si="2">IF(YEAR(J$4)=PPLastYear,-SUM($J15:$S15)+SUM($J17:$S17),0)</f>
        <v>0</v>
      </c>
      <c r="K31" s="290">
        <f t="shared" si="2"/>
        <v>0</v>
      </c>
      <c r="L31" s="290">
        <f t="shared" si="2"/>
        <v>0</v>
      </c>
      <c r="M31" s="290">
        <f t="shared" si="2"/>
        <v>0</v>
      </c>
      <c r="N31" s="290">
        <f t="shared" si="2"/>
        <v>4.5021581017379049</v>
      </c>
      <c r="O31" s="290">
        <f t="shared" si="2"/>
        <v>0</v>
      </c>
      <c r="P31" s="290">
        <f t="shared" si="2"/>
        <v>0</v>
      </c>
      <c r="Q31" s="290">
        <f t="shared" si="2"/>
        <v>0</v>
      </c>
      <c r="R31" s="290">
        <f t="shared" si="2"/>
        <v>0</v>
      </c>
      <c r="S31" s="290">
        <f t="shared" si="2"/>
        <v>0</v>
      </c>
      <c r="T31" s="70"/>
    </row>
    <row r="32" spans="3:20" outlineLevel="1">
      <c r="C32" s="77"/>
      <c r="F32" s="9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99</v>
      </c>
      <c r="D33" s="16" t="s">
        <v>30</v>
      </c>
      <c r="E33" s="287" t="str">
        <f>$E$8</f>
        <v>$millions</v>
      </c>
      <c r="F33" s="288">
        <f>$F$8</f>
        <v>45809</v>
      </c>
      <c r="J33" s="290">
        <f t="shared" ref="J33:S33" si="3">IF(YEAR(J$4)=PPLastYear,SUM($J26:$S26,$J29:$S29,$J31:$S31),0)</f>
        <v>0</v>
      </c>
      <c r="K33" s="290">
        <f t="shared" si="3"/>
        <v>0</v>
      </c>
      <c r="L33" s="290">
        <f t="shared" si="3"/>
        <v>0</v>
      </c>
      <c r="M33" s="290">
        <f t="shared" si="3"/>
        <v>0</v>
      </c>
      <c r="N33" s="290">
        <f t="shared" ca="1" si="3"/>
        <v>253.55668766294596</v>
      </c>
      <c r="O33" s="290">
        <f t="shared" si="3"/>
        <v>0</v>
      </c>
      <c r="P33" s="290">
        <f t="shared" si="3"/>
        <v>0</v>
      </c>
      <c r="Q33" s="290">
        <f t="shared" si="3"/>
        <v>0</v>
      </c>
      <c r="R33" s="290">
        <f t="shared" si="3"/>
        <v>0</v>
      </c>
      <c r="S33" s="290">
        <f t="shared" si="3"/>
        <v>0</v>
      </c>
      <c r="T33" s="70"/>
    </row>
    <row r="34" spans="3:20" outlineLevel="1">
      <c r="C34" s="77"/>
      <c r="F34" s="9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149</v>
      </c>
      <c r="D35" s="16" t="s">
        <v>30</v>
      </c>
      <c r="E35" s="287" t="str">
        <f>$E$8</f>
        <v>$millions</v>
      </c>
      <c r="F35" s="288">
        <f>$F$8</f>
        <v>45809</v>
      </c>
      <c r="J35" s="290">
        <f t="shared" ref="J35:S35" si="4">IF(YEAR(J$4)=PPLastYear,-(SUM($J20:$S20)-SUM($J22:$S22)+SUM($J24:$S24)),0)</f>
        <v>0</v>
      </c>
      <c r="K35" s="290">
        <f t="shared" si="4"/>
        <v>0</v>
      </c>
      <c r="L35" s="290">
        <f t="shared" si="4"/>
        <v>0</v>
      </c>
      <c r="M35" s="290">
        <f t="shared" si="4"/>
        <v>0</v>
      </c>
      <c r="N35" s="290">
        <f t="shared" si="4"/>
        <v>-77.725881006975555</v>
      </c>
      <c r="O35" s="290">
        <f t="shared" si="4"/>
        <v>0</v>
      </c>
      <c r="P35" s="290">
        <f t="shared" si="4"/>
        <v>0</v>
      </c>
      <c r="Q35" s="290">
        <f t="shared" si="4"/>
        <v>0</v>
      </c>
      <c r="R35" s="290">
        <f t="shared" si="4"/>
        <v>0</v>
      </c>
      <c r="S35" s="290">
        <f t="shared" si="4"/>
        <v>0</v>
      </c>
      <c r="T35" s="70"/>
    </row>
    <row r="36" spans="3:20" outlineLevel="1">
      <c r="C36" s="77"/>
      <c r="F36" s="9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291" t="str">
        <f>'Input|Reported opex'!$C$63</f>
        <v>New IFRS treatment - SaaS implementation costs in base year</v>
      </c>
      <c r="D37" s="65" t="s">
        <v>87</v>
      </c>
      <c r="E37" s="287" t="str">
        <f>'Input|Reported opex'!E63</f>
        <v>$millions</v>
      </c>
      <c r="F37" s="288">
        <f>'Input|Reported opex'!F63</f>
        <v>45809</v>
      </c>
      <c r="J37" s="208">
        <f>IF(YEAR(J$4)=PPLastYear,'Input|Reported opex'!J63,0)</f>
        <v>0</v>
      </c>
      <c r="K37" s="208">
        <f>IF(YEAR(K$4)=PPLastYear,'Input|Reported opex'!K63,0)</f>
        <v>0</v>
      </c>
      <c r="L37" s="208">
        <f>IF(YEAR(L$4)=PPLastYear,'Input|Reported opex'!L63,0)</f>
        <v>0</v>
      </c>
      <c r="M37" s="208">
        <f>IF(YEAR(M$4)=PPLastYear,'Input|Reported opex'!M63,0)</f>
        <v>0</v>
      </c>
      <c r="N37" s="208">
        <f>IF(YEAR(N$4)=PPLastYear,'Input|Reported opex'!N63,0)</f>
        <v>2.1065386500057262</v>
      </c>
      <c r="O37" s="208">
        <f>IF(YEAR(O$4)=PPLastYear,'Input|Reported opex'!O63,0)</f>
        <v>0</v>
      </c>
      <c r="P37" s="208">
        <f>IF(YEAR(P$4)=PPLastYear,'Input|Reported opex'!P63,0)</f>
        <v>0</v>
      </c>
      <c r="Q37" s="208">
        <f>IF(YEAR(Q$4)=PPLastYear,'Input|Reported opex'!Q63,0)</f>
        <v>0</v>
      </c>
      <c r="R37" s="208">
        <f>IF(YEAR(R$4)=PPLastYear,'Input|Reported opex'!R63,0)</f>
        <v>0</v>
      </c>
      <c r="S37" s="208">
        <f>IF(YEAR(S$4)=PPLastYear,'Input|Reported opex'!S63,0)</f>
        <v>0</v>
      </c>
      <c r="T37" s="66"/>
    </row>
    <row r="38" spans="3:20" outlineLevel="1">
      <c r="C38" s="291" t="str">
        <f>C37</f>
        <v>New IFRS treatment - SaaS implementation costs in base year</v>
      </c>
      <c r="D38" s="16" t="s">
        <v>30</v>
      </c>
      <c r="E38" s="287" t="str">
        <f>$E$8</f>
        <v>$millions</v>
      </c>
      <c r="F38" s="288">
        <f>$F$8</f>
        <v>45809</v>
      </c>
      <c r="J38" s="29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29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29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29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29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2.1065386500057262</v>
      </c>
      <c r="O38" s="29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29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29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29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29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29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5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291" t="str">
        <f>'Input|Reported opex'!$C$64</f>
        <v>Incremental ICT project opex</v>
      </c>
      <c r="D40" s="65" t="s">
        <v>87</v>
      </c>
      <c r="E40" s="287" t="str">
        <f>'Input|Reported opex'!$E$64</f>
        <v>$millions</v>
      </c>
      <c r="F40" s="288">
        <f>'Input|Reported opex'!$F$64</f>
        <v>45809</v>
      </c>
      <c r="J40" s="208">
        <f>IF(YEAR(J$4)=PPLastYear,'Input|Reported opex'!J64,0)</f>
        <v>0</v>
      </c>
      <c r="K40" s="208">
        <f>IF(YEAR(K$4)=PPLastYear,'Input|Reported opex'!K64,0)</f>
        <v>0</v>
      </c>
      <c r="L40" s="208">
        <f>IF(YEAR(L$4)=PPLastYear,'Input|Reported opex'!L64,0)</f>
        <v>0</v>
      </c>
      <c r="M40" s="208">
        <f>IF(YEAR(M$4)=PPLastYear,'Input|Reported opex'!M64,0)</f>
        <v>0</v>
      </c>
      <c r="N40" s="208">
        <f>IF(YEAR(N$4)=PPLastYear,'Input|Reported opex'!N64,0)</f>
        <v>2.1376270283910754</v>
      </c>
      <c r="O40" s="208">
        <f>IF(YEAR(O$4)=PPLastYear,'Input|Reported opex'!O64,0)</f>
        <v>0</v>
      </c>
      <c r="P40" s="208">
        <f>IF(YEAR(P$4)=PPLastYear,'Input|Reported opex'!P64,0)</f>
        <v>0</v>
      </c>
      <c r="Q40" s="208">
        <f>IF(YEAR(Q$4)=PPLastYear,'Input|Reported opex'!Q64,0)</f>
        <v>0</v>
      </c>
      <c r="R40" s="208">
        <f>IF(YEAR(R$4)=PPLastYear,'Input|Reported opex'!R64,0)</f>
        <v>0</v>
      </c>
      <c r="S40" s="208">
        <f>IF(YEAR(S$4)=PPLastYear,'Input|Reported opex'!S64,0)</f>
        <v>0</v>
      </c>
      <c r="T40" s="66"/>
    </row>
    <row r="41" spans="3:20" outlineLevel="1">
      <c r="C41" s="291" t="str">
        <f>C40</f>
        <v>Incremental ICT project opex</v>
      </c>
      <c r="D41" s="16" t="s">
        <v>30</v>
      </c>
      <c r="E41" s="287" t="str">
        <f>$E$8</f>
        <v>$millions</v>
      </c>
      <c r="F41" s="288">
        <f>$F$8</f>
        <v>45809</v>
      </c>
      <c r="J41" s="29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29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29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29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29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2.1376270283910754</v>
      </c>
      <c r="O41" s="29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29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29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29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29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29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5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291">
        <f>'Input|Reported opex'!$C$65</f>
        <v>0</v>
      </c>
      <c r="D43" s="65" t="s">
        <v>87</v>
      </c>
      <c r="E43" s="287" t="str">
        <f>'Input|Reported opex'!$E$65</f>
        <v>$millions</v>
      </c>
      <c r="F43" s="288">
        <f>'Input|Reported opex'!$F$65</f>
        <v>45809</v>
      </c>
      <c r="J43" s="208">
        <f>IF(YEAR(J$4)=PPLastYear,'Input|Reported opex'!J65,0)</f>
        <v>0</v>
      </c>
      <c r="K43" s="208">
        <f>IF(YEAR(K$4)=PPLastYear,'Input|Reported opex'!K65,0)</f>
        <v>0</v>
      </c>
      <c r="L43" s="208">
        <f>IF(YEAR(L$4)=PPLastYear,'Input|Reported opex'!L65,0)</f>
        <v>0</v>
      </c>
      <c r="M43" s="208">
        <f>IF(YEAR(M$4)=PPLastYear,'Input|Reported opex'!M65,0)</f>
        <v>0</v>
      </c>
      <c r="N43" s="208">
        <f>IF(YEAR(N$4)=PPLastYear,'Input|Reported opex'!N65,0)</f>
        <v>0</v>
      </c>
      <c r="O43" s="208">
        <f>IF(YEAR(O$4)=PPLastYear,'Input|Reported opex'!O65,0)</f>
        <v>0</v>
      </c>
      <c r="P43" s="208">
        <f>IF(YEAR(P$4)=PPLastYear,'Input|Reported opex'!P65,0)</f>
        <v>0</v>
      </c>
      <c r="Q43" s="208">
        <f>IF(YEAR(Q$4)=PPLastYear,'Input|Reported opex'!Q65,0)</f>
        <v>0</v>
      </c>
      <c r="R43" s="208">
        <f>IF(YEAR(R$4)=PPLastYear,'Input|Reported opex'!R65,0)</f>
        <v>0</v>
      </c>
      <c r="S43" s="208">
        <f>IF(YEAR(S$4)=PPLastYear,'Input|Reported opex'!S65,0)</f>
        <v>0</v>
      </c>
      <c r="T43" s="66"/>
    </row>
    <row r="44" spans="3:20" outlineLevel="1">
      <c r="C44" s="291">
        <f>C43</f>
        <v>0</v>
      </c>
      <c r="D44" s="16" t="s">
        <v>30</v>
      </c>
      <c r="E44" s="287" t="str">
        <f>$E$8</f>
        <v>$millions</v>
      </c>
      <c r="F44" s="288">
        <f>$F$8</f>
        <v>45809</v>
      </c>
      <c r="J44" s="29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29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29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29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29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29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29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29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29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29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29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5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291">
        <f>'Input|Reported opex'!$C$66</f>
        <v>0</v>
      </c>
      <c r="D46" s="65" t="s">
        <v>87</v>
      </c>
      <c r="E46" s="287" t="str">
        <f>'Input|Reported opex'!$E$66</f>
        <v>$millions</v>
      </c>
      <c r="F46" s="288">
        <f>'Input|Reported opex'!$F$66</f>
        <v>45809</v>
      </c>
      <c r="J46" s="208">
        <f>IF(YEAR(J$4)=PPLastYear,'Input|Reported opex'!J66,0)</f>
        <v>0</v>
      </c>
      <c r="K46" s="208">
        <f>IF(YEAR(K$4)=PPLastYear,'Input|Reported opex'!K66,0)</f>
        <v>0</v>
      </c>
      <c r="L46" s="208">
        <f>IF(YEAR(L$4)=PPLastYear,'Input|Reported opex'!L66,0)</f>
        <v>0</v>
      </c>
      <c r="M46" s="208">
        <f>IF(YEAR(M$4)=PPLastYear,'Input|Reported opex'!M66,0)</f>
        <v>0</v>
      </c>
      <c r="N46" s="208">
        <f>IF(YEAR(N$4)=PPLastYear,'Input|Reported opex'!N66,0)</f>
        <v>0</v>
      </c>
      <c r="O46" s="208">
        <f>IF(YEAR(O$4)=PPLastYear,'Input|Reported opex'!O66,0)</f>
        <v>0</v>
      </c>
      <c r="P46" s="208">
        <f>IF(YEAR(P$4)=PPLastYear,'Input|Reported opex'!P66,0)</f>
        <v>0</v>
      </c>
      <c r="Q46" s="208">
        <f>IF(YEAR(Q$4)=PPLastYear,'Input|Reported opex'!Q66,0)</f>
        <v>0</v>
      </c>
      <c r="R46" s="208">
        <f>IF(YEAR(R$4)=PPLastYear,'Input|Reported opex'!R66,0)</f>
        <v>0</v>
      </c>
      <c r="S46" s="208">
        <f>IF(YEAR(S$4)=PPLastYear,'Input|Reported opex'!S66,0)</f>
        <v>0</v>
      </c>
      <c r="T46" s="66"/>
    </row>
    <row r="47" spans="3:20" outlineLevel="1">
      <c r="C47" s="291">
        <f>C46</f>
        <v>0</v>
      </c>
      <c r="D47" s="16" t="s">
        <v>30</v>
      </c>
      <c r="E47" s="287" t="str">
        <f>$E$8</f>
        <v>$millions</v>
      </c>
      <c r="F47" s="288">
        <f>$F$8</f>
        <v>45809</v>
      </c>
      <c r="J47" s="29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29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29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29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29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29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29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29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29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29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29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5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291">
        <f>'Input|Reported opex'!$C$67</f>
        <v>0</v>
      </c>
      <c r="D49" s="65" t="s">
        <v>87</v>
      </c>
      <c r="E49" s="287" t="str">
        <f>'Input|Reported opex'!$E$67</f>
        <v>$millions</v>
      </c>
      <c r="F49" s="288">
        <f>'Input|Reported opex'!$F$67</f>
        <v>45809</v>
      </c>
      <c r="J49" s="208">
        <f>IF(YEAR(J$4)=PPLastYear,'Input|Reported opex'!J67,0)</f>
        <v>0</v>
      </c>
      <c r="K49" s="208">
        <f>IF(YEAR(K$4)=PPLastYear,'Input|Reported opex'!K67,0)</f>
        <v>0</v>
      </c>
      <c r="L49" s="208">
        <f>IF(YEAR(L$4)=PPLastYear,'Input|Reported opex'!L67,0)</f>
        <v>0</v>
      </c>
      <c r="M49" s="208">
        <f>IF(YEAR(M$4)=PPLastYear,'Input|Reported opex'!M67,0)</f>
        <v>0</v>
      </c>
      <c r="N49" s="208">
        <f>IF(YEAR(N$4)=PPLastYear,'Input|Reported opex'!N67,0)</f>
        <v>0</v>
      </c>
      <c r="O49" s="208">
        <f>IF(YEAR(O$4)=PPLastYear,'Input|Reported opex'!O67,0)</f>
        <v>0</v>
      </c>
      <c r="P49" s="208">
        <f>IF(YEAR(P$4)=PPLastYear,'Input|Reported opex'!P67,0)</f>
        <v>0</v>
      </c>
      <c r="Q49" s="208">
        <f>IF(YEAR(Q$4)=PPLastYear,'Input|Reported opex'!Q67,0)</f>
        <v>0</v>
      </c>
      <c r="R49" s="208">
        <f>IF(YEAR(R$4)=PPLastYear,'Input|Reported opex'!R67,0)</f>
        <v>0</v>
      </c>
      <c r="S49" s="208">
        <f>IF(YEAR(S$4)=PPLastYear,'Input|Reported opex'!S67,0)</f>
        <v>0</v>
      </c>
      <c r="T49" s="66"/>
    </row>
    <row r="50" spans="1:31" outlineLevel="1">
      <c r="C50" s="291">
        <f>C49</f>
        <v>0</v>
      </c>
      <c r="D50" s="16" t="s">
        <v>30</v>
      </c>
      <c r="E50" s="287" t="str">
        <f>$E$8</f>
        <v>$millions</v>
      </c>
      <c r="F50" s="288">
        <f>$F$8</f>
        <v>45809</v>
      </c>
      <c r="J50" s="29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29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29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29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29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29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29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29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29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29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29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5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84</v>
      </c>
      <c r="D52" s="16" t="s">
        <v>93</v>
      </c>
      <c r="E52" s="287" t="str">
        <f>$E$8</f>
        <v>$millions</v>
      </c>
      <c r="F52" s="288">
        <f>$F$8</f>
        <v>45809</v>
      </c>
      <c r="J52" s="290">
        <f>SUM(J33,J38,J41,J44,J47,J50)*'Input|Reported opex'!J71</f>
        <v>0</v>
      </c>
      <c r="K52" s="290">
        <f>SUM(K33,K38,K41,K44,K47,K50)*'Input|Reported opex'!K71</f>
        <v>0</v>
      </c>
      <c r="L52" s="290">
        <f>SUM(L33,L38,L41,L44,L47,L50)*'Input|Reported opex'!L71</f>
        <v>0</v>
      </c>
      <c r="M52" s="290">
        <f>SUM(M33,M38,M41,M44,M47,M50)*'Input|Reported opex'!M71</f>
        <v>0</v>
      </c>
      <c r="N52" s="290">
        <f ca="1">SUM(N33,N38,N41,N44,N47,N50)*'Input|Reported opex'!N71</f>
        <v>0</v>
      </c>
      <c r="O52" s="290">
        <f>SUM(O33,O38,O41,O44,O47,O50)*'Input|Reported opex'!O71</f>
        <v>0</v>
      </c>
      <c r="P52" s="290">
        <f>SUM(P33,P38,P41,P44,P47,P50)*'Input|Reported opex'!P71</f>
        <v>0</v>
      </c>
      <c r="Q52" s="290">
        <f>SUM(Q33,Q38,Q41,Q44,Q47,Q50)*'Input|Reported opex'!Q71</f>
        <v>0</v>
      </c>
      <c r="R52" s="290">
        <f>SUM(R33,R38,R41,R44,R47,R50)*'Input|Reported opex'!R71</f>
        <v>0</v>
      </c>
      <c r="S52" s="290">
        <f>SUM(S33,S38,S41,S44,S47,S50)*'Input|Reported opex'!S71</f>
        <v>0</v>
      </c>
      <c r="T52" s="70"/>
    </row>
    <row r="53" spans="1:31" outlineLevel="1">
      <c r="C53" s="77"/>
      <c r="F53" s="95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98" t="s">
        <v>150</v>
      </c>
      <c r="D54" s="67" t="s">
        <v>93</v>
      </c>
      <c r="E54" s="292" t="str">
        <f>$E$8</f>
        <v>$millions</v>
      </c>
      <c r="F54" s="293">
        <f>$F$8</f>
        <v>45809</v>
      </c>
      <c r="J54" s="290">
        <f>SUM(J33,J35,J38,J41,J44,J47,J50,J52)</f>
        <v>0</v>
      </c>
      <c r="K54" s="290">
        <f t="shared" ref="K54:S54" si="5">SUM(K33,K35,K38,K41,K44,K47,K50,K52)</f>
        <v>0</v>
      </c>
      <c r="L54" s="290">
        <f t="shared" si="5"/>
        <v>0</v>
      </c>
      <c r="M54" s="290">
        <f t="shared" si="5"/>
        <v>0</v>
      </c>
      <c r="N54" s="290">
        <f t="shared" ca="1" si="5"/>
        <v>180.0749723343672</v>
      </c>
      <c r="O54" s="290">
        <f t="shared" si="5"/>
        <v>0</v>
      </c>
      <c r="P54" s="290">
        <f t="shared" si="5"/>
        <v>0</v>
      </c>
      <c r="Q54" s="290">
        <f t="shared" si="5"/>
        <v>0</v>
      </c>
      <c r="R54" s="290">
        <f t="shared" si="5"/>
        <v>0</v>
      </c>
      <c r="S54" s="29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286" t="str">
        <f>IF(YEAR(J$4)&gt;='Input|General'!$G$13,IF(YEAR(J$4)&lt;='Input|General'!$G$14,J$4,""),"")</f>
        <v/>
      </c>
      <c r="K58" s="286" t="str">
        <f>IF(YEAR(K$4)&gt;='Input|General'!$G$13,IF(YEAR(K$4)&lt;='Input|General'!$G$14,K$4,""),"")</f>
        <v/>
      </c>
      <c r="L58" s="286" t="str">
        <f>IF(YEAR(L$4)&gt;='Input|General'!$G$13,IF(YEAR(L$4)&lt;='Input|General'!$G$14,L$4,""),"")</f>
        <v/>
      </c>
      <c r="M58" s="286" t="str">
        <f>IF(YEAR(M$4)&gt;='Input|General'!$G$13,IF(YEAR(M$4)&lt;='Input|General'!$G$14,M$4,""),"")</f>
        <v/>
      </c>
      <c r="N58" s="286" t="str">
        <f>IF(YEAR(N$4)&gt;='Input|General'!$G$13,IF(YEAR(N$4)&lt;='Input|General'!$G$14,N$4,""),"")</f>
        <v/>
      </c>
      <c r="O58" s="286">
        <f>IF(YEAR(O$4)&gt;='Input|General'!$G$13,IF(YEAR(O$4)&lt;='Input|General'!$G$14,O$4,""),"")</f>
        <v>46174</v>
      </c>
      <c r="P58" s="286">
        <f>IF(YEAR(P$4)&gt;='Input|General'!$G$13,IF(YEAR(P$4)&lt;='Input|General'!$G$14,P$4,""),"")</f>
        <v>46539</v>
      </c>
      <c r="Q58" s="286">
        <f>IF(YEAR(Q$4)&gt;='Input|General'!$G$13,IF(YEAR(Q$4)&lt;='Input|General'!$G$14,Q$4,""),"")</f>
        <v>46905</v>
      </c>
      <c r="R58" s="286">
        <f>IF(YEAR(R$4)&gt;='Input|General'!$G$13,IF(YEAR(R$4)&lt;='Input|General'!$G$14,R$4,""),"")</f>
        <v>47270</v>
      </c>
      <c r="S58" s="286">
        <f>IF(YEAR(S$4)&gt;='Input|General'!$G$13,IF(YEAR(S$4)&lt;='Input|General'!$G$14,S$4,""),"")</f>
        <v>47635</v>
      </c>
      <c r="T58" s="286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160</v>
      </c>
      <c r="D61" s="16" t="s">
        <v>30</v>
      </c>
      <c r="E61" s="16" t="s">
        <v>31</v>
      </c>
      <c r="F61" s="16" t="s">
        <v>36</v>
      </c>
      <c r="J61" s="281">
        <f ca="1">IF(J58=J4,AVERAGE(OFFSET('Input|Rate of change'!K106,0,0,COUNTA('Input|Rate of change'!$J$95:$M$95),1)),0)</f>
        <v>0</v>
      </c>
      <c r="K61" s="281">
        <f ca="1">IF(K58=K4,AVERAGE(OFFSET('Input|Rate of change'!L106,0,0,COUNTA('Input|Rate of change'!$J$95:$M$95),1)),0)</f>
        <v>0</v>
      </c>
      <c r="L61" s="281">
        <f ca="1">IF(L58=L4,AVERAGE(OFFSET('Input|Rate of change'!M106,0,0,COUNTA('Input|Rate of change'!$J$95:$M$95),1)),0)</f>
        <v>0</v>
      </c>
      <c r="M61" s="281">
        <f ca="1">IF(M58=M4,AVERAGE(OFFSET('Input|Rate of change'!N106,0,0,COUNTA('Input|Rate of change'!$J$95:$M$95),1)),0)</f>
        <v>0</v>
      </c>
      <c r="N61" s="281">
        <f ca="1">IF(N58=N4,AVERAGE(OFFSET('Input|Rate of change'!O106,0,0,COUNTA('Input|Rate of change'!$J$95:$M$95),1)),0)</f>
        <v>0</v>
      </c>
      <c r="O61" s="281">
        <f ca="1">IF(O58=O4,AVERAGE(OFFSET('Input|Rate of change'!P106,0,0,COUNTA('Input|Rate of change'!$J$95:$M$95),1)),0)</f>
        <v>7.0533048010396537E-3</v>
      </c>
      <c r="P61" s="281">
        <f ca="1">IF(P58=P4,AVERAGE(OFFSET('Input|Rate of change'!Q106,0,0,COUNTA('Input|Rate of change'!$J$95:$M$95),1)),0)</f>
        <v>5.9701846161883156E-3</v>
      </c>
      <c r="Q61" s="281">
        <f ca="1">IF(Q58=Q4,AVERAGE(OFFSET('Input|Rate of change'!R106,0,0,COUNTA('Input|Rate of change'!$J$95:$M$95),1)),0)</f>
        <v>5.0886901726466208E-3</v>
      </c>
      <c r="R61" s="281">
        <f ca="1">IF(R58=R4,AVERAGE(OFFSET('Input|Rate of change'!S106,0,0,COUNTA('Input|Rate of change'!$J$95:$M$95),1)),0)</f>
        <v>4.4336810624407853E-3</v>
      </c>
      <c r="S61" s="281">
        <f ca="1">IF(S58=S4,AVERAGE(OFFSET('Input|Rate of change'!T106,0,0,COUNTA('Input|Rate of change'!$J$95:$M$95),1)),0)</f>
        <v>2.5498757560291447E-3</v>
      </c>
      <c r="T61" s="281">
        <f ca="1">IF(T58=T4,AVERAGE(OFFSET('Input|Rate of change'!U106,0,0,COUNTA('Input|Rate of change'!$J$95:$M$95),1)),0)</f>
        <v>0</v>
      </c>
    </row>
    <row r="62" spans="1:31" outlineLevel="1">
      <c r="C62" s="15" t="s">
        <v>163</v>
      </c>
      <c r="D62" s="16" t="s">
        <v>30</v>
      </c>
      <c r="E62" s="16" t="s">
        <v>31</v>
      </c>
      <c r="F62" s="16" t="s">
        <v>36</v>
      </c>
      <c r="J62" s="281">
        <f t="array" ref="J62">IF(J$58=J$4,PRODUCT(1+$J61:J61)-1,0)</f>
        <v>0</v>
      </c>
      <c r="K62" s="281">
        <f t="array" ref="K62">IF(K$58=K$4,PRODUCT(1+$J61:K61)-1,0)</f>
        <v>0</v>
      </c>
      <c r="L62" s="281">
        <f t="array" ref="L62">IF(L$58=L$4,PRODUCT(1+$J61:L61)-1,0)</f>
        <v>0</v>
      </c>
      <c r="M62" s="281">
        <f t="array" ref="M62">IF(M$58=M$4,PRODUCT(1+$J61:M61)-1,0)</f>
        <v>0</v>
      </c>
      <c r="N62" s="281">
        <f t="array" ref="N62">IF(N$58=N$4,PRODUCT(1+$J61:N61)-1,0)</f>
        <v>0</v>
      </c>
      <c r="O62" s="281">
        <f t="array" aca="1" ref="O62" ca="1">IF(O$58=O$4,PRODUCT(1+$J61:O61)-1,0)</f>
        <v>7.053304801039717E-3</v>
      </c>
      <c r="P62" s="281">
        <f t="array" aca="1" ref="P62" ca="1">IF(P$58=P$4,PRODUCT(1+$J61:P61)-1,0)</f>
        <v>1.3065598949044466E-2</v>
      </c>
      <c r="Q62" s="281">
        <f t="array" aca="1" ref="Q62" ca="1">IF(Q$58=Q$4,PRODUCT(1+$J61:Q61)-1,0)</f>
        <v>1.8220775906662823E-2</v>
      </c>
      <c r="R62" s="281">
        <f t="array" aca="1" ref="R62" ca="1">IF(R$58=R$4,PRODUCT(1+$J61:R61)-1,0)</f>
        <v>2.2735242078183893E-2</v>
      </c>
      <c r="S62" s="281">
        <f t="array" aca="1" ref="S62" ca="1">IF(S$58=S$4,PRODUCT(1+$J61:S61)-1,0)</f>
        <v>2.5343089876795677E-2</v>
      </c>
      <c r="T62" s="281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161</v>
      </c>
      <c r="D64" s="16" t="s">
        <v>30</v>
      </c>
      <c r="E64" s="16" t="s">
        <v>31</v>
      </c>
      <c r="F64" s="16" t="s">
        <v>36</v>
      </c>
      <c r="J64" s="281">
        <f>SUMPRODUCT('Input|Rate of change'!K38:K45,'Input|Rate of change'!K51:K58)</f>
        <v>0</v>
      </c>
      <c r="K64" s="281">
        <f>SUMPRODUCT('Input|Rate of change'!L38:L45,'Input|Rate of change'!L51:L58)</f>
        <v>0</v>
      </c>
      <c r="L64" s="281">
        <f>SUMPRODUCT('Input|Rate of change'!M38:M45,'Input|Rate of change'!M51:M58)</f>
        <v>0</v>
      </c>
      <c r="M64" s="281">
        <f>SUMPRODUCT('Input|Rate of change'!N38:N45,'Input|Rate of change'!N51:N58)</f>
        <v>0</v>
      </c>
      <c r="N64" s="281">
        <f>SUMPRODUCT('Input|Rate of change'!O38:O45,'Input|Rate of change'!O51:O58)</f>
        <v>0</v>
      </c>
      <c r="O64" s="281">
        <f>SUMPRODUCT('Input|Rate of change'!P38:P45,'Input|Rate of change'!P51:P58)</f>
        <v>7.6798450150301813E-3</v>
      </c>
      <c r="P64" s="281">
        <f>SUMPRODUCT('Input|Rate of change'!Q38:Q45,'Input|Rate of change'!Q51:Q58)</f>
        <v>5.6300203117522936E-3</v>
      </c>
      <c r="Q64" s="281">
        <f>SUMPRODUCT('Input|Rate of change'!R38:R45,'Input|Rate of change'!R51:R58)</f>
        <v>4.9143057353268557E-3</v>
      </c>
      <c r="R64" s="281">
        <f>SUMPRODUCT('Input|Rate of change'!S38:S45,'Input|Rate of change'!S51:S58)</f>
        <v>6.1260840298873638E-3</v>
      </c>
      <c r="S64" s="281">
        <f>SUMPRODUCT('Input|Rate of change'!T38:T45,'Input|Rate of change'!T51:T58)</f>
        <v>7.4394400963646561E-3</v>
      </c>
      <c r="T64" s="281">
        <f>SUMPRODUCT('Input|Rate of change'!U38:U45,'Input|Rate of change'!U51:U58)</f>
        <v>0</v>
      </c>
    </row>
    <row r="65" spans="1:31" outlineLevel="1">
      <c r="C65" s="15" t="s">
        <v>164</v>
      </c>
      <c r="D65" s="16" t="s">
        <v>30</v>
      </c>
      <c r="E65" s="16" t="s">
        <v>31</v>
      </c>
      <c r="F65" s="16" t="s">
        <v>36</v>
      </c>
      <c r="J65" s="281">
        <f t="array" ref="J65">IF(J$58=J$4,PRODUCT(1+$J64:J64)-1,0)</f>
        <v>0</v>
      </c>
      <c r="K65" s="281">
        <f t="array" ref="K65">IF(K$58=K$4,PRODUCT(1+$J64:K64)-1,0)</f>
        <v>0</v>
      </c>
      <c r="L65" s="281">
        <f t="array" ref="L65">IF(L$58=L$4,PRODUCT(1+$J64:L64)-1,0)</f>
        <v>0</v>
      </c>
      <c r="M65" s="281">
        <f t="array" ref="M65">IF(M$58=M$4,PRODUCT(1+$J64:M64)-1,0)</f>
        <v>0</v>
      </c>
      <c r="N65" s="281">
        <f t="array" ref="N65">IF(N$58=N$4,PRODUCT(1+$J64:N64)-1,0)</f>
        <v>0</v>
      </c>
      <c r="O65" s="281">
        <f t="array" ref="O65">IF(O$58=O$4,PRODUCT(1+$J64:O64)-1,0)</f>
        <v>7.6798450150301623E-3</v>
      </c>
      <c r="P65" s="281">
        <f t="array" ref="P65">IF(P$58=P$4,PRODUCT(1+$J64:P64)-1,0)</f>
        <v>1.3353103010208089E-2</v>
      </c>
      <c r="Q65" s="281">
        <f t="array" ref="Q65">IF(Q$58=Q$4,PRODUCT(1+$J64:Q64)-1,0)</f>
        <v>1.8333029976242532E-2</v>
      </c>
      <c r="R65" s="281">
        <f t="array" ref="R65">IF(R$58=R$4,PRODUCT(1+$J64:R64)-1,0)</f>
        <v>2.4571423688286798E-2</v>
      </c>
      <c r="S65" s="281">
        <f t="array" ref="S65">IF(S$58=S$4,PRODUCT(1+$J64:S64)-1,0)</f>
        <v>3.2193661419262831E-2</v>
      </c>
      <c r="T65" s="281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162</v>
      </c>
      <c r="D67" s="16" t="s">
        <v>30</v>
      </c>
      <c r="E67" s="16" t="s">
        <v>31</v>
      </c>
      <c r="F67" s="16" t="s">
        <v>36</v>
      </c>
      <c r="J67" s="281">
        <f>'Input|Rate of change'!K115</f>
        <v>0</v>
      </c>
      <c r="K67" s="281">
        <f>'Input|Rate of change'!L115</f>
        <v>0</v>
      </c>
      <c r="L67" s="281">
        <f>'Input|Rate of change'!M115</f>
        <v>0</v>
      </c>
      <c r="M67" s="281">
        <f>'Input|Rate of change'!N115</f>
        <v>0</v>
      </c>
      <c r="N67" s="281">
        <f>'Input|Rate of change'!O115</f>
        <v>0</v>
      </c>
      <c r="O67" s="281">
        <f>'Input|Rate of change'!P115</f>
        <v>8.6239999999999997E-3</v>
      </c>
      <c r="P67" s="281">
        <f>'Input|Rate of change'!Q115</f>
        <v>8.6239999999999997E-3</v>
      </c>
      <c r="Q67" s="281">
        <f>'Input|Rate of change'!R115</f>
        <v>8.6239999999999997E-3</v>
      </c>
      <c r="R67" s="281">
        <f>'Input|Rate of change'!S115</f>
        <v>8.6239999999999997E-3</v>
      </c>
      <c r="S67" s="281">
        <f>'Input|Rate of change'!T115</f>
        <v>8.6239999999999997E-3</v>
      </c>
      <c r="T67" s="281">
        <f>'Input|Rate of change'!U115</f>
        <v>0</v>
      </c>
    </row>
    <row r="68" spans="1:31" outlineLevel="1">
      <c r="C68" s="15" t="s">
        <v>165</v>
      </c>
      <c r="D68" s="16" t="s">
        <v>30</v>
      </c>
      <c r="E68" s="16" t="s">
        <v>31</v>
      </c>
      <c r="F68" s="16" t="s">
        <v>36</v>
      </c>
      <c r="J68" s="281">
        <f t="array" ref="J68">IF(J$58=J$4,PRODUCT(1+$J67:J67)-1,0)</f>
        <v>0</v>
      </c>
      <c r="K68" s="281">
        <f t="array" ref="K68">IF(K$58=K$4,PRODUCT(1+$J67:K67)-1,0)</f>
        <v>0</v>
      </c>
      <c r="L68" s="281">
        <f t="array" ref="L68">IF(L$58=L$4,PRODUCT(1+$J67:L67)-1,0)</f>
        <v>0</v>
      </c>
      <c r="M68" s="281">
        <f t="array" ref="M68">IF(M$58=M$4,PRODUCT(1+$J67:M67)-1,0)</f>
        <v>0</v>
      </c>
      <c r="N68" s="281">
        <f t="array" ref="N68">IF(N$58=N$4,PRODUCT(1+$J67:N67)-1,0)</f>
        <v>0</v>
      </c>
      <c r="O68" s="281">
        <f t="array" ref="O68">IF(O$58=O$4,PRODUCT(1+$J67:O67)-1,0)</f>
        <v>8.623999999999965E-3</v>
      </c>
      <c r="P68" s="281">
        <f t="array" ref="P68">IF(P$58=P$4,PRODUCT(1+$J67:P67)-1,0)</f>
        <v>1.7322373375999955E-2</v>
      </c>
      <c r="Q68" s="281">
        <f t="array" ref="Q68">IF(Q$58=Q$4,PRODUCT(1+$J67:Q67)-1,0)</f>
        <v>2.609576152399451E-2</v>
      </c>
      <c r="R68" s="281">
        <f t="array" ref="R68">IF(R$58=R$4,PRODUCT(1+$J67:R67)-1,0)</f>
        <v>3.4944811371377504E-2</v>
      </c>
      <c r="S68" s="281">
        <f t="array" ref="S68">IF(S$58=S$4,PRODUCT(1+$J67:S67)-1,0)</f>
        <v>4.387017542464422E-2</v>
      </c>
      <c r="T68" s="281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294">
        <f ca="1">(1+J61)*(1+J64)*(1-J67)-1</f>
        <v>0</v>
      </c>
      <c r="K70" s="294">
        <f t="shared" ref="K70:S70" ca="1" si="6">(1+K61)*(1+K64)*(1-K67)-1</f>
        <v>0</v>
      </c>
      <c r="L70" s="294">
        <f t="shared" ca="1" si="6"/>
        <v>0</v>
      </c>
      <c r="M70" s="294">
        <f t="shared" ca="1" si="6"/>
        <v>0</v>
      </c>
      <c r="N70" s="294">
        <f t="shared" ca="1" si="6"/>
        <v>0</v>
      </c>
      <c r="O70" s="294">
        <f t="shared" ca="1" si="6"/>
        <v>6.03579227245854E-3</v>
      </c>
      <c r="P70" s="294">
        <f t="shared" ca="1" si="6"/>
        <v>2.9094871491603946E-3</v>
      </c>
      <c r="Q70" s="294">
        <f t="shared" ca="1" si="6"/>
        <v>1.3175217869247913E-3</v>
      </c>
      <c r="R70" s="294">
        <f t="shared" ca="1" si="6"/>
        <v>1.8716245435721479E-3</v>
      </c>
      <c r="S70" s="294">
        <f t="shared" ca="1" si="6"/>
        <v>1.2979740461791511E-3</v>
      </c>
      <c r="T70" s="294">
        <f t="shared" ref="T70" ca="1" si="7">(1+T61)*(1+T64)*(1-T67)-1</f>
        <v>0</v>
      </c>
    </row>
    <row r="71" spans="1:31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281" t="str">
        <f t="array" ref="J71">IF(J$58=J$4,PRODUCT(1+$J70:J70)-1,"")</f>
        <v/>
      </c>
      <c r="K71" s="281" t="str">
        <f t="array" ref="K71">IF(K$58=K$4,PRODUCT(1+$J70:K70)-1,"")</f>
        <v/>
      </c>
      <c r="L71" s="281" t="str">
        <f t="array" ref="L71">IF(L$58=L$4,PRODUCT(1+$J70:L70)-1,"")</f>
        <v/>
      </c>
      <c r="M71" s="281" t="str">
        <f t="array" ref="M71">IF(M$58=M$4,PRODUCT(1+$J70:M70)-1,"")</f>
        <v/>
      </c>
      <c r="N71" s="281" t="str">
        <f t="array" ref="N71">IF(N$58=N$4,PRODUCT(1+$J70:N70)-1,"")</f>
        <v/>
      </c>
      <c r="O71" s="281">
        <f t="array" aca="1" ref="O71" ca="1">IF(O$58=O$4,PRODUCT(1+$J70:O70)-1,"")</f>
        <v>6.03579227245854E-3</v>
      </c>
      <c r="P71" s="281">
        <f t="array" aca="1" ref="P71" ca="1">IF(P$58=P$4,PRODUCT(1+$J70:P70)-1,"")</f>
        <v>8.9628404816706198E-3</v>
      </c>
      <c r="Q71" s="281">
        <f t="array" aca="1" ref="Q71" ca="1">IF(Q$58=Q$4,PRODUCT(1+$J70:Q70)-1,"")</f>
        <v>1.0292171006202722E-2</v>
      </c>
      <c r="R71" s="281">
        <f t="array" aca="1" ref="R71" ca="1">IF(R$58=R$4,PRODUCT(1+$J70:R70)-1,"")</f>
        <v>1.2183058629636756E-2</v>
      </c>
      <c r="S71" s="281">
        <f t="array" aca="1" ref="S71" ca="1">IF(S$58=S$4,PRODUCT(1+$J70:S70)-1,"")</f>
        <v>1.3496845969720228E-2</v>
      </c>
      <c r="T71" s="281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97</v>
      </c>
      <c r="D75" s="20" t="s">
        <v>7</v>
      </c>
      <c r="E75" s="20" t="s">
        <v>8</v>
      </c>
      <c r="F75" s="20" t="s">
        <v>22</v>
      </c>
      <c r="J75" s="286" t="str">
        <f>IF(YEAR(J$4)&gt;='Input|General'!$G$13,IF(YEAR(J$4)&lt;='Input|General'!$G$14,J$4,""),"")</f>
        <v/>
      </c>
      <c r="K75" s="286" t="str">
        <f>IF(YEAR(K$4)&gt;='Input|General'!$G$13,IF(YEAR(K$4)&lt;='Input|General'!$G$14,K$4,""),"")</f>
        <v/>
      </c>
      <c r="L75" s="286" t="str">
        <f>IF(YEAR(L$4)&gt;='Input|General'!$G$13,IF(YEAR(L$4)&lt;='Input|General'!$G$14,L$4,""),"")</f>
        <v/>
      </c>
      <c r="M75" s="286" t="str">
        <f>IF(YEAR(M$4)&gt;='Input|General'!$G$13,IF(YEAR(M$4)&lt;='Input|General'!$G$14,M$4,""),"")</f>
        <v/>
      </c>
      <c r="N75" s="286" t="str">
        <f>IF(YEAR(N$4)&gt;='Input|General'!$G$13,IF(YEAR(N$4)&lt;='Input|General'!$G$14,N$4,""),"")</f>
        <v/>
      </c>
      <c r="O75" s="286">
        <f>IF(YEAR(O$4)&gt;='Input|General'!$G$13,IF(YEAR(O$4)&lt;='Input|General'!$G$14,O$4,""),"")</f>
        <v>46174</v>
      </c>
      <c r="P75" s="286">
        <f>IF(YEAR(P$4)&gt;='Input|General'!$G$13,IF(YEAR(P$4)&lt;='Input|General'!$G$14,P$4,""),"")</f>
        <v>46539</v>
      </c>
      <c r="Q75" s="286">
        <f>IF(YEAR(Q$4)&gt;='Input|General'!$G$13,IF(YEAR(Q$4)&lt;='Input|General'!$G$14,Q$4,""),"")</f>
        <v>46905</v>
      </c>
      <c r="R75" s="286">
        <f>IF(YEAR(R$4)&gt;='Input|General'!$G$13,IF(YEAR(R$4)&lt;='Input|General'!$G$14,R$4,""),"")</f>
        <v>47270</v>
      </c>
      <c r="S75" s="286">
        <f>IF(YEAR(S$4)&gt;='Input|General'!$G$13,IF(YEAR(S$4)&lt;='Input|General'!$G$14,S$4,""),"")</f>
        <v>47635</v>
      </c>
      <c r="T75" s="28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295" t="str">
        <f>'Input|Step changes'!C12</f>
        <v>Support for customers experiencing vulnerability</v>
      </c>
      <c r="D77" s="16" t="s">
        <v>30</v>
      </c>
      <c r="E77" s="287" t="str">
        <f t="shared" ref="E77:E97" si="8">$E$8</f>
        <v>$millions</v>
      </c>
      <c r="F77" s="288">
        <f t="shared" ref="F77:F87" si="9">$F$8</f>
        <v>45809</v>
      </c>
      <c r="J77" s="26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26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26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26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26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26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26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26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26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26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26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295" t="str">
        <f>'Input|Step changes'!C13</f>
        <v>ICT services for new recurrent projects</v>
      </c>
      <c r="D78" s="16" t="s">
        <v>30</v>
      </c>
      <c r="E78" s="287" t="str">
        <f t="shared" si="8"/>
        <v>$millions</v>
      </c>
      <c r="F78" s="288">
        <f t="shared" si="9"/>
        <v>45809</v>
      </c>
      <c r="J78" s="26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26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26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26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26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26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0.75441751701203819</v>
      </c>
      <c r="P78" s="26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2.1582259442023397</v>
      </c>
      <c r="Q78" s="26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3.6555076087698519</v>
      </c>
      <c r="R78" s="26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3.8293401766261943</v>
      </c>
      <c r="S78" s="26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4.2442613331426466</v>
      </c>
      <c r="T78" s="26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295" t="str">
        <f>'Input|Step changes'!C14</f>
        <v>Emissions reduction – Climate change reporting</v>
      </c>
      <c r="D79" s="16" t="s">
        <v>30</v>
      </c>
      <c r="E79" s="287" t="str">
        <f t="shared" si="8"/>
        <v>$millions</v>
      </c>
      <c r="F79" s="288">
        <f t="shared" si="9"/>
        <v>45809</v>
      </c>
      <c r="J79" s="26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26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26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26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26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26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26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26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26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26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26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295" t="str">
        <f>'Input|Step changes'!C15</f>
        <v>Emissions measurement – Picarro leak detection services</v>
      </c>
      <c r="D80" s="16" t="s">
        <v>30</v>
      </c>
      <c r="E80" s="287" t="str">
        <f t="shared" si="8"/>
        <v>$millions</v>
      </c>
      <c r="F80" s="288">
        <f t="shared" si="9"/>
        <v>45809</v>
      </c>
      <c r="J80" s="26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26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26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26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26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26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3.0735185183820062</v>
      </c>
      <c r="P80" s="26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3.0505424573791458</v>
      </c>
      <c r="Q80" s="26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3.063827308242709</v>
      </c>
      <c r="R80" s="26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3.063827308242709</v>
      </c>
      <c r="S80" s="26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3.063827308242709</v>
      </c>
      <c r="T80" s="26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295" t="str">
        <f>'Input|Step changes'!C16</f>
        <v>Pipeline Integrity Management Program</v>
      </c>
      <c r="D81" s="16" t="s">
        <v>30</v>
      </c>
      <c r="E81" s="287" t="str">
        <f t="shared" si="8"/>
        <v>$millions</v>
      </c>
      <c r="F81" s="288">
        <f t="shared" si="9"/>
        <v>45809</v>
      </c>
      <c r="J81" s="26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26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26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26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26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26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7.0736990414752547</v>
      </c>
      <c r="P81" s="26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0.91409563630791757</v>
      </c>
      <c r="Q81" s="26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1.8448547556981127</v>
      </c>
      <c r="R81" s="26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1.8028255690497197</v>
      </c>
      <c r="S81" s="26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5.345288439590095</v>
      </c>
      <c r="T81" s="26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295" t="str">
        <f>'Input|Step changes'!C17</f>
        <v>License fees</v>
      </c>
      <c r="D82" s="16" t="s">
        <v>30</v>
      </c>
      <c r="E82" s="287" t="str">
        <f t="shared" si="8"/>
        <v>$millions</v>
      </c>
      <c r="F82" s="288">
        <f t="shared" si="9"/>
        <v>45809</v>
      </c>
      <c r="J82" s="26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26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26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26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26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26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26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26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26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26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26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295">
        <f>'Input|Step changes'!C18</f>
        <v>0</v>
      </c>
      <c r="D83" s="16" t="s">
        <v>30</v>
      </c>
      <c r="E83" s="287" t="str">
        <f t="shared" si="8"/>
        <v>$millions</v>
      </c>
      <c r="F83" s="288">
        <f t="shared" si="9"/>
        <v>45809</v>
      </c>
      <c r="J83" s="26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26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26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26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26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26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26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26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26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26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26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295">
        <f>'Input|Step changes'!C19</f>
        <v>0</v>
      </c>
      <c r="D84" s="16" t="s">
        <v>30</v>
      </c>
      <c r="E84" s="287" t="str">
        <f t="shared" si="8"/>
        <v>$millions</v>
      </c>
      <c r="F84" s="288">
        <f t="shared" si="9"/>
        <v>45809</v>
      </c>
      <c r="J84" s="26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26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26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26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26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26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26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26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26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26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26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295">
        <f>'Input|Step changes'!C20</f>
        <v>0</v>
      </c>
      <c r="D85" s="16" t="s">
        <v>30</v>
      </c>
      <c r="E85" s="287" t="str">
        <f t="shared" si="8"/>
        <v>$millions</v>
      </c>
      <c r="F85" s="288">
        <f t="shared" si="9"/>
        <v>45809</v>
      </c>
      <c r="J85" s="26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26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26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26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26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26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26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26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26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26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26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292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48</v>
      </c>
      <c r="D87" s="76" t="s">
        <v>30</v>
      </c>
      <c r="E87" s="296" t="str">
        <f>$E$8</f>
        <v>$millions</v>
      </c>
      <c r="F87" s="297">
        <f t="shared" si="9"/>
        <v>45809</v>
      </c>
      <c r="G87" s="20"/>
      <c r="H87" s="20"/>
      <c r="I87" s="20"/>
      <c r="J87" s="298">
        <f>SUM(J76:J86)</f>
        <v>0</v>
      </c>
      <c r="K87" s="298">
        <f t="shared" ref="K87:S87" si="10">SUM(K76:K86)</f>
        <v>0</v>
      </c>
      <c r="L87" s="298">
        <f t="shared" si="10"/>
        <v>0</v>
      </c>
      <c r="M87" s="298">
        <f t="shared" si="10"/>
        <v>0</v>
      </c>
      <c r="N87" s="298">
        <f t="shared" si="10"/>
        <v>0</v>
      </c>
      <c r="O87" s="298">
        <f t="shared" si="10"/>
        <v>10.901635076869299</v>
      </c>
      <c r="P87" s="298">
        <f t="shared" si="10"/>
        <v>6.1228640378894035</v>
      </c>
      <c r="Q87" s="298">
        <f t="shared" si="10"/>
        <v>8.5641896727106737</v>
      </c>
      <c r="R87" s="298">
        <f t="shared" si="10"/>
        <v>8.6959930539186239</v>
      </c>
      <c r="S87" s="298">
        <f t="shared" si="10"/>
        <v>12.653377080975449</v>
      </c>
      <c r="T87" s="298">
        <f t="shared" ref="T87" si="11">SUM(T76:T86)</f>
        <v>0</v>
      </c>
    </row>
    <row r="88" spans="1:31">
      <c r="C88" s="77"/>
      <c r="F88" s="28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102</v>
      </c>
      <c r="D91" s="20" t="s">
        <v>7</v>
      </c>
      <c r="E91" s="20" t="s">
        <v>8</v>
      </c>
      <c r="F91" s="20" t="s">
        <v>22</v>
      </c>
      <c r="J91" s="286" t="str">
        <f>IF(YEAR(J$4)&gt;='Input|General'!$G$13,IF(YEAR(J$4)&lt;='Input|General'!$G$14,J$4,""),"")</f>
        <v/>
      </c>
      <c r="K91" s="286" t="str">
        <f>IF(YEAR(K$4)&gt;='Input|General'!$G$13,IF(YEAR(K$4)&lt;='Input|General'!$G$14,K$4,""),"")</f>
        <v/>
      </c>
      <c r="L91" s="286" t="str">
        <f>IF(YEAR(L$4)&gt;='Input|General'!$G$13,IF(YEAR(L$4)&lt;='Input|General'!$G$14,L$4,""),"")</f>
        <v/>
      </c>
      <c r="M91" s="286" t="str">
        <f>IF(YEAR(M$4)&gt;='Input|General'!$G$13,IF(YEAR(M$4)&lt;='Input|General'!$G$14,M$4,""),"")</f>
        <v/>
      </c>
      <c r="N91" s="286" t="str">
        <f>IF(YEAR(N$4)&gt;='Input|General'!$G$13,IF(YEAR(N$4)&lt;='Input|General'!$G$14,N$4,""),"")</f>
        <v/>
      </c>
      <c r="O91" s="286">
        <f>IF(YEAR(O$4)&gt;='Input|General'!$G$13,IF(YEAR(O$4)&lt;='Input|General'!$G$14,O$4,""),"")</f>
        <v>46174</v>
      </c>
      <c r="P91" s="286">
        <f>IF(YEAR(P$4)&gt;='Input|General'!$G$13,IF(YEAR(P$4)&lt;='Input|General'!$G$14,P$4,""),"")</f>
        <v>46539</v>
      </c>
      <c r="Q91" s="286">
        <f>IF(YEAR(Q$4)&gt;='Input|General'!$G$13,IF(YEAR(Q$4)&lt;='Input|General'!$G$14,Q$4,""),"")</f>
        <v>46905</v>
      </c>
      <c r="R91" s="286">
        <f>IF(YEAR(R$4)&gt;='Input|General'!$G$13,IF(YEAR(R$4)&lt;='Input|General'!$G$14,R$4,""),"")</f>
        <v>47270</v>
      </c>
      <c r="S91" s="286">
        <f>IF(YEAR(S$4)&gt;='Input|General'!$G$13,IF(YEAR(S$4)&lt;='Input|General'!$G$14,S$4,""),"")</f>
        <v>47635</v>
      </c>
      <c r="T91" s="28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295" t="str">
        <f>'Input|Step changes'!C28</f>
        <v>UAG costs</v>
      </c>
      <c r="D93" s="16" t="s">
        <v>30</v>
      </c>
      <c r="E93" s="287" t="str">
        <f t="shared" si="8"/>
        <v>$millions</v>
      </c>
      <c r="F93" s="288">
        <f t="shared" ref="F93:F97" si="12">$F$8</f>
        <v>45809</v>
      </c>
      <c r="J93" s="26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26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26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26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26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26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33.961295956935125</v>
      </c>
      <c r="P93" s="26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30.686268794309498</v>
      </c>
      <c r="Q93" s="26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26.604394860546865</v>
      </c>
      <c r="R93" s="26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24.347096250039932</v>
      </c>
      <c r="S93" s="26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23.702930741124849</v>
      </c>
      <c r="T93" s="26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295" t="str">
        <f>'Input|Step changes'!C29</f>
        <v>License fees</v>
      </c>
      <c r="D94" s="16" t="s">
        <v>30</v>
      </c>
      <c r="E94" s="287" t="str">
        <f t="shared" si="8"/>
        <v>$millions</v>
      </c>
      <c r="F94" s="288">
        <f t="shared" si="12"/>
        <v>45809</v>
      </c>
      <c r="J94" s="26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26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26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26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26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26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4.8272960849805635</v>
      </c>
      <c r="P94" s="26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4.8272960849805635</v>
      </c>
      <c r="Q94" s="26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4.8272960849805635</v>
      </c>
      <c r="R94" s="26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4.8272960849805635</v>
      </c>
      <c r="S94" s="26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4.8272960849805635</v>
      </c>
      <c r="T94" s="26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295" t="str">
        <f>'Input|Step changes'!C30</f>
        <v>Safeguard mechanism costs</v>
      </c>
      <c r="D95" s="16" t="s">
        <v>30</v>
      </c>
      <c r="E95" s="287" t="str">
        <f t="shared" si="8"/>
        <v>$millions</v>
      </c>
      <c r="F95" s="288">
        <f t="shared" si="12"/>
        <v>45809</v>
      </c>
      <c r="J95" s="26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26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26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26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26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26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26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26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26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26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26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295" t="str">
        <f>'Input|Step changes'!C31</f>
        <v>Support for customers experiencing vulnerability</v>
      </c>
      <c r="D96" s="16" t="s">
        <v>30</v>
      </c>
      <c r="E96" s="287" t="str">
        <f t="shared" si="8"/>
        <v>$millions</v>
      </c>
      <c r="F96" s="288">
        <f t="shared" si="12"/>
        <v>45809</v>
      </c>
      <c r="J96" s="26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26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26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26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26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26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P96" s="26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Q96" s="26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R96" s="26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S96" s="26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T96" s="26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295" t="str">
        <f>'Input|Step changes'!C32</f>
        <v>Socialised abolishment costs</v>
      </c>
      <c r="D97" s="16" t="s">
        <v>30</v>
      </c>
      <c r="E97" s="287" t="str">
        <f t="shared" si="8"/>
        <v>$millions</v>
      </c>
      <c r="F97" s="288">
        <f t="shared" si="12"/>
        <v>45809</v>
      </c>
      <c r="J97" s="26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26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26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26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26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26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26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2.7191626556250807</v>
      </c>
      <c r="Q97" s="26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3.6332847374987809</v>
      </c>
      <c r="R97" s="26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4.5371711907315557</v>
      </c>
      <c r="S97" s="26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5.4151686275618651</v>
      </c>
      <c r="T97" s="26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108</v>
      </c>
      <c r="D99" s="76" t="s">
        <v>30</v>
      </c>
      <c r="E99" s="296" t="str">
        <f>$E$8</f>
        <v>$millions</v>
      </c>
      <c r="F99" s="297">
        <f t="shared" ref="F99" si="13">$F$8</f>
        <v>45809</v>
      </c>
      <c r="G99" s="20"/>
      <c r="H99" s="20"/>
      <c r="I99" s="20"/>
      <c r="J99" s="298">
        <f t="shared" ref="J99:T99" si="14">SUM(J92:J97)</f>
        <v>0</v>
      </c>
      <c r="K99" s="298">
        <f t="shared" si="14"/>
        <v>0</v>
      </c>
      <c r="L99" s="298">
        <f t="shared" si="14"/>
        <v>0</v>
      </c>
      <c r="M99" s="298">
        <f t="shared" si="14"/>
        <v>0</v>
      </c>
      <c r="N99" s="298">
        <f t="shared" si="14"/>
        <v>0</v>
      </c>
      <c r="O99" s="298">
        <f t="shared" si="14"/>
        <v>39.32110354191569</v>
      </c>
      <c r="P99" s="298">
        <f t="shared" si="14"/>
        <v>38.76523903491514</v>
      </c>
      <c r="Q99" s="298">
        <f t="shared" si="14"/>
        <v>35.59748718302621</v>
      </c>
      <c r="R99" s="298">
        <f t="shared" si="14"/>
        <v>34.244075025752053</v>
      </c>
      <c r="S99" s="298">
        <f t="shared" si="14"/>
        <v>34.477906953667272</v>
      </c>
      <c r="T99" s="298">
        <f t="shared" si="14"/>
        <v>0</v>
      </c>
    </row>
    <row r="100" spans="1:39">
      <c r="C100" s="77"/>
      <c r="F100" s="28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284"/>
      <c r="P101" s="284"/>
      <c r="Q101" s="284"/>
      <c r="R101" s="284"/>
      <c r="S101" s="28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286" t="str">
        <f>IF(YEAR(J$4)&gt;='Input|General'!$G$13,IF(YEAR(J$4)&lt;='Input|General'!$G$14,J$4,""),"")</f>
        <v/>
      </c>
      <c r="K103" s="286" t="str">
        <f>IF(YEAR(K$4)&gt;='Input|General'!$G$13,IF(YEAR(K$4)&lt;='Input|General'!$G$14,K$4,""),"")</f>
        <v/>
      </c>
      <c r="L103" s="286" t="str">
        <f>IF(YEAR(L$4)&gt;='Input|General'!$G$13,IF(YEAR(L$4)&lt;='Input|General'!$G$14,L$4,""),"")</f>
        <v/>
      </c>
      <c r="M103" s="286" t="str">
        <f>IF(YEAR(M$4)&gt;='Input|General'!$G$13,IF(YEAR(M$4)&lt;='Input|General'!$G$14,M$4,""),"")</f>
        <v/>
      </c>
      <c r="N103" s="286" t="str">
        <f>IF(YEAR(N$4)&gt;='Input|General'!$G$13,IF(YEAR(N$4)&lt;='Input|General'!$G$14,N$4,""),"")</f>
        <v/>
      </c>
      <c r="O103" s="286">
        <f>IF(YEAR(O$4)&gt;='Input|General'!$G$13,IF(YEAR(O$4)&lt;='Input|General'!$G$14,O$4,""),"")</f>
        <v>46174</v>
      </c>
      <c r="P103" s="286">
        <f>IF(YEAR(P$4)&gt;='Input|General'!$G$13,IF(YEAR(P$4)&lt;='Input|General'!$G$14,P$4,""),"")</f>
        <v>46539</v>
      </c>
      <c r="Q103" s="286">
        <f>IF(YEAR(Q$4)&gt;='Input|General'!$G$13,IF(YEAR(Q$4)&lt;='Input|General'!$G$14,Q$4,""),"")</f>
        <v>46905</v>
      </c>
      <c r="R103" s="286">
        <f>IF(YEAR(R$4)&gt;='Input|General'!$G$13,IF(YEAR(R$4)&lt;='Input|General'!$G$14,R$4,""),"")</f>
        <v>47270</v>
      </c>
      <c r="S103" s="286">
        <f>IF(YEAR(S$4)&gt;='Input|General'!$G$13,IF(YEAR(S$4)&lt;='Input|General'!$G$14,S$4,""),"")</f>
        <v>47635</v>
      </c>
      <c r="T103" s="286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124</v>
      </c>
      <c r="D105" s="20" t="s">
        <v>30</v>
      </c>
      <c r="E105" s="299" t="str">
        <f>$E$8</f>
        <v>$millions</v>
      </c>
      <c r="F105" s="297">
        <f t="shared" ref="F105:F107" si="15">$F$8</f>
        <v>45809</v>
      </c>
      <c r="J105" s="225" t="str">
        <f t="shared" ref="J105:T105" si="16">IF(YEAR(J$4)&gt;=FPFirstYear,IF(YEAR(J$4)&lt;=FPLastYear,IF(ISBLANK(J103),"",(1+J71)*SUM($J54:$S54)+J87),""),"")</f>
        <v/>
      </c>
      <c r="K105" s="225" t="str">
        <f t="shared" si="16"/>
        <v/>
      </c>
      <c r="L105" s="225" t="str">
        <f t="shared" si="16"/>
        <v/>
      </c>
      <c r="M105" s="225" t="str">
        <f t="shared" si="16"/>
        <v/>
      </c>
      <c r="N105" s="225" t="str">
        <f t="shared" si="16"/>
        <v/>
      </c>
      <c r="O105" s="225">
        <f t="shared" ca="1" si="16"/>
        <v>192.06350253771546</v>
      </c>
      <c r="P105" s="225">
        <f t="shared" ca="1" si="16"/>
        <v>187.81181962403079</v>
      </c>
      <c r="Q105" s="225">
        <f t="shared" ca="1" si="16"/>
        <v>190.49252441628042</v>
      </c>
      <c r="R105" s="225">
        <f t="shared" ca="1" si="16"/>
        <v>190.96482933396564</v>
      </c>
      <c r="S105" s="225">
        <f t="shared" ca="1" si="16"/>
        <v>195.15879357994123</v>
      </c>
      <c r="T105" s="225" t="str">
        <f t="shared" si="16"/>
        <v/>
      </c>
    </row>
    <row r="106" spans="1:39" outlineLevel="1">
      <c r="C106" s="77" t="s">
        <v>100</v>
      </c>
      <c r="D106" s="20" t="s">
        <v>30</v>
      </c>
      <c r="E106" s="299" t="str">
        <f>$E$8</f>
        <v>$millions</v>
      </c>
      <c r="F106" s="297">
        <f t="shared" si="15"/>
        <v>45809</v>
      </c>
      <c r="J106" s="225" t="str">
        <f t="shared" ref="J106:T106" si="17">IF(YEAR(J$4)&gt;=FPFirstYear,IF(YEAR(J$4)&lt;=FPLastYear,IF(ISBLANK(J103),"",(1+J71)*SUM($J54:$S54)+J87+J99),""),"")</f>
        <v/>
      </c>
      <c r="K106" s="225" t="str">
        <f t="shared" si="17"/>
        <v/>
      </c>
      <c r="L106" s="225" t="str">
        <f t="shared" si="17"/>
        <v/>
      </c>
      <c r="M106" s="225" t="str">
        <f t="shared" si="17"/>
        <v/>
      </c>
      <c r="N106" s="225" t="str">
        <f t="shared" si="17"/>
        <v/>
      </c>
      <c r="O106" s="225">
        <f t="shared" ca="1" si="17"/>
        <v>231.38460607963117</v>
      </c>
      <c r="P106" s="225">
        <f t="shared" ca="1" si="17"/>
        <v>226.57705865894593</v>
      </c>
      <c r="Q106" s="225">
        <f t="shared" ca="1" si="17"/>
        <v>226.09001159930662</v>
      </c>
      <c r="R106" s="225">
        <f t="shared" ca="1" si="17"/>
        <v>225.20890435971768</v>
      </c>
      <c r="S106" s="225">
        <f t="shared" ca="1" si="17"/>
        <v>229.63670053360852</v>
      </c>
      <c r="T106" s="225" t="str">
        <f t="shared" si="17"/>
        <v/>
      </c>
    </row>
    <row r="107" spans="1:39" outlineLevel="1">
      <c r="C107" s="77" t="s">
        <v>101</v>
      </c>
      <c r="D107" s="20" t="s">
        <v>30</v>
      </c>
      <c r="E107" s="299" t="str">
        <f>$E$8</f>
        <v>$millions</v>
      </c>
      <c r="F107" s="297">
        <f t="shared" si="15"/>
        <v>45809</v>
      </c>
      <c r="J107" s="225" t="str">
        <f>IF(YEAR(J$4)&gt;=FPFirstYear,IF(YEAR(J$4)&lt;=FPLastYear,J106+'Input|Step changes'!J40,""),"")</f>
        <v/>
      </c>
      <c r="K107" s="225" t="str">
        <f>IF(YEAR(K$4)&gt;=FPFirstYear,IF(YEAR(K$4)&lt;=FPLastYear,K106+'Input|Step changes'!K40,""),"")</f>
        <v/>
      </c>
      <c r="L107" s="225" t="str">
        <f>IF(YEAR(L$4)&gt;=FPFirstYear,IF(YEAR(L$4)&lt;=FPLastYear,L106+'Input|Step changes'!L40,""),"")</f>
        <v/>
      </c>
      <c r="M107" s="225" t="str">
        <f>IF(YEAR(M$4)&gt;=FPFirstYear,IF(YEAR(M$4)&lt;=FPLastYear,M106+'Input|Step changes'!M40,""),"")</f>
        <v/>
      </c>
      <c r="N107" s="225" t="str">
        <f>IF(YEAR(N$4)&gt;=FPFirstYear,IF(YEAR(N$4)&lt;=FPLastYear,N106+'Input|Step changes'!N40,""),"")</f>
        <v/>
      </c>
      <c r="O107" s="225">
        <f ca="1">IF(YEAR(O$4)&gt;=FPFirstYear,IF(YEAR(O$4)&lt;=FPLastYear,O106+'Input|Step changes'!O40,""),"")</f>
        <v>233.32850244198423</v>
      </c>
      <c r="P107" s="225">
        <f ca="1">IF(YEAR(P$4)&gt;=FPFirstYear,IF(YEAR(P$4)&lt;=FPLastYear,P106+'Input|Step changes'!P40,""),"")</f>
        <v>228.5174291300826</v>
      </c>
      <c r="Q107" s="225">
        <f ca="1">IF(YEAR(Q$4)&gt;=FPFirstYear,IF(YEAR(Q$4)&lt;=FPLastYear,Q106+'Input|Step changes'!Q40,""),"")</f>
        <v>228.02764309185875</v>
      </c>
      <c r="R107" s="225">
        <f ca="1">IF(YEAR(R$4)&gt;=FPFirstYear,IF(YEAR(R$4)&lt;=FPLastYear,R106+'Input|Step changes'!R40,""),"")</f>
        <v>227.12540677696688</v>
      </c>
      <c r="S107" s="225">
        <f ca="1">IF(YEAR(S$4)&gt;=FPFirstYear,IF(YEAR(S$4)&lt;=FPLastYear,S106+'Input|Step changes'!S40,""),"")</f>
        <v>231.50904489752563</v>
      </c>
      <c r="T107" s="225" t="str">
        <f>IF(YEAR(T$4)&gt;=FPFirstYear,IF(YEAR(T$4)&lt;=FPLastYear,T106+'Input|Step changes'!T40,""),"")</f>
        <v/>
      </c>
    </row>
    <row r="108" spans="1:39">
      <c r="C108" s="77"/>
      <c r="F108" s="28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93:T98 J77:T85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7" customFormat="1" ht="16.5" thickBot="1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31"/>
      <c r="R1" s="28" t="s">
        <v>77</v>
      </c>
      <c r="S1" s="29" t="s">
        <v>36</v>
      </c>
      <c r="T1" s="29"/>
      <c r="V1" s="181" t="s">
        <v>24</v>
      </c>
      <c r="W1" s="29" t="str">
        <f>'Check|List'!$S$1</f>
        <v>Ok</v>
      </c>
    </row>
    <row r="2" spans="1:27" s="31" customFormat="1" ht="13.5" thickBot="1">
      <c r="B2" s="30" t="str">
        <f>Index!$C$14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0"/>
      <c r="E3" s="100"/>
      <c r="F3" s="100"/>
      <c r="G3" s="100"/>
      <c r="H3" s="100"/>
      <c r="I3" s="100"/>
      <c r="J3" s="97" t="s">
        <v>109</v>
      </c>
      <c r="K3" s="97"/>
      <c r="L3" s="97"/>
      <c r="M3" s="100"/>
      <c r="N3" s="363"/>
      <c r="O3" s="363"/>
      <c r="P3" s="363"/>
      <c r="Q3" s="363"/>
      <c r="R3" s="363"/>
      <c r="S3" s="363"/>
      <c r="T3" s="100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1">
        <f>DATE(PPFirstYear,MONTH('Input|General'!$G$9),1)</f>
        <v>44348</v>
      </c>
      <c r="K4" s="91">
        <f>DATE(PPFirstYear+1,MONTH('Input|General'!$G$9),1)</f>
        <v>44713</v>
      </c>
      <c r="L4" s="91">
        <f>DATE(PPFirstYear+2,MONTH('Input|General'!$G$9),1)</f>
        <v>45078</v>
      </c>
      <c r="M4" s="91">
        <f>DATE(PPFirstYear+3,MONTH('Input|General'!$G$9),1)</f>
        <v>45444</v>
      </c>
      <c r="N4" s="91">
        <f>DATE(PPFirstYear+4,MONTH('Input|General'!$G$9),1)</f>
        <v>45809</v>
      </c>
      <c r="O4" s="91">
        <f>DATE(PPFirstYear+5,MONTH('Input|General'!$G$9),1)</f>
        <v>46174</v>
      </c>
      <c r="P4" s="91">
        <f>DATE(PPFirstYear+6,MONTH('Input|General'!$G$9),1)</f>
        <v>46539</v>
      </c>
      <c r="Q4" s="91">
        <f>DATE(PPFirstYear+7,MONTH('Input|General'!$G$9),1)</f>
        <v>46905</v>
      </c>
      <c r="R4" s="91">
        <f>DATE(PPFirstYear+8,MONTH('Input|General'!$G$9),1)</f>
        <v>47270</v>
      </c>
      <c r="S4" s="91">
        <f>DATE(PPFirstYear+9,MONTH('Input|General'!$G$9),1)</f>
        <v>47635</v>
      </c>
      <c r="T4" s="91">
        <f>DATE(PPFirstYear+10,MONTH('Input|General'!$G$9),1)</f>
        <v>48000</v>
      </c>
      <c r="U4" s="59"/>
      <c r="V4" s="59"/>
      <c r="W4" s="60"/>
      <c r="X4" s="60"/>
    </row>
    <row r="5" spans="1:27" s="6" customFormat="1" ht="3.2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.2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52</v>
      </c>
      <c r="C8" s="32"/>
      <c r="D8" s="32"/>
      <c r="E8" s="51" t="s">
        <v>15</v>
      </c>
      <c r="F8" s="106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7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6" t="str">
        <f>IF(YEAR(J$4)&gt;='Input|General'!$G$13,IF(YEAR(J$4)&lt;='Input|General'!$G$14,J$4,""),"")</f>
        <v/>
      </c>
      <c r="K11" s="96" t="str">
        <f>IF(YEAR(K$4)&gt;='Input|General'!$G$13,IF(YEAR(K$4)&lt;='Input|General'!$G$14,K$4,""),"")</f>
        <v/>
      </c>
      <c r="L11" s="96" t="str">
        <f>IF(YEAR(L$4)&gt;='Input|General'!$G$13,IF(YEAR(L$4)&lt;='Input|General'!$G$14,L$4,""),"")</f>
        <v/>
      </c>
      <c r="M11" s="96" t="str">
        <f>IF(YEAR(M$4)&gt;='Input|General'!$G$13,IF(YEAR(M$4)&lt;='Input|General'!$G$14,M$4,""),"")</f>
        <v/>
      </c>
      <c r="N11" s="96" t="str">
        <f>IF(YEAR(N$4)&gt;='Input|General'!$G$13,IF(YEAR(N$4)&lt;='Input|General'!$G$14,N$4,""),"")</f>
        <v/>
      </c>
      <c r="O11" s="96">
        <f>IF(YEAR(O$4)&gt;='Input|General'!$G$13,IF(YEAR(O$4)&lt;='Input|General'!$G$14,O$4,""),"")</f>
        <v>46174</v>
      </c>
      <c r="P11" s="96">
        <f>IF(YEAR(P$4)&gt;='Input|General'!$G$13,IF(YEAR(P$4)&lt;='Input|General'!$G$14,P$4,""),"")</f>
        <v>46539</v>
      </c>
      <c r="Q11" s="96">
        <f>IF(YEAR(Q$4)&gt;='Input|General'!$G$13,IF(YEAR(Q$4)&lt;='Input|General'!$G$14,Q$4,""),"")</f>
        <v>46905</v>
      </c>
      <c r="R11" s="96">
        <f>IF(YEAR(R$4)&gt;='Input|General'!$G$13,IF(YEAR(R$4)&lt;='Input|General'!$G$14,R$4,""),"")</f>
        <v>47270</v>
      </c>
      <c r="S11" s="96">
        <f>IF(YEAR(S$4)&gt;='Input|General'!$G$13,IF(YEAR(S$4)&lt;='Input|General'!$G$14,S$4,""),"")</f>
        <v>47635</v>
      </c>
      <c r="T11" s="96" t="str">
        <f>IF(YEAR(T$4)&gt;='Input|General'!$G$13,IF(YEAR(T$4)&lt;='Input|General'!$G$14,T$4,""),"")</f>
        <v/>
      </c>
      <c r="V11" s="85" t="s">
        <v>51</v>
      </c>
      <c r="W11" s="86"/>
      <c r="X11" s="86"/>
    </row>
    <row r="12" spans="1:27">
      <c r="C12" s="9"/>
      <c r="D12" s="20"/>
      <c r="E12" s="20"/>
      <c r="F12" s="20"/>
      <c r="H12" s="20"/>
      <c r="I12" s="20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5">
        <f>$F$8</f>
        <v>45809</v>
      </c>
      <c r="H13" s="20"/>
      <c r="I13" s="20"/>
      <c r="J13" s="99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99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99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99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99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99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192.06350253771546</v>
      </c>
      <c r="P13" s="99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187.81181962403079</v>
      </c>
      <c r="Q13" s="99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190.49252441628042</v>
      </c>
      <c r="R13" s="99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190.96482933396564</v>
      </c>
      <c r="S13" s="99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195.15879357994123</v>
      </c>
      <c r="T13" s="99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88"/>
    </row>
    <row r="14" spans="1:27">
      <c r="C14" s="15" t="str">
        <f>'Input|Step changes'!C28</f>
        <v>UAG costs</v>
      </c>
      <c r="D14" s="24" t="s">
        <v>98</v>
      </c>
      <c r="E14" s="16" t="str">
        <f t="shared" ref="E14:E18" si="0">$E$8</f>
        <v>$millions</v>
      </c>
      <c r="F14" s="95">
        <f t="shared" ref="F14:F18" si="1">$F$8</f>
        <v>45809</v>
      </c>
      <c r="H14" s="20"/>
      <c r="I14" s="20"/>
      <c r="J14" s="99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99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99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99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99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99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33.961295956935125</v>
      </c>
      <c r="P14" s="99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30.686268794309498</v>
      </c>
      <c r="Q14" s="99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26.604394860546865</v>
      </c>
      <c r="R14" s="99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24.347096250039932</v>
      </c>
      <c r="S14" s="99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23.702930741124849</v>
      </c>
      <c r="T14" s="99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88"/>
    </row>
    <row r="15" spans="1:27">
      <c r="C15" s="15" t="str">
        <f>'Input|Step changes'!C29</f>
        <v>License fees</v>
      </c>
      <c r="D15" s="24" t="s">
        <v>98</v>
      </c>
      <c r="E15" s="16" t="str">
        <f t="shared" si="0"/>
        <v>$millions</v>
      </c>
      <c r="F15" s="95">
        <f t="shared" si="1"/>
        <v>45809</v>
      </c>
      <c r="H15" s="20"/>
      <c r="I15" s="20"/>
      <c r="J15" s="99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99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99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99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99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99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4.8272960849805635</v>
      </c>
      <c r="P15" s="99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4.8272960849805635</v>
      </c>
      <c r="Q15" s="99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4.8272960849805635</v>
      </c>
      <c r="R15" s="99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4.8272960849805635</v>
      </c>
      <c r="S15" s="99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4.8272960849805635</v>
      </c>
      <c r="T15" s="99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88"/>
    </row>
    <row r="16" spans="1:27">
      <c r="C16" s="15" t="str">
        <f>'Input|Step changes'!C30</f>
        <v>Safeguard mechanism costs</v>
      </c>
      <c r="D16" s="24" t="s">
        <v>98</v>
      </c>
      <c r="E16" s="16" t="str">
        <f t="shared" si="0"/>
        <v>$millions</v>
      </c>
      <c r="F16" s="95">
        <f t="shared" si="1"/>
        <v>45809</v>
      </c>
      <c r="H16" s="20"/>
      <c r="I16" s="20"/>
      <c r="J16" s="99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99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99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99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99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99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99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99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99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99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99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88"/>
    </row>
    <row r="17" spans="1:24">
      <c r="C17" s="15" t="str">
        <f>'Input|Step changes'!C31</f>
        <v>Support for customers experiencing vulnerability</v>
      </c>
      <c r="D17" s="24" t="s">
        <v>98</v>
      </c>
      <c r="E17" s="16" t="str">
        <f t="shared" si="0"/>
        <v>$millions</v>
      </c>
      <c r="F17" s="95">
        <f t="shared" si="1"/>
        <v>45809</v>
      </c>
      <c r="H17" s="20"/>
      <c r="I17" s="20"/>
      <c r="J17" s="99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99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99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99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99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99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P17" s="99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Q17" s="99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R17" s="99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S17" s="99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T17" s="99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07"/>
    </row>
    <row r="18" spans="1:24">
      <c r="C18" s="15" t="str">
        <f>'Input|Step changes'!C32</f>
        <v>Socialised abolishment costs</v>
      </c>
      <c r="D18" s="24" t="s">
        <v>98</v>
      </c>
      <c r="E18" s="16" t="str">
        <f t="shared" si="0"/>
        <v>$millions</v>
      </c>
      <c r="F18" s="95">
        <f t="shared" si="1"/>
        <v>45809</v>
      </c>
      <c r="H18" s="20"/>
      <c r="I18" s="20"/>
      <c r="J18" s="99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99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99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99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99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99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99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2.7191626556250807</v>
      </c>
      <c r="Q18" s="99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3.6332847374987809</v>
      </c>
      <c r="R18" s="99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4.5371711907315557</v>
      </c>
      <c r="S18" s="99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5.4151686275618651</v>
      </c>
      <c r="T18" s="99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07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7"/>
      <c r="N26" s="87"/>
      <c r="O26" s="87"/>
      <c r="P26" s="87"/>
      <c r="Q26" s="87"/>
      <c r="R26" s="87"/>
      <c r="S26" s="87"/>
      <c r="T26" s="87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226" t="s">
        <v>226</v>
      </c>
      <c r="R1" s="28"/>
      <c r="S1" s="29"/>
      <c r="U1" s="181" t="s">
        <v>24</v>
      </c>
      <c r="V1" s="29" t="str">
        <f>'Check|List'!$S$1</f>
        <v>Ok</v>
      </c>
    </row>
    <row r="2" spans="1:30" s="27" customFormat="1" ht="12.75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.2" customHeight="1">
      <c r="D4" s="19"/>
      <c r="E4" s="19"/>
    </row>
    <row r="5" spans="1:30" customFormat="1" ht="12.75">
      <c r="A5" s="32"/>
      <c r="B5" s="38" t="s">
        <v>172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173</v>
      </c>
      <c r="D8" s="16" t="s">
        <v>176</v>
      </c>
      <c r="E8" s="16"/>
      <c r="F8" s="16"/>
      <c r="G8" s="39" t="s">
        <v>173</v>
      </c>
    </row>
    <row r="9" spans="1:30">
      <c r="C9" s="15" t="s">
        <v>174</v>
      </c>
      <c r="D9" s="16" t="s">
        <v>176</v>
      </c>
      <c r="E9" s="16"/>
      <c r="F9" s="16"/>
      <c r="G9" s="39" t="s">
        <v>174</v>
      </c>
    </row>
    <row r="10" spans="1:30">
      <c r="C10" s="15" t="s">
        <v>175</v>
      </c>
      <c r="D10" s="16" t="s">
        <v>64</v>
      </c>
      <c r="E10" s="16"/>
      <c r="F10" s="16"/>
      <c r="G10" s="39" t="s">
        <v>175</v>
      </c>
      <c r="T10" s="17"/>
    </row>
    <row r="11" spans="1:30">
      <c r="C11" s="15" t="s">
        <v>177</v>
      </c>
      <c r="D11" s="16" t="s">
        <v>176</v>
      </c>
      <c r="E11" s="16"/>
      <c r="F11" s="16"/>
      <c r="G11" s="39" t="s">
        <v>177</v>
      </c>
    </row>
    <row r="12" spans="1:30">
      <c r="C12" s="15" t="s">
        <v>178</v>
      </c>
      <c r="D12" s="16" t="s">
        <v>64</v>
      </c>
      <c r="E12" s="16"/>
      <c r="F12" s="16"/>
      <c r="G12" s="39" t="s">
        <v>178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111</v>
      </c>
      <c r="D32" s="16" t="s">
        <v>64</v>
      </c>
      <c r="E32" s="16"/>
      <c r="F32" s="16"/>
      <c r="G32" s="89">
        <v>36526</v>
      </c>
      <c r="H32" s="14"/>
    </row>
    <row r="33" spans="1:30">
      <c r="C33" s="15" t="s">
        <v>112</v>
      </c>
      <c r="D33" s="16" t="s">
        <v>64</v>
      </c>
      <c r="E33" s="16"/>
      <c r="F33" s="16"/>
      <c r="G33" s="89">
        <v>36557</v>
      </c>
      <c r="H33" s="14"/>
    </row>
    <row r="34" spans="1:30">
      <c r="C34" s="15" t="s">
        <v>113</v>
      </c>
      <c r="D34" s="16" t="s">
        <v>64</v>
      </c>
      <c r="E34" s="16"/>
      <c r="F34" s="16"/>
      <c r="G34" s="89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89">
        <v>36617</v>
      </c>
    </row>
    <row r="36" spans="1:30">
      <c r="C36" s="15" t="s">
        <v>115</v>
      </c>
      <c r="D36" s="16" t="s">
        <v>64</v>
      </c>
      <c r="E36" s="16"/>
      <c r="F36" s="16"/>
      <c r="G36" s="89">
        <v>36647</v>
      </c>
    </row>
    <row r="37" spans="1:30">
      <c r="C37" s="15" t="s">
        <v>116</v>
      </c>
      <c r="D37" s="16" t="s">
        <v>64</v>
      </c>
      <c r="E37" s="16"/>
      <c r="F37" s="16"/>
      <c r="G37" s="89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89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89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89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89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89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89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4">
        <v>40695</v>
      </c>
      <c r="D48" s="16" t="s">
        <v>64</v>
      </c>
      <c r="E48" s="16"/>
      <c r="F48" s="16"/>
      <c r="G48" s="90">
        <v>2011</v>
      </c>
      <c r="H48" s="102">
        <f>DATE(G48,MONTH('Input|General'!$G$9),1)</f>
        <v>40695</v>
      </c>
      <c r="I48" s="101" t="str">
        <f>G48-1&amp;"–"&amp;RIGHT(G48,2)</f>
        <v>2010–11</v>
      </c>
    </row>
    <row r="49" spans="3:20">
      <c r="C49" s="94">
        <v>41061</v>
      </c>
      <c r="D49" s="16" t="s">
        <v>64</v>
      </c>
      <c r="E49" s="16"/>
      <c r="F49" s="16"/>
      <c r="G49" s="90">
        <v>2012</v>
      </c>
      <c r="H49" s="102">
        <f>DATE(G49,MONTH('Input|General'!$G$9),1)</f>
        <v>41061</v>
      </c>
      <c r="I49" s="101" t="str">
        <f t="shared" ref="I49:I67" si="0">G49-1&amp;"–"&amp;RIGHT(G49,2)</f>
        <v>2011–12</v>
      </c>
    </row>
    <row r="50" spans="3:20">
      <c r="C50" s="94">
        <v>41426</v>
      </c>
      <c r="D50" s="16" t="s">
        <v>64</v>
      </c>
      <c r="E50" s="16"/>
      <c r="F50" s="16"/>
      <c r="G50" s="90">
        <v>2013</v>
      </c>
      <c r="H50" s="102">
        <f>DATE(G50,MONTH('Input|General'!$G$9),1)</f>
        <v>41426</v>
      </c>
      <c r="I50" s="101" t="str">
        <f t="shared" si="0"/>
        <v>2012–13</v>
      </c>
    </row>
    <row r="51" spans="3:20">
      <c r="C51" s="94">
        <v>41791</v>
      </c>
      <c r="D51" s="16" t="s">
        <v>64</v>
      </c>
      <c r="E51" s="16"/>
      <c r="F51" s="16"/>
      <c r="G51" s="90">
        <v>2014</v>
      </c>
      <c r="H51" s="102">
        <f>DATE(G51,MONTH('Input|General'!$G$9),1)</f>
        <v>41791</v>
      </c>
      <c r="I51" s="101" t="str">
        <f t="shared" si="0"/>
        <v>2013–14</v>
      </c>
    </row>
    <row r="52" spans="3:20">
      <c r="C52" s="94">
        <v>42156</v>
      </c>
      <c r="D52" s="16" t="s">
        <v>64</v>
      </c>
      <c r="E52" s="16"/>
      <c r="F52" s="16"/>
      <c r="G52" s="90">
        <v>2015</v>
      </c>
      <c r="H52" s="102">
        <f>DATE(G52,MONTH('Input|General'!$G$9),1)</f>
        <v>42156</v>
      </c>
      <c r="I52" s="101" t="str">
        <f t="shared" si="0"/>
        <v>2014–15</v>
      </c>
      <c r="T52" s="17"/>
    </row>
    <row r="53" spans="3:20">
      <c r="C53" s="94">
        <v>42522</v>
      </c>
      <c r="D53" s="16" t="s">
        <v>64</v>
      </c>
      <c r="E53" s="16"/>
      <c r="F53" s="16"/>
      <c r="G53" s="90">
        <v>2016</v>
      </c>
      <c r="H53" s="102">
        <f>DATE(G53,MONTH('Input|General'!$G$9),1)</f>
        <v>42522</v>
      </c>
      <c r="I53" s="101" t="str">
        <f t="shared" si="0"/>
        <v>2015–16</v>
      </c>
      <c r="T53" s="17"/>
    </row>
    <row r="54" spans="3:20">
      <c r="C54" s="94">
        <v>42887</v>
      </c>
      <c r="D54" s="16" t="s">
        <v>64</v>
      </c>
      <c r="E54" s="16"/>
      <c r="F54" s="16"/>
      <c r="G54" s="90">
        <v>2017</v>
      </c>
      <c r="H54" s="102">
        <f>DATE(G54,MONTH('Input|General'!$G$9),1)</f>
        <v>42887</v>
      </c>
      <c r="I54" s="101" t="str">
        <f t="shared" si="0"/>
        <v>2016–17</v>
      </c>
      <c r="T54" s="17"/>
    </row>
    <row r="55" spans="3:20">
      <c r="C55" s="94">
        <v>43252</v>
      </c>
      <c r="D55" s="16" t="s">
        <v>64</v>
      </c>
      <c r="E55" s="16"/>
      <c r="F55" s="16"/>
      <c r="G55" s="90">
        <v>2018</v>
      </c>
      <c r="H55" s="102">
        <f>DATE(G55,MONTH('Input|General'!$G$9),1)</f>
        <v>43252</v>
      </c>
      <c r="I55" s="101" t="str">
        <f t="shared" si="0"/>
        <v>2017–18</v>
      </c>
      <c r="T55" s="17"/>
    </row>
    <row r="56" spans="3:20">
      <c r="C56" s="94">
        <v>43617</v>
      </c>
      <c r="D56" s="16" t="s">
        <v>64</v>
      </c>
      <c r="E56" s="16"/>
      <c r="F56" s="16"/>
      <c r="G56" s="90">
        <v>2019</v>
      </c>
      <c r="H56" s="102">
        <f>DATE(G56,MONTH('Input|General'!$G$9),1)</f>
        <v>43617</v>
      </c>
      <c r="I56" s="101" t="str">
        <f t="shared" si="0"/>
        <v>2018–19</v>
      </c>
      <c r="T56" s="17"/>
    </row>
    <row r="57" spans="3:20">
      <c r="C57" s="94">
        <v>43983</v>
      </c>
      <c r="D57" s="16" t="s">
        <v>64</v>
      </c>
      <c r="E57" s="16"/>
      <c r="F57" s="16"/>
      <c r="G57" s="90">
        <v>2020</v>
      </c>
      <c r="H57" s="102">
        <f>DATE(G57,MONTH('Input|General'!$G$9),1)</f>
        <v>43983</v>
      </c>
      <c r="I57" s="101" t="str">
        <f t="shared" si="0"/>
        <v>2019–20</v>
      </c>
      <c r="T57" s="17"/>
    </row>
    <row r="58" spans="3:20">
      <c r="C58" s="94">
        <v>44348</v>
      </c>
      <c r="D58" s="16" t="s">
        <v>64</v>
      </c>
      <c r="E58" s="16"/>
      <c r="F58" s="16"/>
      <c r="G58" s="90">
        <v>2021</v>
      </c>
      <c r="H58" s="102">
        <f>DATE(G58,MONTH('Input|General'!$G$9),1)</f>
        <v>44348</v>
      </c>
      <c r="I58" s="101" t="str">
        <f t="shared" si="0"/>
        <v>2020–21</v>
      </c>
      <c r="T58" s="17"/>
    </row>
    <row r="59" spans="3:20">
      <c r="C59" s="94">
        <v>44713</v>
      </c>
      <c r="D59" s="16" t="s">
        <v>64</v>
      </c>
      <c r="E59" s="16"/>
      <c r="F59" s="16"/>
      <c r="G59" s="90">
        <v>2022</v>
      </c>
      <c r="H59" s="102">
        <f>DATE(G59,MONTH('Input|General'!$G$9),1)</f>
        <v>44713</v>
      </c>
      <c r="I59" s="101" t="str">
        <f t="shared" si="0"/>
        <v>2021–22</v>
      </c>
      <c r="T59" s="17"/>
    </row>
    <row r="60" spans="3:20">
      <c r="C60" s="94">
        <v>45078</v>
      </c>
      <c r="D60" s="16" t="s">
        <v>64</v>
      </c>
      <c r="E60" s="16"/>
      <c r="F60" s="16"/>
      <c r="G60" s="90">
        <v>2023</v>
      </c>
      <c r="H60" s="102">
        <f>DATE(G60,MONTH('Input|General'!$G$9),1)</f>
        <v>45078</v>
      </c>
      <c r="I60" s="101" t="str">
        <f t="shared" si="0"/>
        <v>2022–23</v>
      </c>
      <c r="T60" s="17"/>
    </row>
    <row r="61" spans="3:20">
      <c r="C61" s="94">
        <v>45444</v>
      </c>
      <c r="D61" s="16" t="s">
        <v>64</v>
      </c>
      <c r="E61" s="16"/>
      <c r="F61" s="16"/>
      <c r="G61" s="90">
        <v>2024</v>
      </c>
      <c r="H61" s="102">
        <f>DATE(G61,MONTH('Input|General'!$G$9),1)</f>
        <v>45444</v>
      </c>
      <c r="I61" s="101" t="str">
        <f t="shared" si="0"/>
        <v>2023–24</v>
      </c>
      <c r="T61" s="17"/>
    </row>
    <row r="62" spans="3:20">
      <c r="C62" s="94">
        <v>45809</v>
      </c>
      <c r="D62" s="16" t="s">
        <v>64</v>
      </c>
      <c r="E62" s="16"/>
      <c r="F62" s="16"/>
      <c r="G62" s="90">
        <v>2025</v>
      </c>
      <c r="H62" s="102">
        <f>DATE(G62,MONTH('Input|General'!$G$9),1)</f>
        <v>45809</v>
      </c>
      <c r="I62" s="101" t="str">
        <f t="shared" si="0"/>
        <v>2024–25</v>
      </c>
      <c r="T62" s="17"/>
    </row>
    <row r="63" spans="3:20">
      <c r="C63" s="94">
        <v>46174</v>
      </c>
      <c r="D63" s="16" t="s">
        <v>64</v>
      </c>
      <c r="E63" s="16"/>
      <c r="F63" s="16"/>
      <c r="G63" s="90">
        <v>2026</v>
      </c>
      <c r="H63" s="102">
        <f>DATE(G63,MONTH('Input|General'!$G$9),1)</f>
        <v>46174</v>
      </c>
      <c r="I63" s="101" t="str">
        <f t="shared" si="0"/>
        <v>2025–26</v>
      </c>
      <c r="T63" s="17"/>
    </row>
    <row r="64" spans="3:20">
      <c r="C64" s="94">
        <v>46539</v>
      </c>
      <c r="D64" s="16" t="s">
        <v>64</v>
      </c>
      <c r="E64" s="16"/>
      <c r="F64" s="16"/>
      <c r="G64" s="90">
        <v>2027</v>
      </c>
      <c r="H64" s="102">
        <f>DATE(G64,MONTH('Input|General'!$G$9),1)</f>
        <v>46539</v>
      </c>
      <c r="I64" s="101" t="str">
        <f t="shared" si="0"/>
        <v>2026–27</v>
      </c>
      <c r="T64" s="17"/>
    </row>
    <row r="65" spans="1:30">
      <c r="C65" s="94">
        <v>46905</v>
      </c>
      <c r="D65" s="16" t="s">
        <v>64</v>
      </c>
      <c r="E65" s="16"/>
      <c r="F65" s="16"/>
      <c r="G65" s="90">
        <v>2028</v>
      </c>
      <c r="H65" s="102">
        <f>DATE(G65,MONTH('Input|General'!$G$9),1)</f>
        <v>46905</v>
      </c>
      <c r="I65" s="101" t="str">
        <f t="shared" si="0"/>
        <v>2027–28</v>
      </c>
      <c r="T65" s="17"/>
    </row>
    <row r="66" spans="1:30">
      <c r="C66" s="94">
        <v>47270</v>
      </c>
      <c r="D66" s="16" t="s">
        <v>64</v>
      </c>
      <c r="E66" s="16"/>
      <c r="F66" s="16"/>
      <c r="G66" s="90">
        <v>2029</v>
      </c>
      <c r="H66" s="102">
        <f>DATE(G66,MONTH('Input|General'!$G$9),1)</f>
        <v>47270</v>
      </c>
      <c r="I66" s="101" t="str">
        <f t="shared" si="0"/>
        <v>2028–29</v>
      </c>
      <c r="T66" s="17"/>
    </row>
    <row r="67" spans="1:30">
      <c r="C67" s="94">
        <v>47635</v>
      </c>
      <c r="D67" s="16" t="s">
        <v>64</v>
      </c>
      <c r="E67" s="16"/>
      <c r="F67" s="16"/>
      <c r="G67" s="90">
        <v>2030</v>
      </c>
      <c r="H67" s="102">
        <f>DATE(G67,MONTH('Input|General'!$G$9),1)</f>
        <v>47635</v>
      </c>
      <c r="I67" s="101" t="str">
        <f t="shared" si="0"/>
        <v>2029–30</v>
      </c>
      <c r="T67" s="17"/>
    </row>
    <row r="68" spans="1:30"/>
    <row r="69" spans="1:30" customFormat="1" ht="12.75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>
      <c r="C72" s="15" t="s">
        <v>156</v>
      </c>
      <c r="D72" s="16" t="s">
        <v>93</v>
      </c>
      <c r="E72" s="20"/>
      <c r="F72" s="14"/>
      <c r="G72" s="101" t="str">
        <f>IF(H72="","",IF(MONTH(H72)=12,YEAR(H72),YEAR(H72)-1&amp;"–"&amp;RIGHT(YEAR(H72),2)))</f>
        <v>2019–20</v>
      </c>
      <c r="H72" s="102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1" t="str">
        <f t="shared" ref="G73:G82" si="1">IF(H73="","",IF(MONTH(H73)=12,YEAR(H73),YEAR(H73)-1&amp;"–"&amp;RIGHT(YEAR(H73),2)))</f>
        <v>2020–21</v>
      </c>
      <c r="H73" s="102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1" t="str">
        <f t="shared" si="1"/>
        <v>2021–22</v>
      </c>
      <c r="H74" s="102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1" t="str">
        <f t="shared" si="1"/>
        <v>2022–23</v>
      </c>
      <c r="H75" s="102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1" t="str">
        <f t="shared" si="1"/>
        <v>2023–24</v>
      </c>
      <c r="H76" s="102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1" t="str">
        <f t="shared" si="1"/>
        <v>2024–25</v>
      </c>
      <c r="H77" s="102">
        <f>IF(PPLastYear-PPFirstYear&lt;4,"",DATE(PPFirstYear+4,MONTH('Input|General'!$G$9),1))</f>
        <v>45809</v>
      </c>
    </row>
    <row r="78" spans="1:30">
      <c r="C78" s="15" t="s">
        <v>157</v>
      </c>
      <c r="D78" s="16" t="s">
        <v>93</v>
      </c>
      <c r="E78" s="16"/>
      <c r="F78" s="16"/>
      <c r="G78" s="101" t="str">
        <f t="shared" si="1"/>
        <v/>
      </c>
      <c r="H78" s="102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1" t="str">
        <f t="shared" si="1"/>
        <v>2025–26</v>
      </c>
      <c r="H79" s="102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1" t="str">
        <f t="shared" si="1"/>
        <v>2026–27</v>
      </c>
      <c r="H80" s="102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1" t="str">
        <f t="shared" si="1"/>
        <v>2027–28</v>
      </c>
      <c r="H81" s="102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1" t="str">
        <f t="shared" si="1"/>
        <v>2028–29</v>
      </c>
      <c r="H82" s="102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1" t="str">
        <f>IF(H83="","",IF(MONTH(H83)=12,YEAR(H83),YEAR(H83)-1&amp;"–"&amp;RIGHT(YEAR(H83),2)))</f>
        <v>2029–30</v>
      </c>
      <c r="H83" s="102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08"/>
      <c r="H84" s="109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  <ignoredErrors>
    <ignoredError sqref="G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P1" s="226" t="s">
        <v>226</v>
      </c>
      <c r="R1" s="181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.2" customHeight="1"/>
    <row r="5" spans="1:30" s="6" customFormat="1" ht="9" customHeight="1"/>
    <row r="6" spans="1:30" s="6" customFormat="1" ht="3.2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182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82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82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182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82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Index!C13</f>
        <v>Calc | Opex Forecast</v>
      </c>
      <c r="D15" s="182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Index!C14</f>
        <v>Output | Models</v>
      </c>
      <c r="D16" s="182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Number xmlns="58dd876c-ba06-4341-9d47-b53ee198fe78" xsi:nil="true"/>
    <TaxCatchAll xmlns="cce62ca5-22ea-47d8-bfd0-cf180537c9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9" ma:contentTypeDescription="Create a new document." ma:contentTypeScope="" ma:versionID="b18867fc83c7e01cca546dcd928679e1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c1927a424c194374422097949a24d2c7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65cc12-27ff-4f88-a6ad-e1037d372a1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69FD1-547F-4D1D-A943-47F19D30E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99969D-B4DA-415D-BEB2-1628FE42B743}">
  <ds:schemaRefs>
    <ds:schemaRef ds:uri="http://schemas.microsoft.com/office/infopath/2007/PartnerControls"/>
    <ds:schemaRef ds:uri="http://schemas.microsoft.com/office/2006/documentManagement/types"/>
    <ds:schemaRef ds:uri="cce62ca5-22ea-47d8-bfd0-cf180537c997"/>
    <ds:schemaRef ds:uri="http://schemas.microsoft.com/office/2006/metadata/properties"/>
    <ds:schemaRef ds:uri="http://purl.org/dc/elements/1.1/"/>
    <ds:schemaRef ds:uri="58dd876c-ba06-4341-9d47-b53ee198fe78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7283F3-CAD1-4692-84F0-5E4ECFD9F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Change Log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Input|UAG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Atkinson</dc:creator>
  <cp:lastModifiedBy>Eli Atkinson</cp:lastModifiedBy>
  <dcterms:created xsi:type="dcterms:W3CDTF">2024-11-21T23:08:04Z</dcterms:created>
  <dcterms:modified xsi:type="dcterms:W3CDTF">2025-01-13T05:47:01Z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</Properties>
</file>