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6" documentId="13_ncr:1_{49E1CBA5-4DEB-49CE-A268-7D6035547EC5}" xr6:coauthVersionLast="47" xr6:coauthVersionMax="47" xr10:uidLastSave="{411942EE-1E7B-4193-B7A0-F5AF4C3ABBA7}"/>
  <bookViews>
    <workbookView xWindow="-120" yWindow="-120" windowWidth="29040" windowHeight="15840" tabRatio="742" xr2:uid="{B1B42861-EE58-4CCE-AC67-8C86072CE093}"/>
  </bookViews>
  <sheets>
    <sheet name="CONTENTS" sheetId="3" r:id="rId1"/>
    <sheet name="Business &amp; other details" sheetId="4" r:id="rId2"/>
    <sheet name="Assurance requirements by table" sheetId="47" r:id="rId3"/>
    <sheet name="2.1 Expenditure summary" sheetId="5" r:id="rId4"/>
    <sheet name="2.2 Repex" sheetId="6" r:id="rId5"/>
    <sheet name="2.3c Material projects" sheetId="7" r:id="rId6"/>
    <sheet name="2.5 Connections" sheetId="8" r:id="rId7"/>
    <sheet name="2.6 Non-network" sheetId="9" r:id="rId8"/>
    <sheet name="2.7 Vegetation management" sheetId="10" r:id="rId9"/>
    <sheet name="2.8 Maintenance" sheetId="11" r:id="rId10"/>
    <sheet name="2.10 Overheads" sheetId="13" r:id="rId11"/>
    <sheet name="5.2 Asset Age Profile" sheetId="24" r:id="rId12"/>
    <sheet name="3.1 Revenue" sheetId="16" r:id="rId13"/>
    <sheet name="3.2.3 Provisions" sheetId="18" r:id="rId14"/>
    <sheet name="3.5 Physical assets" sheetId="21" r:id="rId15"/>
    <sheet name="3.6 Quality of services" sheetId="22" r:id="rId16"/>
    <sheet name="2.4 Hist Capex by Asset Class" sheetId="40" r:id="rId17"/>
    <sheet name="8.5 DISAGG Opex" sheetId="33" r:id="rId18"/>
    <sheet name="9.1 DISAGG Inc" sheetId="36" r:id="rId19"/>
    <sheet name=" 9.2 RFS Inc" sheetId="41" r:id="rId20"/>
    <sheet name="7.6 PTS Price Redn" sheetId="44" r:id="rId21"/>
    <sheet name="7.7 Inf Rel Part Trans" sheetId="43" r:id="rId22"/>
    <sheet name="7.9 MIC" sheetId="38" r:id="rId23"/>
    <sheet name="7.5 Large projects" sheetId="34" r:id="rId24"/>
    <sheet name="8.6 Ind Asset Base Roll Fwd" sheetId="45" r:id="rId25"/>
    <sheet name="8.8 Revenue Requirements" sheetId="37" r:id="rId26"/>
    <sheet name="NSP additional information" sheetId="27" r:id="rId27"/>
    <sheet name="LOS - x &amp; y values" sheetId="46" state="hidden" r:id="rId28"/>
    <sheet name="AER CF" sheetId="28" state="hidden" r:id="rId29"/>
    <sheet name="AER NRs" sheetId="29" state="hidden" r:id="rId30"/>
    <sheet name="AER lookups" sheetId="30" state="hidden" r:id="rId31"/>
    <sheet name="AER ETL" sheetId="31" state="hidden" r:id="rId32"/>
  </sheets>
  <definedNames>
    <definedName name="_xlnm._FilterDatabase" localSheetId="13" hidden="1">'3.2.3 Provisions'!$D$1:$D$374</definedName>
    <definedName name="ARR">'AER lookups'!$C$23</definedName>
    <definedName name="ARR_Fmt2">'AER lookups'!$D$23</definedName>
    <definedName name="CA">'AER lookups'!$C$24</definedName>
    <definedName name="CA_Fmt2">'AER lookups'!$D$24</definedName>
    <definedName name="Calendar">'AER lookups'!$C$37:$C$86</definedName>
    <definedName name="CESS">'AER lookups'!$C$25</definedName>
    <definedName name="CESS_Fmt2">'AER lookups'!$D$25</definedName>
    <definedName name="CPI">'AER lookups'!$C$26</definedName>
    <definedName name="CPI_Fmt2">'AER lookups'!$D$26</definedName>
    <definedName name="CRCP_final_year">'AER ETL'!$C$47</definedName>
    <definedName name="CRCP_start_year">'AER ETL'!$C$44</definedName>
    <definedName name="CRCP_y1">'AER lookups'!$G$37</definedName>
    <definedName name="CRCP_y10">'AER lookups'!$G$46</definedName>
    <definedName name="CRCP_y11">'AER lookups'!$G$47</definedName>
    <definedName name="CRCP_y12">'AER lookups'!$G$48</definedName>
    <definedName name="CRCP_y13">'AER lookups'!$G$49</definedName>
    <definedName name="CRCP_y14">'AER lookups'!$G$50</definedName>
    <definedName name="CRCP_y15">'AER lookups'!$G$51</definedName>
    <definedName name="CRCP_y16">'AER lookups'!$G$52</definedName>
    <definedName name="CRCP_y2">'AER lookups'!$G$38</definedName>
    <definedName name="CRCP_y3">'AER lookups'!$G$39</definedName>
    <definedName name="CRCP_y4">'AER lookups'!$G$40</definedName>
    <definedName name="CRCP_y5">'AER lookups'!$G$41</definedName>
    <definedName name="CRCP_y6">'AER lookups'!$G$42</definedName>
    <definedName name="CRCP_y7">'AER lookups'!$G$43</definedName>
    <definedName name="CRCP_y8">'AER lookups'!$G$44</definedName>
    <definedName name="CRCP_y9">'AER lookups'!$G$45</definedName>
    <definedName name="CRY">'Business &amp; other details'!$V$38</definedName>
    <definedName name="dms_020101_DE_Values">'2.1 Expenditure summary'!$G$13:$G$21</definedName>
    <definedName name="dms_020101_IE_Values">'2.1 Expenditure summary'!$H$13:$H$21</definedName>
    <definedName name="dms_020101_Rows">'2.1 Expenditure summary'!$D$13:$D$21</definedName>
    <definedName name="dms_020101_Values">'2.1 Expenditure summary'!$F$13:$F$21</definedName>
    <definedName name="dms_020102_DE_Values">'2.1 Expenditure summary'!$G$31:$G$36</definedName>
    <definedName name="dms_020102_IE_Values">'2.1 Expenditure summary'!$H$31:$H$36</definedName>
    <definedName name="dms_020102_Rows">'2.1 Expenditure summary'!$D$31:$D$36</definedName>
    <definedName name="dms_020102_Values">'2.1 Expenditure summary'!$F$31:$F$36</definedName>
    <definedName name="dms_020201_01_Exp_Values">'2.2 Repex'!$F$16:$F$16</definedName>
    <definedName name="dms_020201_01_Fail_Values">'2.2 Repex'!$H$16:$H$16</definedName>
    <definedName name="dms_020201_01_Repl_Values">'2.2 Repex'!$G$16:$G$16</definedName>
    <definedName name="dms_020201_01_Rows">'2.2 Repex'!#REF!</definedName>
    <definedName name="dms_020201_02_Exp_Values">'2.2 Repex'!#REF!</definedName>
    <definedName name="dms_020201_02_Fail_Values">'2.2 Repex'!#REF!</definedName>
    <definedName name="dms_020201_02_Repl_Values">'2.2 Repex'!#REF!</definedName>
    <definedName name="dms_020201_02_Rows">'2.2 Repex'!#REF!</definedName>
    <definedName name="dms_020201_03_Exp_Values">'2.2 Repex'!#REF!</definedName>
    <definedName name="dms_020201_03_Fail_Values">'2.2 Repex'!#REF!</definedName>
    <definedName name="dms_020201_03_Repl_Values">'2.2 Repex'!#REF!</definedName>
    <definedName name="dms_020201_03_Rows">'2.2 Repex'!#REF!</definedName>
    <definedName name="dms_020201_04_Exp_Values">'2.2 Repex'!#REF!</definedName>
    <definedName name="dms_020201_04_Fail_Values">'2.2 Repex'!#REF!</definedName>
    <definedName name="dms_020201_04_Repl_Values">'2.2 Repex'!#REF!</definedName>
    <definedName name="dms_020201_04_Rows">'2.2 Repex'!#REF!</definedName>
    <definedName name="dms_020201_05_Exp_Values">'2.2 Repex'!#REF!</definedName>
    <definedName name="dms_020201_05_Fail_Values">'2.2 Repex'!#REF!</definedName>
    <definedName name="dms_020201_05_Repl_Values">'2.2 Repex'!#REF!</definedName>
    <definedName name="dms_020201_05_Rows">'2.2 Repex'!#REF!</definedName>
    <definedName name="dms_020201_06_Exp_Values">'2.2 Repex'!#REF!</definedName>
    <definedName name="dms_020201_06_Fail_Values">'2.2 Repex'!#REF!</definedName>
    <definedName name="dms_020201_06_Repl_Values">'2.2 Repex'!#REF!</definedName>
    <definedName name="dms_020201_06_Rows">'2.2 Repex'!#REF!</definedName>
    <definedName name="dms_020201_07_Exp_Values">'2.2 Repex'!#REF!</definedName>
    <definedName name="dms_020201_07_Fail_Values">'2.2 Repex'!#REF!</definedName>
    <definedName name="dms_020201_07_Repl_Values">'2.2 Repex'!#REF!</definedName>
    <definedName name="dms_020201_07_Rows">'2.2 Repex'!#REF!</definedName>
    <definedName name="dms_020201_08_Exp_Values">'2.2 Repex'!#REF!</definedName>
    <definedName name="dms_020201_08_Fail_Values">'2.2 Repex'!#REF!</definedName>
    <definedName name="dms_020201_08_Repl_Values">'2.2 Repex'!#REF!</definedName>
    <definedName name="dms_020201_08_Rows">'2.2 Repex'!#REF!</definedName>
    <definedName name="dms_020201_09_Exp_Values">'2.2 Repex'!#REF!</definedName>
    <definedName name="dms_020201_09_Fail_Values">'2.2 Repex'!#REF!</definedName>
    <definedName name="dms_020201_09_Repl_Values">'2.2 Repex'!#REF!</definedName>
    <definedName name="dms_020201_09_Rows">'2.2 Repex'!#REF!</definedName>
    <definedName name="dms_020202_01_Com_Values">'2.2 Repex'!#REF!</definedName>
    <definedName name="dms_020202_01_Fail_Values">'2.2 Repex'!#REF!</definedName>
    <definedName name="dms_020202_01_Repl_Values">'2.2 Repex'!#REF!</definedName>
    <definedName name="dms_020202_01_Rows">'2.2 Repex'!#REF!</definedName>
    <definedName name="dms_020202_02_Com_Values">'2.2 Repex'!#REF!</definedName>
    <definedName name="dms_020202_02_Fail_Values">'2.2 Repex'!#REF!</definedName>
    <definedName name="dms_020202_02_Repl_Values">'2.2 Repex'!#REF!</definedName>
    <definedName name="dms_020202_02_Rows">'2.2 Repex'!#REF!</definedName>
    <definedName name="dms_020301_Rows">'2.3c Material projects'!#REF!</definedName>
    <definedName name="dms_020301_UOM">'2.3c Material projects'!#REF!</definedName>
    <definedName name="dms_020301_Values">'2.3c Material projects'!#REF!</definedName>
    <definedName name="dms_020303_01_UOM">'AER NRs'!$C$84:$C$90</definedName>
    <definedName name="dms_020401_01_Rows">'2.4 Hist Capex by Asset Class'!$D$13:$D$54</definedName>
    <definedName name="dms_020401_01_Values">'2.4 Hist Capex by Asset Class'!$F$13:$F$54</definedName>
    <definedName name="dms_020401_02_Rows">'2.4 Hist Capex by Asset Class'!$D$57:$D$98</definedName>
    <definedName name="dms_020401_02_Values">'2.4 Hist Capex by Asset Class'!$F$57:$F$98</definedName>
    <definedName name="dms_020401_03_Rows">'2.4 Hist Capex by Asset Class'!$D$100:$D$141</definedName>
    <definedName name="dms_020401_03_Values">'2.4 Hist Capex by Asset Class'!$F$100:$F$141</definedName>
    <definedName name="dms_020401_04_Rows">'2.4 Hist Capex by Asset Class'!$D$143:$D$184</definedName>
    <definedName name="dms_020401_04_Values">'2.4 Hist Capex by Asset Class'!$F$143:$F$184</definedName>
    <definedName name="dms_020401_05_Rows">'2.4 Hist Capex by Asset Class'!$D$187:$D$228</definedName>
    <definedName name="dms_020401_05_Values">'2.4 Hist Capex by Asset Class'!$F$187:$F$228</definedName>
    <definedName name="dms_020401_06_Rows">'2.4 Hist Capex by Asset Class'!$D$231:$D$245</definedName>
    <definedName name="dms_020401_06_Values">'2.4 Hist Capex by Asset Class'!$F$231:$F$245</definedName>
    <definedName name="dms_020402_01_Rows">'2.4 Hist Capex by Asset Class'!$D$255:$D$296</definedName>
    <definedName name="dms_020402_01_Values">'2.4 Hist Capex by Asset Class'!$F$255:$F$296</definedName>
    <definedName name="dms_020402_02_Rows">'2.4 Hist Capex by Asset Class'!$D$299:$D$340</definedName>
    <definedName name="dms_020402_02_Values">'2.4 Hist Capex by Asset Class'!$F$299:$F$340</definedName>
    <definedName name="dms_020402_03_Rows">'2.4 Hist Capex by Asset Class'!$D$342:$D$383</definedName>
    <definedName name="dms_020402_03_Values">'2.4 Hist Capex by Asset Class'!$F$342:$F$383</definedName>
    <definedName name="dms_020402_04_Rows">'2.4 Hist Capex by Asset Class'!$D$385:$D$426</definedName>
    <definedName name="dms_020402_04_Values">'2.4 Hist Capex by Asset Class'!$F$385:$F$426</definedName>
    <definedName name="dms_020402_06_Rows">'2.4 Hist Capex by Asset Class'!$D$429:$D$443</definedName>
    <definedName name="dms_020402_06_Values">'2.4 Hist Capex by Asset Class'!$F$429:$F$443</definedName>
    <definedName name="dms_020501_01_Rows">'2.5 Connections'!#REF!</definedName>
    <definedName name="dms_020501_01_UOM">'AER NRs'!$D$84:$D$96</definedName>
    <definedName name="dms_020501_02_UOM">'AER NRs'!$E$84:$E$92</definedName>
    <definedName name="dms_020501_03_UOM">'AER NRs'!$F$84:$F$93</definedName>
    <definedName name="dms_020501_04_UOM">'AER NRs'!$G$84:$G$92</definedName>
    <definedName name="dms_020501_Values">'2.5 Connections'!#REF!</definedName>
    <definedName name="dms_020502_01_Values">'2.5 Connections'!$F$14:$F$43</definedName>
    <definedName name="dms_020502_02_Values">'2.5 Connections'!$G$14:$G$43</definedName>
    <definedName name="dms_020502_03_Values">'2.5 Connections'!$H$14:$H$43</definedName>
    <definedName name="dms_020502_04_Values">'2.5 Connections'!$I$14:$I$43</definedName>
    <definedName name="dms_020502_Rows">'2.5 Connections'!$D$14:$D$43</definedName>
    <definedName name="dms_020601_01_dev_opex_Rows">'2.6 Non-network'!$D$16</definedName>
    <definedName name="dms_020601_01_dev_opex_Values">'2.6 Non-network'!$F$16</definedName>
    <definedName name="dms_020601_01_non_capex_Rows">'2.6 Non-network'!#REF!</definedName>
    <definedName name="dms_020601_01_non_capex_Values">'2.6 Non-network'!#REF!</definedName>
    <definedName name="dms_020601_01_non_opex_Rows">'2.6 Non-network'!$D$39:$D$48</definedName>
    <definedName name="dms_020601_01_non_opex_Values">'2.6 Non-network'!$F$39:$F$48</definedName>
    <definedName name="dms_020601_01_opex_Values">'2.6 Non-network'!$F$16:$F$48</definedName>
    <definedName name="dms_020601_01_rec_capex_Rows">'2.6 Non-network'!#REF!</definedName>
    <definedName name="dms_020601_01_rec_capex_Values">'2.6 Non-network'!#REF!</definedName>
    <definedName name="dms_020601_01_rec_opex_Rows">'2.6 Non-network'!$D$23:$D$32</definedName>
    <definedName name="dms_020601_01_rec_opex_Values">'2.6 Non-network'!$F$23:$F$32</definedName>
    <definedName name="dms_020601_01_Rows">'2.6 Non-network'!$D$16:$D$48</definedName>
    <definedName name="dms_020601_02_capex_Values">'2.6 Non-network'!$F$61:$F$61</definedName>
    <definedName name="dms_020601_02_opex_Values">'2.6 Non-network'!#REF!</definedName>
    <definedName name="dms_020601_02_Rows">'2.6 Non-network'!#REF!</definedName>
    <definedName name="dms_020601_03_capex_Values">'2.6 Non-network'!#REF!</definedName>
    <definedName name="dms_020601_03_opex_Values">'2.6 Non-network'!$F$51</definedName>
    <definedName name="dms_020601_03_Rows">'2.6 Non-network'!$D$51</definedName>
    <definedName name="dms_020601_04_opex_Values">'2.6 Non-network'!$F$52</definedName>
    <definedName name="dms_020601_04_Rows">'2.6 Non-network'!$D$52</definedName>
    <definedName name="dms_020601_05_capex_Rows">'2.6 Non-network'!#REF!</definedName>
    <definedName name="dms_020601_05_capex_Values">'2.6 Non-network'!#REF!</definedName>
    <definedName name="dms_020602_01_Rows">'2.6 Non-network'!#REF!</definedName>
    <definedName name="dms_020602_01_Values">'2.6 Non-network'!#REF!</definedName>
    <definedName name="dms_020603_01_Rows">'2.6 Non-network'!#REF!</definedName>
    <definedName name="dms_020603_01_UOM">'2.6 Non-network'!#REF!</definedName>
    <definedName name="dms_020603_01_Values">'2.6 Non-network'!#REF!</definedName>
    <definedName name="dms_020603_02_Values">'2.6 Non-network'!#REF!</definedName>
    <definedName name="dms_020603_03_Values">'2.6 Non-network'!#REF!</definedName>
    <definedName name="dms_020603_04_Values">'2.6 Non-network'!#REF!</definedName>
    <definedName name="dms_020603_05_Values">'2.6 Non-network'!#REF!</definedName>
    <definedName name="dms_020701_01_Rows">'2.7 Vegetation management'!#REF!</definedName>
    <definedName name="dms_020701_01_UOM">'2.7 Vegetation management'!#REF!</definedName>
    <definedName name="dms_020701_01_Values">'2.7 Vegetation management'!#REF!</definedName>
    <definedName name="dms_020701_02_UOM">'AER NRs'!$I$84:$I$89</definedName>
    <definedName name="dms_020701_02_Values">'2.7 Vegetation management'!#REF!</definedName>
    <definedName name="dms_020701_03_Values">'2.7 Vegetation management'!#REF!</definedName>
    <definedName name="dms_020701_04_Values">'2.7 Vegetation management'!#REF!</definedName>
    <definedName name="dms_020701_05_Values">'2.7 Vegetation management'!#REF!</definedName>
    <definedName name="dms_020701_06_Values">'2.7 Vegetation management'!#REF!</definedName>
    <definedName name="dms_020701_07_Values">'2.7 Vegetation management'!#REF!</definedName>
    <definedName name="dms_020701_08_Values">'2.7 Vegetation management'!#REF!</definedName>
    <definedName name="dms_020701_09_Values">'2.7 Vegetation management'!#REF!</definedName>
    <definedName name="dms_020701_10_Values">'2.7 Vegetation management'!#REF!</definedName>
    <definedName name="dms_020701_11_Values">'2.7 Vegetation management'!#REF!</definedName>
    <definedName name="dms_020701_12_Values">'2.7 Vegetation management'!#REF!</definedName>
    <definedName name="dms_020702_01_Rows">'2.7 Vegetation management'!$D$13:$D$18</definedName>
    <definedName name="dms_020702_01_Values">'2.7 Vegetation management'!$F$13:$F$18</definedName>
    <definedName name="dms_020702_02_Values">'2.7 Vegetation management'!#REF!</definedName>
    <definedName name="dms_020702_03_Values">'2.7 Vegetation management'!#REF!</definedName>
    <definedName name="dms_020702_04_Values">'2.7 Vegetation management'!#REF!</definedName>
    <definedName name="dms_020702_05_Values">'2.7 Vegetation management'!#REF!</definedName>
    <definedName name="dms_020702_06_Values">'2.7 Vegetation management'!#REF!</definedName>
    <definedName name="dms_020702_07_Values">'2.7 Vegetation management'!#REF!</definedName>
    <definedName name="dms_020702_08_Values">'2.7 Vegetation management'!#REF!</definedName>
    <definedName name="dms_020702_09_Values">'2.7 Vegetation management'!#REF!</definedName>
    <definedName name="dms_020702_10_Values">'2.7 Vegetation management'!#REF!</definedName>
    <definedName name="dms_020702_11_Values">'2.7 Vegetation management'!#REF!</definedName>
    <definedName name="dms_020702_12_Values">'2.7 Vegetation management'!#REF!</definedName>
    <definedName name="dms_020703_Rows">'2.7 Vegetation management'!#REF!</definedName>
    <definedName name="dms_020703_Values">'2.7 Vegetation management'!#REF!</definedName>
    <definedName name="dms_020801_01_Values">'2.8 Maintenance'!$F$12:$F$20</definedName>
    <definedName name="dms_020801_02_Values">'2.8 Maintenance'!$G$12:$G$20</definedName>
    <definedName name="dms_020801_Rows">'2.8 Maintenance'!$D$12:$D$20</definedName>
    <definedName name="dms_020801_UOM">'2.8 Maintenance'!$E$12:$E$20</definedName>
    <definedName name="dms_020802_01_NRM_Values">'2.8 Maintenance'!$G$29:$G$32</definedName>
    <definedName name="dms_020802_01_RM_Values">'2.8 Maintenance'!$F$29:$F$32</definedName>
    <definedName name="dms_020802_01_Rows">'2.8 Maintenance'!$D$29:$D$32</definedName>
    <definedName name="dms_020802_02_NRM_Values">'2.8 Maintenance'!#REF!</definedName>
    <definedName name="dms_020802_02_RM_Values">'2.8 Maintenance'!#REF!</definedName>
    <definedName name="dms_020802_02_Rows">'2.8 Maintenance'!#REF!</definedName>
    <definedName name="dms_020802_03_NRM_Values">'2.8 Maintenance'!#REF!</definedName>
    <definedName name="dms_020802_03_RM_Values">'2.8 Maintenance'!#REF!</definedName>
    <definedName name="dms_020802_03_Rows">'2.8 Maintenance'!#REF!</definedName>
    <definedName name="dms_020802_04_NRM_Values">'2.8 Maintenance'!#REF!</definedName>
    <definedName name="dms_020802_04_RM_Values">'2.8 Maintenance'!#REF!</definedName>
    <definedName name="dms_020802_04_Rows">'2.8 Maintenance'!#REF!</definedName>
    <definedName name="dms_020802_05_NRM_Values">'2.8 Maintenance'!#REF!</definedName>
    <definedName name="dms_020802_05_RM_Values">'2.8 Maintenance'!#REF!</definedName>
    <definedName name="dms_020802_05_Rows">'2.8 Maintenance'!#REF!</definedName>
    <definedName name="dms_021001_01_capex_Values">'2.10 Overheads'!$F$16</definedName>
    <definedName name="dms_021001_01_opex_Values">'2.10 Overheads'!$F$15</definedName>
    <definedName name="dms_021001_02_capex_Values">'2.10 Overheads'!$G$16</definedName>
    <definedName name="dms_021001_02_opex_Values">'2.10 Overheads'!$G$15</definedName>
    <definedName name="dms_021001_03_capex_Values">'2.10 Overheads'!$H$16</definedName>
    <definedName name="dms_021001_03_opex_Values">'2.10 Overheads'!$H$15</definedName>
    <definedName name="dms_021001_04_capex_Values">'2.10 Overheads'!$I$16</definedName>
    <definedName name="dms_021001_04_opex_Values">'2.10 Overheads'!$I$15</definedName>
    <definedName name="dms_021001_05_capex_Values">'2.10 Overheads'!$J$16</definedName>
    <definedName name="dms_021001_05_opex_Values">'2.10 Overheads'!$J$15</definedName>
    <definedName name="dms_021001_06_capex_Values">'2.10 Overheads'!$K$16</definedName>
    <definedName name="dms_021001_06_opex_Values">'2.10 Overheads'!$K$15</definedName>
    <definedName name="dms_021001_07_capex_Values">'2.10 Overheads'!$L$16</definedName>
    <definedName name="dms_021001_07_opex_Values">'2.10 Overheads'!$L$15</definedName>
    <definedName name="dms_021001_08_capex_Values">'2.10 Overheads'!$M$16</definedName>
    <definedName name="dms_021001_08_opex_Values">'2.10 Overheads'!$M$15</definedName>
    <definedName name="dms_021001_09_capex_Values">'2.10 Overheads'!$N$16</definedName>
    <definedName name="dms_021001_09_opex_Values">'2.10 Overheads'!$N$15</definedName>
    <definedName name="dms_021001_capex_Rows">'2.10 Overheads'!$D$16</definedName>
    <definedName name="dms_021001_opex_Rows">'2.10 Overheads'!$D$15</definedName>
    <definedName name="dms_021002_01_capex_Values">'2.10 Overheads'!#REF!</definedName>
    <definedName name="dms_021002_01_opex_Values">'2.10 Overheads'!$F$22:$F$23</definedName>
    <definedName name="dms_021002_02_capex_Values">'2.10 Overheads'!#REF!</definedName>
    <definedName name="dms_021002_02_opex_Values">'2.10 Overheads'!$G$22:$G$23</definedName>
    <definedName name="dms_021002_03_capex_Values">'2.10 Overheads'!#REF!</definedName>
    <definedName name="dms_021002_03_opex_Values">'2.10 Overheads'!$H$22:$H$23</definedName>
    <definedName name="dms_021002_04_capex_Values">'2.10 Overheads'!#REF!</definedName>
    <definedName name="dms_021002_04_opex_Values">'2.10 Overheads'!$I$22:$I$23</definedName>
    <definedName name="dms_021002_05_capex_Values">'2.10 Overheads'!#REF!</definedName>
    <definedName name="dms_021002_05_opex_Values">'2.10 Overheads'!$J$22:$J$23</definedName>
    <definedName name="dms_021002_06_capex_Values">'2.10 Overheads'!#REF!</definedName>
    <definedName name="dms_021002_06_opex_Values">'2.10 Overheads'!$K$22:$K$23</definedName>
    <definedName name="dms_021002_07_capex_Values">'2.10 Overheads'!#REF!</definedName>
    <definedName name="dms_021002_07_opex_Values">'2.10 Overheads'!$L$22:$L$23</definedName>
    <definedName name="dms_021002_08_capex_Values">'2.10 Overheads'!#REF!</definedName>
    <definedName name="dms_021002_08_opex_Values">'2.10 Overheads'!$M$22:$M$23</definedName>
    <definedName name="dms_021002_09_capex_Values">'2.10 Overheads'!#REF!</definedName>
    <definedName name="dms_021002_09_opex_Values">'2.10 Overheads'!$N$22:$N$23</definedName>
    <definedName name="dms_021002_capex_Rows">'2.10 Overheads'!#REF!</definedName>
    <definedName name="dms_021002_opex_Rows">'2.10 Overheads'!$D$22:$D$23</definedName>
    <definedName name="dms_021201_01_Contract_Values">#REF!</definedName>
    <definedName name="dms_021201_01_ContractNL_Values">#REF!</definedName>
    <definedName name="dms_021201_01_Labour_Values">#REF!</definedName>
    <definedName name="dms_021201_01_Material_Values">#REF!</definedName>
    <definedName name="dms_021201_01_Other_Values">#REF!</definedName>
    <definedName name="dms_021201_01_Rows">#REF!</definedName>
    <definedName name="dms_021201_01_RPCmargin_Values">#REF!</definedName>
    <definedName name="dms_021201_02_Contract_Values">#REF!</definedName>
    <definedName name="dms_021201_02_ContractNL_Values">#REF!</definedName>
    <definedName name="dms_021201_02_Labour_Values">#REF!</definedName>
    <definedName name="dms_021201_02_Material_Values">#REF!</definedName>
    <definedName name="dms_021201_02_Other_Values">#REF!</definedName>
    <definedName name="dms_021201_02_Rows">#REF!</definedName>
    <definedName name="dms_021201_02_RPCmargin_Values">#REF!</definedName>
    <definedName name="dms_021201_03_Contract_Values">#REF!</definedName>
    <definedName name="dms_021201_03_ContractNL_Values">#REF!</definedName>
    <definedName name="dms_021201_03_Labour_Values">#REF!</definedName>
    <definedName name="dms_021201_03_Material_Values">#REF!</definedName>
    <definedName name="dms_021201_03_Other_Values">#REF!</definedName>
    <definedName name="dms_021201_03_Rows">#REF!</definedName>
    <definedName name="dms_021201_03_RPCmargin_Values">#REF!</definedName>
    <definedName name="dms_021201_04_Contract_Values">#REF!</definedName>
    <definedName name="dms_021201_04_ContractNL_Values">#REF!</definedName>
    <definedName name="dms_021201_04_Labour_Values">#REF!</definedName>
    <definedName name="dms_021201_04_Material_Values">#REF!</definedName>
    <definedName name="dms_021201_04_Other_Values">#REF!</definedName>
    <definedName name="dms_021201_04_Rows">#REF!</definedName>
    <definedName name="dms_021201_04_RPCmargin_Values">#REF!</definedName>
    <definedName name="dms_021201_07_Contract_Values">#REF!</definedName>
    <definedName name="dms_021201_07_ContractNL_Values">#REF!</definedName>
    <definedName name="dms_021201_07_Labour_Values">#REF!</definedName>
    <definedName name="dms_021201_07_Material_Values">#REF!</definedName>
    <definedName name="dms_021201_07_Other_Values">#REF!</definedName>
    <definedName name="dms_021201_07_Rows">#REF!</definedName>
    <definedName name="dms_021201_09_Contract_Values">#REF!</definedName>
    <definedName name="dms_021201_09_ContractNL_Values">#REF!</definedName>
    <definedName name="dms_021201_09_Labour_Values">#REF!</definedName>
    <definedName name="dms_021201_09_Material_Values">#REF!</definedName>
    <definedName name="dms_021201_09_Other_Values">#REF!</definedName>
    <definedName name="dms_021201_09_Rows">#REF!</definedName>
    <definedName name="dms_021201_09_RPCmargin_Values">#REF!</definedName>
    <definedName name="dms_030102_01_Rows">'3.1 Revenue'!#REF!</definedName>
    <definedName name="dms_030102_01_Values">'3.1 Revenue'!#REF!</definedName>
    <definedName name="dms_030103_01_Rows">'3.1 Revenue'!$D$12:$D$23</definedName>
    <definedName name="dms_030103_01_Values">'3.1 Revenue'!$F$12:$F$23</definedName>
    <definedName name="dms_030203_01_Rows">'3.2.3 Provisions'!$D$33</definedName>
    <definedName name="dms_030203_02_Rows">'3.2.3 Provisions'!$D$35:$D$37</definedName>
    <definedName name="dms_030203_03_Rows">'3.2.3 Provisions'!$D$50</definedName>
    <definedName name="dms_030203_P01_01_Values">'3.2.3 Provisions'!$F$33</definedName>
    <definedName name="dms_030203_P01_02_01_Values">'3.2.3 Provisions'!$F$35:$F$37</definedName>
    <definedName name="dms_030203_P01_02_02_Values">'3.2.3 Provisions'!$F$39:$F$41</definedName>
    <definedName name="dms_030203_P01_02_03_Values">'3.2.3 Provisions'!$F$43:$F$45</definedName>
    <definedName name="dms_030203_P01_02_04_Values">'3.2.3 Provisions'!$F$47:$F$49</definedName>
    <definedName name="dms_030203_P01_03_Values">'3.2.3 Provisions'!$F$50</definedName>
    <definedName name="dms_030203_P02_01_Values">'3.2.3 Provisions'!$F$52</definedName>
    <definedName name="dms_030203_P02_02_01_Values">'3.2.3 Provisions'!$F$54:$F$56</definedName>
    <definedName name="dms_030203_P02_02_02_Values">'3.2.3 Provisions'!$F$58:$F$60</definedName>
    <definedName name="dms_030203_P02_02_03_Values">'3.2.3 Provisions'!$F$62:$F$64</definedName>
    <definedName name="dms_030203_P02_02_04_Values">'3.2.3 Provisions'!$F$66:$F$68</definedName>
    <definedName name="dms_030203_P02_03_Values">'3.2.3 Provisions'!$F$69</definedName>
    <definedName name="dms_030203_P03_01_Values">'3.2.3 Provisions'!$F$71</definedName>
    <definedName name="dms_030203_P03_02_01_Values">'3.2.3 Provisions'!$F$73:$F$75</definedName>
    <definedName name="dms_030203_P03_02_02_Values">'3.2.3 Provisions'!$F$77:$F$79</definedName>
    <definedName name="dms_030203_P03_02_03_Values">'3.2.3 Provisions'!$F$81:$F$83</definedName>
    <definedName name="dms_030203_P03_02_04_Values">'3.2.3 Provisions'!$F$85:$F$87</definedName>
    <definedName name="dms_030203_P03_03_Values">'3.2.3 Provisions'!$F$88</definedName>
    <definedName name="dms_030203_P04_01_Values">'3.2.3 Provisions'!$F$90</definedName>
    <definedName name="dms_030203_P04_02_01_Values">'3.2.3 Provisions'!$F$92:$F$94</definedName>
    <definedName name="dms_030203_P04_02_02_Values">'3.2.3 Provisions'!$F$96:$F$98</definedName>
    <definedName name="dms_030203_P04_02_03_Values">'3.2.3 Provisions'!$F$100:$F$102</definedName>
    <definedName name="dms_030203_P04_02_04_Values">'3.2.3 Provisions'!$F$104:$F$106</definedName>
    <definedName name="dms_030203_P04_03_Values">'3.2.3 Provisions'!$F$107</definedName>
    <definedName name="dms_030203_P05_01_Values">'3.2.3 Provisions'!$F$109</definedName>
    <definedName name="dms_030203_P05_02_01_Values">'3.2.3 Provisions'!$F$111:$F$113</definedName>
    <definedName name="dms_030203_P05_02_02_Values">'3.2.3 Provisions'!$F$115:$F$117</definedName>
    <definedName name="dms_030203_P05_02_03_Values">'3.2.3 Provisions'!$F$119:$F$121</definedName>
    <definedName name="dms_030203_P05_02_04_Values">'3.2.3 Provisions'!$F$123:$F$125</definedName>
    <definedName name="dms_030203_P05_03_Values">'3.2.3 Provisions'!$F$126</definedName>
    <definedName name="dms_030203_P06_01_Values">'3.2.3 Provisions'!$F$128</definedName>
    <definedName name="dms_030203_P06_02_01_Values">'3.2.3 Provisions'!$F$130:$F$132</definedName>
    <definedName name="dms_030203_P06_02_02_Values">'3.2.3 Provisions'!$F$134:$F$136</definedName>
    <definedName name="dms_030203_P06_02_03_Values">'3.2.3 Provisions'!$F$138:$F$140</definedName>
    <definedName name="dms_030203_P06_02_04_Values">'3.2.3 Provisions'!$F$142:$F$144</definedName>
    <definedName name="dms_030203_P06_03_Values">'3.2.3 Provisions'!$F$145</definedName>
    <definedName name="dms_030203_P07_01_Values">'3.2.3 Provisions'!$F$147</definedName>
    <definedName name="dms_030203_P07_02_01_Values">'3.2.3 Provisions'!$F$149:$F$151</definedName>
    <definedName name="dms_030203_P07_02_02_Values">'3.2.3 Provisions'!$F$153:$F$155</definedName>
    <definedName name="dms_030203_P07_02_03_Values">'3.2.3 Provisions'!$F$157:$F$159</definedName>
    <definedName name="dms_030203_P07_02_04_Values">'3.2.3 Provisions'!$F$161:$F$163</definedName>
    <definedName name="dms_030203_P07_03_Values">'3.2.3 Provisions'!$F$164</definedName>
    <definedName name="dms_030203_P08_01_Values">'3.2.3 Provisions'!$F$166</definedName>
    <definedName name="dms_030203_P08_02_01_Values">'3.2.3 Provisions'!$F$168:$F$170</definedName>
    <definedName name="dms_030203_P08_02_02_Values">'3.2.3 Provisions'!$F$172:$F$174</definedName>
    <definedName name="dms_030203_P08_02_03_Values">'3.2.3 Provisions'!$F$176:$F$178</definedName>
    <definedName name="dms_030203_P08_02_04_Values">'3.2.3 Provisions'!$F$180:$F$182</definedName>
    <definedName name="dms_030203_P08_03_Values">'3.2.3 Provisions'!$F$183</definedName>
    <definedName name="dms_030203_P09_01_Values">'3.2.3 Provisions'!$F$185</definedName>
    <definedName name="dms_030203_P09_02_01_Values">'3.2.3 Provisions'!$F$187:$F$189</definedName>
    <definedName name="dms_030203_P09_02_02_Values">'3.2.3 Provisions'!$F$191:$F$193</definedName>
    <definedName name="dms_030203_P09_02_03_Values">'3.2.3 Provisions'!$F$195:$F$197</definedName>
    <definedName name="dms_030203_P09_02_04_Values">'3.2.3 Provisions'!$F$199:$F$201</definedName>
    <definedName name="dms_030203_P09_03_Values">'3.2.3 Provisions'!$F$202</definedName>
    <definedName name="dms_030203_P10_01_Values">'3.2.3 Provisions'!$F$204</definedName>
    <definedName name="dms_030203_P10_02_01_Values">'3.2.3 Provisions'!$F$206:$F$208</definedName>
    <definedName name="dms_030203_P10_02_02_Values">'3.2.3 Provisions'!$F$210:$F$212</definedName>
    <definedName name="dms_030203_P10_02_03_Values">'3.2.3 Provisions'!$F$214:$F$216</definedName>
    <definedName name="dms_030203_P10_02_04_Values">'3.2.3 Provisions'!$F$218:$F$220</definedName>
    <definedName name="dms_030203_P10_03_Values">'3.2.3 Provisions'!$F$221</definedName>
    <definedName name="dms_030203_P11_01_Values">'3.2.3 Provisions'!$F$223</definedName>
    <definedName name="dms_030203_P11_02_01_Values">'3.2.3 Provisions'!$F$225:$F$227</definedName>
    <definedName name="dms_030203_P11_02_02_Values">'3.2.3 Provisions'!$F$229:$F$231</definedName>
    <definedName name="dms_030203_P11_02_03_Values">'3.2.3 Provisions'!$F$233:$F$235</definedName>
    <definedName name="dms_030203_P11_02_04_Values">'3.2.3 Provisions'!$F$237:$F$239</definedName>
    <definedName name="dms_030203_P11_03_Values">'3.2.3 Provisions'!$F$240</definedName>
    <definedName name="dms_030203_P12_01_Values">'3.2.3 Provisions'!$F$242</definedName>
    <definedName name="dms_030203_P12_02_01_Values">'3.2.3 Provisions'!$F$244:$F$246</definedName>
    <definedName name="dms_030203_P12_02_02_Values">'3.2.3 Provisions'!$F$248:$F$250</definedName>
    <definedName name="dms_030203_P12_02_03_Values">'3.2.3 Provisions'!$F$252:$F$254</definedName>
    <definedName name="dms_030203_P12_02_04_Values">'3.2.3 Provisions'!$F$256:$F$258</definedName>
    <definedName name="dms_030203_P12_03_Values">'3.2.3 Provisions'!$F$259</definedName>
    <definedName name="dms_030203_P13_01_Values">'3.2.3 Provisions'!$F$261</definedName>
    <definedName name="dms_030203_P13_02_01_Values">'3.2.3 Provisions'!$F$263:$F$265</definedName>
    <definedName name="dms_030203_P13_02_02_Values">'3.2.3 Provisions'!$F$267:$F$269</definedName>
    <definedName name="dms_030203_P13_02_03_Values">'3.2.3 Provisions'!$F$271:$F$273</definedName>
    <definedName name="dms_030203_P13_02_04_Values">'3.2.3 Provisions'!$F$275:$F$277</definedName>
    <definedName name="dms_030203_P13_03_Values">'3.2.3 Provisions'!$F$278</definedName>
    <definedName name="dms_030203_P14_01_Values">'3.2.3 Provisions'!$F$280</definedName>
    <definedName name="dms_030203_P14_02_01_Values">'3.2.3 Provisions'!$F$282:$F$284</definedName>
    <definedName name="dms_030203_P14_02_02_Values">'3.2.3 Provisions'!$F$286:$F$288</definedName>
    <definedName name="dms_030203_P14_02_03_Values">'3.2.3 Provisions'!$F$290:$F$292</definedName>
    <definedName name="dms_030203_P14_02_04_Values">'3.2.3 Provisions'!$F$294:$F$296</definedName>
    <definedName name="dms_030203_P14_03_Values">'3.2.3 Provisions'!$F$297</definedName>
    <definedName name="dms_030203_P15_01_Values">'3.2.3 Provisions'!$F$299</definedName>
    <definedName name="dms_030203_P15_02_01_Values">'3.2.3 Provisions'!$F$301:$F$303</definedName>
    <definedName name="dms_030203_P15_02_02_Values">'3.2.3 Provisions'!$F$305:$F$307</definedName>
    <definedName name="dms_030203_P15_02_03_Values">'3.2.3 Provisions'!$F$309:$F$311</definedName>
    <definedName name="dms_030203_P15_02_04_Values">'3.2.3 Provisions'!$F$313:$F$315</definedName>
    <definedName name="dms_030203_P15_03_Values">'3.2.3 Provisions'!$F$316</definedName>
    <definedName name="dms_030203_P16_01_Values">'3.2.3 Provisions'!$F$318</definedName>
    <definedName name="dms_030203_P16_02_01_Values">'3.2.3 Provisions'!$F$320:$F$322</definedName>
    <definedName name="dms_030203_P16_02_02_Values">'3.2.3 Provisions'!$F$324:$F$326</definedName>
    <definedName name="dms_030203_P16_02_03_Values">'3.2.3 Provisions'!$F$328:$F$330</definedName>
    <definedName name="dms_030203_P16_02_04_Values">'3.2.3 Provisions'!$F$332:$F$334</definedName>
    <definedName name="dms_030203_P16_03_Values">'3.2.3 Provisions'!$F$335</definedName>
    <definedName name="dms_030203_P17_01_Values">'3.2.3 Provisions'!$F$337</definedName>
    <definedName name="dms_030203_P17_02_01_Values">'3.2.3 Provisions'!$F$339:$F$341</definedName>
    <definedName name="dms_030203_P17_02_02_Values">'3.2.3 Provisions'!$F$343:$F$345</definedName>
    <definedName name="dms_030203_P17_02_03_Values">'3.2.3 Provisions'!$F$347:$F$349</definedName>
    <definedName name="dms_030203_P17_02_04_Values">'3.2.3 Provisions'!$F$351:$F$353</definedName>
    <definedName name="dms_030203_P17_03_Values">'3.2.3 Provisions'!$F$354</definedName>
    <definedName name="dms_030203_P18_01_Values">'3.2.3 Provisions'!$F$356</definedName>
    <definedName name="dms_030203_P18_02_01_Values">'3.2.3 Provisions'!$F$358:$F$360</definedName>
    <definedName name="dms_030203_P18_02_02_Values">'3.2.3 Provisions'!$F$362:$F$364</definedName>
    <definedName name="dms_030203_P18_02_03_Values">'3.2.3 Provisions'!$F$366:$F$368</definedName>
    <definedName name="dms_030203_P18_02_04_Values">'3.2.3 Provisions'!$F$370:$F$372</definedName>
    <definedName name="dms_030203_P18_03_Values">'3.2.3 Provisions'!$F$373</definedName>
    <definedName name="dms_030203_Provision_01">'3.2.3 Provisions'!$D$32</definedName>
    <definedName name="dms_030203_Provision_02">'3.2.3 Provisions'!$D$51</definedName>
    <definedName name="dms_030203_Provision_03">'3.2.3 Provisions'!$D$70</definedName>
    <definedName name="dms_030203_Provision_04">'3.2.3 Provisions'!$D$89</definedName>
    <definedName name="dms_030203_Provision_05">'3.2.3 Provisions'!$D$108</definedName>
    <definedName name="dms_030203_Provision_06">'3.2.3 Provisions'!$D$127</definedName>
    <definedName name="dms_030203_Provision_07">'3.2.3 Provisions'!$D$146</definedName>
    <definedName name="dms_030203_Provision_08">'3.2.3 Provisions'!$D$165</definedName>
    <definedName name="dms_030203_Provision_09">'3.2.3 Provisions'!$D$184</definedName>
    <definedName name="dms_030203_Provision_10">'3.2.3 Provisions'!$D$203</definedName>
    <definedName name="dms_030203_Provision_11">'3.2.3 Provisions'!$D$222</definedName>
    <definedName name="dms_030203_Provision_12">'3.2.3 Provisions'!$D$241</definedName>
    <definedName name="dms_030203_Provision_13">'3.2.3 Provisions'!$D$260</definedName>
    <definedName name="dms_030203_Provision_14">'3.2.3 Provisions'!$D$279</definedName>
    <definedName name="dms_030203_Provision_15">'3.2.3 Provisions'!$D$298</definedName>
    <definedName name="dms_030203_Provision_16">'3.2.3 Provisions'!$D$317</definedName>
    <definedName name="dms_030203_Provision_17">'3.2.3 Provisions'!$D$336</definedName>
    <definedName name="dms_030203_Provision_18">'3.2.3 Provisions'!$D$355</definedName>
    <definedName name="dms_030301_01_Rows">#REF!</definedName>
    <definedName name="dms_030301_01_Values">#REF!</definedName>
    <definedName name="dms_030302_01_Values">#REF!</definedName>
    <definedName name="dms_030302_02_Values">#REF!</definedName>
    <definedName name="dms_030302_03_Values">#REF!</definedName>
    <definedName name="dms_030302_04_Values">#REF!</definedName>
    <definedName name="dms_030302_05_Values">#REF!</definedName>
    <definedName name="dms_030302_06_Values">#REF!</definedName>
    <definedName name="dms_030302_Rows">#REF!</definedName>
    <definedName name="dms_030303G_01_Values">#REF!</definedName>
    <definedName name="dms_030303G_02_Values">#REF!</definedName>
    <definedName name="dms_030303G_03_Values">#REF!</definedName>
    <definedName name="dms_030303G_04_Values">#REF!</definedName>
    <definedName name="dms_030303G_05_Values">#REF!</definedName>
    <definedName name="dms_030303G_06_Values">#REF!</definedName>
    <definedName name="dms_030303G_Rows">#REF!</definedName>
    <definedName name="dms_030304_01_Rows">#REF!</definedName>
    <definedName name="dms_030304_01_Values">#REF!</definedName>
    <definedName name="dms_030304_02_Rows">#REF!</definedName>
    <definedName name="dms_030304_02_Values">#REF!</definedName>
    <definedName name="dms_030401_01_Rows">#REF!</definedName>
    <definedName name="dms_030401_01_Values">#REF!</definedName>
    <definedName name="dms_030402_01_Rows">#REF!</definedName>
    <definedName name="dms_030402_01_Values">#REF!</definedName>
    <definedName name="dms_030402_02_Rows">#REF!</definedName>
    <definedName name="dms_030402_02_Values">#REF!</definedName>
    <definedName name="dms_030403_01_Rows">#REF!</definedName>
    <definedName name="dms_030403_01_Values">#REF!</definedName>
    <definedName name="dms_030403_02_Rows">#REF!</definedName>
    <definedName name="dms_030403_02_Values">#REF!</definedName>
    <definedName name="dms_030403_05_Rows">#REF!</definedName>
    <definedName name="dms_030403_05_Values">#REF!</definedName>
    <definedName name="dms_030404_01_Rows">#REF!</definedName>
    <definedName name="dms_030404_01_Values">#REF!</definedName>
    <definedName name="dms_030501_01_Rows">'3.5 Physical assets'!$D$13:$D$24</definedName>
    <definedName name="dms_030501_01_Values">'3.5 Physical assets'!$F$13:$F$24</definedName>
    <definedName name="dms_030501_02_Rows">'3.5 Physical assets'!$D$31:$D$42</definedName>
    <definedName name="dms_030501_02_Values">'3.5 Physical assets'!$F$31:$F$42</definedName>
    <definedName name="dms_030501_03_Rows">'3.5 Physical assets'!$D$52:$D$62</definedName>
    <definedName name="dms_030501_03_Values">'3.5 Physical assets'!$F$52:$F$62</definedName>
    <definedName name="dms_030501_04_Rows">'3.5 Physical assets'!$D$68:$D$78</definedName>
    <definedName name="dms_030501_04_Values">'3.5 Physical assets'!$F$68:$F$78</definedName>
    <definedName name="dms_030501_05_Rows">'3.5 Physical assets'!#REF!</definedName>
    <definedName name="dms_030501_05_Values">'3.5 Physical assets'!#REF!</definedName>
    <definedName name="dms_030501_06_Rows">'3.5 Physical assets'!#REF!</definedName>
    <definedName name="dms_030501_06_Values">'3.5 Physical assets'!#REF!</definedName>
    <definedName name="dms_0306_Year">'AER ETL'!$C$86</definedName>
    <definedName name="dms_030601_01_Rows">'3.6 Quality of services'!$D$15:$D$29</definedName>
    <definedName name="dms_030601_01_UOM">'AER NRs'!$C$135:$C$149</definedName>
    <definedName name="dms_030601_01_Values">'3.6 Quality of services'!$F$15:$F$29</definedName>
    <definedName name="dms_030601_02_Rows">'3.6 Quality of services'!$D$33:$D$34</definedName>
    <definedName name="dms_030601_02_UOM">'AER NRs'!$D$118:$D$121</definedName>
    <definedName name="dms_030601_02_Values">'3.6 Quality of services'!$F$33:$F$34</definedName>
    <definedName name="dms_030601_03_Rows">'3.6 Quality of services'!$D$36</definedName>
    <definedName name="dms_030601_03_Values">'3.6 Quality of services'!$F$36</definedName>
    <definedName name="dms_030601_04_Rows">'3.6 Quality of services'!$D$38:$D$40</definedName>
    <definedName name="dms_030601_04_Values">'3.6 Quality of services'!$F$38:$F$40</definedName>
    <definedName name="dms_030602_Rows">'3.6 Quality of services'!$D$50</definedName>
    <definedName name="dms_030602_Values">'3.6 Quality of services'!$F$50</definedName>
    <definedName name="dms_030603_Rows">'3.6 Quality of services'!$D$59</definedName>
    <definedName name="dms_030603_Values">'3.6 Quality of services'!$F$59</definedName>
    <definedName name="dms_030605_UOM">'AER NRs'!$C$160:$C$173</definedName>
    <definedName name="dms_03060703_UOM">'AER NRs'!$D$160:$D$164</definedName>
    <definedName name="dms_030701_01_Rows">#REF!</definedName>
    <definedName name="dms_030701_01_UOM">'AER NRs'!$E$135:$E$142</definedName>
    <definedName name="dms_030701_01_Values">#REF!</definedName>
    <definedName name="dms_030702_01_Rows">#REF!</definedName>
    <definedName name="dms_030702_01_UOM">'AER NRs'!$F$135:$F$138</definedName>
    <definedName name="dms_030702_01_Values">#REF!</definedName>
    <definedName name="dms_030703_01_Rows">#REF!</definedName>
    <definedName name="dms_030703_01_UOM">'AER NRs'!$G$135:$G$136</definedName>
    <definedName name="dms_030703_01_Values">#REF!</definedName>
    <definedName name="dms_040102_01_UOM">'AER NRs'!$K$84:$K$87</definedName>
    <definedName name="dms_040102_04_UOM">'AER NRs'!$L$84:$L$87</definedName>
    <definedName name="dms_0502_Inst_Year">'AER ETL'!$C$65</definedName>
    <definedName name="dms_050201_01_Rows">'5.2 Asset Age Profile'!$D$12:$D$20</definedName>
    <definedName name="dms_050201_02_Rows">'5.2 Asset Age Profile'!#REF!</definedName>
    <definedName name="dms_050201_03_Rows">'5.2 Asset Age Profile'!#REF!</definedName>
    <definedName name="dms_050201_04_Rows">'5.2 Asset Age Profile'!#REF!</definedName>
    <definedName name="dms_050201_05_Rows">'5.2 Asset Age Profile'!#REF!</definedName>
    <definedName name="dms_050201_06_Rows">'5.2 Asset Age Profile'!#REF!</definedName>
    <definedName name="dms_050201_07_Rows">'5.2 Asset Age Profile'!#REF!</definedName>
    <definedName name="dms_050201_08_Rows">'5.2 Asset Age Profile'!#REF!</definedName>
    <definedName name="dms_050201_09_Rows">'5.2 Asset Age Profile'!#REF!</definedName>
    <definedName name="dms_050202_01_Values">'5.2 Asset Age Profile'!$F$12:$AI$20</definedName>
    <definedName name="dms_050202_02_Values">'5.2 Asset Age Profile'!#REF!</definedName>
    <definedName name="dms_050202_03_Values">'5.2 Asset Age Profile'!#REF!</definedName>
    <definedName name="dms_050202_04_Values">'5.2 Asset Age Profile'!#REF!</definedName>
    <definedName name="dms_050202_05_Values">'5.2 Asset Age Profile'!#REF!</definedName>
    <definedName name="dms_050202_06_Values">'5.2 Asset Age Profile'!#REF!</definedName>
    <definedName name="dms_050202_07_Values">'5.2 Asset Age Profile'!#REF!</definedName>
    <definedName name="dms_050202_08_Values">'5.2 Asset Age Profile'!#REF!</definedName>
    <definedName name="dms_050202_09_Values">'5.2 Asset Age Profile'!#REF!</definedName>
    <definedName name="dms_050301_01_Rows">#REF!</definedName>
    <definedName name="dms_050301_01_Values">#REF!</definedName>
    <definedName name="dms_050301_02_Rows">#REF!</definedName>
    <definedName name="dms_050301_02_Values">#REF!</definedName>
    <definedName name="dms_050301_03_Rows">#REF!</definedName>
    <definedName name="dms_050301_03_Values">#REF!</definedName>
    <definedName name="dms_060101_Rows">'AER NRs'!$C$195</definedName>
    <definedName name="dms_060101_StartDateTxt">'AER NRs'!$E$195</definedName>
    <definedName name="dms_060101_StartDateVal">'AER ETL'!$C$107</definedName>
    <definedName name="dms_060102_Rows">'AER NRs'!$D$195</definedName>
    <definedName name="dms_0603_FeederList">'AER NRs'!$D$212:$H$212</definedName>
    <definedName name="dms_060301_Avg_Duration_Sustained_Int_Row">'AER NRs'!$D$191</definedName>
    <definedName name="dms_060301_checkvalue">'AER ETL'!$C$90</definedName>
    <definedName name="dms_060301_CustNo_Affected_Row">'AER NRs'!$C$191</definedName>
    <definedName name="dms_060301_Effect_unplanned_SAIDI_Row">'AER NRs'!$E$191</definedName>
    <definedName name="dms_060301_Effect_unplanned_SAIFI_Row">'AER NRs'!$F$191</definedName>
    <definedName name="dms_060301_LastRow">'AER ETL'!$C$92</definedName>
    <definedName name="dms_060301_MaxRows">'AER ETL'!$C$93</definedName>
    <definedName name="dms_060701_ARR_MaxRows">'AER ETL'!$C$100</definedName>
    <definedName name="dms_060701_Feeder_Header_Lvl4">'AER NRs'!$D$207:$O$207</definedName>
    <definedName name="dms_060701_MaxCols">'AER ETL'!$C$103</definedName>
    <definedName name="dms_060701_MaxRows">'AER ETL'!$C$101</definedName>
    <definedName name="dms_060701_OffsetRows">'AER ETL'!$C$104</definedName>
    <definedName name="dms_060701_Reset_MaxRows">'AER ETL'!$C$99</definedName>
    <definedName name="dms_060701_Rows">'AER NRs'!$D$209:$O$209</definedName>
    <definedName name="dms_060701_StartDateTxt">'AER ETL'!$C$106</definedName>
    <definedName name="dms_060701_StartDateVal">'AER ETL'!$C$107</definedName>
    <definedName name="dms_0608_LastRow">'AER ETL'!$C$112</definedName>
    <definedName name="dms_0608_OffsetRows">'AER ETL'!$C$111</definedName>
    <definedName name="dms_060801_01_Rows">'AER NRs'!$C$199</definedName>
    <definedName name="dms_060801_02_Rows">'AER NRs'!$D$199</definedName>
    <definedName name="dms_060801_03_Rows">'AER NRs'!$E$199</definedName>
    <definedName name="dms_060801_04_Rows">'AER NRs'!$F$199</definedName>
    <definedName name="dms_060801_MaxRows">'AER ETL'!$C$113</definedName>
    <definedName name="dms_060801_StartCell">#REF!</definedName>
    <definedName name="dms_070501_Rows">'7.5 Large projects'!$D$13:$D$46</definedName>
    <definedName name="dms_070501_Values">'7.5 Large projects'!$F$13:$F$46</definedName>
    <definedName name="dms_070502_Rows">'7.5 Large projects'!$D$55:$D$88</definedName>
    <definedName name="dms_070502_Values">'7.5 Large projects'!$F$55:$F$88</definedName>
    <definedName name="dms_070601_01_Rows">'7.6 PTS Price Redn'!$D$12:$D$13</definedName>
    <definedName name="dms_070601_01_Values">'7.6 PTS Price Redn'!$F$12:$F$13</definedName>
    <definedName name="dms_070601_02_Rows">'7.6 PTS Price Redn'!$D$15</definedName>
    <definedName name="dms_070601_02_Values">'7.6 PTS Price Redn'!$F$15</definedName>
    <definedName name="dms_070701_01_Rows">'7.7 Inf Rel Part Trans'!$D$13:$D$22</definedName>
    <definedName name="dms_070701_01_Values">'7.7 Inf Rel Part Trans'!$I$13:$I$22</definedName>
    <definedName name="dms_070701_02_Rows">'7.7 Inf Rel Part Trans'!$D$26:$D$35</definedName>
    <definedName name="dms_070701_02_Values">'7.7 Inf Rel Part Trans'!$I$26:$I$35</definedName>
    <definedName name="dms_070701_02dot_Values">'7.7 Inf Rel Part Trans'!$E$26:$E$35</definedName>
    <definedName name="dms_070701_02pp_Values">'7.7 Inf Rel Part Trans'!$G$26:$G$35</definedName>
    <definedName name="dms_070701_02tos_Values">'7.7 Inf Rel Part Trans'!$F$26:$F$35</definedName>
    <definedName name="dms_070701_dot_Values">'7.7 Inf Rel Part Trans'!$E$13:$E$22</definedName>
    <definedName name="dms_070701_pp_Values">'7.7 Inf Rel Part Trans'!$G$13:$G$22</definedName>
    <definedName name="dms_070701_tos_Values">'7.7 Inf Rel Part Trans'!$F$13:$F$22</definedName>
    <definedName name="dms_070904_01_01_Values">'7.9 MIC'!$F$13:$F$24</definedName>
    <definedName name="dms_070904_01_02_Values">'7.9 MIC'!$G$13:$G$24</definedName>
    <definedName name="dms_070904_01_Rows">'7.9 MIC'!$D$13:$D$24</definedName>
    <definedName name="dms_070904_02_01_Values">'7.9 MIC'!$I$13:$I$24</definedName>
    <definedName name="dms_070904_02_02_Values">'7.9 MIC'!$J$13:$J$24</definedName>
    <definedName name="dms_080501_01_alc_Values">'8.5 DISAGG Opex'!$F$25:$F$34</definedName>
    <definedName name="dms_080501_01_dir_Values">'8.5 DISAGG Opex'!$F$13:$F$22</definedName>
    <definedName name="dms_080501_02_alc_Values">'8.5 DISAGG Opex'!$G$25:$G$34</definedName>
    <definedName name="dms_080501_02_dir_Values">'8.5 DISAGG Opex'!$G$13:$G$22</definedName>
    <definedName name="dms_080501_03_alc_Values">'8.5 DISAGG Opex'!$H$25:$H$34</definedName>
    <definedName name="dms_080501_03_dir_Values">'8.5 DISAGG Opex'!$H$13:$H$22</definedName>
    <definedName name="dms_080501_04_alc_Values">'8.5 DISAGG Opex'!$I$25:$I$34</definedName>
    <definedName name="dms_080501_04_dir_Values">'8.5 DISAGG Opex'!$I$13:$I$22</definedName>
    <definedName name="dms_080501_05_alc_Values">'8.5 DISAGG Opex'!$J$25:$J$34</definedName>
    <definedName name="dms_080501_05_dir_Values">'8.5 DISAGG Opex'!$J$13:$J$22</definedName>
    <definedName name="dms_080501_alc_Rows">'8.5 DISAGG Opex'!$D$25:$D$34</definedName>
    <definedName name="dms_080501_dir_Rows">'8.5 DISAGG Opex'!$D$13:$D$22</definedName>
    <definedName name="dms_080502_06_alc_Values">'8.5 DISAGG Opex'!$F$54:$F$63</definedName>
    <definedName name="dms_080502_06_dir_Values">'8.5 DISAGG Opex'!$F$42:$F$51</definedName>
    <definedName name="dms_080502_07_alc_Values">'8.5 DISAGG Opex'!$G$54:$G$63</definedName>
    <definedName name="dms_080502_07_dir_Values">'8.5 DISAGG Opex'!$G$42:$G$51</definedName>
    <definedName name="dms_080502_alc_Rows">'8.5 DISAGG Opex'!$D$54:$D$63</definedName>
    <definedName name="dms_080502_dir_Rows">'8.5 DISAGG Opex'!$D$42:$D$51</definedName>
    <definedName name="dms_080601_01_Rows">'8.6 Ind Asset Base Roll Fwd'!$D$12:$D$18</definedName>
    <definedName name="dms_080601_01_Values">'8.6 Ind Asset Base Roll Fwd'!$F$12:$F$18</definedName>
    <definedName name="dms_080602_01_Rows">'8.6 Ind Asset Base Roll Fwd'!$D$26:$D$32</definedName>
    <definedName name="dms_080602_01_Values">'8.6 Ind Asset Base Roll Fwd'!$F$26:$F$32</definedName>
    <definedName name="dms_080602_02_Rows">'8.6 Ind Asset Base Roll Fwd'!$D$34:$D$38</definedName>
    <definedName name="dms_080602_02_Values">'8.6 Ind Asset Base Roll Fwd'!$F$34:$F$38</definedName>
    <definedName name="dms_080701_01_Rows">#REF!</definedName>
    <definedName name="dms_080701_01_Values">#REF!</definedName>
    <definedName name="dms_080701_02_Rows">#REF!</definedName>
    <definedName name="dms_080701_02_taxinc_Rows">#REF!</definedName>
    <definedName name="dms_080701_02_taxinc_Values">#REF!</definedName>
    <definedName name="dms_080701_02_taxr_Rows">#REF!</definedName>
    <definedName name="dms_080701_02_taxr_Values">#REF!</definedName>
    <definedName name="dms_080701_02_Values">#REF!</definedName>
    <definedName name="dms_080701_03_Rows">#REF!</definedName>
    <definedName name="dms_080701_03_Values">#REF!</definedName>
    <definedName name="dms_080701_own_Rows">#REF!</definedName>
    <definedName name="dms_080701_own_Values">#REF!</definedName>
    <definedName name="dms_080702_01_Rows">#REF!</definedName>
    <definedName name="dms_080702_01_Values">#REF!</definedName>
    <definedName name="dms_080801_01_01_Rows">'8.8 Revenue Requirements'!$D$12</definedName>
    <definedName name="dms_080801_01_01_Values">'8.8 Revenue Requirements'!$F$12</definedName>
    <definedName name="dms_080801_01_02_Rows">'8.8 Revenue Requirements'!$D$14:$D$21</definedName>
    <definedName name="dms_080801_01_02_Values">'8.8 Revenue Requirements'!$F$14:$F$21</definedName>
    <definedName name="dms_080801_01_03_Rows">'8.8 Revenue Requirements'!$D$22</definedName>
    <definedName name="dms_080801_01_03_Values">'8.8 Revenue Requirements'!$F$22</definedName>
    <definedName name="dms_080801_02_Rows">'8.8 Revenue Requirements'!$D$25:$D$33</definedName>
    <definedName name="dms_080801_02_Values">'8.8 Revenue Requirements'!$F$25:$F$33</definedName>
    <definedName name="dms_080801_03_Rows">'8.8 Revenue Requirements'!$D$36</definedName>
    <definedName name="dms_080801_03_Values">'8.8 Revenue Requirements'!$F$36</definedName>
    <definedName name="dms_080801_04_Rows">'8.8 Revenue Requirements'!$D$39:$D$45</definedName>
    <definedName name="dms_080801_04_Values">'8.8 Revenue Requirements'!$F$39:$F$45</definedName>
    <definedName name="dms_080801_05_01_Rows">'8.8 Revenue Requirements'!$D$48</definedName>
    <definedName name="dms_080801_05_01_Values">'8.8 Revenue Requirements'!$F$48</definedName>
    <definedName name="dms_080801_05_02_Rows">'8.8 Revenue Requirements'!$D$49</definedName>
    <definedName name="dms_080801_05_02_Values">'8.8 Revenue Requirements'!$F$49</definedName>
    <definedName name="dms_080801_05_03_Rows">'8.8 Revenue Requirements'!$D$51:$D$52</definedName>
    <definedName name="dms_080801_05_03_Values">'8.8 Revenue Requirements'!$F$51:$F$52</definedName>
    <definedName name="dms_080801_06_01_Rows">'8.8 Revenue Requirements'!$D$57:$D$58</definedName>
    <definedName name="dms_080801_06_01_Values">'8.8 Revenue Requirements'!$F$57:$F$58</definedName>
    <definedName name="dms_080801_06_02_Rows">'8.8 Revenue Requirements'!$D$60:$D$61</definedName>
    <definedName name="dms_080801_06_02_Values">'8.8 Revenue Requirements'!$F$60:$F$61</definedName>
    <definedName name="dms_090101_01_oexp_Values">'9.1 DISAGG Inc'!$F$29:$F$40</definedName>
    <definedName name="dms_090101_01_orev_Values">'9.1 DISAGG Inc'!$F$15:$F$24</definedName>
    <definedName name="dms_090101_01_texp_Values">'9.1 DISAGG Inc'!$F$26:$F$27</definedName>
    <definedName name="dms_090101_01_trev_Values">'9.1 DISAGG Inc'!$F$12:$F$13</definedName>
    <definedName name="dms_090101_02_oexp_Values">'9.1 DISAGG Inc'!$G$29:$G$40</definedName>
    <definedName name="dms_090101_02_orev_Values">'9.1 DISAGG Inc'!$G$15:$G$24</definedName>
    <definedName name="dms_090101_02_texp_Values">'9.1 DISAGG Inc'!$G$26:$G$27</definedName>
    <definedName name="dms_090101_02_trev_Values">'9.1 DISAGG Inc'!$G$12:$G$13</definedName>
    <definedName name="dms_090101_03_oexp_Values">'9.1 DISAGG Inc'!$H$29:$H$40</definedName>
    <definedName name="dms_090101_03_orev_Values">'9.1 DISAGG Inc'!$H$15:$H$24</definedName>
    <definedName name="dms_090101_03_texp_Values">'9.1 DISAGG Inc'!$H$26:$H$27</definedName>
    <definedName name="dms_090101_03_trev_Values">'9.1 DISAGG Inc'!$H$12:$H$13</definedName>
    <definedName name="dms_090101_04_oexp_Values">'9.1 DISAGG Inc'!$I$29:$I$40</definedName>
    <definedName name="dms_090101_04_orev_Values">'9.1 DISAGG Inc'!$I$15:$I$24</definedName>
    <definedName name="dms_090101_04_texp_Values">'9.1 DISAGG Inc'!$I$26:$I$27</definedName>
    <definedName name="dms_090101_04_trev_Values">'9.1 DISAGG Inc'!$I$12:$I$13</definedName>
    <definedName name="dms_090101_05_oexp_Values">'9.1 DISAGG Inc'!$J$29:$J$40</definedName>
    <definedName name="dms_090101_05_orev_Values">'9.1 DISAGG Inc'!$J$15:$J$24</definedName>
    <definedName name="dms_090101_05_texp_Values">'9.1 DISAGG Inc'!$J$26:$J$27</definedName>
    <definedName name="dms_090101_05_trev_Values">'9.1 DISAGG Inc'!$J$12:$J$13</definedName>
    <definedName name="dms_090101_oexp_Rows">'9.1 DISAGG Inc'!$D$29:$D$40</definedName>
    <definedName name="dms_090101_orev_Rows">'9.1 DISAGG Inc'!$D$15:$D$24</definedName>
    <definedName name="dms_090101_texp_Rows">'9.1 DISAGG Inc'!$D$26:$D$27</definedName>
    <definedName name="dms_090101_trev_Rows">'9.1 DISAGG Inc'!$D$12:$D$13</definedName>
    <definedName name="dms_090102_01_oexp_Values">' 9.2 RFS Inc'!$F$30:$F$41</definedName>
    <definedName name="dms_090102_01_orev_Values">' 9.2 RFS Inc'!$F$16:$F$25</definedName>
    <definedName name="dms_090102_01_texp_Values">' 9.2 RFS Inc'!$F$27:$F$28</definedName>
    <definedName name="dms_090102_01_trev_Values">' 9.2 RFS Inc'!$F$13:$F$14</definedName>
    <definedName name="dms_090102_02_oexp_Values">' 9.2 RFS Inc'!$G$30:$G$41</definedName>
    <definedName name="dms_090102_02_orev_Values">' 9.2 RFS Inc'!$G$16:$G$25</definedName>
    <definedName name="dms_090102_02_texp_Values">' 9.2 RFS Inc'!$G$27:$G$28</definedName>
    <definedName name="dms_090102_02_trev_Values">' 9.2 RFS Inc'!$G$13:$G$14</definedName>
    <definedName name="dms_090102_oexp_Rows">' 9.2 RFS Inc'!$D$30:$D$41</definedName>
    <definedName name="dms_090102_orev_Rows">' 9.2 RFS Inc'!$D$16:$D$25</definedName>
    <definedName name="dms_090102_texp_Rows">' 9.2 RFS Inc'!$D$27:$D$28</definedName>
    <definedName name="dms_090102_trev_Rows">' 9.2 RFS Inc'!$D$13:$D$14</definedName>
    <definedName name="dms_663">'AER ETL'!$C$94</definedName>
    <definedName name="dms_663_List">'AER lookups'!$N$7:$N$15</definedName>
    <definedName name="dms_ABN">'Business &amp; other details'!$V$17</definedName>
    <definedName name="dms_ABN_List">'AER lookups'!$D$7:$D$15</definedName>
    <definedName name="dms_Addr1">'Business &amp; other details'!$V$23</definedName>
    <definedName name="dms_Addr1_List">'AER lookups'!$P$7:$P$15</definedName>
    <definedName name="dms_Addr2">'Business &amp; other details'!$V$24</definedName>
    <definedName name="dms_Addr2_List">'AER lookups'!$Q$7:$Q$15</definedName>
    <definedName name="dms_AdjAllowedRev" localSheetId="20">'7.6 PTS Price Redn'!#REF!</definedName>
    <definedName name="dms_AdjAllowedRev" localSheetId="21">'7.7 Inf Rel Part Trans'!#REF!</definedName>
    <definedName name="dms_AdjAllowedRev">'8.8 Revenue Requirements'!$F$23</definedName>
    <definedName name="dms_Amendment_Text">'Business &amp; other details'!$V$52</definedName>
    <definedName name="dms_AmendmentReason">'AER ETL'!$C$15</definedName>
    <definedName name="dms_ARR">'AER ETL'!$C$74</definedName>
    <definedName name="dms_Beg">'AER NRs'!$C$176</definedName>
    <definedName name="dms_CA">'AER ETL'!$C$73</definedName>
    <definedName name="dms_Cal_Year_B4_CRY">'AER ETL'!$C$29</definedName>
    <definedName name="dms_CBD_flag">'AER lookups'!$Z$7:$Z$15</definedName>
    <definedName name="dms_CBD_flag_NSP">'AER ETL'!$C$121</definedName>
    <definedName name="dms_CF_3.6.1">'AER CF'!$F$7:$F$27</definedName>
    <definedName name="dms_CF_3.6.5">'AER CF'!$G$7:$G$27</definedName>
    <definedName name="dms_CF_3.6.6">'AER CF'!$H$7:$H$27</definedName>
    <definedName name="dms_CF_3.6.7.1">'AER CF'!$I$7:$I$27</definedName>
    <definedName name="dms_CF_3.6.7.2">'AER CF'!$J$7:$J$27</definedName>
    <definedName name="dms_CF_3.6.7.3">'AER CF'!$K$7:$K$27</definedName>
    <definedName name="dms_CF_3.6.7.4">'AER CF'!$L$7:$L$27</definedName>
    <definedName name="dms_CF_3.6.8">'AER CF'!$M$7:$M$27</definedName>
    <definedName name="dms_CF_4.1">'AER CF'!$N$7:$N$27</definedName>
    <definedName name="dms_CF_4.4.1">'AER CF'!$U$7:$U$27</definedName>
    <definedName name="dms_CF_6.6.1">'AER CF'!$O$7:$O$27</definedName>
    <definedName name="dms_CF_6.8">'AER CF'!$P$7:$P$27</definedName>
    <definedName name="dms_CF_7.12">'AER CF'!$Q$7:$Q$27</definedName>
    <definedName name="dms_CF_8.1_A">'AER CF'!$R$7:$R$27</definedName>
    <definedName name="dms_CF_8.1_B">'AER CF'!$S$7:$S$27</definedName>
    <definedName name="dms_CF_8.1_Neg">'AER CF'!$T$7:$T$27</definedName>
    <definedName name="dms_CF_MAIFI_flag">'AER CF'!$V$7:$V$27</definedName>
    <definedName name="dms_CF_TradingName">'AER CF'!$B$7:$B$27</definedName>
    <definedName name="dms_Classification">'AER ETL'!$C$25</definedName>
    <definedName name="dms_Confid_status_List">'AER NRs'!$D$6:$D$8</definedName>
    <definedName name="dms_ContactEmail">'Business &amp; other details'!$V$34</definedName>
    <definedName name="dms_ContactEmail2">'Business &amp; other details'!$BA$34</definedName>
    <definedName name="dms_ContactName1">'Business &amp; other details'!$V$32</definedName>
    <definedName name="dms_ContactName2">'Business &amp; other details'!$BA$32</definedName>
    <definedName name="dms_ContactPh1">'Business &amp; other details'!$V$33</definedName>
    <definedName name="dms_ContactPh2">'Business &amp; other details'!$BA$33</definedName>
    <definedName name="dms_CRCP_FinalYear_Result">'AER ETL'!$C$80</definedName>
    <definedName name="dms_CRCP_start_row">'AER ETL'!$C$40</definedName>
    <definedName name="dms_CRCPlength_List">'AER lookups'!$K$7:$K$15</definedName>
    <definedName name="dms_CRCPlength_Num">'AER ETL'!$C$69</definedName>
    <definedName name="dms_CRY_RYE">'AER ETL'!$C$53</definedName>
    <definedName name="dms_CRY_start_row">'AER ETL'!$C$38</definedName>
    <definedName name="dms_DataQuality">'AER ETL'!$C$19</definedName>
    <definedName name="dms_DataQuality_List">'AER NRs'!$C$6:$C$9</definedName>
    <definedName name="dms_Defined_Names_Used">'AER ETL'!$C$3</definedName>
    <definedName name="dms_DeterminationRef">'AER ETL'!$C$119</definedName>
    <definedName name="dms_DeterminationRef_List">'AER lookups'!$O$7:$O$15</definedName>
    <definedName name="dms_DISCARD">'AER ETL'!$C$128</definedName>
    <definedName name="dms_DNSP_020301_ProjectTrigger">'AER NRs'!$E$32:$E$38</definedName>
    <definedName name="dms_DNSP_020301_ProjectType">'AER NRs'!$D$32:$D$35</definedName>
    <definedName name="dms_DNSP_020301_SubstationType">'AER NRs'!$C$32:$C$35</definedName>
    <definedName name="dms_DNSP_020302_ProjectTrigger">'AER NRs'!$G$32:$G$39</definedName>
    <definedName name="dms_DNSP_020302_ProjectType">'AER NRs'!$F$32:$F$44</definedName>
    <definedName name="dms_dollar_nom_UOM">'AER ETL'!$C$24</definedName>
    <definedName name="dms_DollarReal">'AER ETL'!$C$31</definedName>
    <definedName name="dms_DollarReal_Prev">'AER ETL'!$C$32</definedName>
    <definedName name="dms_DollarReal_year">'AER ETL'!$C$51</definedName>
    <definedName name="dms_DQ_1">'AER ETL'!$C$13</definedName>
    <definedName name="dms_DQ_2">'AER ETL'!$C$14</definedName>
    <definedName name="dms_EB">'AER ETL'!$C$72</definedName>
    <definedName name="dms_EB_RAB_PIT">'AER NRs'!$C$152:$C$157</definedName>
    <definedName name="dms_End">'AER NRs'!$E$176</definedName>
    <definedName name="dms_FeederName_1">'AER lookups'!$AF$7:$AF$15</definedName>
    <definedName name="dms_FeederName_2">'AER lookups'!$AG$7:$AG$15</definedName>
    <definedName name="dms_FeederName_3">'AER lookups'!$AH$7:$AH$15</definedName>
    <definedName name="dms_FeederName_4">'AER lookups'!$AI$7:$AI$15</definedName>
    <definedName name="dms_FeederName_5">'AER lookups'!$AJ$7:$AJ$15</definedName>
    <definedName name="dms_FeederType_5_flag">'AER lookups'!$AD$7:$AD$15</definedName>
    <definedName name="dms_FifthFeeder_flag_NSP">'AER ETL'!$C$125</definedName>
    <definedName name="dms_FormControl">'AER ETL'!$C$34</definedName>
    <definedName name="dms_FormControl_Choices">'AER NRs'!$D$14:$D$16</definedName>
    <definedName name="dms_FormControl_List">'AER lookups'!$H$7:$H$15</definedName>
    <definedName name="dms_FRCP_start_row">'AER ETL'!$C$39</definedName>
    <definedName name="dms_FRCP_y1">'AER lookups'!$H$37</definedName>
    <definedName name="dms_FRCPlength_List">'AER lookups'!$L$7:$L$15</definedName>
    <definedName name="dms_FRCPlength_Num">'AER ETL'!$C$70</definedName>
    <definedName name="dms_Header_Span">'AER ETL'!$C$60</definedName>
    <definedName name="dms_Jurisdiction">'AER ETL'!$C$26</definedName>
    <definedName name="dms_JurisdictionList">'AER lookups'!$E$7:$E$15</definedName>
    <definedName name="dms_LeapYear_Result">'AER ETL'!$C$98</definedName>
    <definedName name="dms_LongRural_flag">'AER lookups'!$AC$7:$AC$15</definedName>
    <definedName name="dms_LongRural_flag_NSP">'AER ETL'!$C$124</definedName>
    <definedName name="dms_MAIFI_flag_List">'AER lookups'!$AE$7:$AE$15</definedName>
    <definedName name="dms_Mid">'AER NRs'!$D$176</definedName>
    <definedName name="dms_Model">'AER ETL'!$C$11</definedName>
    <definedName name="dms_Model_List">'AER lookups'!$B$23:$B$32</definedName>
    <definedName name="dms_Model_Name_Format1">'AER lookups'!$C$23:$C$32</definedName>
    <definedName name="dms_Model_Span">'AER ETL'!$C$56</definedName>
    <definedName name="dms_Model_Span_List">'AER lookups'!$E$23:$E$32</definedName>
    <definedName name="dms_Multi_RYE_flag">'AER ETL'!$C$135</definedName>
    <definedName name="dms_MultiYear_ABC_RIN">'AER ETL'!$C$82</definedName>
    <definedName name="dms_MultiYear_FinalYear_Result">'AER ETL'!$C$80</definedName>
    <definedName name="dms_MultiYear_Flag">'AER ETL'!$C$63</definedName>
    <definedName name="dms_MultiYear_ResponseFlag">'AER ETL'!$C$62</definedName>
    <definedName name="dms_N0205_AssetType">'AER NRs'!$N$32:$N$42</definedName>
    <definedName name="dms_PAddr1">'Business &amp; other details'!$BA$23</definedName>
    <definedName name="dms_PAddr1_List">'AER lookups'!$U$7:$U$15</definedName>
    <definedName name="dms_PAddr2">'Business &amp; other details'!$BA$24</definedName>
    <definedName name="dms_PAddr2_List">'AER lookups'!$V$7:$V$15</definedName>
    <definedName name="dms_Partial">'AER ETL'!$C$131</definedName>
    <definedName name="dms_PostCode">'Business &amp; other details'!$AH$26</definedName>
    <definedName name="dms_PostCode_List">'AER lookups'!$T$7:$T$15</definedName>
    <definedName name="dms_PPostCode">'Business &amp; other details'!$BM$26</definedName>
    <definedName name="dms_PPostCode_List">'AER lookups'!$Y$7:$Y$15</definedName>
    <definedName name="dms_PRCP_start_row">'AER ETL'!$C$41</definedName>
    <definedName name="dms_PRCPlength_List">'AER lookups'!$M$7:$M$15</definedName>
    <definedName name="dms_PRCPlength_Num">'AER ETL'!$C$68</definedName>
    <definedName name="dms_Previous_DollarReal_year">'AER ETL'!$C$52</definedName>
    <definedName name="dms_PState">'Business &amp; other details'!$BA$26</definedName>
    <definedName name="dms_PState_List">'AER lookups'!$X$7:$X$15</definedName>
    <definedName name="dms_PSuburb">'Business &amp; other details'!$BA$25</definedName>
    <definedName name="dms_PSuburb_List">'AER lookups'!$W$7:$W$15</definedName>
    <definedName name="dms_PTRM_RAB_PIT">'AER NRs'!$C$179:$C$183</definedName>
    <definedName name="dms_PTRM_TAB_PIT">'AER NRs'!$D$179:$D$182</definedName>
    <definedName name="dms_Public_Lighting">'AER ETL'!$C$120</definedName>
    <definedName name="dms_Public_Lighting_List">'AER lookups'!$AK$7:$AK$15</definedName>
    <definedName name="dms_Reason_Interruption">'AER NRs'!$I$32:$I$47</definedName>
    <definedName name="dms_Reset_final_year">'AER ETL'!$C$49</definedName>
    <definedName name="dms_Reset_RYE">'AER ETL'!$C$54</definedName>
    <definedName name="dms_Reset_Span">'AER ETL'!$C$58</definedName>
    <definedName name="dms_RevenueEarned" localSheetId="20">'7.6 PTS Price Redn'!#REF!</definedName>
    <definedName name="dms_RevenueEarned" localSheetId="21">'7.7 Inf Rel Part Trans'!#REF!</definedName>
    <definedName name="dms_RevenueEarned">'8.8 Revenue Requirements'!$F$46</definedName>
    <definedName name="dms_RPT">'AER ETL'!$C$23</definedName>
    <definedName name="dms_RPT_List">'AER lookups'!$I$7:$I$15</definedName>
    <definedName name="dms_RPTMonth">'AER ETL'!$C$30</definedName>
    <definedName name="dms_RPTMonth_List">'AER lookups'!$J$7:$J$15</definedName>
    <definedName name="dms_RYE">'AER ETL'!$C$22</definedName>
    <definedName name="dms_RYE_01">'AER ETL'!$C$137</definedName>
    <definedName name="dms_RYE_02">'AER ETL'!$C$138</definedName>
    <definedName name="dms_RYE_03">'AER ETL'!$C$139</definedName>
    <definedName name="dms_RYE_04">'AER ETL'!$C$140</definedName>
    <definedName name="dms_RYE_05">'AER ETL'!$C$141</definedName>
    <definedName name="dms_RYE_06">'AER ETL'!$C$142</definedName>
    <definedName name="dms_RYE_07">'AER ETL'!$C$143</definedName>
    <definedName name="dms_RYE_08">'AER ETL'!$C$144</definedName>
    <definedName name="dms_RYE_09">'AER ETL'!$C$145</definedName>
    <definedName name="dms_RYE_result">'AER ETL'!$C$57</definedName>
    <definedName name="dms_RYE_start_row">'AER ETL'!$C$42</definedName>
    <definedName name="dms_S140101_UOM">'AER NRs'!$M$84:$M$87</definedName>
    <definedName name="dms_S140102_UOM">'AER NRs'!$N$84:$N$87</definedName>
    <definedName name="dms_S140201_UOM">'AER NRs'!$O$84:$O$86</definedName>
    <definedName name="dms_Sector">'AER ETL'!$C$20</definedName>
    <definedName name="dms_Sector_List">'AER lookups'!$F$7:$F$15</definedName>
    <definedName name="dms_Segment">'AER ETL'!$C$21</definedName>
    <definedName name="dms_Segment_List">'AER lookups'!$G$7:$G$15</definedName>
    <definedName name="dms_Selected_Quality">'Business &amp; other details'!$V$48</definedName>
    <definedName name="dms_Selected_Source">'Business &amp; other details'!$V$46</definedName>
    <definedName name="dms_Selected_Status">'Business &amp; other details'!$V$50</definedName>
    <definedName name="dms_SheetHeading1">'Business &amp; other details'!$F$1</definedName>
    <definedName name="dms_SheetHeading2">'Business &amp; other details'!$F$2</definedName>
    <definedName name="dms_SheetHeading3">'Business &amp; other details'!$F$3</definedName>
    <definedName name="dms_ShortRural_flag">'AER lookups'!$AB$7:$AB$15</definedName>
    <definedName name="dms_ShortRural_flag_NSP">'AER ETL'!$C$123</definedName>
    <definedName name="dms_SingleYear_FinalYear_Result">'AER ETL'!$C$76</definedName>
    <definedName name="dms_SingleYear_Model">'AER ETL'!$C$72:$C$74</definedName>
    <definedName name="dms_SingleYearModel">'AER ETL'!$C$75</definedName>
    <definedName name="dms_Source">'AER ETL'!$C$12</definedName>
    <definedName name="dms_SourceList">'AER NRs'!$C$14:$C$27</definedName>
    <definedName name="dms_Specified_FinalYear">'AER ETL'!$C$64</definedName>
    <definedName name="dms_Specified_RYE">'AER ETL'!$C$55</definedName>
    <definedName name="dms_SpecifiedYear_final_year">'AER ETL'!$C$50</definedName>
    <definedName name="dms_SpecifiedYear_Span">'AER ETL'!$C$59</definedName>
    <definedName name="dms_start_year">'AER ETL'!$C$36</definedName>
    <definedName name="dms_State">'Business &amp; other details'!$V$26</definedName>
    <definedName name="dms_State_List">'AER lookups'!$S$7:$S$15</definedName>
    <definedName name="dms_STPIS_Exclusion_List">'AER NRs'!$H$32:$H$41</definedName>
    <definedName name="dms_SubmissionDate">'AER ETL'!$C$16</definedName>
    <definedName name="dms_Suburb">'Business &amp; other details'!$V$25</definedName>
    <definedName name="dms_Suburb_List">'AER lookups'!$R$7:$R$15</definedName>
    <definedName name="dms_TemplateNumber">'AER lookups'!$D$3</definedName>
    <definedName name="dms_TNSP_0203_ProjectTrigger">'AER NRs'!$G$65:$G$72</definedName>
    <definedName name="dms_TNSP_0203_SubstationType">'AER NRs'!$C$65:$C$68</definedName>
    <definedName name="dms_TNSP_020301_ProjectTrigger">'AER NRs'!$E$65:$E$72</definedName>
    <definedName name="dms_TNSP_020301_ProjectType">'AER NRs'!$D$65:$D$68</definedName>
    <definedName name="dms_TNSP_020302_ProjectType">'AER NRs'!$F$65:$F$77</definedName>
    <definedName name="dms_Today">'AER lookups'!$A$6</definedName>
    <definedName name="dms_TradingName">'Business &amp; other details'!$V$16</definedName>
    <definedName name="dms_TradingName_List">'AER lookups'!$B$7:$B$15</definedName>
    <definedName name="dms_TradingNameFull">'AER ETL'!$C$9</definedName>
    <definedName name="dms_TradingNameFull_List">'AER lookups'!$C$7:$C$15</definedName>
    <definedName name="dms_Typed_Submission_Date">'Business &amp; other details'!$V$56</definedName>
    <definedName name="dms_Urban_flag">'AER lookups'!$AA$7:$AA$15</definedName>
    <definedName name="dms_Urban_flag_NSP">'AER ETL'!$C$122</definedName>
    <definedName name="dms_Worksheet_List">'AER lookups'!$D$23:$D$32</definedName>
    <definedName name="DMS_Xfactor">'AER NRs'!$E$179</definedName>
    <definedName name="dms_y1">'AER lookups'!$E$56</definedName>
    <definedName name="dms_y10">'AER lookups'!$E$65</definedName>
    <definedName name="dms_y11">'AER lookups'!$E$66</definedName>
    <definedName name="dms_y12">'AER lookups'!$E$67</definedName>
    <definedName name="dms_y13">'AER lookups'!$E$68</definedName>
    <definedName name="dms_y14">'AER lookups'!$E$69</definedName>
    <definedName name="dms_y15">'AER lookups'!$E$70</definedName>
    <definedName name="dms_y16">'AER lookups'!$E$71</definedName>
    <definedName name="dms_y2">'AER lookups'!$E$57</definedName>
    <definedName name="dms_y3">'AER lookups'!$E$58</definedName>
    <definedName name="dms_y4">'AER lookups'!$E$59</definedName>
    <definedName name="dms_y5">'AER lookups'!$E$60</definedName>
    <definedName name="dms_y6">'AER lookups'!$E$61</definedName>
    <definedName name="dms_y7">'AER lookups'!$E$62</definedName>
    <definedName name="dms_y8">'AER lookups'!$E$63</definedName>
    <definedName name="dms_y9">'AER lookups'!$E$64</definedName>
    <definedName name="EB">'AER lookups'!$C$27</definedName>
    <definedName name="EB_Fmt2">'AER lookups'!$D$27</definedName>
    <definedName name="Financial">'AER lookups'!$B$37:$B$86</definedName>
    <definedName name="FRCP_final_year">'AER ETL'!$C$46</definedName>
    <definedName name="FRCP_start_year">'AER ETL'!$C$43</definedName>
    <definedName name="FRCP_y1">'Business &amp; other details'!#REF!</definedName>
    <definedName name="FRCP_y10">'AER lookups'!$I$46</definedName>
    <definedName name="FRCP_y11">'AER lookups'!$I$47</definedName>
    <definedName name="FRCP_y12">'AER lookups'!$I$48</definedName>
    <definedName name="FRCP_y13">'AER lookups'!$I$49</definedName>
    <definedName name="FRCP_y14">'AER lookups'!$I$50</definedName>
    <definedName name="FRCP_y15">'AER lookups'!$I$51</definedName>
    <definedName name="FRCP_y16">'AER lookups'!$I$52</definedName>
    <definedName name="FRCP_y2">'AER lookups'!$I$38</definedName>
    <definedName name="FRCP_y3">'AER lookups'!$I$39</definedName>
    <definedName name="FRCP_y4">'AER lookups'!$I$40</definedName>
    <definedName name="FRCP_y5">'AER lookups'!$I$41</definedName>
    <definedName name="FRCP_y6">'AER lookups'!$I$42</definedName>
    <definedName name="FRCP_y7">'AER lookups'!$I$43</definedName>
    <definedName name="FRCP_y8">'AER lookups'!$I$44</definedName>
    <definedName name="FRCP_y9">'AER lookups'!$I$45</definedName>
    <definedName name="FRY">'Business &amp; other details'!#REF!</definedName>
    <definedName name="JurisdictionList">'AER CF'!$C$7:$C$27</definedName>
    <definedName name="MAIFI_flag">'AER lookups'!#REF!</definedName>
    <definedName name="PRCP_final_year">'AER ETL'!$C$48</definedName>
    <definedName name="PRCP_start_year">'AER ETL'!$C$45</definedName>
    <definedName name="PRCP_y1">'AER lookups'!$E$37</definedName>
    <definedName name="PRCP_y10">'AER lookups'!$E$46</definedName>
    <definedName name="PRCP_y11">'AER lookups'!$E$47</definedName>
    <definedName name="PRCP_y12">'AER lookups'!$E$48</definedName>
    <definedName name="PRCP_y13">'AER lookups'!$E$49</definedName>
    <definedName name="PRCP_y14">'AER lookups'!$E$50</definedName>
    <definedName name="PRCP_y15">'AER lookups'!$E$51</definedName>
    <definedName name="PRCP_y16">'AER lookups'!$E$52</definedName>
    <definedName name="PRCP_y2">'AER lookups'!$E$38</definedName>
    <definedName name="PRCP_y3">'AER lookups'!$E$39</definedName>
    <definedName name="PRCP_y4">'AER lookups'!$E$40</definedName>
    <definedName name="PRCP_y5">'AER lookups'!$E$41</definedName>
    <definedName name="PRCP_y6">'AER lookups'!$E$42</definedName>
    <definedName name="PRCP_y7">'AER lookups'!$E$43</definedName>
    <definedName name="PRCP_y8">'AER lookups'!$E$44</definedName>
    <definedName name="PRCP_y9">'AER lookups'!$E$45</definedName>
    <definedName name="Pricing">'AER lookups'!$C$28</definedName>
    <definedName name="Pricing_Fmt2">'AER lookups'!$D$28</definedName>
    <definedName name="_xlnm.Print_Area" localSheetId="16">'2.4 Hist Capex by Asset Class'!$D$11:$G$444</definedName>
    <definedName name="PTRM">'AER lookups'!$C$29</definedName>
    <definedName name="PTRM_Fmt2">'AER lookups'!$D$29</definedName>
    <definedName name="Reset">'AER lookups'!$C$30</definedName>
    <definedName name="Reset_Fmt2">'AER lookups'!$D$30</definedName>
    <definedName name="RFM">'AER lookups'!$C$31</definedName>
    <definedName name="RFM_Fmt2">'AER lookups'!$D$31</definedName>
    <definedName name="Sector">'AER CF'!$D$7:$D$27</definedName>
    <definedName name="Segment">'AER CF'!$E$7:$E$27</definedName>
    <definedName name="WACC">'AER lookups'!$C$32</definedName>
    <definedName name="WACC_Fmt2">'AER lookups'!$D$32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22" l="1"/>
  <c r="I33" i="22"/>
  <c r="H34" i="22"/>
  <c r="I34" i="22"/>
  <c r="O35" i="43" l="1"/>
  <c r="N35" i="43"/>
  <c r="M35" i="43"/>
  <c r="O34" i="43"/>
  <c r="N34" i="43"/>
  <c r="M34" i="43"/>
  <c r="O33" i="43"/>
  <c r="N33" i="43"/>
  <c r="M33" i="43"/>
  <c r="O32" i="43"/>
  <c r="N32" i="43"/>
  <c r="M32" i="43"/>
  <c r="O31" i="43"/>
  <c r="N31" i="43"/>
  <c r="M31" i="43"/>
  <c r="O30" i="43"/>
  <c r="N30" i="43"/>
  <c r="M30" i="43"/>
  <c r="O29" i="43"/>
  <c r="N29" i="43"/>
  <c r="M29" i="43"/>
  <c r="O28" i="43"/>
  <c r="N28" i="43"/>
  <c r="M28" i="43"/>
  <c r="O27" i="43"/>
  <c r="N27" i="43"/>
  <c r="M27" i="43"/>
  <c r="O26" i="43"/>
  <c r="N26" i="43"/>
  <c r="M26" i="43"/>
  <c r="Q14" i="43"/>
  <c r="Q15" i="43"/>
  <c r="Q16" i="43"/>
  <c r="Q17" i="43"/>
  <c r="Q18" i="43"/>
  <c r="Q19" i="43"/>
  <c r="Q20" i="43"/>
  <c r="Q21" i="43"/>
  <c r="Q22" i="43"/>
  <c r="Q13" i="43"/>
  <c r="M13" i="43"/>
  <c r="N14" i="43"/>
  <c r="N15" i="43"/>
  <c r="N16" i="43"/>
  <c r="N17" i="43"/>
  <c r="N18" i="43"/>
  <c r="N19" i="43"/>
  <c r="N20" i="43"/>
  <c r="N21" i="43"/>
  <c r="N22" i="43"/>
  <c r="N13" i="43"/>
  <c r="M22" i="43"/>
  <c r="M21" i="43"/>
  <c r="M20" i="43"/>
  <c r="M19" i="43"/>
  <c r="M18" i="43"/>
  <c r="M17" i="43"/>
  <c r="M16" i="43"/>
  <c r="M15" i="43"/>
  <c r="M14" i="43"/>
  <c r="R33" i="36"/>
  <c r="S33" i="36"/>
  <c r="U33" i="36"/>
  <c r="V33" i="36"/>
  <c r="W33" i="36"/>
  <c r="Y33" i="36"/>
  <c r="Z33" i="36"/>
  <c r="AA33" i="36"/>
  <c r="AC33" i="36"/>
  <c r="AD33" i="36"/>
  <c r="AE33" i="36"/>
  <c r="AG33" i="36"/>
  <c r="R34" i="36"/>
  <c r="S34" i="36"/>
  <c r="U34" i="36"/>
  <c r="V34" i="36"/>
  <c r="W34" i="36"/>
  <c r="Y34" i="36"/>
  <c r="Z34" i="36"/>
  <c r="AA34" i="36"/>
  <c r="AC34" i="36"/>
  <c r="AD34" i="36"/>
  <c r="AE34" i="36"/>
  <c r="AG34" i="36"/>
  <c r="R35" i="36"/>
  <c r="S35" i="36"/>
  <c r="U35" i="36"/>
  <c r="V35" i="36"/>
  <c r="W35" i="36"/>
  <c r="Y35" i="36"/>
  <c r="Z35" i="36"/>
  <c r="AA35" i="36"/>
  <c r="AC35" i="36"/>
  <c r="AD35" i="36"/>
  <c r="AE35" i="36"/>
  <c r="AG35" i="36"/>
  <c r="R36" i="36"/>
  <c r="S36" i="36"/>
  <c r="U36" i="36"/>
  <c r="V36" i="36"/>
  <c r="W36" i="36"/>
  <c r="Y36" i="36"/>
  <c r="Z36" i="36"/>
  <c r="AA36" i="36"/>
  <c r="AC36" i="36"/>
  <c r="AD36" i="36"/>
  <c r="AE36" i="36"/>
  <c r="AG36" i="36"/>
  <c r="R37" i="36"/>
  <c r="S37" i="36"/>
  <c r="U37" i="36"/>
  <c r="V37" i="36"/>
  <c r="W37" i="36"/>
  <c r="Y37" i="36"/>
  <c r="Z37" i="36"/>
  <c r="AA37" i="36"/>
  <c r="AC37" i="36"/>
  <c r="AD37" i="36"/>
  <c r="AE37" i="36"/>
  <c r="AG37" i="36"/>
  <c r="R38" i="36"/>
  <c r="S38" i="36"/>
  <c r="U38" i="36"/>
  <c r="V38" i="36"/>
  <c r="W38" i="36"/>
  <c r="Y38" i="36"/>
  <c r="Z38" i="36"/>
  <c r="AA38" i="36"/>
  <c r="AC38" i="36"/>
  <c r="AD38" i="36"/>
  <c r="AE38" i="36"/>
  <c r="AG38" i="36"/>
  <c r="R39" i="36"/>
  <c r="S39" i="36"/>
  <c r="U39" i="36"/>
  <c r="V39" i="36"/>
  <c r="W39" i="36"/>
  <c r="Y39" i="36"/>
  <c r="Z39" i="36"/>
  <c r="AA39" i="36"/>
  <c r="AC39" i="36"/>
  <c r="AD39" i="36"/>
  <c r="AE39" i="36"/>
  <c r="AG39" i="36"/>
  <c r="R40" i="36"/>
  <c r="S40" i="36"/>
  <c r="U40" i="36"/>
  <c r="V40" i="36"/>
  <c r="W40" i="36"/>
  <c r="Y40" i="36"/>
  <c r="Z40" i="36"/>
  <c r="AA40" i="36"/>
  <c r="AC40" i="36"/>
  <c r="AD40" i="36"/>
  <c r="AE40" i="36"/>
  <c r="AG40" i="36"/>
  <c r="AD32" i="36"/>
  <c r="AC32" i="36"/>
  <c r="D256" i="40"/>
  <c r="D386" i="40" s="1"/>
  <c r="D257" i="40"/>
  <c r="D387" i="40" s="1"/>
  <c r="D258" i="40"/>
  <c r="D345" i="40" s="1"/>
  <c r="D259" i="40"/>
  <c r="D303" i="40" s="1"/>
  <c r="D260" i="40"/>
  <c r="D347" i="40" s="1"/>
  <c r="D261" i="40"/>
  <c r="D348" i="40" s="1"/>
  <c r="D262" i="40"/>
  <c r="D306" i="40" s="1"/>
  <c r="D263" i="40"/>
  <c r="D393" i="40" s="1"/>
  <c r="D264" i="40"/>
  <c r="D308" i="40" s="1"/>
  <c r="D265" i="40"/>
  <c r="D352" i="40" s="1"/>
  <c r="D266" i="40"/>
  <c r="D396" i="40" s="1"/>
  <c r="D267" i="40"/>
  <c r="D354" i="40" s="1"/>
  <c r="D268" i="40"/>
  <c r="D355" i="40" s="1"/>
  <c r="D269" i="40"/>
  <c r="D356" i="40" s="1"/>
  <c r="D270" i="40"/>
  <c r="D314" i="40" s="1"/>
  <c r="D271" i="40"/>
  <c r="D401" i="40" s="1"/>
  <c r="D272" i="40"/>
  <c r="D402" i="40" s="1"/>
  <c r="D273" i="40"/>
  <c r="D360" i="40" s="1"/>
  <c r="D274" i="40"/>
  <c r="D404" i="40" s="1"/>
  <c r="D275" i="40"/>
  <c r="D362" i="40" s="1"/>
  <c r="D276" i="40"/>
  <c r="D363" i="40" s="1"/>
  <c r="D277" i="40"/>
  <c r="D364" i="40" s="1"/>
  <c r="D278" i="40"/>
  <c r="D322" i="40" s="1"/>
  <c r="D279" i="40"/>
  <c r="D409" i="40" s="1"/>
  <c r="D280" i="40"/>
  <c r="D324" i="40" s="1"/>
  <c r="D281" i="40"/>
  <c r="D368" i="40" s="1"/>
  <c r="D282" i="40"/>
  <c r="D412" i="40" s="1"/>
  <c r="D283" i="40"/>
  <c r="D370" i="40" s="1"/>
  <c r="D284" i="40"/>
  <c r="D371" i="40" s="1"/>
  <c r="D285" i="40"/>
  <c r="D372" i="40" s="1"/>
  <c r="D286" i="40"/>
  <c r="D330" i="40" s="1"/>
  <c r="D287" i="40"/>
  <c r="D417" i="40" s="1"/>
  <c r="D288" i="40"/>
  <c r="D418" i="40" s="1"/>
  <c r="D289" i="40"/>
  <c r="D376" i="40" s="1"/>
  <c r="D290" i="40"/>
  <c r="D420" i="40" s="1"/>
  <c r="D291" i="40"/>
  <c r="D378" i="40" s="1"/>
  <c r="D292" i="40"/>
  <c r="D379" i="40" s="1"/>
  <c r="D293" i="40"/>
  <c r="D380" i="40" s="1"/>
  <c r="D294" i="40"/>
  <c r="D338" i="40" s="1"/>
  <c r="D295" i="40"/>
  <c r="D425" i="40" s="1"/>
  <c r="D296" i="40"/>
  <c r="D383" i="40" s="1"/>
  <c r="D188" i="40"/>
  <c r="D189" i="40"/>
  <c r="D190" i="40"/>
  <c r="D191" i="40"/>
  <c r="D192" i="40"/>
  <c r="D193" i="40"/>
  <c r="D194" i="40"/>
  <c r="D195" i="40"/>
  <c r="D196" i="40"/>
  <c r="D197" i="40"/>
  <c r="D198" i="40"/>
  <c r="D199" i="40"/>
  <c r="D200" i="40"/>
  <c r="D201" i="40"/>
  <c r="D202" i="40"/>
  <c r="D203" i="40"/>
  <c r="D204" i="40"/>
  <c r="D205" i="40"/>
  <c r="D206" i="40"/>
  <c r="D207" i="40"/>
  <c r="D208" i="40"/>
  <c r="D209" i="40"/>
  <c r="D210" i="40"/>
  <c r="D211" i="40"/>
  <c r="D212" i="40"/>
  <c r="D213" i="40"/>
  <c r="D214" i="40"/>
  <c r="D215" i="40"/>
  <c r="D216" i="40"/>
  <c r="D217" i="40"/>
  <c r="D218" i="40"/>
  <c r="D219" i="40"/>
  <c r="D220" i="40"/>
  <c r="D221" i="40"/>
  <c r="D222" i="40"/>
  <c r="D223" i="40"/>
  <c r="D224" i="40"/>
  <c r="D225" i="40"/>
  <c r="D226" i="40"/>
  <c r="D227" i="40"/>
  <c r="D228" i="40"/>
  <c r="D144" i="40"/>
  <c r="D145" i="40"/>
  <c r="D146" i="40"/>
  <c r="D147" i="40"/>
  <c r="D148" i="40"/>
  <c r="D149" i="40"/>
  <c r="D150" i="40"/>
  <c r="D151" i="40"/>
  <c r="D152" i="40"/>
  <c r="D153" i="40"/>
  <c r="D154" i="40"/>
  <c r="D155" i="40"/>
  <c r="D156" i="40"/>
  <c r="D157" i="40"/>
  <c r="D158" i="40"/>
  <c r="D159" i="40"/>
  <c r="D160" i="40"/>
  <c r="D161" i="40"/>
  <c r="D162" i="40"/>
  <c r="D163" i="40"/>
  <c r="D164" i="40"/>
  <c r="D165" i="40"/>
  <c r="D166" i="40"/>
  <c r="D167" i="40"/>
  <c r="D168" i="40"/>
  <c r="D169" i="40"/>
  <c r="D170" i="40"/>
  <c r="D171" i="40"/>
  <c r="D172" i="40"/>
  <c r="D173" i="40"/>
  <c r="D174" i="40"/>
  <c r="D175" i="40"/>
  <c r="D176" i="40"/>
  <c r="D177" i="40"/>
  <c r="D178" i="40"/>
  <c r="D179" i="40"/>
  <c r="D180" i="40"/>
  <c r="D181" i="40"/>
  <c r="D182" i="40"/>
  <c r="D183" i="40"/>
  <c r="D184" i="40"/>
  <c r="F101" i="40"/>
  <c r="F102" i="40"/>
  <c r="F103" i="40"/>
  <c r="F104" i="40"/>
  <c r="F105" i="40"/>
  <c r="F106" i="40"/>
  <c r="F107" i="40"/>
  <c r="F108" i="40"/>
  <c r="F109" i="40"/>
  <c r="F110" i="40"/>
  <c r="F111" i="40"/>
  <c r="F112" i="40"/>
  <c r="F113" i="40"/>
  <c r="F114" i="40"/>
  <c r="F115" i="40"/>
  <c r="F116" i="40"/>
  <c r="F117" i="40"/>
  <c r="F118" i="40"/>
  <c r="F119" i="40"/>
  <c r="F120" i="40"/>
  <c r="F121" i="40"/>
  <c r="F122" i="40"/>
  <c r="F123" i="40"/>
  <c r="F124" i="40"/>
  <c r="F125" i="40"/>
  <c r="F126" i="40"/>
  <c r="F127" i="40"/>
  <c r="F128" i="40"/>
  <c r="F129" i="40"/>
  <c r="F130" i="40"/>
  <c r="F131" i="40"/>
  <c r="F132" i="40"/>
  <c r="F133" i="40"/>
  <c r="F134" i="40"/>
  <c r="F135" i="40"/>
  <c r="F136" i="40"/>
  <c r="F137" i="40"/>
  <c r="F138" i="40"/>
  <c r="F139" i="40"/>
  <c r="F140" i="40"/>
  <c r="F141" i="40"/>
  <c r="D101" i="40"/>
  <c r="D102" i="40"/>
  <c r="D103" i="40"/>
  <c r="D104" i="40"/>
  <c r="D105" i="40"/>
  <c r="D106" i="40"/>
  <c r="D107" i="40"/>
  <c r="D108" i="40"/>
  <c r="D109" i="40"/>
  <c r="D110" i="40"/>
  <c r="D111" i="40"/>
  <c r="D112" i="40"/>
  <c r="D113" i="40"/>
  <c r="D114" i="40"/>
  <c r="D115" i="40"/>
  <c r="D116" i="40"/>
  <c r="D117" i="40"/>
  <c r="D118" i="40"/>
  <c r="D119" i="40"/>
  <c r="D120" i="40"/>
  <c r="D121" i="40"/>
  <c r="D122" i="40"/>
  <c r="D123" i="40"/>
  <c r="D124" i="40"/>
  <c r="D125" i="40"/>
  <c r="D126" i="40"/>
  <c r="D127" i="40"/>
  <c r="D128" i="40"/>
  <c r="D129" i="40"/>
  <c r="D130" i="40"/>
  <c r="D131" i="40"/>
  <c r="D132" i="40"/>
  <c r="D133" i="40"/>
  <c r="D134" i="40"/>
  <c r="D135" i="40"/>
  <c r="D136" i="40"/>
  <c r="D137" i="40"/>
  <c r="D138" i="40"/>
  <c r="D139" i="40"/>
  <c r="D140" i="40"/>
  <c r="D141" i="40"/>
  <c r="D58" i="40"/>
  <c r="D59" i="40"/>
  <c r="D60" i="40"/>
  <c r="D61" i="40"/>
  <c r="D62" i="40"/>
  <c r="D63" i="40"/>
  <c r="D64" i="40"/>
  <c r="D65" i="40"/>
  <c r="D66" i="40"/>
  <c r="D67" i="40"/>
  <c r="D68" i="40"/>
  <c r="D69" i="40"/>
  <c r="D70" i="40"/>
  <c r="D71" i="40"/>
  <c r="D72" i="40"/>
  <c r="D73" i="40"/>
  <c r="D74" i="40"/>
  <c r="D75" i="40"/>
  <c r="D76" i="40"/>
  <c r="D77" i="40"/>
  <c r="D78" i="40"/>
  <c r="D79" i="40"/>
  <c r="D80" i="40"/>
  <c r="D81" i="40"/>
  <c r="D82" i="40"/>
  <c r="D83" i="40"/>
  <c r="D84" i="40"/>
  <c r="D85" i="40"/>
  <c r="D86" i="40"/>
  <c r="D87" i="40"/>
  <c r="D88" i="40"/>
  <c r="D89" i="40"/>
  <c r="D90" i="40"/>
  <c r="D91" i="40"/>
  <c r="D92" i="40"/>
  <c r="D93" i="40"/>
  <c r="D94" i="40"/>
  <c r="D95" i="40"/>
  <c r="D96" i="40"/>
  <c r="D97" i="40"/>
  <c r="D98" i="40"/>
  <c r="D143" i="40"/>
  <c r="D187" i="40"/>
  <c r="BI13" i="24"/>
  <c r="BJ13" i="24"/>
  <c r="BL13" i="24"/>
  <c r="BM13" i="24"/>
  <c r="BO13" i="24"/>
  <c r="BP13" i="24"/>
  <c r="BR13" i="24"/>
  <c r="BS13" i="24"/>
  <c r="BU13" i="24"/>
  <c r="BV13" i="24"/>
  <c r="BX13" i="24"/>
  <c r="BY13" i="24"/>
  <c r="CA13" i="24"/>
  <c r="CB13" i="24"/>
  <c r="CD13" i="24"/>
  <c r="CE13" i="24"/>
  <c r="CG13" i="24"/>
  <c r="CH13" i="24"/>
  <c r="CJ13" i="24"/>
  <c r="CK13" i="24"/>
  <c r="CM13" i="24"/>
  <c r="CN13" i="24"/>
  <c r="CP13" i="24"/>
  <c r="CQ13" i="24"/>
  <c r="CS13" i="24"/>
  <c r="CT13" i="24"/>
  <c r="CV13" i="24"/>
  <c r="CW13" i="24"/>
  <c r="CY13" i="24"/>
  <c r="CZ13" i="24"/>
  <c r="DB13" i="24"/>
  <c r="DC13" i="24"/>
  <c r="DE13" i="24"/>
  <c r="DF13" i="24"/>
  <c r="DH13" i="24"/>
  <c r="DI13" i="24"/>
  <c r="DK13" i="24"/>
  <c r="DL13" i="24"/>
  <c r="DN13" i="24"/>
  <c r="DO13" i="24"/>
  <c r="DQ13" i="24"/>
  <c r="DR13" i="24"/>
  <c r="DT13" i="24"/>
  <c r="DU13" i="24"/>
  <c r="BI14" i="24"/>
  <c r="BJ14" i="24"/>
  <c r="BL14" i="24"/>
  <c r="BM14" i="24"/>
  <c r="BO14" i="24"/>
  <c r="BP14" i="24"/>
  <c r="BR14" i="24"/>
  <c r="BS14" i="24"/>
  <c r="BU14" i="24"/>
  <c r="BV14" i="24"/>
  <c r="BX14" i="24"/>
  <c r="BY14" i="24"/>
  <c r="CA14" i="24"/>
  <c r="CB14" i="24"/>
  <c r="CD14" i="24"/>
  <c r="CE14" i="24"/>
  <c r="CG14" i="24"/>
  <c r="CH14" i="24"/>
  <c r="CJ14" i="24"/>
  <c r="CK14" i="24"/>
  <c r="CM14" i="24"/>
  <c r="CN14" i="24"/>
  <c r="CP14" i="24"/>
  <c r="CQ14" i="24"/>
  <c r="CS14" i="24"/>
  <c r="CT14" i="24"/>
  <c r="CV14" i="24"/>
  <c r="CW14" i="24"/>
  <c r="CY14" i="24"/>
  <c r="CZ14" i="24"/>
  <c r="DB14" i="24"/>
  <c r="DC14" i="24"/>
  <c r="DE14" i="24"/>
  <c r="DF14" i="24"/>
  <c r="DH14" i="24"/>
  <c r="DI14" i="24"/>
  <c r="DK14" i="24"/>
  <c r="DL14" i="24"/>
  <c r="DN14" i="24"/>
  <c r="DO14" i="24"/>
  <c r="DQ14" i="24"/>
  <c r="DR14" i="24"/>
  <c r="DT14" i="24"/>
  <c r="DU14" i="24"/>
  <c r="BI15" i="24"/>
  <c r="BJ15" i="24"/>
  <c r="BL15" i="24"/>
  <c r="BM15" i="24"/>
  <c r="BO15" i="24"/>
  <c r="BP15" i="24"/>
  <c r="BR15" i="24"/>
  <c r="BS15" i="24"/>
  <c r="BU15" i="24"/>
  <c r="BV15" i="24"/>
  <c r="BX15" i="24"/>
  <c r="BY15" i="24"/>
  <c r="CA15" i="24"/>
  <c r="CB15" i="24"/>
  <c r="CD15" i="24"/>
  <c r="CE15" i="24"/>
  <c r="CG15" i="24"/>
  <c r="CH15" i="24"/>
  <c r="CJ15" i="24"/>
  <c r="CK15" i="24"/>
  <c r="CM15" i="24"/>
  <c r="CN15" i="24"/>
  <c r="CP15" i="24"/>
  <c r="CQ15" i="24"/>
  <c r="CS15" i="24"/>
  <c r="CT15" i="24"/>
  <c r="CV15" i="24"/>
  <c r="CW15" i="24"/>
  <c r="CY15" i="24"/>
  <c r="CZ15" i="24"/>
  <c r="DB15" i="24"/>
  <c r="DC15" i="24"/>
  <c r="DE15" i="24"/>
  <c r="DF15" i="24"/>
  <c r="DH15" i="24"/>
  <c r="DI15" i="24"/>
  <c r="DK15" i="24"/>
  <c r="DL15" i="24"/>
  <c r="DN15" i="24"/>
  <c r="DO15" i="24"/>
  <c r="DQ15" i="24"/>
  <c r="DR15" i="24"/>
  <c r="DT15" i="24"/>
  <c r="DU15" i="24"/>
  <c r="BI16" i="24"/>
  <c r="BJ16" i="24"/>
  <c r="BL16" i="24"/>
  <c r="BM16" i="24"/>
  <c r="BO16" i="24"/>
  <c r="BP16" i="24"/>
  <c r="BR16" i="24"/>
  <c r="BS16" i="24"/>
  <c r="BU16" i="24"/>
  <c r="BV16" i="24"/>
  <c r="BX16" i="24"/>
  <c r="BY16" i="24"/>
  <c r="CA16" i="24"/>
  <c r="CB16" i="24"/>
  <c r="CD16" i="24"/>
  <c r="CE16" i="24"/>
  <c r="CG16" i="24"/>
  <c r="CH16" i="24"/>
  <c r="CJ16" i="24"/>
  <c r="CK16" i="24"/>
  <c r="CM16" i="24"/>
  <c r="CN16" i="24"/>
  <c r="CP16" i="24"/>
  <c r="CQ16" i="24"/>
  <c r="CS16" i="24"/>
  <c r="CT16" i="24"/>
  <c r="CV16" i="24"/>
  <c r="CW16" i="24"/>
  <c r="CY16" i="24"/>
  <c r="CZ16" i="24"/>
  <c r="DB16" i="24"/>
  <c r="DC16" i="24"/>
  <c r="DE16" i="24"/>
  <c r="DF16" i="24"/>
  <c r="DH16" i="24"/>
  <c r="DI16" i="24"/>
  <c r="DK16" i="24"/>
  <c r="DL16" i="24"/>
  <c r="DN16" i="24"/>
  <c r="DO16" i="24"/>
  <c r="DQ16" i="24"/>
  <c r="DR16" i="24"/>
  <c r="DT16" i="24"/>
  <c r="DU16" i="24"/>
  <c r="BI17" i="24"/>
  <c r="BJ17" i="24"/>
  <c r="BL17" i="24"/>
  <c r="BM17" i="24"/>
  <c r="BO17" i="24"/>
  <c r="BP17" i="24"/>
  <c r="BR17" i="24"/>
  <c r="BS17" i="24"/>
  <c r="BU17" i="24"/>
  <c r="BV17" i="24"/>
  <c r="BX17" i="24"/>
  <c r="BY17" i="24"/>
  <c r="CA17" i="24"/>
  <c r="CB17" i="24"/>
  <c r="CD17" i="24"/>
  <c r="CE17" i="24"/>
  <c r="CG17" i="24"/>
  <c r="CH17" i="24"/>
  <c r="CJ17" i="24"/>
  <c r="CK17" i="24"/>
  <c r="CM17" i="24"/>
  <c r="CN17" i="24"/>
  <c r="CP17" i="24"/>
  <c r="CQ17" i="24"/>
  <c r="CS17" i="24"/>
  <c r="CT17" i="24"/>
  <c r="CV17" i="24"/>
  <c r="CW17" i="24"/>
  <c r="CY17" i="24"/>
  <c r="CZ17" i="24"/>
  <c r="DB17" i="24"/>
  <c r="DC17" i="24"/>
  <c r="DE17" i="24"/>
  <c r="DF17" i="24"/>
  <c r="DH17" i="24"/>
  <c r="DI17" i="24"/>
  <c r="DK17" i="24"/>
  <c r="DL17" i="24"/>
  <c r="DN17" i="24"/>
  <c r="DO17" i="24"/>
  <c r="DQ17" i="24"/>
  <c r="DR17" i="24"/>
  <c r="DT17" i="24"/>
  <c r="DU17" i="24"/>
  <c r="BI18" i="24"/>
  <c r="BJ18" i="24"/>
  <c r="BL18" i="24"/>
  <c r="BM18" i="24"/>
  <c r="BO18" i="24"/>
  <c r="BP18" i="24"/>
  <c r="BR18" i="24"/>
  <c r="BS18" i="24"/>
  <c r="BU18" i="24"/>
  <c r="BV18" i="24"/>
  <c r="BX18" i="24"/>
  <c r="BY18" i="24"/>
  <c r="CA18" i="24"/>
  <c r="CB18" i="24"/>
  <c r="CD18" i="24"/>
  <c r="CE18" i="24"/>
  <c r="CG18" i="24"/>
  <c r="CH18" i="24"/>
  <c r="CJ18" i="24"/>
  <c r="CK18" i="24"/>
  <c r="CM18" i="24"/>
  <c r="CN18" i="24"/>
  <c r="CP18" i="24"/>
  <c r="CQ18" i="24"/>
  <c r="CS18" i="24"/>
  <c r="CT18" i="24"/>
  <c r="CV18" i="24"/>
  <c r="CW18" i="24"/>
  <c r="CY18" i="24"/>
  <c r="CZ18" i="24"/>
  <c r="DB18" i="24"/>
  <c r="DC18" i="24"/>
  <c r="DE18" i="24"/>
  <c r="DF18" i="24"/>
  <c r="DH18" i="24"/>
  <c r="DI18" i="24"/>
  <c r="DK18" i="24"/>
  <c r="DL18" i="24"/>
  <c r="DN18" i="24"/>
  <c r="DO18" i="24"/>
  <c r="DQ18" i="24"/>
  <c r="DR18" i="24"/>
  <c r="DT18" i="24"/>
  <c r="DU18" i="24"/>
  <c r="BI19" i="24"/>
  <c r="BJ19" i="24"/>
  <c r="BL19" i="24"/>
  <c r="BM19" i="24"/>
  <c r="BO19" i="24"/>
  <c r="BP19" i="24"/>
  <c r="BR19" i="24"/>
  <c r="BS19" i="24"/>
  <c r="BU19" i="24"/>
  <c r="BV19" i="24"/>
  <c r="BX19" i="24"/>
  <c r="BY19" i="24"/>
  <c r="CA19" i="24"/>
  <c r="CB19" i="24"/>
  <c r="CD19" i="24"/>
  <c r="CE19" i="24"/>
  <c r="CG19" i="24"/>
  <c r="CH19" i="24"/>
  <c r="CJ19" i="24"/>
  <c r="CK19" i="24"/>
  <c r="CM19" i="24"/>
  <c r="CN19" i="24"/>
  <c r="CP19" i="24"/>
  <c r="CQ19" i="24"/>
  <c r="CS19" i="24"/>
  <c r="CT19" i="24"/>
  <c r="CV19" i="24"/>
  <c r="CW19" i="24"/>
  <c r="CY19" i="24"/>
  <c r="CZ19" i="24"/>
  <c r="DB19" i="24"/>
  <c r="DC19" i="24"/>
  <c r="DE19" i="24"/>
  <c r="DF19" i="24"/>
  <c r="DH19" i="24"/>
  <c r="DI19" i="24"/>
  <c r="DK19" i="24"/>
  <c r="DL19" i="24"/>
  <c r="DN19" i="24"/>
  <c r="DO19" i="24"/>
  <c r="DQ19" i="24"/>
  <c r="DR19" i="24"/>
  <c r="DT19" i="24"/>
  <c r="DU19" i="24"/>
  <c r="BI20" i="24"/>
  <c r="BJ20" i="24"/>
  <c r="BL20" i="24"/>
  <c r="BM20" i="24"/>
  <c r="BO20" i="24"/>
  <c r="BP20" i="24"/>
  <c r="BR20" i="24"/>
  <c r="BS20" i="24"/>
  <c r="BU20" i="24"/>
  <c r="BV20" i="24"/>
  <c r="BX20" i="24"/>
  <c r="BY20" i="24"/>
  <c r="CA20" i="24"/>
  <c r="CB20" i="24"/>
  <c r="CD20" i="24"/>
  <c r="CE20" i="24"/>
  <c r="CG20" i="24"/>
  <c r="CH20" i="24"/>
  <c r="CJ20" i="24"/>
  <c r="CK20" i="24"/>
  <c r="CM20" i="24"/>
  <c r="CN20" i="24"/>
  <c r="CP20" i="24"/>
  <c r="CQ20" i="24"/>
  <c r="CS20" i="24"/>
  <c r="CT20" i="24"/>
  <c r="CV20" i="24"/>
  <c r="CW20" i="24"/>
  <c r="CY20" i="24"/>
  <c r="CZ20" i="24"/>
  <c r="DB20" i="24"/>
  <c r="DC20" i="24"/>
  <c r="DE20" i="24"/>
  <c r="DF20" i="24"/>
  <c r="DH20" i="24"/>
  <c r="DI20" i="24"/>
  <c r="DK20" i="24"/>
  <c r="DL20" i="24"/>
  <c r="DN20" i="24"/>
  <c r="DO20" i="24"/>
  <c r="DQ20" i="24"/>
  <c r="DR20" i="24"/>
  <c r="DT20" i="24"/>
  <c r="DU20" i="24"/>
  <c r="DU12" i="24"/>
  <c r="DR12" i="24"/>
  <c r="DO12" i="24"/>
  <c r="DL12" i="24"/>
  <c r="DI12" i="24"/>
  <c r="DF12" i="24"/>
  <c r="DC12" i="24"/>
  <c r="CZ12" i="24"/>
  <c r="CW12" i="24"/>
  <c r="CT12" i="24"/>
  <c r="CQ12" i="24"/>
  <c r="CN12" i="24"/>
  <c r="CK12" i="24"/>
  <c r="CH12" i="24"/>
  <c r="CE12" i="24"/>
  <c r="CB12" i="24"/>
  <c r="BY12" i="24"/>
  <c r="BV12" i="24"/>
  <c r="BS12" i="24"/>
  <c r="BP12" i="24"/>
  <c r="BM12" i="24"/>
  <c r="BJ12" i="24"/>
  <c r="DT12" i="24"/>
  <c r="DQ12" i="24"/>
  <c r="DN12" i="24"/>
  <c r="DK12" i="24"/>
  <c r="DH12" i="24"/>
  <c r="DE12" i="24"/>
  <c r="DB12" i="24"/>
  <c r="CY12" i="24"/>
  <c r="CV12" i="24"/>
  <c r="CS12" i="24"/>
  <c r="CP12" i="24"/>
  <c r="CM12" i="24"/>
  <c r="CJ12" i="24"/>
  <c r="CG12" i="24"/>
  <c r="CD12" i="24"/>
  <c r="CA12" i="24"/>
  <c r="BX12" i="24"/>
  <c r="BU12" i="24"/>
  <c r="BR12" i="24"/>
  <c r="BO12" i="24"/>
  <c r="BL12" i="24"/>
  <c r="BI12" i="24"/>
  <c r="BF13" i="24"/>
  <c r="BG13" i="24"/>
  <c r="BF14" i="24"/>
  <c r="BG14" i="24"/>
  <c r="BF15" i="24"/>
  <c r="BG15" i="24"/>
  <c r="BF16" i="24"/>
  <c r="BG16" i="24"/>
  <c r="BF17" i="24"/>
  <c r="BG17" i="24"/>
  <c r="BF18" i="24"/>
  <c r="BG18" i="24"/>
  <c r="BF19" i="24"/>
  <c r="BG19" i="24"/>
  <c r="BF20" i="24"/>
  <c r="BG20" i="24"/>
  <c r="BG12" i="24"/>
  <c r="BF12" i="24"/>
  <c r="BC13" i="24"/>
  <c r="BD13" i="24"/>
  <c r="BC14" i="24"/>
  <c r="BD14" i="24"/>
  <c r="BC15" i="24"/>
  <c r="BD15" i="24"/>
  <c r="BC16" i="24"/>
  <c r="BD16" i="24"/>
  <c r="BC17" i="24"/>
  <c r="BD17" i="24"/>
  <c r="BC18" i="24"/>
  <c r="BD18" i="24"/>
  <c r="BC19" i="24"/>
  <c r="BD19" i="24"/>
  <c r="BC20" i="24"/>
  <c r="BD20" i="24"/>
  <c r="BD12" i="24"/>
  <c r="BC12" i="24"/>
  <c r="BA12" i="24"/>
  <c r="AZ12" i="24"/>
  <c r="AL13" i="24"/>
  <c r="AL14" i="24"/>
  <c r="AL15" i="24"/>
  <c r="AL16" i="24"/>
  <c r="AL17" i="24"/>
  <c r="AL18" i="24"/>
  <c r="AL19" i="24"/>
  <c r="AL20" i="24"/>
  <c r="Y15" i="13"/>
  <c r="L34" i="13"/>
  <c r="L33" i="13"/>
  <c r="L32" i="13"/>
  <c r="N30" i="11"/>
  <c r="N31" i="11"/>
  <c r="N32" i="11"/>
  <c r="N33" i="11"/>
  <c r="N29" i="11"/>
  <c r="K30" i="11"/>
  <c r="K31" i="11"/>
  <c r="K32" i="11"/>
  <c r="K33" i="11"/>
  <c r="K29" i="11"/>
  <c r="I33" i="11"/>
  <c r="J33" i="11"/>
  <c r="L33" i="11"/>
  <c r="M33" i="11"/>
  <c r="V14" i="8"/>
  <c r="AN39" i="7"/>
  <c r="AN38" i="7"/>
  <c r="AN37" i="7"/>
  <c r="AN36" i="7"/>
  <c r="AN35" i="7"/>
  <c r="AN34" i="7"/>
  <c r="AN33" i="7"/>
  <c r="AN32" i="7"/>
  <c r="AN31" i="7"/>
  <c r="AN30" i="7"/>
  <c r="AN29" i="7"/>
  <c r="AN28" i="7"/>
  <c r="AN27" i="7"/>
  <c r="AN26" i="7"/>
  <c r="AN25" i="7"/>
  <c r="AN24" i="7"/>
  <c r="AN23" i="7"/>
  <c r="AN22" i="7"/>
  <c r="AN21" i="7"/>
  <c r="AN20" i="7"/>
  <c r="AN19" i="7"/>
  <c r="AN18" i="7"/>
  <c r="AN17" i="7"/>
  <c r="AN16" i="7"/>
  <c r="AK39" i="7"/>
  <c r="AK38" i="7"/>
  <c r="AK37" i="7"/>
  <c r="AK36" i="7"/>
  <c r="AK35" i="7"/>
  <c r="AK34" i="7"/>
  <c r="AK33" i="7"/>
  <c r="AK32" i="7"/>
  <c r="AK31" i="7"/>
  <c r="AK30" i="7"/>
  <c r="AK29" i="7"/>
  <c r="AK28" i="7"/>
  <c r="AK27" i="7"/>
  <c r="AK26" i="7"/>
  <c r="AK25" i="7"/>
  <c r="AK24" i="7"/>
  <c r="AK23" i="7"/>
  <c r="AK22" i="7"/>
  <c r="AK21" i="7"/>
  <c r="AK20" i="7"/>
  <c r="AK19" i="7"/>
  <c r="AK18" i="7"/>
  <c r="AK17" i="7"/>
  <c r="AK16" i="7"/>
  <c r="AJ39" i="7"/>
  <c r="AJ16" i="7"/>
  <c r="AI39" i="7"/>
  <c r="AI22" i="7"/>
  <c r="AH39" i="7"/>
  <c r="AH38" i="7"/>
  <c r="AH37" i="7"/>
  <c r="AH36" i="7"/>
  <c r="AH35" i="7"/>
  <c r="AH34" i="7"/>
  <c r="AH33" i="7"/>
  <c r="AH32" i="7"/>
  <c r="AH31" i="7"/>
  <c r="AH30" i="7"/>
  <c r="AH29" i="7"/>
  <c r="AH28" i="7"/>
  <c r="AH27" i="7"/>
  <c r="AH26" i="7"/>
  <c r="AH25" i="7"/>
  <c r="AH24" i="7"/>
  <c r="AH23" i="7"/>
  <c r="AH22" i="7"/>
  <c r="AH21" i="7"/>
  <c r="AH20" i="7"/>
  <c r="AH19" i="7"/>
  <c r="AH18" i="7"/>
  <c r="AH17" i="7"/>
  <c r="AH16" i="7"/>
  <c r="AF39" i="7"/>
  <c r="AF38" i="7"/>
  <c r="AF37" i="7"/>
  <c r="AF36" i="7"/>
  <c r="AF35" i="7"/>
  <c r="AF34" i="7"/>
  <c r="AF33" i="7"/>
  <c r="AF32" i="7"/>
  <c r="AF31" i="7"/>
  <c r="AF30" i="7"/>
  <c r="AF29" i="7"/>
  <c r="AF28" i="7"/>
  <c r="AF27" i="7"/>
  <c r="AF26" i="7"/>
  <c r="AF25" i="7"/>
  <c r="AF24" i="7"/>
  <c r="AF23" i="7"/>
  <c r="AF22" i="7"/>
  <c r="AF21" i="7"/>
  <c r="AF20" i="7"/>
  <c r="AF19" i="7"/>
  <c r="AF18" i="7"/>
  <c r="AF17" i="7"/>
  <c r="AF16" i="7"/>
  <c r="Z36" i="7"/>
  <c r="Y36" i="7"/>
  <c r="X36" i="7"/>
  <c r="Z32" i="7"/>
  <c r="Y32" i="7"/>
  <c r="X32" i="7"/>
  <c r="Z28" i="7"/>
  <c r="Y28" i="7"/>
  <c r="X28" i="7"/>
  <c r="Z24" i="7"/>
  <c r="Y24" i="7"/>
  <c r="X24" i="7"/>
  <c r="Z20" i="7"/>
  <c r="Y20" i="7"/>
  <c r="X20" i="7"/>
  <c r="Z16" i="7"/>
  <c r="W36" i="7"/>
  <c r="W32" i="7"/>
  <c r="W28" i="7"/>
  <c r="W24" i="7"/>
  <c r="W20" i="7"/>
  <c r="W16" i="7"/>
  <c r="J17" i="6"/>
  <c r="K17" i="6"/>
  <c r="L17" i="6"/>
  <c r="M17" i="6"/>
  <c r="N17" i="6"/>
  <c r="O17" i="6"/>
  <c r="P17" i="6"/>
  <c r="Q17" i="6"/>
  <c r="R17" i="6"/>
  <c r="J18" i="6"/>
  <c r="K18" i="6"/>
  <c r="L18" i="6"/>
  <c r="M18" i="6"/>
  <c r="N18" i="6"/>
  <c r="O18" i="6"/>
  <c r="P18" i="6"/>
  <c r="Q18" i="6"/>
  <c r="R18" i="6"/>
  <c r="J19" i="6"/>
  <c r="K19" i="6"/>
  <c r="L19" i="6"/>
  <c r="M19" i="6"/>
  <c r="N19" i="6"/>
  <c r="O19" i="6"/>
  <c r="P19" i="6"/>
  <c r="Q19" i="6"/>
  <c r="R19" i="6"/>
  <c r="J20" i="6"/>
  <c r="K20" i="6"/>
  <c r="L20" i="6"/>
  <c r="M20" i="6"/>
  <c r="N20" i="6"/>
  <c r="O20" i="6"/>
  <c r="P20" i="6"/>
  <c r="Q20" i="6"/>
  <c r="R20" i="6"/>
  <c r="J21" i="6"/>
  <c r="K21" i="6"/>
  <c r="L21" i="6"/>
  <c r="M21" i="6"/>
  <c r="N21" i="6"/>
  <c r="O21" i="6"/>
  <c r="P21" i="6"/>
  <c r="Q21" i="6"/>
  <c r="R21" i="6"/>
  <c r="J22" i="6"/>
  <c r="K22" i="6"/>
  <c r="L22" i="6"/>
  <c r="M22" i="6"/>
  <c r="N22" i="6"/>
  <c r="O22" i="6"/>
  <c r="P22" i="6"/>
  <c r="Q22" i="6"/>
  <c r="R22" i="6"/>
  <c r="J23" i="6"/>
  <c r="K23" i="6"/>
  <c r="L23" i="6"/>
  <c r="M23" i="6"/>
  <c r="N23" i="6"/>
  <c r="O23" i="6"/>
  <c r="P23" i="6"/>
  <c r="Q23" i="6"/>
  <c r="R23" i="6"/>
  <c r="J24" i="6"/>
  <c r="K24" i="6"/>
  <c r="L24" i="6"/>
  <c r="M24" i="6"/>
  <c r="N24" i="6"/>
  <c r="O24" i="6"/>
  <c r="P24" i="6"/>
  <c r="Q24" i="6"/>
  <c r="R24" i="6"/>
  <c r="R16" i="6"/>
  <c r="Q16" i="6"/>
  <c r="P16" i="6"/>
  <c r="O16" i="6"/>
  <c r="N16" i="6"/>
  <c r="M16" i="6"/>
  <c r="L16" i="6"/>
  <c r="K16" i="6"/>
  <c r="J16" i="6"/>
  <c r="J14" i="10"/>
  <c r="J15" i="10"/>
  <c r="J16" i="10"/>
  <c r="J17" i="10"/>
  <c r="J18" i="10"/>
  <c r="J13" i="10"/>
  <c r="D310" i="40" l="1"/>
  <c r="D366" i="40"/>
  <c r="D304" i="40"/>
  <c r="D358" i="40"/>
  <c r="D301" i="40"/>
  <c r="D408" i="40"/>
  <c r="D400" i="40"/>
  <c r="D392" i="40"/>
  <c r="D332" i="40"/>
  <c r="D377" i="40"/>
  <c r="D316" i="40"/>
  <c r="D374" i="40"/>
  <c r="D339" i="40"/>
  <c r="D318" i="40"/>
  <c r="D302" i="40"/>
  <c r="D416" i="40"/>
  <c r="D394" i="40"/>
  <c r="D382" i="40"/>
  <c r="D359" i="40"/>
  <c r="D344" i="40"/>
  <c r="D337" i="40"/>
  <c r="D413" i="40"/>
  <c r="D343" i="40"/>
  <c r="D334" i="40"/>
  <c r="D313" i="40"/>
  <c r="D300" i="40"/>
  <c r="D410" i="40"/>
  <c r="D390" i="40"/>
  <c r="D375" i="40"/>
  <c r="D353" i="40"/>
  <c r="D426" i="40"/>
  <c r="D389" i="40"/>
  <c r="D351" i="40"/>
  <c r="D329" i="40"/>
  <c r="D405" i="40"/>
  <c r="D388" i="40"/>
  <c r="D369" i="40"/>
  <c r="D350" i="40"/>
  <c r="D326" i="40"/>
  <c r="D305" i="40"/>
  <c r="D424" i="40"/>
  <c r="D367" i="40"/>
  <c r="D421" i="40"/>
  <c r="D346" i="40"/>
  <c r="D340" i="40"/>
  <c r="D321" i="40"/>
  <c r="D397" i="40"/>
  <c r="D361" i="40"/>
  <c r="D336" i="40"/>
  <c r="D328" i="40"/>
  <c r="D320" i="40"/>
  <c r="D312" i="40"/>
  <c r="D423" i="40"/>
  <c r="D415" i="40"/>
  <c r="D407" i="40"/>
  <c r="D399" i="40"/>
  <c r="D391" i="40"/>
  <c r="D381" i="40"/>
  <c r="D373" i="40"/>
  <c r="D365" i="40"/>
  <c r="D357" i="40"/>
  <c r="D349" i="40"/>
  <c r="D335" i="40"/>
  <c r="D327" i="40"/>
  <c r="D319" i="40"/>
  <c r="D311" i="40"/>
  <c r="D422" i="40"/>
  <c r="D414" i="40"/>
  <c r="D406" i="40"/>
  <c r="D398" i="40"/>
  <c r="D333" i="40"/>
  <c r="D325" i="40"/>
  <c r="D317" i="40"/>
  <c r="D309" i="40"/>
  <c r="D419" i="40"/>
  <c r="D411" i="40"/>
  <c r="D403" i="40"/>
  <c r="D395" i="40"/>
  <c r="D331" i="40"/>
  <c r="D323" i="40"/>
  <c r="D315" i="40"/>
  <c r="D307" i="40"/>
  <c r="L58" i="9"/>
  <c r="M58" i="9"/>
  <c r="N58" i="9"/>
  <c r="L59" i="9"/>
  <c r="M59" i="9"/>
  <c r="N59" i="9"/>
  <c r="L60" i="9"/>
  <c r="M60" i="9"/>
  <c r="N60" i="9"/>
  <c r="L61" i="9"/>
  <c r="M61" i="9"/>
  <c r="N61" i="9"/>
  <c r="N57" i="9"/>
  <c r="M57" i="9"/>
  <c r="L57" i="9"/>
  <c r="O35" i="9"/>
  <c r="O36" i="9"/>
  <c r="O37" i="9"/>
  <c r="O38" i="9"/>
  <c r="O39" i="9"/>
  <c r="O40" i="9"/>
  <c r="O41" i="9"/>
  <c r="O42" i="9"/>
  <c r="O43" i="9"/>
  <c r="O44" i="9"/>
  <c r="O45" i="9"/>
  <c r="O46" i="9"/>
  <c r="O47" i="9"/>
  <c r="O48" i="9"/>
  <c r="N34" i="9"/>
  <c r="N18" i="9"/>
  <c r="O32" i="9"/>
  <c r="O31" i="9"/>
  <c r="O30" i="9"/>
  <c r="O29" i="9"/>
  <c r="O28" i="9"/>
  <c r="O27" i="9"/>
  <c r="O26" i="9"/>
  <c r="O25" i="9"/>
  <c r="O24" i="9"/>
  <c r="O23" i="9"/>
  <c r="O22" i="9"/>
  <c r="O21" i="9"/>
  <c r="O20" i="9"/>
  <c r="O19" i="9"/>
  <c r="K18" i="9"/>
  <c r="G44" i="5"/>
  <c r="F33" i="9"/>
  <c r="F17" i="9"/>
  <c r="AI17" i="7"/>
  <c r="AJ17" i="7"/>
  <c r="AL17" i="7"/>
  <c r="AM17" i="7"/>
  <c r="AI18" i="7"/>
  <c r="AJ18" i="7"/>
  <c r="AL18" i="7"/>
  <c r="AM18" i="7"/>
  <c r="AI19" i="7"/>
  <c r="AJ19" i="7"/>
  <c r="AL19" i="7"/>
  <c r="AM19" i="7"/>
  <c r="S20" i="7"/>
  <c r="U20" i="7"/>
  <c r="AB20" i="7"/>
  <c r="AD20" i="7"/>
  <c r="AI20" i="7"/>
  <c r="AJ20" i="7"/>
  <c r="AL20" i="7"/>
  <c r="AM20" i="7"/>
  <c r="AI21" i="7"/>
  <c r="AJ21" i="7"/>
  <c r="AL21" i="7"/>
  <c r="AM21" i="7"/>
  <c r="AJ22" i="7"/>
  <c r="AL22" i="7"/>
  <c r="AM22" i="7"/>
  <c r="AI23" i="7"/>
  <c r="AJ23" i="7"/>
  <c r="AL23" i="7"/>
  <c r="AM23" i="7"/>
  <c r="S24" i="7"/>
  <c r="U24" i="7"/>
  <c r="AB24" i="7"/>
  <c r="AD24" i="7"/>
  <c r="AI24" i="7"/>
  <c r="AJ24" i="7"/>
  <c r="AL24" i="7"/>
  <c r="AM24" i="7"/>
  <c r="AI25" i="7"/>
  <c r="AJ25" i="7"/>
  <c r="AL25" i="7"/>
  <c r="AM25" i="7"/>
  <c r="AI26" i="7"/>
  <c r="AJ26" i="7"/>
  <c r="AL26" i="7"/>
  <c r="AM26" i="7"/>
  <c r="AI27" i="7"/>
  <c r="AJ27" i="7"/>
  <c r="AL27" i="7"/>
  <c r="AM27" i="7"/>
  <c r="S28" i="7"/>
  <c r="U28" i="7"/>
  <c r="AB28" i="7"/>
  <c r="AD28" i="7"/>
  <c r="AI28" i="7"/>
  <c r="AJ28" i="7"/>
  <c r="AL28" i="7"/>
  <c r="AM28" i="7"/>
  <c r="AI29" i="7"/>
  <c r="AJ29" i="7"/>
  <c r="AL29" i="7"/>
  <c r="AM29" i="7"/>
  <c r="AI30" i="7"/>
  <c r="AJ30" i="7"/>
  <c r="AL30" i="7"/>
  <c r="AM30" i="7"/>
  <c r="AI31" i="7"/>
  <c r="AJ31" i="7"/>
  <c r="AL31" i="7"/>
  <c r="AM31" i="7"/>
  <c r="S32" i="7"/>
  <c r="U32" i="7"/>
  <c r="AB32" i="7"/>
  <c r="AD32" i="7"/>
  <c r="AI32" i="7"/>
  <c r="AJ32" i="7"/>
  <c r="AL32" i="7"/>
  <c r="AM32" i="7"/>
  <c r="AI33" i="7"/>
  <c r="AJ33" i="7"/>
  <c r="AL33" i="7"/>
  <c r="AM33" i="7"/>
  <c r="AI34" i="7"/>
  <c r="AJ34" i="7"/>
  <c r="AL34" i="7"/>
  <c r="AM34" i="7"/>
  <c r="AI35" i="7"/>
  <c r="AJ35" i="7"/>
  <c r="AL35" i="7"/>
  <c r="AM35" i="7"/>
  <c r="S36" i="7"/>
  <c r="U36" i="7"/>
  <c r="AB36" i="7"/>
  <c r="AD36" i="7"/>
  <c r="AI36" i="7"/>
  <c r="AJ36" i="7"/>
  <c r="AL36" i="7"/>
  <c r="AM36" i="7"/>
  <c r="AI37" i="7"/>
  <c r="AJ37" i="7"/>
  <c r="AL37" i="7"/>
  <c r="AM37" i="7"/>
  <c r="AI38" i="7"/>
  <c r="AJ38" i="7"/>
  <c r="AL38" i="7"/>
  <c r="AM38" i="7"/>
  <c r="AL39" i="7"/>
  <c r="AM39" i="7"/>
  <c r="AM16" i="7"/>
  <c r="AL16" i="7"/>
  <c r="AI16" i="7"/>
  <c r="AD16" i="7"/>
  <c r="AB16" i="7"/>
  <c r="Y16" i="7"/>
  <c r="X16" i="7"/>
  <c r="U16" i="7"/>
  <c r="S16" i="7"/>
  <c r="AA24" i="7" a="1"/>
  <c r="AA36" i="7" a="1"/>
  <c r="AA20" i="7" a="1"/>
  <c r="AC16" i="7" a="1"/>
  <c r="AC28" i="7" a="1"/>
  <c r="AC24" i="7" a="1"/>
  <c r="AA16" i="7" a="1"/>
  <c r="AC36" i="7" a="1"/>
  <c r="AC20" i="7" a="1"/>
  <c r="AA32" i="7" a="1"/>
  <c r="AA28" i="7" a="1"/>
  <c r="AC32" i="7" a="1"/>
  <c r="F49" i="9" l="1"/>
  <c r="F53" i="9" s="1"/>
  <c r="G33" i="5" s="1"/>
  <c r="AA20" i="7"/>
  <c r="AA36" i="7"/>
  <c r="AA32" i="7"/>
  <c r="AA24" i="7"/>
  <c r="AA28" i="7"/>
  <c r="AA16" i="7"/>
  <c r="AC36" i="7"/>
  <c r="AC32" i="7"/>
  <c r="AC28" i="7"/>
  <c r="AC24" i="7"/>
  <c r="AC20" i="7"/>
  <c r="AC16" i="7"/>
  <c r="D27" i="13" l="1"/>
  <c r="N16" i="13"/>
  <c r="M16" i="13"/>
  <c r="N24" i="13"/>
  <c r="M24" i="13"/>
  <c r="L50" i="9"/>
  <c r="M50" i="9"/>
  <c r="N50" i="9"/>
  <c r="F32" i="22"/>
  <c r="F31" i="22"/>
  <c r="F62" i="9" l="1"/>
  <c r="F56" i="9"/>
  <c r="L15" i="13"/>
  <c r="F15" i="13"/>
  <c r="BA20" i="24" l="1"/>
  <c r="AZ20" i="24"/>
  <c r="BA19" i="24"/>
  <c r="AZ19" i="24"/>
  <c r="BA18" i="24"/>
  <c r="AZ18" i="24"/>
  <c r="BA17" i="24"/>
  <c r="AZ17" i="24"/>
  <c r="BA16" i="24"/>
  <c r="AZ16" i="24"/>
  <c r="BA15" i="24"/>
  <c r="AZ15" i="24"/>
  <c r="BA14" i="24"/>
  <c r="AZ14" i="24"/>
  <c r="BA13" i="24"/>
  <c r="AZ13" i="24"/>
  <c r="L56" i="34" l="1"/>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55"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13" i="34"/>
  <c r="O13" i="43"/>
  <c r="T35" i="43"/>
  <c r="T34" i="43"/>
  <c r="T33" i="43"/>
  <c r="T32" i="43"/>
  <c r="T31" i="43"/>
  <c r="T30" i="43"/>
  <c r="T29" i="43"/>
  <c r="T28" i="43"/>
  <c r="T27" i="43"/>
  <c r="T26" i="43"/>
  <c r="T14" i="43"/>
  <c r="T15" i="43"/>
  <c r="T16" i="43"/>
  <c r="T17" i="43"/>
  <c r="T18" i="43"/>
  <c r="T19" i="43"/>
  <c r="T20" i="43"/>
  <c r="T21" i="43"/>
  <c r="T22" i="43"/>
  <c r="O14" i="43"/>
  <c r="O15" i="43"/>
  <c r="O16" i="43"/>
  <c r="O17" i="43"/>
  <c r="O18" i="43"/>
  <c r="O19" i="43"/>
  <c r="O20" i="43"/>
  <c r="O21" i="43"/>
  <c r="O22" i="43"/>
  <c r="T13" i="43"/>
  <c r="K17" i="41"/>
  <c r="N41" i="41"/>
  <c r="N40" i="41"/>
  <c r="N39" i="41"/>
  <c r="N38" i="41"/>
  <c r="N37" i="41"/>
  <c r="N36" i="41"/>
  <c r="N35" i="41"/>
  <c r="N34" i="41"/>
  <c r="N33" i="41"/>
  <c r="K41" i="41"/>
  <c r="K40" i="41"/>
  <c r="K39" i="41"/>
  <c r="K38" i="41"/>
  <c r="K37" i="41"/>
  <c r="K36" i="41"/>
  <c r="K35" i="41"/>
  <c r="K34" i="41"/>
  <c r="K33" i="41"/>
  <c r="K25" i="41"/>
  <c r="L25" i="41"/>
  <c r="N25" i="41"/>
  <c r="K18" i="41"/>
  <c r="L18" i="41"/>
  <c r="N18" i="41"/>
  <c r="K19" i="41"/>
  <c r="L19" i="41"/>
  <c r="N19" i="41"/>
  <c r="K20" i="41"/>
  <c r="L20" i="41"/>
  <c r="N20" i="41"/>
  <c r="K21" i="41"/>
  <c r="L21" i="41"/>
  <c r="N21" i="41"/>
  <c r="K22" i="41"/>
  <c r="L22" i="41"/>
  <c r="N22" i="41"/>
  <c r="K23" i="41"/>
  <c r="L23" i="41"/>
  <c r="N23" i="41"/>
  <c r="K24" i="41"/>
  <c r="L24" i="41"/>
  <c r="N24" i="41"/>
  <c r="N17" i="41"/>
  <c r="U17" i="36"/>
  <c r="U16" i="36"/>
  <c r="AG32" i="36"/>
  <c r="Y32" i="36"/>
  <c r="U32" i="36"/>
  <c r="AG17" i="36"/>
  <c r="AG18" i="36"/>
  <c r="AG19" i="36"/>
  <c r="AG20" i="36"/>
  <c r="AG21" i="36"/>
  <c r="AG22" i="36"/>
  <c r="AG23" i="36"/>
  <c r="AG24" i="36"/>
  <c r="AG16" i="36"/>
  <c r="AC17" i="36"/>
  <c r="AC18" i="36"/>
  <c r="AC19" i="36"/>
  <c r="AC20" i="36"/>
  <c r="AC21" i="36"/>
  <c r="AC22" i="36"/>
  <c r="AC23" i="36"/>
  <c r="AC24" i="36"/>
  <c r="AC16" i="36"/>
  <c r="Y17" i="36"/>
  <c r="Y18" i="36"/>
  <c r="Y19" i="36"/>
  <c r="Y20" i="36"/>
  <c r="Y21" i="36"/>
  <c r="Y22" i="36"/>
  <c r="Y23" i="36"/>
  <c r="Y24" i="36"/>
  <c r="Y16" i="36"/>
  <c r="U18" i="36"/>
  <c r="U19" i="36"/>
  <c r="U20" i="36"/>
  <c r="U21" i="36"/>
  <c r="U22" i="36"/>
  <c r="U23" i="36"/>
  <c r="U24" i="36"/>
  <c r="T13" i="33"/>
  <c r="L63" i="33"/>
  <c r="M63" i="33"/>
  <c r="O63" i="33"/>
  <c r="P63" i="33"/>
  <c r="P62" i="33"/>
  <c r="O62" i="33"/>
  <c r="M62" i="33"/>
  <c r="L62" i="33"/>
  <c r="P61" i="33"/>
  <c r="O61" i="33"/>
  <c r="M61" i="33"/>
  <c r="L61" i="33"/>
  <c r="P60" i="33"/>
  <c r="O60" i="33"/>
  <c r="M60" i="33"/>
  <c r="L60" i="33"/>
  <c r="P59" i="33"/>
  <c r="O59" i="33"/>
  <c r="M59" i="33"/>
  <c r="L59" i="33"/>
  <c r="P58" i="33"/>
  <c r="O58" i="33"/>
  <c r="M58" i="33"/>
  <c r="L58" i="33"/>
  <c r="P57" i="33"/>
  <c r="O57" i="33"/>
  <c r="M57" i="33"/>
  <c r="L57" i="33"/>
  <c r="P56" i="33"/>
  <c r="O56" i="33"/>
  <c r="M56" i="33"/>
  <c r="L56" i="33"/>
  <c r="P55" i="33"/>
  <c r="O55" i="33"/>
  <c r="M55" i="33"/>
  <c r="L55" i="33"/>
  <c r="P54" i="33"/>
  <c r="O54" i="33"/>
  <c r="M54" i="33"/>
  <c r="L54" i="33"/>
  <c r="O43" i="33"/>
  <c r="P43" i="33"/>
  <c r="O44" i="33"/>
  <c r="P44" i="33"/>
  <c r="O45" i="33"/>
  <c r="P45" i="33"/>
  <c r="O46" i="33"/>
  <c r="P46" i="33"/>
  <c r="O47" i="33"/>
  <c r="P47" i="33"/>
  <c r="O48" i="33"/>
  <c r="P48" i="33"/>
  <c r="O49" i="33"/>
  <c r="P49" i="33"/>
  <c r="O50" i="33"/>
  <c r="P50" i="33"/>
  <c r="O51" i="33"/>
  <c r="P51" i="33"/>
  <c r="T34" i="33"/>
  <c r="AC34" i="33"/>
  <c r="AB34" i="33"/>
  <c r="AA34" i="33"/>
  <c r="Z34" i="33"/>
  <c r="Y34" i="33"/>
  <c r="X34" i="33"/>
  <c r="W34" i="33"/>
  <c r="V34" i="33"/>
  <c r="U34" i="33"/>
  <c r="AC33" i="33"/>
  <c r="AB33" i="33"/>
  <c r="AA33" i="33"/>
  <c r="Z33" i="33"/>
  <c r="Y33" i="33"/>
  <c r="X33" i="33"/>
  <c r="W33" i="33"/>
  <c r="V33" i="33"/>
  <c r="U33" i="33"/>
  <c r="T33" i="33"/>
  <c r="AC32" i="33"/>
  <c r="AB32" i="33"/>
  <c r="AA32" i="33"/>
  <c r="Z32" i="33"/>
  <c r="Y32" i="33"/>
  <c r="X32" i="33"/>
  <c r="W32" i="33"/>
  <c r="V32" i="33"/>
  <c r="U32" i="33"/>
  <c r="T32" i="33"/>
  <c r="AC31" i="33"/>
  <c r="AB31" i="33"/>
  <c r="AA31" i="33"/>
  <c r="Z31" i="33"/>
  <c r="Y31" i="33"/>
  <c r="X31" i="33"/>
  <c r="W31" i="33"/>
  <c r="V31" i="33"/>
  <c r="U31" i="33"/>
  <c r="T31" i="33"/>
  <c r="AC30" i="33"/>
  <c r="AB30" i="33"/>
  <c r="AA30" i="33"/>
  <c r="Z30" i="33"/>
  <c r="Y30" i="33"/>
  <c r="X30" i="33"/>
  <c r="W30" i="33"/>
  <c r="V30" i="33"/>
  <c r="U30" i="33"/>
  <c r="T30" i="33"/>
  <c r="AC29" i="33"/>
  <c r="AB29" i="33"/>
  <c r="AA29" i="33"/>
  <c r="Z29" i="33"/>
  <c r="Y29" i="33"/>
  <c r="X29" i="33"/>
  <c r="W29" i="33"/>
  <c r="V29" i="33"/>
  <c r="U29" i="33"/>
  <c r="T29" i="33"/>
  <c r="AC28" i="33"/>
  <c r="AB28" i="33"/>
  <c r="AA28" i="33"/>
  <c r="Z28" i="33"/>
  <c r="Y28" i="33"/>
  <c r="X28" i="33"/>
  <c r="W28" i="33"/>
  <c r="V28" i="33"/>
  <c r="U28" i="33"/>
  <c r="T28" i="33"/>
  <c r="AC27" i="33"/>
  <c r="AB27" i="33"/>
  <c r="AA27" i="33"/>
  <c r="Z27" i="33"/>
  <c r="Y27" i="33"/>
  <c r="X27" i="33"/>
  <c r="W27" i="33"/>
  <c r="V27" i="33"/>
  <c r="U27" i="33"/>
  <c r="T27" i="33"/>
  <c r="AC26" i="33"/>
  <c r="AB26" i="33"/>
  <c r="AA26" i="33"/>
  <c r="Z26" i="33"/>
  <c r="Y26" i="33"/>
  <c r="X26" i="33"/>
  <c r="W26" i="33"/>
  <c r="V26" i="33"/>
  <c r="U26" i="33"/>
  <c r="T26" i="33"/>
  <c r="AC25" i="33"/>
  <c r="AB25" i="33"/>
  <c r="AA25" i="33"/>
  <c r="Z25" i="33"/>
  <c r="Y25" i="33"/>
  <c r="X25" i="33"/>
  <c r="W25" i="33"/>
  <c r="V25" i="33"/>
  <c r="U25" i="33"/>
  <c r="T25" i="33"/>
  <c r="T14" i="33"/>
  <c r="U14" i="33"/>
  <c r="V14" i="33"/>
  <c r="W14" i="33"/>
  <c r="X14" i="33"/>
  <c r="Y14" i="33"/>
  <c r="Z14" i="33"/>
  <c r="AA14" i="33"/>
  <c r="AB14" i="33"/>
  <c r="AC14" i="33"/>
  <c r="T15" i="33"/>
  <c r="U15" i="33"/>
  <c r="V15" i="33"/>
  <c r="W15" i="33"/>
  <c r="X15" i="33"/>
  <c r="Y15" i="33"/>
  <c r="Z15" i="33"/>
  <c r="AA15" i="33"/>
  <c r="AB15" i="33"/>
  <c r="AC15" i="33"/>
  <c r="T16" i="33"/>
  <c r="U16" i="33"/>
  <c r="V16" i="33"/>
  <c r="W16" i="33"/>
  <c r="X16" i="33"/>
  <c r="Y16" i="33"/>
  <c r="Z16" i="33"/>
  <c r="AA16" i="33"/>
  <c r="AB16" i="33"/>
  <c r="AC16" i="33"/>
  <c r="T17" i="33"/>
  <c r="U17" i="33"/>
  <c r="V17" i="33"/>
  <c r="W17" i="33"/>
  <c r="X17" i="33"/>
  <c r="Y17" i="33"/>
  <c r="Z17" i="33"/>
  <c r="AA17" i="33"/>
  <c r="AB17" i="33"/>
  <c r="AC17" i="33"/>
  <c r="T18" i="33"/>
  <c r="U18" i="33"/>
  <c r="V18" i="33"/>
  <c r="W18" i="33"/>
  <c r="X18" i="33"/>
  <c r="Y18" i="33"/>
  <c r="Z18" i="33"/>
  <c r="AA18" i="33"/>
  <c r="AB18" i="33"/>
  <c r="AC18" i="33"/>
  <c r="T19" i="33"/>
  <c r="U19" i="33"/>
  <c r="V19" i="33"/>
  <c r="W19" i="33"/>
  <c r="X19" i="33"/>
  <c r="Y19" i="33"/>
  <c r="Z19" i="33"/>
  <c r="AA19" i="33"/>
  <c r="AB19" i="33"/>
  <c r="AC19" i="33"/>
  <c r="T20" i="33"/>
  <c r="U20" i="33"/>
  <c r="V20" i="33"/>
  <c r="W20" i="33"/>
  <c r="X20" i="33"/>
  <c r="Y20" i="33"/>
  <c r="Z20" i="33"/>
  <c r="AA20" i="33"/>
  <c r="AB20" i="33"/>
  <c r="AC20" i="33"/>
  <c r="T21" i="33"/>
  <c r="U21" i="33"/>
  <c r="V21" i="33"/>
  <c r="W21" i="33"/>
  <c r="X21" i="33"/>
  <c r="Y21" i="33"/>
  <c r="Z21" i="33"/>
  <c r="AA21" i="33"/>
  <c r="AB21" i="33"/>
  <c r="AC21" i="33"/>
  <c r="T22" i="33"/>
  <c r="U22" i="33"/>
  <c r="V22" i="33"/>
  <c r="W22" i="33"/>
  <c r="X22" i="33"/>
  <c r="Y22" i="33"/>
  <c r="Z22" i="33"/>
  <c r="AA22" i="33"/>
  <c r="AB22" i="33"/>
  <c r="AC22" i="33"/>
  <c r="AC13" i="33"/>
  <c r="Z13" i="33"/>
  <c r="W13" i="33"/>
  <c r="L14" i="40"/>
  <c r="L430" i="40"/>
  <c r="L431" i="40"/>
  <c r="L432" i="40"/>
  <c r="L433" i="40"/>
  <c r="L434" i="40"/>
  <c r="L435" i="40"/>
  <c r="L436" i="40"/>
  <c r="L437" i="40"/>
  <c r="L438" i="40"/>
  <c r="L439" i="40"/>
  <c r="L440" i="40"/>
  <c r="L441" i="40"/>
  <c r="L442" i="40"/>
  <c r="L443" i="40"/>
  <c r="L429" i="40"/>
  <c r="L232" i="40"/>
  <c r="L233" i="40"/>
  <c r="L234" i="40"/>
  <c r="L235" i="40"/>
  <c r="L236" i="40"/>
  <c r="L237" i="40"/>
  <c r="L238" i="40"/>
  <c r="L239" i="40"/>
  <c r="L240" i="40"/>
  <c r="L241" i="40"/>
  <c r="L242" i="40"/>
  <c r="L243" i="40"/>
  <c r="L244" i="40"/>
  <c r="L245" i="40"/>
  <c r="L231" i="40"/>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D57" i="40"/>
  <c r="L58" i="40"/>
  <c r="L59" i="40"/>
  <c r="L60" i="40"/>
  <c r="L61" i="40"/>
  <c r="L62" i="40"/>
  <c r="L63" i="40"/>
  <c r="L64" i="40"/>
  <c r="L65" i="40"/>
  <c r="L66" i="40"/>
  <c r="L67" i="40"/>
  <c r="L68" i="40"/>
  <c r="L69" i="40"/>
  <c r="L70" i="40"/>
  <c r="L71" i="40"/>
  <c r="L72" i="40"/>
  <c r="L73" i="40"/>
  <c r="L74" i="40"/>
  <c r="L75" i="40"/>
  <c r="L76" i="40"/>
  <c r="L77" i="40"/>
  <c r="L78" i="40"/>
  <c r="L79" i="40"/>
  <c r="L80" i="40"/>
  <c r="L81" i="40"/>
  <c r="L82" i="40"/>
  <c r="L83" i="40"/>
  <c r="L84" i="40"/>
  <c r="L85" i="40"/>
  <c r="L86" i="40"/>
  <c r="L87" i="40"/>
  <c r="L88" i="40"/>
  <c r="L89" i="40"/>
  <c r="L90" i="40"/>
  <c r="L91" i="40"/>
  <c r="L92" i="40"/>
  <c r="L93" i="40"/>
  <c r="L94" i="40"/>
  <c r="L95" i="40"/>
  <c r="L96" i="40"/>
  <c r="L97" i="40"/>
  <c r="L98" i="40"/>
  <c r="D100" i="40"/>
  <c r="L144" i="40"/>
  <c r="L145" i="40"/>
  <c r="L146" i="40"/>
  <c r="L147" i="40"/>
  <c r="L148" i="40"/>
  <c r="L149" i="40"/>
  <c r="L150" i="40"/>
  <c r="L151" i="40"/>
  <c r="L152" i="40"/>
  <c r="L153" i="40"/>
  <c r="L154" i="40"/>
  <c r="L155" i="40"/>
  <c r="L156" i="40"/>
  <c r="L157" i="40"/>
  <c r="L158" i="40"/>
  <c r="L159" i="40"/>
  <c r="L160" i="40"/>
  <c r="L161" i="40"/>
  <c r="L162" i="40"/>
  <c r="L163" i="40"/>
  <c r="L164" i="40"/>
  <c r="L165" i="40"/>
  <c r="L166" i="40"/>
  <c r="L167" i="40"/>
  <c r="L168" i="40"/>
  <c r="L169" i="40"/>
  <c r="L170" i="40"/>
  <c r="L171" i="40"/>
  <c r="L172" i="40"/>
  <c r="L173" i="40"/>
  <c r="L174" i="40"/>
  <c r="L175" i="40"/>
  <c r="L176" i="40"/>
  <c r="L177" i="40"/>
  <c r="L178" i="40"/>
  <c r="L179" i="40"/>
  <c r="L180" i="40"/>
  <c r="L181" i="40"/>
  <c r="L182" i="40"/>
  <c r="L183" i="40"/>
  <c r="L184" i="40"/>
  <c r="L188" i="40"/>
  <c r="L189" i="40"/>
  <c r="L190" i="40"/>
  <c r="L191" i="40"/>
  <c r="L192" i="40"/>
  <c r="L193" i="40"/>
  <c r="L194" i="40"/>
  <c r="L195" i="40"/>
  <c r="L196" i="40"/>
  <c r="L197" i="40"/>
  <c r="L198" i="40"/>
  <c r="L199" i="40"/>
  <c r="L200" i="40"/>
  <c r="L201" i="40"/>
  <c r="L202" i="40"/>
  <c r="L203" i="40"/>
  <c r="L204" i="40"/>
  <c r="L205" i="40"/>
  <c r="L206" i="40"/>
  <c r="L207" i="40"/>
  <c r="L208" i="40"/>
  <c r="L209" i="40"/>
  <c r="L210" i="40"/>
  <c r="L211" i="40"/>
  <c r="L212" i="40"/>
  <c r="L213" i="40"/>
  <c r="L214" i="40"/>
  <c r="L215" i="40"/>
  <c r="L216" i="40"/>
  <c r="L217" i="40"/>
  <c r="L218" i="40"/>
  <c r="L219" i="40"/>
  <c r="L220" i="40"/>
  <c r="L221" i="40"/>
  <c r="L222" i="40"/>
  <c r="L223" i="40"/>
  <c r="L224" i="40"/>
  <c r="L225" i="40"/>
  <c r="L226" i="40"/>
  <c r="L227" i="40"/>
  <c r="L228" i="40"/>
  <c r="N17" i="16"/>
  <c r="N18" i="16"/>
  <c r="N19" i="16"/>
  <c r="N20" i="16"/>
  <c r="N21" i="16"/>
  <c r="N22" i="16"/>
  <c r="N23" i="16"/>
  <c r="N16" i="16"/>
  <c r="J430" i="40"/>
  <c r="J431" i="40"/>
  <c r="J432" i="40"/>
  <c r="J433" i="40"/>
  <c r="J434" i="40"/>
  <c r="J435" i="40"/>
  <c r="J436" i="40"/>
  <c r="J437" i="40"/>
  <c r="J438" i="40"/>
  <c r="J439" i="40"/>
  <c r="J440" i="40"/>
  <c r="J441" i="40"/>
  <c r="J442" i="40"/>
  <c r="J443" i="40"/>
  <c r="J429" i="40"/>
  <c r="J426" i="40"/>
  <c r="J425" i="40"/>
  <c r="J424" i="40"/>
  <c r="J423" i="40"/>
  <c r="J422" i="40"/>
  <c r="J421" i="40"/>
  <c r="J420" i="40"/>
  <c r="J419" i="40"/>
  <c r="J418" i="40"/>
  <c r="J417" i="40"/>
  <c r="J416" i="40"/>
  <c r="J415" i="40"/>
  <c r="J414" i="40"/>
  <c r="J413" i="40"/>
  <c r="J412" i="40"/>
  <c r="J411" i="40"/>
  <c r="J410" i="40"/>
  <c r="J409" i="40"/>
  <c r="J408" i="40"/>
  <c r="J407" i="40"/>
  <c r="J406" i="40"/>
  <c r="J405" i="40"/>
  <c r="J404" i="40"/>
  <c r="J403" i="40"/>
  <c r="J402" i="40"/>
  <c r="J401" i="40"/>
  <c r="J400" i="40"/>
  <c r="J399" i="40"/>
  <c r="J398" i="40"/>
  <c r="J397" i="40"/>
  <c r="J396" i="40"/>
  <c r="J395" i="40"/>
  <c r="J394" i="40"/>
  <c r="J393" i="40"/>
  <c r="J392" i="40"/>
  <c r="J391" i="40"/>
  <c r="J390" i="40"/>
  <c r="J389" i="40"/>
  <c r="J388" i="40"/>
  <c r="J387" i="40"/>
  <c r="J386" i="40"/>
  <c r="K385" i="40"/>
  <c r="J385" i="40"/>
  <c r="J340" i="40"/>
  <c r="J339" i="40"/>
  <c r="J338" i="40"/>
  <c r="J337" i="40"/>
  <c r="J336" i="40"/>
  <c r="J335" i="40"/>
  <c r="J334" i="40"/>
  <c r="J333" i="40"/>
  <c r="J332" i="40"/>
  <c r="J331" i="40"/>
  <c r="J330" i="40"/>
  <c r="J329" i="40"/>
  <c r="J328" i="40"/>
  <c r="J327" i="40"/>
  <c r="J326" i="40"/>
  <c r="J325" i="40"/>
  <c r="J324" i="40"/>
  <c r="J323" i="40"/>
  <c r="J322" i="40"/>
  <c r="J321" i="40"/>
  <c r="J320" i="40"/>
  <c r="J319" i="40"/>
  <c r="J318" i="40"/>
  <c r="J317" i="40"/>
  <c r="J316" i="40"/>
  <c r="J315" i="40"/>
  <c r="J314" i="40"/>
  <c r="J313" i="40"/>
  <c r="J312" i="40"/>
  <c r="J311" i="40"/>
  <c r="J310" i="40"/>
  <c r="J309" i="40"/>
  <c r="J308" i="40"/>
  <c r="J307" i="40"/>
  <c r="J306" i="40"/>
  <c r="J305" i="40"/>
  <c r="J304" i="40"/>
  <c r="J303" i="40"/>
  <c r="J302" i="40"/>
  <c r="J301" i="40"/>
  <c r="J300" i="40"/>
  <c r="K299" i="40"/>
  <c r="J299" i="40"/>
  <c r="J296" i="40"/>
  <c r="J295" i="40"/>
  <c r="J294" i="40"/>
  <c r="J293" i="40"/>
  <c r="J292" i="40"/>
  <c r="J291" i="40"/>
  <c r="J290" i="40"/>
  <c r="J289" i="40"/>
  <c r="J288" i="40"/>
  <c r="J287" i="40"/>
  <c r="J286" i="40"/>
  <c r="J285" i="40"/>
  <c r="J284" i="40"/>
  <c r="J283" i="40"/>
  <c r="J282" i="40"/>
  <c r="J281" i="40"/>
  <c r="J280" i="40"/>
  <c r="J279" i="40"/>
  <c r="J278" i="40"/>
  <c r="J277" i="40"/>
  <c r="J276" i="40"/>
  <c r="J275" i="40"/>
  <c r="J274" i="40"/>
  <c r="J273" i="40"/>
  <c r="J272" i="40"/>
  <c r="J271" i="40"/>
  <c r="J270" i="40"/>
  <c r="J269" i="40"/>
  <c r="J268" i="40"/>
  <c r="J267" i="40"/>
  <c r="J266" i="40"/>
  <c r="J265" i="40"/>
  <c r="J264" i="40"/>
  <c r="J263" i="40"/>
  <c r="J262" i="40"/>
  <c r="J261" i="40"/>
  <c r="J260" i="40"/>
  <c r="J259" i="40"/>
  <c r="J258" i="40"/>
  <c r="J257" i="40"/>
  <c r="J256" i="40"/>
  <c r="K255" i="40"/>
  <c r="J255" i="40"/>
  <c r="J232" i="40"/>
  <c r="J233" i="40"/>
  <c r="J234" i="40"/>
  <c r="J235" i="40"/>
  <c r="J236" i="40"/>
  <c r="J237" i="40"/>
  <c r="J238" i="40"/>
  <c r="J239" i="40"/>
  <c r="J240" i="40"/>
  <c r="J241" i="40"/>
  <c r="J242" i="40"/>
  <c r="J243" i="40"/>
  <c r="J244" i="40"/>
  <c r="J245" i="40"/>
  <c r="J231" i="40"/>
  <c r="J228" i="40"/>
  <c r="J227" i="40"/>
  <c r="J226" i="40"/>
  <c r="J225" i="40"/>
  <c r="J224" i="40"/>
  <c r="J223" i="40"/>
  <c r="J222" i="40"/>
  <c r="J221" i="40"/>
  <c r="J220" i="40"/>
  <c r="J219" i="40"/>
  <c r="J218" i="40"/>
  <c r="J217" i="40"/>
  <c r="J216" i="40"/>
  <c r="J215" i="40"/>
  <c r="J214" i="40"/>
  <c r="J213" i="40"/>
  <c r="J212" i="40"/>
  <c r="J211" i="40"/>
  <c r="J210" i="40"/>
  <c r="J209" i="40"/>
  <c r="J208" i="40"/>
  <c r="J207" i="40"/>
  <c r="J206" i="40"/>
  <c r="J205" i="40"/>
  <c r="J204" i="40"/>
  <c r="J203" i="40"/>
  <c r="J202" i="40"/>
  <c r="J201" i="40"/>
  <c r="J200" i="40"/>
  <c r="J199" i="40"/>
  <c r="J198" i="40"/>
  <c r="J197" i="40"/>
  <c r="J196" i="40"/>
  <c r="J195" i="40"/>
  <c r="J194" i="40"/>
  <c r="J193" i="40"/>
  <c r="J192" i="40"/>
  <c r="J191" i="40"/>
  <c r="J190" i="40"/>
  <c r="J189" i="40"/>
  <c r="J188" i="40"/>
  <c r="K187" i="40"/>
  <c r="J187" i="40"/>
  <c r="J184" i="40"/>
  <c r="J183" i="40"/>
  <c r="J182" i="40"/>
  <c r="J181" i="40"/>
  <c r="J180" i="40"/>
  <c r="J179" i="40"/>
  <c r="J178" i="40"/>
  <c r="J177" i="40"/>
  <c r="J176" i="40"/>
  <c r="J175" i="40"/>
  <c r="J174" i="40"/>
  <c r="J173" i="40"/>
  <c r="J172" i="40"/>
  <c r="J171" i="40"/>
  <c r="J170" i="40"/>
  <c r="J169" i="40"/>
  <c r="J168" i="40"/>
  <c r="J167" i="40"/>
  <c r="J166" i="40"/>
  <c r="J165" i="40"/>
  <c r="J164" i="40"/>
  <c r="J163" i="40"/>
  <c r="J162" i="40"/>
  <c r="J161" i="40"/>
  <c r="J160" i="40"/>
  <c r="J159" i="40"/>
  <c r="J158" i="40"/>
  <c r="J157" i="40"/>
  <c r="J156" i="40"/>
  <c r="J155" i="40"/>
  <c r="J154" i="40"/>
  <c r="J153" i="40"/>
  <c r="J152" i="40"/>
  <c r="J151" i="40"/>
  <c r="J150" i="40"/>
  <c r="J149" i="40"/>
  <c r="J148" i="40"/>
  <c r="J147" i="40"/>
  <c r="J146" i="40"/>
  <c r="J145" i="40"/>
  <c r="J144" i="40"/>
  <c r="K143" i="40"/>
  <c r="J143" i="40"/>
  <c r="K57" i="40"/>
  <c r="I59" i="22" l="1"/>
  <c r="L29" i="13"/>
  <c r="F366" i="40"/>
  <c r="F365" i="40"/>
  <c r="F364" i="40"/>
  <c r="F363" i="40"/>
  <c r="F362" i="40"/>
  <c r="F361" i="40"/>
  <c r="F360" i="40"/>
  <c r="F359" i="40"/>
  <c r="F358" i="40"/>
  <c r="F357" i="40"/>
  <c r="F356" i="40"/>
  <c r="F355" i="40"/>
  <c r="F354" i="40"/>
  <c r="F353" i="40"/>
  <c r="F352" i="40"/>
  <c r="F351" i="40"/>
  <c r="F350" i="40"/>
  <c r="F349" i="40"/>
  <c r="F348" i="40"/>
  <c r="F347" i="40"/>
  <c r="F346" i="40"/>
  <c r="F345" i="40"/>
  <c r="F344" i="40"/>
  <c r="F343" i="40"/>
  <c r="F375" i="40"/>
  <c r="F374" i="40"/>
  <c r="F373" i="40"/>
  <c r="F372" i="40"/>
  <c r="F371" i="40"/>
  <c r="F370" i="40"/>
  <c r="F369" i="40"/>
  <c r="F368" i="40"/>
  <c r="F367" i="40"/>
  <c r="F376" i="40"/>
  <c r="L283" i="40"/>
  <c r="L282" i="40"/>
  <c r="L281" i="40"/>
  <c r="L280" i="40"/>
  <c r="L267" i="40"/>
  <c r="L266" i="40"/>
  <c r="L265" i="40"/>
  <c r="L263" i="40"/>
  <c r="L262" i="40"/>
  <c r="L261" i="40"/>
  <c r="L260" i="40"/>
  <c r="L259" i="40"/>
  <c r="L258" i="40"/>
  <c r="L257" i="40"/>
  <c r="L256" i="40"/>
  <c r="L279" i="40"/>
  <c r="L278" i="40"/>
  <c r="L277" i="40"/>
  <c r="L276" i="40"/>
  <c r="L275" i="40"/>
  <c r="L274" i="40"/>
  <c r="L273" i="40"/>
  <c r="L271" i="40"/>
  <c r="L270" i="40"/>
  <c r="L269" i="40"/>
  <c r="L268" i="40"/>
  <c r="L289" i="40"/>
  <c r="L288" i="40"/>
  <c r="L287" i="40"/>
  <c r="L286" i="40"/>
  <c r="L285" i="40"/>
  <c r="L284" i="40"/>
  <c r="J86" i="40"/>
  <c r="J85" i="40"/>
  <c r="J84" i="40"/>
  <c r="J83" i="40"/>
  <c r="J82" i="40"/>
  <c r="J81" i="40"/>
  <c r="J80" i="40"/>
  <c r="J79" i="40"/>
  <c r="J78" i="40"/>
  <c r="J77" i="40"/>
  <c r="J63" i="40"/>
  <c r="J62" i="40"/>
  <c r="J61" i="40"/>
  <c r="J60" i="40"/>
  <c r="J59" i="40"/>
  <c r="J58" i="40"/>
  <c r="J69" i="40"/>
  <c r="J68" i="40"/>
  <c r="J67" i="40"/>
  <c r="J66" i="40"/>
  <c r="J65" i="40"/>
  <c r="J64" i="40"/>
  <c r="J75" i="40"/>
  <c r="J74" i="40"/>
  <c r="J73" i="40"/>
  <c r="J72" i="40"/>
  <c r="J71" i="40"/>
  <c r="J70" i="40"/>
  <c r="J91" i="40"/>
  <c r="J90" i="40"/>
  <c r="J89" i="40"/>
  <c r="J88" i="40"/>
  <c r="J87" i="40"/>
  <c r="J76" i="40"/>
  <c r="J23" i="40"/>
  <c r="J22" i="40"/>
  <c r="J21" i="40"/>
  <c r="J20" i="40"/>
  <c r="J19" i="40"/>
  <c r="J18" i="40"/>
  <c r="J17" i="40"/>
  <c r="J16" i="40"/>
  <c r="J15" i="40"/>
  <c r="J14" i="40"/>
  <c r="J33" i="40"/>
  <c r="J32" i="40"/>
  <c r="J31" i="40"/>
  <c r="J30" i="40"/>
  <c r="J29" i="40"/>
  <c r="J28" i="40"/>
  <c r="J27" i="40"/>
  <c r="J26" i="40"/>
  <c r="J25" i="40"/>
  <c r="J24" i="40"/>
  <c r="J43" i="40"/>
  <c r="J42" i="40"/>
  <c r="J41" i="40"/>
  <c r="J40" i="40"/>
  <c r="J39" i="40"/>
  <c r="J38" i="40"/>
  <c r="J37" i="40"/>
  <c r="J36" i="40"/>
  <c r="J35" i="40"/>
  <c r="J34" i="40"/>
  <c r="J47" i="40"/>
  <c r="J46" i="40"/>
  <c r="J45" i="40"/>
  <c r="J44" i="40"/>
  <c r="M38" i="9"/>
  <c r="L38" i="9"/>
  <c r="M37" i="9"/>
  <c r="L37" i="9"/>
  <c r="M36" i="9"/>
  <c r="L36" i="9"/>
  <c r="M35" i="9"/>
  <c r="L35" i="9"/>
  <c r="M34" i="9"/>
  <c r="L34" i="9"/>
  <c r="K34" i="9"/>
  <c r="M22" i="9"/>
  <c r="L22" i="9"/>
  <c r="M21" i="9"/>
  <c r="L21" i="9"/>
  <c r="M20" i="9"/>
  <c r="L20" i="9"/>
  <c r="M19" i="9"/>
  <c r="L19" i="9"/>
  <c r="M18" i="9"/>
  <c r="L18" i="9"/>
  <c r="V25" i="8"/>
  <c r="T25" i="8"/>
  <c r="R25" i="8"/>
  <c r="Q25" i="8"/>
  <c r="O25" i="8"/>
  <c r="N25" i="8"/>
  <c r="U25" i="8"/>
  <c r="V24" i="8"/>
  <c r="T24" i="8"/>
  <c r="R24" i="8"/>
  <c r="Q24" i="8"/>
  <c r="O24" i="8"/>
  <c r="N24" i="8"/>
  <c r="P24" i="8"/>
  <c r="V23" i="8"/>
  <c r="T23" i="8"/>
  <c r="R23" i="8"/>
  <c r="Q23" i="8"/>
  <c r="O23" i="8"/>
  <c r="N23" i="8"/>
  <c r="U23" i="8"/>
  <c r="V22" i="8"/>
  <c r="T22" i="8"/>
  <c r="R22" i="8"/>
  <c r="Q22" i="8"/>
  <c r="O22" i="8"/>
  <c r="N22" i="8"/>
  <c r="W22" i="8"/>
  <c r="V21" i="8"/>
  <c r="T21" i="8"/>
  <c r="R21" i="8"/>
  <c r="Q21" i="8"/>
  <c r="O21" i="8"/>
  <c r="N21" i="8"/>
  <c r="W21" i="8"/>
  <c r="V20" i="8"/>
  <c r="T20" i="8"/>
  <c r="R20" i="8"/>
  <c r="Q20" i="8"/>
  <c r="O20" i="8"/>
  <c r="N20" i="8"/>
  <c r="U20" i="8"/>
  <c r="L272" i="40" l="1"/>
  <c r="L394" i="40"/>
  <c r="L264" i="40"/>
  <c r="P20" i="8"/>
  <c r="P25" i="8"/>
  <c r="P22" i="8"/>
  <c r="L390" i="40"/>
  <c r="L330" i="40"/>
  <c r="L312" i="40"/>
  <c r="L304" i="40"/>
  <c r="L331" i="40"/>
  <c r="L313" i="40"/>
  <c r="L305" i="40"/>
  <c r="L332" i="40"/>
  <c r="L314" i="40"/>
  <c r="L306" i="40"/>
  <c r="L333" i="40"/>
  <c r="L315" i="40"/>
  <c r="L307" i="40"/>
  <c r="L308" i="40"/>
  <c r="L316" i="40"/>
  <c r="L300" i="40"/>
  <c r="L320" i="40"/>
  <c r="L309" i="40"/>
  <c r="L317" i="40"/>
  <c r="L301" i="40"/>
  <c r="L321" i="40"/>
  <c r="L324" i="40"/>
  <c r="L310" i="40"/>
  <c r="L318" i="40"/>
  <c r="L302" i="40"/>
  <c r="L322" i="40"/>
  <c r="L325" i="40"/>
  <c r="L311" i="40"/>
  <c r="L319" i="40"/>
  <c r="L303" i="40"/>
  <c r="L323" i="40"/>
  <c r="S24" i="8"/>
  <c r="S21" i="8"/>
  <c r="S22" i="8"/>
  <c r="S25" i="8"/>
  <c r="W20" i="8"/>
  <c r="W25" i="8"/>
  <c r="L397" i="40"/>
  <c r="L392" i="40"/>
  <c r="L395" i="40"/>
  <c r="L409" i="40"/>
  <c r="L389" i="40"/>
  <c r="L393" i="40"/>
  <c r="L406" i="40"/>
  <c r="L388" i="40"/>
  <c r="L400" i="40"/>
  <c r="L391" i="40"/>
  <c r="L386" i="40"/>
  <c r="L398" i="40"/>
  <c r="L401" i="40"/>
  <c r="L396" i="40"/>
  <c r="L415" i="40"/>
  <c r="L387" i="40"/>
  <c r="L399" i="40"/>
  <c r="L404" i="40"/>
  <c r="L412" i="40"/>
  <c r="L407" i="40"/>
  <c r="L402" i="40"/>
  <c r="L410" i="40"/>
  <c r="L417" i="40"/>
  <c r="L405" i="40"/>
  <c r="L413" i="40"/>
  <c r="L408" i="40"/>
  <c r="L403" i="40"/>
  <c r="L411" i="40"/>
  <c r="L418" i="40"/>
  <c r="L416" i="40"/>
  <c r="L419" i="40"/>
  <c r="L414" i="40"/>
  <c r="L328" i="40"/>
  <c r="L326" i="40"/>
  <c r="L329" i="40"/>
  <c r="L327" i="40"/>
  <c r="U24" i="8"/>
  <c r="U21" i="8"/>
  <c r="P23" i="8"/>
  <c r="S20" i="8"/>
  <c r="P21" i="8"/>
  <c r="U22" i="8"/>
  <c r="W24" i="8"/>
  <c r="W23" i="8"/>
  <c r="S23" i="8"/>
  <c r="G43" i="5" l="1"/>
  <c r="F379" i="40" l="1"/>
  <c r="F378" i="40"/>
  <c r="F377" i="40"/>
  <c r="L292" i="40"/>
  <c r="L291" i="40"/>
  <c r="L290" i="40"/>
  <c r="J94" i="40"/>
  <c r="J93" i="40"/>
  <c r="J92" i="40"/>
  <c r="J50" i="40"/>
  <c r="J49" i="40"/>
  <c r="J48" i="40"/>
  <c r="L334" i="40" l="1"/>
  <c r="L336" i="40"/>
  <c r="L335" i="40"/>
  <c r="L422" i="40"/>
  <c r="L420" i="40"/>
  <c r="L421" i="40"/>
  <c r="L23" i="13"/>
  <c r="L22" i="13"/>
  <c r="F23" i="13"/>
  <c r="F22" i="13"/>
  <c r="M12" i="16"/>
  <c r="I61" i="37"/>
  <c r="I60" i="37"/>
  <c r="I58" i="37"/>
  <c r="I57" i="37"/>
  <c r="J58" i="37"/>
  <c r="K58" i="37"/>
  <c r="L58" i="37"/>
  <c r="H58" i="37"/>
  <c r="H59" i="37"/>
  <c r="J60" i="37"/>
  <c r="K60" i="37"/>
  <c r="L60" i="37"/>
  <c r="H60" i="37"/>
  <c r="J61" i="37"/>
  <c r="K61" i="37"/>
  <c r="L61" i="37"/>
  <c r="H61" i="37"/>
  <c r="H57" i="37"/>
  <c r="L57" i="37"/>
  <c r="K57" i="37"/>
  <c r="J57" i="37"/>
  <c r="H49" i="37"/>
  <c r="J49" i="37"/>
  <c r="H51" i="37"/>
  <c r="J51" i="37"/>
  <c r="H52" i="37"/>
  <c r="J52" i="37"/>
  <c r="J45" i="37"/>
  <c r="I45" i="37"/>
  <c r="H45" i="37"/>
  <c r="J44" i="37"/>
  <c r="I44" i="37"/>
  <c r="H44" i="37"/>
  <c r="J43" i="37"/>
  <c r="I43" i="37"/>
  <c r="H43" i="37"/>
  <c r="J42" i="37"/>
  <c r="I42" i="37"/>
  <c r="H42" i="37"/>
  <c r="J41" i="37"/>
  <c r="I41" i="37"/>
  <c r="H41" i="37"/>
  <c r="J40" i="37"/>
  <c r="I40" i="37"/>
  <c r="H40" i="37"/>
  <c r="J39" i="37"/>
  <c r="I39" i="37"/>
  <c r="H39" i="37"/>
  <c r="H26" i="37"/>
  <c r="I26" i="37"/>
  <c r="J26" i="37"/>
  <c r="H27" i="37"/>
  <c r="I27" i="37"/>
  <c r="J27" i="37"/>
  <c r="H28" i="37"/>
  <c r="I28" i="37"/>
  <c r="J28" i="37"/>
  <c r="H29" i="37"/>
  <c r="I29" i="37"/>
  <c r="J29" i="37"/>
  <c r="H30" i="37"/>
  <c r="I30" i="37"/>
  <c r="J30" i="37"/>
  <c r="H31" i="37"/>
  <c r="I31" i="37"/>
  <c r="J31" i="37"/>
  <c r="H32" i="37"/>
  <c r="I32" i="37"/>
  <c r="J32" i="37"/>
  <c r="H33" i="37"/>
  <c r="I33" i="37"/>
  <c r="J33" i="37"/>
  <c r="H19" i="37"/>
  <c r="I19" i="37"/>
  <c r="H20" i="37"/>
  <c r="I20" i="37"/>
  <c r="H21" i="37"/>
  <c r="I21" i="37"/>
  <c r="H22" i="37"/>
  <c r="I22" i="37"/>
  <c r="H25" i="37"/>
  <c r="I25" i="37"/>
  <c r="J25" i="37"/>
  <c r="H14" i="37"/>
  <c r="I14" i="37"/>
  <c r="H15" i="37"/>
  <c r="I15" i="37"/>
  <c r="H16" i="37"/>
  <c r="I16" i="37"/>
  <c r="H17" i="37"/>
  <c r="I17" i="37"/>
  <c r="H18" i="37"/>
  <c r="I18" i="37"/>
  <c r="J12" i="37"/>
  <c r="I12" i="37"/>
  <c r="H12" i="37"/>
  <c r="H35" i="45"/>
  <c r="I35" i="45"/>
  <c r="J35" i="45"/>
  <c r="H36" i="45"/>
  <c r="I36" i="45"/>
  <c r="J36" i="45"/>
  <c r="H37" i="45"/>
  <c r="I37" i="45"/>
  <c r="J37" i="45"/>
  <c r="J34" i="45"/>
  <c r="I34" i="45"/>
  <c r="H34" i="45"/>
  <c r="J31" i="45"/>
  <c r="I31" i="45"/>
  <c r="H31" i="45"/>
  <c r="J30" i="45"/>
  <c r="I30" i="45"/>
  <c r="H30" i="45"/>
  <c r="J29" i="45"/>
  <c r="I29" i="45"/>
  <c r="H29" i="45"/>
  <c r="J28" i="45"/>
  <c r="I28" i="45"/>
  <c r="H28" i="45"/>
  <c r="J27" i="45"/>
  <c r="I27" i="45"/>
  <c r="H27" i="45"/>
  <c r="J26" i="45"/>
  <c r="I26" i="45"/>
  <c r="H26" i="45"/>
  <c r="H13" i="45"/>
  <c r="I13" i="45"/>
  <c r="J13" i="45"/>
  <c r="H14" i="45"/>
  <c r="I14" i="45"/>
  <c r="J14" i="45"/>
  <c r="H15" i="45"/>
  <c r="I15" i="45"/>
  <c r="J15" i="45"/>
  <c r="H16" i="45"/>
  <c r="I16" i="45"/>
  <c r="J16" i="45"/>
  <c r="H17" i="45"/>
  <c r="I17" i="45"/>
  <c r="J17" i="45"/>
  <c r="J12" i="45"/>
  <c r="I12" i="45"/>
  <c r="H12" i="45"/>
  <c r="J56" i="34"/>
  <c r="K56" i="34"/>
  <c r="J57" i="34"/>
  <c r="K57" i="34"/>
  <c r="J58" i="34"/>
  <c r="K58" i="34"/>
  <c r="J59" i="34"/>
  <c r="K59" i="34"/>
  <c r="J60" i="34"/>
  <c r="K60" i="34"/>
  <c r="J61" i="34"/>
  <c r="K61" i="34"/>
  <c r="J62" i="34"/>
  <c r="K62" i="34"/>
  <c r="J63" i="34"/>
  <c r="K63" i="34"/>
  <c r="J64" i="34"/>
  <c r="K64" i="34"/>
  <c r="J65" i="34"/>
  <c r="K65" i="34"/>
  <c r="J66" i="34"/>
  <c r="K66" i="34"/>
  <c r="J67" i="34"/>
  <c r="K67" i="34"/>
  <c r="J68" i="34"/>
  <c r="K68" i="34"/>
  <c r="J69" i="34"/>
  <c r="K69" i="34"/>
  <c r="J70" i="34"/>
  <c r="K70" i="34"/>
  <c r="J71" i="34"/>
  <c r="K71" i="34"/>
  <c r="J72" i="34"/>
  <c r="K72" i="34"/>
  <c r="J73" i="34"/>
  <c r="K73" i="34"/>
  <c r="J74" i="34"/>
  <c r="K74" i="34"/>
  <c r="J75" i="34"/>
  <c r="K75" i="34"/>
  <c r="J76" i="34"/>
  <c r="K76" i="34"/>
  <c r="J77" i="34"/>
  <c r="K77" i="34"/>
  <c r="J78" i="34"/>
  <c r="K78" i="34"/>
  <c r="J79" i="34"/>
  <c r="K79" i="34"/>
  <c r="J80" i="34"/>
  <c r="K80" i="34"/>
  <c r="J81" i="34"/>
  <c r="K81" i="34"/>
  <c r="J82" i="34"/>
  <c r="K82" i="34"/>
  <c r="J83" i="34"/>
  <c r="K83" i="34"/>
  <c r="J84" i="34"/>
  <c r="K84" i="34"/>
  <c r="J85" i="34"/>
  <c r="K85" i="34"/>
  <c r="J86" i="34"/>
  <c r="K86" i="34"/>
  <c r="J87" i="34"/>
  <c r="K87" i="34"/>
  <c r="J88" i="34"/>
  <c r="K88" i="34"/>
  <c r="K55" i="34"/>
  <c r="J55" i="34"/>
  <c r="J14" i="34"/>
  <c r="K14" i="34"/>
  <c r="J15" i="34"/>
  <c r="K15" i="34"/>
  <c r="J16" i="34"/>
  <c r="K16" i="34"/>
  <c r="J17" i="34"/>
  <c r="K17" i="34"/>
  <c r="J18" i="34"/>
  <c r="K18" i="34"/>
  <c r="J19" i="34"/>
  <c r="K19" i="34"/>
  <c r="J20" i="34"/>
  <c r="K20" i="34"/>
  <c r="J21" i="34"/>
  <c r="K21" i="34"/>
  <c r="J22" i="34"/>
  <c r="K22" i="34"/>
  <c r="J23" i="34"/>
  <c r="K23" i="34"/>
  <c r="J24" i="34"/>
  <c r="K24" i="34"/>
  <c r="J25" i="34"/>
  <c r="K25" i="34"/>
  <c r="J26" i="34"/>
  <c r="K26" i="34"/>
  <c r="J27" i="34"/>
  <c r="K27" i="34"/>
  <c r="J28" i="34"/>
  <c r="K28" i="34"/>
  <c r="J29" i="34"/>
  <c r="K29" i="34"/>
  <c r="J30" i="34"/>
  <c r="K30" i="34"/>
  <c r="J31" i="34"/>
  <c r="K31" i="34"/>
  <c r="J32" i="34"/>
  <c r="K32" i="34"/>
  <c r="J33" i="34"/>
  <c r="K33" i="34"/>
  <c r="J34" i="34"/>
  <c r="K34" i="34"/>
  <c r="J35" i="34"/>
  <c r="K35" i="34"/>
  <c r="J36" i="34"/>
  <c r="K36" i="34"/>
  <c r="J37" i="34"/>
  <c r="K37" i="34"/>
  <c r="J38" i="34"/>
  <c r="K38" i="34"/>
  <c r="J39" i="34"/>
  <c r="K39" i="34"/>
  <c r="J40" i="34"/>
  <c r="K40" i="34"/>
  <c r="J41" i="34"/>
  <c r="K41" i="34"/>
  <c r="J42" i="34"/>
  <c r="K42" i="34"/>
  <c r="J43" i="34"/>
  <c r="K43" i="34"/>
  <c r="J44" i="34"/>
  <c r="K44" i="34"/>
  <c r="J45" i="34"/>
  <c r="K45" i="34"/>
  <c r="J46" i="34"/>
  <c r="K46" i="34"/>
  <c r="K13" i="34"/>
  <c r="J13" i="34"/>
  <c r="O14" i="38"/>
  <c r="P14" i="38"/>
  <c r="Q14" i="38"/>
  <c r="R14" i="38"/>
  <c r="S14" i="38"/>
  <c r="T14" i="38"/>
  <c r="U14" i="38"/>
  <c r="V14" i="38"/>
  <c r="W14" i="38"/>
  <c r="O15" i="38"/>
  <c r="P15" i="38"/>
  <c r="Q15" i="38"/>
  <c r="R15" i="38"/>
  <c r="S15" i="38"/>
  <c r="T15" i="38"/>
  <c r="U15" i="38"/>
  <c r="V15" i="38"/>
  <c r="W15" i="38"/>
  <c r="O16" i="38"/>
  <c r="P16" i="38"/>
  <c r="Q16" i="38"/>
  <c r="R16" i="38"/>
  <c r="S16" i="38"/>
  <c r="T16" i="38"/>
  <c r="U16" i="38"/>
  <c r="V16" i="38"/>
  <c r="W16" i="38"/>
  <c r="O17" i="38"/>
  <c r="P17" i="38"/>
  <c r="Q17" i="38"/>
  <c r="R17" i="38"/>
  <c r="S17" i="38"/>
  <c r="T17" i="38"/>
  <c r="U17" i="38"/>
  <c r="V17" i="38"/>
  <c r="W17" i="38"/>
  <c r="O18" i="38"/>
  <c r="P18" i="38"/>
  <c r="Q18" i="38"/>
  <c r="R18" i="38"/>
  <c r="S18" i="38"/>
  <c r="T18" i="38"/>
  <c r="U18" i="38"/>
  <c r="V18" i="38"/>
  <c r="W18" i="38"/>
  <c r="O19" i="38"/>
  <c r="P19" i="38"/>
  <c r="Q19" i="38"/>
  <c r="R19" i="38"/>
  <c r="S19" i="38"/>
  <c r="T19" i="38"/>
  <c r="U19" i="38"/>
  <c r="V19" i="38"/>
  <c r="W19" i="38"/>
  <c r="O20" i="38"/>
  <c r="P20" i="38"/>
  <c r="Q20" i="38"/>
  <c r="R20" i="38"/>
  <c r="S20" i="38"/>
  <c r="T20" i="38"/>
  <c r="U20" i="38"/>
  <c r="V20" i="38"/>
  <c r="W20" i="38"/>
  <c r="O21" i="38"/>
  <c r="P21" i="38"/>
  <c r="Q21" i="38"/>
  <c r="R21" i="38"/>
  <c r="S21" i="38"/>
  <c r="T21" i="38"/>
  <c r="U21" i="38"/>
  <c r="V21" i="38"/>
  <c r="W21" i="38"/>
  <c r="O22" i="38"/>
  <c r="P22" i="38"/>
  <c r="Q22" i="38"/>
  <c r="R22" i="38"/>
  <c r="S22" i="38"/>
  <c r="T22" i="38"/>
  <c r="U22" i="38"/>
  <c r="V22" i="38"/>
  <c r="W22" i="38"/>
  <c r="O23" i="38"/>
  <c r="P23" i="38"/>
  <c r="Q23" i="38"/>
  <c r="R23" i="38"/>
  <c r="S23" i="38"/>
  <c r="T23" i="38"/>
  <c r="U23" i="38"/>
  <c r="V23" i="38"/>
  <c r="W23" i="38"/>
  <c r="O24" i="38"/>
  <c r="P24" i="38"/>
  <c r="Q24" i="38"/>
  <c r="R24" i="38"/>
  <c r="S24" i="38"/>
  <c r="T24" i="38"/>
  <c r="U24" i="38"/>
  <c r="V24" i="38"/>
  <c r="W24" i="38"/>
  <c r="W13" i="38"/>
  <c r="V13" i="38"/>
  <c r="U13" i="38"/>
  <c r="T13" i="38"/>
  <c r="S13" i="38"/>
  <c r="R13" i="38"/>
  <c r="Q13" i="38"/>
  <c r="P13" i="38"/>
  <c r="O13" i="38"/>
  <c r="L14" i="38"/>
  <c r="M14" i="38"/>
  <c r="N14" i="38"/>
  <c r="L15" i="38"/>
  <c r="M15" i="38"/>
  <c r="N15" i="38"/>
  <c r="L16" i="38"/>
  <c r="M16" i="38"/>
  <c r="N16" i="38"/>
  <c r="L17" i="38"/>
  <c r="M17" i="38"/>
  <c r="N17" i="38"/>
  <c r="L18" i="38"/>
  <c r="M18" i="38"/>
  <c r="N18" i="38"/>
  <c r="L19" i="38"/>
  <c r="M19" i="38"/>
  <c r="N19" i="38"/>
  <c r="L20" i="38"/>
  <c r="M20" i="38"/>
  <c r="N20" i="38"/>
  <c r="L21" i="38"/>
  <c r="M21" i="38"/>
  <c r="N21" i="38"/>
  <c r="L22" i="38"/>
  <c r="M22" i="38"/>
  <c r="N22" i="38"/>
  <c r="L23" i="38"/>
  <c r="M23" i="38"/>
  <c r="N23" i="38"/>
  <c r="L24" i="38"/>
  <c r="M24" i="38"/>
  <c r="N24" i="38"/>
  <c r="N13" i="38"/>
  <c r="M13" i="38"/>
  <c r="L13" i="38"/>
  <c r="S35" i="43"/>
  <c r="R35" i="43"/>
  <c r="Q35" i="43"/>
  <c r="S34" i="43"/>
  <c r="R34" i="43"/>
  <c r="Q34" i="43"/>
  <c r="S33" i="43"/>
  <c r="R33" i="43"/>
  <c r="Q33" i="43"/>
  <c r="S32" i="43"/>
  <c r="R32" i="43"/>
  <c r="Q32" i="43"/>
  <c r="S31" i="43"/>
  <c r="R31" i="43"/>
  <c r="Q31" i="43"/>
  <c r="S30" i="43"/>
  <c r="R30" i="43"/>
  <c r="Q30" i="43"/>
  <c r="S29" i="43"/>
  <c r="R29" i="43"/>
  <c r="Q29" i="43"/>
  <c r="S28" i="43"/>
  <c r="R28" i="43"/>
  <c r="Q28" i="43"/>
  <c r="S27" i="43"/>
  <c r="R27" i="43"/>
  <c r="Q27" i="43"/>
  <c r="S26" i="43"/>
  <c r="R26" i="43"/>
  <c r="Q26" i="43"/>
  <c r="R14" i="43"/>
  <c r="S14" i="43"/>
  <c r="R15" i="43"/>
  <c r="S15" i="43"/>
  <c r="R16" i="43"/>
  <c r="S16" i="43"/>
  <c r="R17" i="43"/>
  <c r="S17" i="43"/>
  <c r="R18" i="43"/>
  <c r="S18" i="43"/>
  <c r="R19" i="43"/>
  <c r="S19" i="43"/>
  <c r="R20" i="43"/>
  <c r="S20" i="43"/>
  <c r="R21" i="43"/>
  <c r="S21" i="43"/>
  <c r="R22" i="43"/>
  <c r="S22" i="43"/>
  <c r="S13" i="43"/>
  <c r="R13" i="43"/>
  <c r="I15" i="44"/>
  <c r="H15" i="44"/>
  <c r="H13" i="44"/>
  <c r="I13" i="44"/>
  <c r="I12" i="44"/>
  <c r="H12" i="44"/>
  <c r="I17" i="41"/>
  <c r="L17" i="41"/>
  <c r="I18" i="41"/>
  <c r="I19" i="41"/>
  <c r="I20" i="41"/>
  <c r="I21" i="41"/>
  <c r="I22" i="41"/>
  <c r="I23" i="41"/>
  <c r="I24" i="41"/>
  <c r="I25" i="41"/>
  <c r="I27" i="41"/>
  <c r="J27" i="41"/>
  <c r="L27" i="41"/>
  <c r="M27" i="41"/>
  <c r="I28" i="41"/>
  <c r="J28" i="41"/>
  <c r="L28" i="41"/>
  <c r="M28" i="41"/>
  <c r="I30" i="41"/>
  <c r="J30" i="41"/>
  <c r="L30" i="41"/>
  <c r="M30" i="41"/>
  <c r="I31" i="41"/>
  <c r="J31" i="41"/>
  <c r="L31" i="41"/>
  <c r="M31" i="41"/>
  <c r="I32" i="41"/>
  <c r="J32" i="41"/>
  <c r="L32" i="41"/>
  <c r="M32" i="41"/>
  <c r="I33" i="41"/>
  <c r="L33" i="41"/>
  <c r="I34" i="41"/>
  <c r="L34" i="41"/>
  <c r="I35" i="41"/>
  <c r="L35" i="41"/>
  <c r="I36" i="41"/>
  <c r="L36" i="41"/>
  <c r="I37" i="41"/>
  <c r="L37" i="41"/>
  <c r="I38" i="41"/>
  <c r="L38" i="41"/>
  <c r="I39" i="41"/>
  <c r="L39" i="41"/>
  <c r="I40" i="41"/>
  <c r="L40" i="41"/>
  <c r="I41" i="41"/>
  <c r="L41" i="41"/>
  <c r="M16" i="41"/>
  <c r="L16" i="41"/>
  <c r="J16" i="41"/>
  <c r="I16" i="41"/>
  <c r="I14" i="41"/>
  <c r="J14" i="41"/>
  <c r="L14" i="41"/>
  <c r="M14" i="41"/>
  <c r="M13" i="41"/>
  <c r="L13" i="41"/>
  <c r="I13" i="41"/>
  <c r="J13" i="41"/>
  <c r="X26" i="36"/>
  <c r="X27" i="36"/>
  <c r="AB26" i="36"/>
  <c r="AB27" i="36"/>
  <c r="AE32" i="36"/>
  <c r="AA32" i="36"/>
  <c r="Z32" i="36"/>
  <c r="W32" i="36"/>
  <c r="V32" i="36"/>
  <c r="S32" i="36"/>
  <c r="R32" i="36"/>
  <c r="AF31" i="36"/>
  <c r="AE31" i="36"/>
  <c r="AD31" i="36"/>
  <c r="AB31" i="36"/>
  <c r="AA31" i="36"/>
  <c r="Z31" i="36"/>
  <c r="X31" i="36"/>
  <c r="W31" i="36"/>
  <c r="V31" i="36"/>
  <c r="T31" i="36"/>
  <c r="S31" i="36"/>
  <c r="R31" i="36"/>
  <c r="AF30" i="36"/>
  <c r="AE30" i="36"/>
  <c r="AD30" i="36"/>
  <c r="AB30" i="36"/>
  <c r="AA30" i="36"/>
  <c r="Z30" i="36"/>
  <c r="X30" i="36"/>
  <c r="W30" i="36"/>
  <c r="V30" i="36"/>
  <c r="T30" i="36"/>
  <c r="S30" i="36"/>
  <c r="R30" i="36"/>
  <c r="AF29" i="36"/>
  <c r="AE29" i="36"/>
  <c r="AD29" i="36"/>
  <c r="AB29" i="36"/>
  <c r="AA29" i="36"/>
  <c r="Z29" i="36"/>
  <c r="X29" i="36"/>
  <c r="W29" i="36"/>
  <c r="V29" i="36"/>
  <c r="T29" i="36"/>
  <c r="S29" i="36"/>
  <c r="R29" i="36"/>
  <c r="AF27" i="36"/>
  <c r="AE27" i="36"/>
  <c r="AD27" i="36"/>
  <c r="AA27" i="36"/>
  <c r="Z27" i="36"/>
  <c r="W27" i="36"/>
  <c r="V27" i="36"/>
  <c r="T27" i="36"/>
  <c r="S27" i="36"/>
  <c r="R27" i="36"/>
  <c r="AF26" i="36"/>
  <c r="AE26" i="36"/>
  <c r="AD26" i="36"/>
  <c r="AA26" i="36"/>
  <c r="Z26" i="36"/>
  <c r="W26" i="36"/>
  <c r="V26" i="36"/>
  <c r="T26" i="36"/>
  <c r="S26" i="36"/>
  <c r="R26" i="36"/>
  <c r="V16" i="36"/>
  <c r="W16" i="36"/>
  <c r="Z16" i="36"/>
  <c r="AA16" i="36"/>
  <c r="AD16" i="36"/>
  <c r="AE16" i="36"/>
  <c r="V17" i="36"/>
  <c r="W17" i="36"/>
  <c r="Z17" i="36"/>
  <c r="AA17" i="36"/>
  <c r="AD17" i="36"/>
  <c r="AE17" i="36"/>
  <c r="V18" i="36"/>
  <c r="W18" i="36"/>
  <c r="Z18" i="36"/>
  <c r="AA18" i="36"/>
  <c r="AD18" i="36"/>
  <c r="AE18" i="36"/>
  <c r="V19" i="36"/>
  <c r="W19" i="36"/>
  <c r="Z19" i="36"/>
  <c r="AA19" i="36"/>
  <c r="AD19" i="36"/>
  <c r="AE19" i="36"/>
  <c r="V20" i="36"/>
  <c r="W20" i="36"/>
  <c r="Z20" i="36"/>
  <c r="AA20" i="36"/>
  <c r="AD20" i="36"/>
  <c r="AE20" i="36"/>
  <c r="V21" i="36"/>
  <c r="W21" i="36"/>
  <c r="Z21" i="36"/>
  <c r="AA21" i="36"/>
  <c r="AD21" i="36"/>
  <c r="AE21" i="36"/>
  <c r="V22" i="36"/>
  <c r="W22" i="36"/>
  <c r="Z22" i="36"/>
  <c r="AA22" i="36"/>
  <c r="AD22" i="36"/>
  <c r="AE22" i="36"/>
  <c r="V23" i="36"/>
  <c r="W23" i="36"/>
  <c r="Z23" i="36"/>
  <c r="AA23" i="36"/>
  <c r="AD23" i="36"/>
  <c r="AE23" i="36"/>
  <c r="V24" i="36"/>
  <c r="W24" i="36"/>
  <c r="Z24" i="36"/>
  <c r="AA24" i="36"/>
  <c r="AD24" i="36"/>
  <c r="AE24" i="36"/>
  <c r="AF15" i="36"/>
  <c r="AE15" i="36"/>
  <c r="AD15" i="36"/>
  <c r="AB15" i="36"/>
  <c r="AA15" i="36"/>
  <c r="Z15" i="36"/>
  <c r="X15" i="36"/>
  <c r="W15" i="36"/>
  <c r="V15" i="36"/>
  <c r="V13" i="36"/>
  <c r="W13" i="36"/>
  <c r="X13" i="36"/>
  <c r="Z13" i="36"/>
  <c r="AA13" i="36"/>
  <c r="AB13" i="36"/>
  <c r="AD13" i="36"/>
  <c r="AE13" i="36"/>
  <c r="AF13" i="36"/>
  <c r="AF12" i="36"/>
  <c r="AE12" i="36"/>
  <c r="AD12" i="36"/>
  <c r="AB12" i="36"/>
  <c r="AA12" i="36"/>
  <c r="Z12" i="36"/>
  <c r="X12" i="36"/>
  <c r="W12" i="36"/>
  <c r="V12" i="36"/>
  <c r="R16" i="36"/>
  <c r="S16" i="36"/>
  <c r="R17" i="36"/>
  <c r="S17" i="36"/>
  <c r="R18" i="36"/>
  <c r="S18" i="36"/>
  <c r="R19" i="36"/>
  <c r="S19" i="36"/>
  <c r="R20" i="36"/>
  <c r="S20" i="36"/>
  <c r="R21" i="36"/>
  <c r="S21" i="36"/>
  <c r="R22" i="36"/>
  <c r="S22" i="36"/>
  <c r="R23" i="36"/>
  <c r="S23" i="36"/>
  <c r="R24" i="36"/>
  <c r="S24" i="36"/>
  <c r="T15" i="36"/>
  <c r="S15" i="36"/>
  <c r="R15" i="36"/>
  <c r="R13" i="36"/>
  <c r="S13" i="36"/>
  <c r="T13" i="36"/>
  <c r="T12" i="36"/>
  <c r="S12" i="36"/>
  <c r="R12" i="36"/>
  <c r="L43" i="33"/>
  <c r="M43" i="33"/>
  <c r="L44" i="33"/>
  <c r="M44" i="33"/>
  <c r="L45" i="33"/>
  <c r="M45" i="33"/>
  <c r="L46" i="33"/>
  <c r="M46" i="33"/>
  <c r="L47" i="33"/>
  <c r="M47" i="33"/>
  <c r="L48" i="33"/>
  <c r="M48" i="33"/>
  <c r="L49" i="33"/>
  <c r="M49" i="33"/>
  <c r="L50" i="33"/>
  <c r="M50" i="33"/>
  <c r="L51" i="33"/>
  <c r="M51" i="33"/>
  <c r="P42" i="33"/>
  <c r="O42" i="33"/>
  <c r="M42" i="33"/>
  <c r="L42" i="33"/>
  <c r="R26" i="33"/>
  <c r="S26" i="33"/>
  <c r="R27" i="33"/>
  <c r="S27" i="33"/>
  <c r="R28" i="33"/>
  <c r="S28" i="33"/>
  <c r="R29" i="33"/>
  <c r="S29" i="33"/>
  <c r="R30" i="33"/>
  <c r="S30" i="33"/>
  <c r="R31" i="33"/>
  <c r="S31" i="33"/>
  <c r="R32" i="33"/>
  <c r="S32" i="33"/>
  <c r="R33" i="33"/>
  <c r="S33" i="33"/>
  <c r="R34" i="33"/>
  <c r="S34" i="33"/>
  <c r="S25" i="33"/>
  <c r="R25" i="33"/>
  <c r="R14" i="33"/>
  <c r="S14" i="33"/>
  <c r="R15" i="33"/>
  <c r="S15" i="33"/>
  <c r="R16" i="33"/>
  <c r="S16" i="33"/>
  <c r="R17" i="33"/>
  <c r="S17" i="33"/>
  <c r="R18" i="33"/>
  <c r="S18" i="33"/>
  <c r="R19" i="33"/>
  <c r="S19" i="33"/>
  <c r="R20" i="33"/>
  <c r="S20" i="33"/>
  <c r="R21" i="33"/>
  <c r="S21" i="33"/>
  <c r="R22" i="33"/>
  <c r="S22" i="33"/>
  <c r="AB13" i="33"/>
  <c r="AA13" i="33"/>
  <c r="Y13" i="33"/>
  <c r="X13" i="33"/>
  <c r="V13" i="33"/>
  <c r="U13" i="33"/>
  <c r="S13" i="33"/>
  <c r="R13" i="33"/>
  <c r="J98" i="40"/>
  <c r="J97" i="40"/>
  <c r="J96" i="40"/>
  <c r="J95" i="40"/>
  <c r="J57" i="40"/>
  <c r="J51" i="40"/>
  <c r="J52" i="40"/>
  <c r="J53" i="40"/>
  <c r="J54" i="40"/>
  <c r="K13" i="40"/>
  <c r="J13" i="40"/>
  <c r="J59" i="22"/>
  <c r="J50" i="22"/>
  <c r="I50" i="22"/>
  <c r="H50" i="22"/>
  <c r="J11" i="22"/>
  <c r="I40" i="22"/>
  <c r="H40" i="22"/>
  <c r="I39" i="22"/>
  <c r="H39" i="22"/>
  <c r="I38" i="22"/>
  <c r="H38" i="22"/>
  <c r="H36" i="22"/>
  <c r="I36" i="22"/>
  <c r="H19" i="22"/>
  <c r="I19" i="22"/>
  <c r="J19" i="22"/>
  <c r="H20" i="22"/>
  <c r="I20" i="22"/>
  <c r="J20" i="22"/>
  <c r="H22" i="22"/>
  <c r="I22" i="22"/>
  <c r="J22" i="22"/>
  <c r="H23" i="22"/>
  <c r="I23" i="22"/>
  <c r="J23" i="22"/>
  <c r="H25" i="22"/>
  <c r="I25" i="22"/>
  <c r="J25" i="22"/>
  <c r="H27" i="22"/>
  <c r="I27" i="22"/>
  <c r="J27" i="22"/>
  <c r="H29" i="22"/>
  <c r="I29" i="22"/>
  <c r="J29" i="22"/>
  <c r="H17" i="22"/>
  <c r="I17" i="22"/>
  <c r="J17" i="22"/>
  <c r="H16" i="22"/>
  <c r="I16" i="22"/>
  <c r="J16" i="22"/>
  <c r="H69" i="21"/>
  <c r="I69" i="21"/>
  <c r="J69" i="21"/>
  <c r="H70" i="21"/>
  <c r="I70" i="21"/>
  <c r="J70" i="21"/>
  <c r="H71" i="21"/>
  <c r="I71" i="21"/>
  <c r="J71" i="21"/>
  <c r="H72" i="21"/>
  <c r="I72" i="21"/>
  <c r="J72" i="21"/>
  <c r="H73" i="21"/>
  <c r="I73" i="21"/>
  <c r="J73" i="21"/>
  <c r="H74" i="21"/>
  <c r="I74" i="21"/>
  <c r="J74" i="21"/>
  <c r="H75" i="21"/>
  <c r="I75" i="21"/>
  <c r="J75" i="21"/>
  <c r="H76" i="21"/>
  <c r="I76" i="21"/>
  <c r="J76" i="21"/>
  <c r="H77" i="21"/>
  <c r="I77" i="21"/>
  <c r="J77" i="21"/>
  <c r="H78" i="21"/>
  <c r="I78" i="21"/>
  <c r="J78" i="21"/>
  <c r="J68" i="21"/>
  <c r="I68" i="21"/>
  <c r="H68" i="21"/>
  <c r="H53" i="21"/>
  <c r="I53" i="21"/>
  <c r="J53" i="21"/>
  <c r="H54" i="21"/>
  <c r="I54" i="21"/>
  <c r="J54" i="21"/>
  <c r="H55" i="21"/>
  <c r="I55" i="21"/>
  <c r="J55" i="21"/>
  <c r="H56" i="21"/>
  <c r="I56" i="21"/>
  <c r="J56" i="21"/>
  <c r="H57" i="21"/>
  <c r="I57" i="21"/>
  <c r="J57" i="21"/>
  <c r="H58" i="21"/>
  <c r="I58" i="21"/>
  <c r="J58" i="21"/>
  <c r="H59" i="21"/>
  <c r="I59" i="21"/>
  <c r="J59" i="21"/>
  <c r="H60" i="21"/>
  <c r="I60" i="21"/>
  <c r="J60" i="21"/>
  <c r="H61" i="21"/>
  <c r="I61" i="21"/>
  <c r="J61" i="21"/>
  <c r="H62" i="21"/>
  <c r="I62" i="21"/>
  <c r="J62" i="21"/>
  <c r="J52" i="21"/>
  <c r="I52" i="21"/>
  <c r="H52" i="21"/>
  <c r="J42" i="21"/>
  <c r="I42" i="21"/>
  <c r="H42" i="21"/>
  <c r="J41" i="21"/>
  <c r="I41" i="21"/>
  <c r="H41" i="21"/>
  <c r="J40" i="21"/>
  <c r="I40" i="21"/>
  <c r="H40" i="21"/>
  <c r="J39" i="21"/>
  <c r="I39" i="21"/>
  <c r="H39" i="21"/>
  <c r="J38" i="21"/>
  <c r="I38" i="21"/>
  <c r="H38" i="21"/>
  <c r="J37" i="21"/>
  <c r="I37" i="21"/>
  <c r="H37" i="21"/>
  <c r="J36" i="21"/>
  <c r="I36" i="21"/>
  <c r="H36" i="21"/>
  <c r="J35" i="21"/>
  <c r="I35" i="21"/>
  <c r="H35" i="21"/>
  <c r="J34" i="21"/>
  <c r="I34" i="21"/>
  <c r="H34" i="21"/>
  <c r="J33" i="21"/>
  <c r="I33" i="21"/>
  <c r="H33" i="21"/>
  <c r="J32" i="21"/>
  <c r="I32" i="21"/>
  <c r="H32" i="21"/>
  <c r="J31" i="21"/>
  <c r="I31" i="21"/>
  <c r="H31" i="21"/>
  <c r="H14" i="21"/>
  <c r="I14" i="21"/>
  <c r="J14" i="21"/>
  <c r="H15" i="21"/>
  <c r="I15" i="21"/>
  <c r="J15" i="21"/>
  <c r="H16" i="21"/>
  <c r="I16" i="21"/>
  <c r="J16" i="21"/>
  <c r="H17" i="21"/>
  <c r="I17" i="21"/>
  <c r="J17" i="21"/>
  <c r="H18" i="21"/>
  <c r="I18" i="21"/>
  <c r="J18" i="21"/>
  <c r="H19" i="21"/>
  <c r="I19" i="21"/>
  <c r="J19" i="21"/>
  <c r="H20" i="21"/>
  <c r="I20" i="21"/>
  <c r="J20" i="21"/>
  <c r="H21" i="21"/>
  <c r="I21" i="21"/>
  <c r="J21" i="21"/>
  <c r="H22" i="21"/>
  <c r="I22" i="21"/>
  <c r="J22" i="21"/>
  <c r="H23" i="21"/>
  <c r="I23" i="21"/>
  <c r="J23" i="21"/>
  <c r="H24" i="21"/>
  <c r="I24" i="21"/>
  <c r="J24" i="21"/>
  <c r="J13" i="21"/>
  <c r="I13" i="21"/>
  <c r="H13" i="21"/>
  <c r="I373" i="18"/>
  <c r="I372" i="18"/>
  <c r="I371" i="18"/>
  <c r="I370" i="18"/>
  <c r="I368" i="18"/>
  <c r="I367" i="18"/>
  <c r="I366" i="18"/>
  <c r="I364" i="18"/>
  <c r="I363" i="18"/>
  <c r="I362" i="18"/>
  <c r="I360" i="18"/>
  <c r="I359" i="18"/>
  <c r="I358" i="18"/>
  <c r="I356" i="18"/>
  <c r="I354" i="18"/>
  <c r="I353" i="18"/>
  <c r="I352" i="18"/>
  <c r="I351" i="18"/>
  <c r="I349" i="18"/>
  <c r="I348" i="18"/>
  <c r="I347" i="18"/>
  <c r="I345" i="18"/>
  <c r="I344" i="18"/>
  <c r="I343" i="18"/>
  <c r="I341" i="18"/>
  <c r="I340" i="18"/>
  <c r="I339" i="18"/>
  <c r="I337" i="18"/>
  <c r="I335" i="18"/>
  <c r="I334" i="18"/>
  <c r="I333" i="18"/>
  <c r="I332" i="18"/>
  <c r="I330" i="18"/>
  <c r="I329" i="18"/>
  <c r="I328" i="18"/>
  <c r="I326" i="18"/>
  <c r="I325" i="18"/>
  <c r="I324" i="18"/>
  <c r="I322" i="18"/>
  <c r="I321" i="18"/>
  <c r="I320" i="18"/>
  <c r="I318" i="18"/>
  <c r="I316" i="18"/>
  <c r="I315" i="18"/>
  <c r="I314" i="18"/>
  <c r="I313" i="18"/>
  <c r="I311" i="18"/>
  <c r="I310" i="18"/>
  <c r="I309" i="18"/>
  <c r="I307" i="18"/>
  <c r="I306" i="18"/>
  <c r="I305" i="18"/>
  <c r="I303" i="18"/>
  <c r="I302" i="18"/>
  <c r="I301" i="18"/>
  <c r="I299" i="18"/>
  <c r="I297" i="18"/>
  <c r="I296" i="18"/>
  <c r="I295" i="18"/>
  <c r="I294" i="18"/>
  <c r="I292" i="18"/>
  <c r="I291" i="18"/>
  <c r="I290" i="18"/>
  <c r="I288" i="18"/>
  <c r="I287" i="18"/>
  <c r="I286" i="18"/>
  <c r="I284" i="18"/>
  <c r="I283" i="18"/>
  <c r="I282" i="18"/>
  <c r="I280" i="18"/>
  <c r="I278" i="18"/>
  <c r="I277" i="18"/>
  <c r="I276" i="18"/>
  <c r="I275" i="18"/>
  <c r="I273" i="18"/>
  <c r="I272" i="18"/>
  <c r="I271" i="18"/>
  <c r="I269" i="18"/>
  <c r="I268" i="18"/>
  <c r="I267" i="18"/>
  <c r="I265" i="18"/>
  <c r="I264" i="18"/>
  <c r="I263" i="18"/>
  <c r="I261" i="18"/>
  <c r="I259" i="18"/>
  <c r="I258" i="18"/>
  <c r="I257" i="18"/>
  <c r="I256" i="18"/>
  <c r="I254" i="18"/>
  <c r="I253" i="18"/>
  <c r="I252" i="18"/>
  <c r="I250" i="18"/>
  <c r="I249" i="18"/>
  <c r="I248" i="18"/>
  <c r="I246" i="18"/>
  <c r="I245" i="18"/>
  <c r="I244" i="18"/>
  <c r="I242" i="18"/>
  <c r="I240" i="18"/>
  <c r="I239" i="18"/>
  <c r="I238" i="18"/>
  <c r="I237" i="18"/>
  <c r="I235" i="18"/>
  <c r="I234" i="18"/>
  <c r="I233" i="18"/>
  <c r="I231" i="18"/>
  <c r="I230" i="18"/>
  <c r="I229" i="18"/>
  <c r="I227" i="18"/>
  <c r="I226" i="18"/>
  <c r="I225" i="18"/>
  <c r="I223" i="18"/>
  <c r="I221" i="18"/>
  <c r="I220" i="18"/>
  <c r="I219" i="18"/>
  <c r="I218" i="18"/>
  <c r="I216" i="18"/>
  <c r="I215" i="18"/>
  <c r="I214" i="18"/>
  <c r="I212" i="18"/>
  <c r="I211" i="18"/>
  <c r="I210" i="18"/>
  <c r="I208" i="18"/>
  <c r="I207" i="18"/>
  <c r="I206" i="18"/>
  <c r="I204" i="18"/>
  <c r="I202" i="18"/>
  <c r="I201" i="18"/>
  <c r="I200" i="18"/>
  <c r="I199" i="18"/>
  <c r="I197" i="18"/>
  <c r="I196" i="18"/>
  <c r="I195" i="18"/>
  <c r="I193" i="18"/>
  <c r="I192" i="18"/>
  <c r="I191" i="18"/>
  <c r="I189" i="18"/>
  <c r="I188" i="18"/>
  <c r="I187" i="18"/>
  <c r="I185" i="18"/>
  <c r="I183" i="18"/>
  <c r="I182" i="18"/>
  <c r="I181" i="18"/>
  <c r="I180" i="18"/>
  <c r="I178" i="18"/>
  <c r="I177" i="18"/>
  <c r="I176" i="18"/>
  <c r="I174" i="18"/>
  <c r="I173" i="18"/>
  <c r="I172" i="18"/>
  <c r="I170" i="18"/>
  <c r="I169" i="18"/>
  <c r="I168" i="18"/>
  <c r="I166" i="18"/>
  <c r="I164" i="18"/>
  <c r="I163" i="18"/>
  <c r="I162" i="18"/>
  <c r="I161" i="18"/>
  <c r="I159" i="18"/>
  <c r="I158" i="18"/>
  <c r="I157" i="18"/>
  <c r="I155" i="18"/>
  <c r="I154" i="18"/>
  <c r="I153" i="18"/>
  <c r="I151" i="18"/>
  <c r="I150" i="18"/>
  <c r="I149" i="18"/>
  <c r="I147" i="18"/>
  <c r="I145" i="18"/>
  <c r="I144" i="18"/>
  <c r="I143" i="18"/>
  <c r="I142" i="18"/>
  <c r="I140" i="18"/>
  <c r="I139" i="18"/>
  <c r="I138" i="18"/>
  <c r="I136" i="18"/>
  <c r="I135" i="18"/>
  <c r="I134" i="18"/>
  <c r="I132" i="18"/>
  <c r="I131" i="18"/>
  <c r="I130" i="18"/>
  <c r="I128" i="18"/>
  <c r="I126" i="18"/>
  <c r="I125" i="18"/>
  <c r="I124" i="18"/>
  <c r="I123" i="18"/>
  <c r="I121" i="18"/>
  <c r="I120" i="18"/>
  <c r="I119" i="18"/>
  <c r="I117" i="18"/>
  <c r="I116" i="18"/>
  <c r="I115" i="18"/>
  <c r="I113" i="18"/>
  <c r="I112" i="18"/>
  <c r="I111" i="18"/>
  <c r="I109" i="18"/>
  <c r="I107" i="18"/>
  <c r="I106" i="18"/>
  <c r="I105" i="18"/>
  <c r="I104" i="18"/>
  <c r="I102" i="18"/>
  <c r="I101" i="18"/>
  <c r="I100" i="18"/>
  <c r="I98" i="18"/>
  <c r="I97" i="18"/>
  <c r="I96" i="18"/>
  <c r="I94" i="18"/>
  <c r="I93" i="18"/>
  <c r="I92" i="18"/>
  <c r="I90" i="18"/>
  <c r="I88" i="18"/>
  <c r="I87" i="18"/>
  <c r="I86" i="18"/>
  <c r="I85" i="18"/>
  <c r="I83" i="18"/>
  <c r="I82" i="18"/>
  <c r="I81" i="18"/>
  <c r="I79" i="18"/>
  <c r="I78" i="18"/>
  <c r="I77" i="18"/>
  <c r="I75" i="18"/>
  <c r="I74" i="18"/>
  <c r="I73" i="18"/>
  <c r="I71" i="18"/>
  <c r="I69" i="18"/>
  <c r="I68" i="18"/>
  <c r="I67" i="18"/>
  <c r="I66" i="18"/>
  <c r="I64" i="18"/>
  <c r="I63" i="18"/>
  <c r="I62" i="18"/>
  <c r="I60" i="18"/>
  <c r="I59" i="18"/>
  <c r="I58" i="18"/>
  <c r="I56" i="18"/>
  <c r="I55" i="18"/>
  <c r="I54" i="18"/>
  <c r="I52" i="18"/>
  <c r="I35" i="18"/>
  <c r="I36" i="18"/>
  <c r="I37" i="18"/>
  <c r="I39" i="18"/>
  <c r="I40" i="18"/>
  <c r="I41" i="18"/>
  <c r="I43" i="18"/>
  <c r="I44" i="18"/>
  <c r="I45" i="18"/>
  <c r="I47" i="18"/>
  <c r="I48" i="18"/>
  <c r="I49" i="18"/>
  <c r="I50" i="18"/>
  <c r="I33" i="18"/>
  <c r="K12" i="16"/>
  <c r="K13" i="16"/>
  <c r="M13" i="16"/>
  <c r="K14" i="16"/>
  <c r="M14" i="16"/>
  <c r="K16" i="16"/>
  <c r="K17" i="16"/>
  <c r="K18" i="16"/>
  <c r="K19" i="16"/>
  <c r="K20" i="16"/>
  <c r="K21" i="16"/>
  <c r="K22" i="16"/>
  <c r="K23" i="16"/>
  <c r="J13" i="5"/>
  <c r="V15" i="8" l="1"/>
  <c r="V16" i="8"/>
  <c r="V17" i="8"/>
  <c r="V18" i="8"/>
  <c r="V19" i="8"/>
  <c r="V26" i="8"/>
  <c r="V27" i="8"/>
  <c r="V28" i="8"/>
  <c r="V29" i="8"/>
  <c r="V30" i="8"/>
  <c r="V31" i="8"/>
  <c r="V32" i="8"/>
  <c r="V33" i="8"/>
  <c r="V34" i="8"/>
  <c r="V35" i="8"/>
  <c r="V36" i="8"/>
  <c r="V37" i="8"/>
  <c r="V38" i="8"/>
  <c r="V39" i="8"/>
  <c r="V40" i="8"/>
  <c r="V41" i="8"/>
  <c r="V42" i="8"/>
  <c r="V43" i="8"/>
  <c r="AK17" i="24" l="1"/>
  <c r="AN17" i="24"/>
  <c r="AO17" i="24"/>
  <c r="AQ17" i="24"/>
  <c r="AR17" i="24"/>
  <c r="AT17" i="24"/>
  <c r="AU17" i="24"/>
  <c r="AW17" i="24"/>
  <c r="AX17" i="24"/>
  <c r="AK18" i="24"/>
  <c r="AN18" i="24"/>
  <c r="AO18" i="24"/>
  <c r="AQ18" i="24"/>
  <c r="AR18" i="24"/>
  <c r="AT18" i="24"/>
  <c r="AU18" i="24"/>
  <c r="AW18" i="24"/>
  <c r="AX18" i="24"/>
  <c r="AK19" i="24"/>
  <c r="AN19" i="24"/>
  <c r="AO19" i="24"/>
  <c r="AQ19" i="24"/>
  <c r="AR19" i="24"/>
  <c r="AT19" i="24"/>
  <c r="AU19" i="24"/>
  <c r="AW19" i="24"/>
  <c r="AX19" i="24"/>
  <c r="AK20" i="24"/>
  <c r="AN20" i="24"/>
  <c r="AO20" i="24"/>
  <c r="AQ20" i="24"/>
  <c r="AR20" i="24"/>
  <c r="AT20" i="24"/>
  <c r="AU20" i="24"/>
  <c r="AW20" i="24"/>
  <c r="AX20" i="24"/>
  <c r="AK13" i="24"/>
  <c r="AN13" i="24"/>
  <c r="AO13" i="24"/>
  <c r="AQ13" i="24"/>
  <c r="AR13" i="24"/>
  <c r="AT13" i="24"/>
  <c r="AU13" i="24"/>
  <c r="AW13" i="24"/>
  <c r="AX13" i="24"/>
  <c r="AK14" i="24"/>
  <c r="AN14" i="24"/>
  <c r="AO14" i="24"/>
  <c r="AQ14" i="24"/>
  <c r="AR14" i="24"/>
  <c r="AT14" i="24"/>
  <c r="AU14" i="24"/>
  <c r="AW14" i="24"/>
  <c r="AX14" i="24"/>
  <c r="AK15" i="24"/>
  <c r="AN15" i="24"/>
  <c r="AO15" i="24"/>
  <c r="AQ15" i="24"/>
  <c r="AR15" i="24"/>
  <c r="AT15" i="24"/>
  <c r="AU15" i="24"/>
  <c r="AW15" i="24"/>
  <c r="AX15" i="24"/>
  <c r="AK16" i="24"/>
  <c r="AN16" i="24"/>
  <c r="AO16" i="24"/>
  <c r="AQ16" i="24"/>
  <c r="AR16" i="24"/>
  <c r="AT16" i="24"/>
  <c r="AU16" i="24"/>
  <c r="AW16" i="24"/>
  <c r="AX16" i="24"/>
  <c r="AX12" i="24"/>
  <c r="AW12" i="24"/>
  <c r="AU12" i="24"/>
  <c r="AT12" i="24"/>
  <c r="AR12" i="24"/>
  <c r="AQ12" i="24"/>
  <c r="AO12" i="24"/>
  <c r="AN12" i="24"/>
  <c r="AL12" i="24"/>
  <c r="AK12" i="24"/>
  <c r="S22" i="13"/>
  <c r="T22" i="13"/>
  <c r="U22" i="13"/>
  <c r="V22" i="13"/>
  <c r="W22" i="13"/>
  <c r="X22" i="13"/>
  <c r="Y22" i="13"/>
  <c r="Z22" i="13"/>
  <c r="AA22" i="13"/>
  <c r="AB22" i="13"/>
  <c r="AC22" i="13"/>
  <c r="AD22" i="13"/>
  <c r="AE22" i="13"/>
  <c r="AF22" i="13"/>
  <c r="AG22" i="13"/>
  <c r="AK22" i="13"/>
  <c r="AL22" i="13"/>
  <c r="AM22" i="13"/>
  <c r="AN22" i="13"/>
  <c r="AO22" i="13"/>
  <c r="AP22" i="13"/>
  <c r="S23" i="13"/>
  <c r="T23" i="13"/>
  <c r="U23" i="13"/>
  <c r="V23" i="13"/>
  <c r="W23" i="13"/>
  <c r="X23" i="13"/>
  <c r="Y23" i="13"/>
  <c r="Z23" i="13"/>
  <c r="AA23" i="13"/>
  <c r="AB23" i="13"/>
  <c r="AC23" i="13"/>
  <c r="AD23" i="13"/>
  <c r="AE23" i="13"/>
  <c r="AF23" i="13"/>
  <c r="AG23" i="13"/>
  <c r="AK23" i="13"/>
  <c r="AL23" i="13"/>
  <c r="AM23" i="13"/>
  <c r="AN23" i="13"/>
  <c r="AO23" i="13"/>
  <c r="AP23" i="13"/>
  <c r="AP15" i="13"/>
  <c r="AO15" i="13"/>
  <c r="AN15" i="13"/>
  <c r="AM15" i="13"/>
  <c r="AL15" i="13"/>
  <c r="AK15" i="13"/>
  <c r="AG15" i="13"/>
  <c r="AF15" i="13"/>
  <c r="AE15" i="13"/>
  <c r="AD15" i="13"/>
  <c r="AC15" i="13"/>
  <c r="AB15" i="13"/>
  <c r="AA15" i="13"/>
  <c r="Z15" i="13"/>
  <c r="X15" i="13"/>
  <c r="W15" i="13"/>
  <c r="V15" i="13"/>
  <c r="U15" i="13"/>
  <c r="T15" i="13"/>
  <c r="S15" i="13"/>
  <c r="I30" i="11"/>
  <c r="J30" i="11"/>
  <c r="L30" i="11"/>
  <c r="M30" i="11"/>
  <c r="I31" i="11"/>
  <c r="J31" i="11"/>
  <c r="L31" i="11"/>
  <c r="M31" i="11"/>
  <c r="I32" i="11"/>
  <c r="J32" i="11"/>
  <c r="L32" i="11"/>
  <c r="M32" i="11"/>
  <c r="M29" i="11"/>
  <c r="L29" i="11"/>
  <c r="J29" i="11"/>
  <c r="I29" i="11"/>
  <c r="I20" i="11"/>
  <c r="J20" i="11"/>
  <c r="K20" i="11"/>
  <c r="L20" i="11"/>
  <c r="M20" i="11"/>
  <c r="N20" i="11"/>
  <c r="I13" i="11"/>
  <c r="J13" i="11"/>
  <c r="K13" i="11"/>
  <c r="L13" i="11"/>
  <c r="M13" i="11"/>
  <c r="N13" i="11"/>
  <c r="I14" i="11"/>
  <c r="J14" i="11"/>
  <c r="K14" i="11"/>
  <c r="L14" i="11"/>
  <c r="M14" i="11"/>
  <c r="N14" i="11"/>
  <c r="I15" i="11"/>
  <c r="J15" i="11"/>
  <c r="K15" i="11"/>
  <c r="L15" i="11"/>
  <c r="M15" i="11"/>
  <c r="N15" i="11"/>
  <c r="I16" i="11"/>
  <c r="J16" i="11"/>
  <c r="K16" i="11"/>
  <c r="L16" i="11"/>
  <c r="M16" i="11"/>
  <c r="N16" i="11"/>
  <c r="I17" i="11"/>
  <c r="J17" i="11"/>
  <c r="K17" i="11"/>
  <c r="L17" i="11"/>
  <c r="M17" i="11"/>
  <c r="N17" i="11"/>
  <c r="I18" i="11"/>
  <c r="J18" i="11"/>
  <c r="K18" i="11"/>
  <c r="L18" i="11"/>
  <c r="M18" i="11"/>
  <c r="N18" i="11"/>
  <c r="I19" i="11"/>
  <c r="J19" i="11"/>
  <c r="K19" i="11"/>
  <c r="L19" i="11"/>
  <c r="M19" i="11"/>
  <c r="N19" i="11"/>
  <c r="N12" i="11"/>
  <c r="M12" i="11"/>
  <c r="L12" i="11"/>
  <c r="K12" i="11"/>
  <c r="J12" i="11"/>
  <c r="I12" i="11"/>
  <c r="I18" i="10"/>
  <c r="H18" i="10"/>
  <c r="I17" i="10"/>
  <c r="H17" i="10"/>
  <c r="I16" i="10"/>
  <c r="H16" i="10"/>
  <c r="I15" i="10"/>
  <c r="H15" i="10"/>
  <c r="I14" i="10"/>
  <c r="H14" i="10"/>
  <c r="I13" i="10"/>
  <c r="H13" i="10"/>
  <c r="N52" i="9"/>
  <c r="N51" i="9"/>
  <c r="K49" i="9"/>
  <c r="K33" i="9"/>
  <c r="K17" i="9"/>
  <c r="K48" i="9"/>
  <c r="K16" i="9"/>
  <c r="N16" i="9"/>
  <c r="L52" i="9"/>
  <c r="M52" i="9"/>
  <c r="L26" i="9"/>
  <c r="M26" i="9"/>
  <c r="L27" i="9"/>
  <c r="M27" i="9"/>
  <c r="L28" i="9"/>
  <c r="M28" i="9"/>
  <c r="L29" i="9"/>
  <c r="M29" i="9"/>
  <c r="L30" i="9"/>
  <c r="M30" i="9"/>
  <c r="L31" i="9"/>
  <c r="M31" i="9"/>
  <c r="L32" i="9"/>
  <c r="M32" i="9"/>
  <c r="L39" i="9"/>
  <c r="M39" i="9"/>
  <c r="L40" i="9"/>
  <c r="M40" i="9"/>
  <c r="L41" i="9"/>
  <c r="M41" i="9"/>
  <c r="L42" i="9"/>
  <c r="M42" i="9"/>
  <c r="L43" i="9"/>
  <c r="M43" i="9"/>
  <c r="L44" i="9"/>
  <c r="M44" i="9"/>
  <c r="L45" i="9"/>
  <c r="M45" i="9"/>
  <c r="L46" i="9"/>
  <c r="M46" i="9"/>
  <c r="L47" i="9"/>
  <c r="M47" i="9"/>
  <c r="L48" i="9"/>
  <c r="M48" i="9"/>
  <c r="L51" i="9"/>
  <c r="M51" i="9"/>
  <c r="L23" i="9"/>
  <c r="M23" i="9"/>
  <c r="L24" i="9"/>
  <c r="M24" i="9"/>
  <c r="L25" i="9"/>
  <c r="M25" i="9"/>
  <c r="M16" i="9"/>
  <c r="L16" i="9"/>
  <c r="N15" i="8"/>
  <c r="O15" i="8"/>
  <c r="Q15" i="8"/>
  <c r="R15" i="8"/>
  <c r="T15" i="8"/>
  <c r="N16" i="8"/>
  <c r="O16" i="8"/>
  <c r="Q16" i="8"/>
  <c r="R16" i="8"/>
  <c r="T16" i="8"/>
  <c r="N17" i="8"/>
  <c r="O17" i="8"/>
  <c r="Q17" i="8"/>
  <c r="R17" i="8"/>
  <c r="T17" i="8"/>
  <c r="N18" i="8"/>
  <c r="O18" i="8"/>
  <c r="Q18" i="8"/>
  <c r="R18" i="8"/>
  <c r="T18" i="8"/>
  <c r="N19" i="8"/>
  <c r="O19" i="8"/>
  <c r="Q19" i="8"/>
  <c r="R19" i="8"/>
  <c r="T19" i="8"/>
  <c r="N26" i="8"/>
  <c r="O26" i="8"/>
  <c r="Q26" i="8"/>
  <c r="R26" i="8"/>
  <c r="T26" i="8"/>
  <c r="N27" i="8"/>
  <c r="O27" i="8"/>
  <c r="Q27" i="8"/>
  <c r="R27" i="8"/>
  <c r="T27" i="8"/>
  <c r="N28" i="8"/>
  <c r="O28" i="8"/>
  <c r="Q28" i="8"/>
  <c r="R28" i="8"/>
  <c r="T28" i="8"/>
  <c r="N29" i="8"/>
  <c r="O29" i="8"/>
  <c r="Q29" i="8"/>
  <c r="R29" i="8"/>
  <c r="T29" i="8"/>
  <c r="N30" i="8"/>
  <c r="O30" i="8"/>
  <c r="Q30" i="8"/>
  <c r="R30" i="8"/>
  <c r="T30" i="8"/>
  <c r="N31" i="8"/>
  <c r="O31" i="8"/>
  <c r="Q31" i="8"/>
  <c r="R31" i="8"/>
  <c r="T31" i="8"/>
  <c r="N32" i="8"/>
  <c r="O32" i="8"/>
  <c r="Q32" i="8"/>
  <c r="R32" i="8"/>
  <c r="T32" i="8"/>
  <c r="N33" i="8"/>
  <c r="O33" i="8"/>
  <c r="Q33" i="8"/>
  <c r="R33" i="8"/>
  <c r="T33" i="8"/>
  <c r="N34" i="8"/>
  <c r="O34" i="8"/>
  <c r="Q34" i="8"/>
  <c r="R34" i="8"/>
  <c r="T34" i="8"/>
  <c r="N35" i="8"/>
  <c r="O35" i="8"/>
  <c r="Q35" i="8"/>
  <c r="R35" i="8"/>
  <c r="T35" i="8"/>
  <c r="N36" i="8"/>
  <c r="O36" i="8"/>
  <c r="Q36" i="8"/>
  <c r="R36" i="8"/>
  <c r="T36" i="8"/>
  <c r="N37" i="8"/>
  <c r="O37" i="8"/>
  <c r="Q37" i="8"/>
  <c r="R37" i="8"/>
  <c r="T37" i="8"/>
  <c r="N38" i="8"/>
  <c r="O38" i="8"/>
  <c r="Q38" i="8"/>
  <c r="R38" i="8"/>
  <c r="T38" i="8"/>
  <c r="N39" i="8"/>
  <c r="O39" i="8"/>
  <c r="Q39" i="8"/>
  <c r="R39" i="8"/>
  <c r="T39" i="8"/>
  <c r="N40" i="8"/>
  <c r="O40" i="8"/>
  <c r="Q40" i="8"/>
  <c r="R40" i="8"/>
  <c r="T40" i="8"/>
  <c r="N41" i="8"/>
  <c r="O41" i="8"/>
  <c r="Q41" i="8"/>
  <c r="R41" i="8"/>
  <c r="T41" i="8"/>
  <c r="N42" i="8"/>
  <c r="O42" i="8"/>
  <c r="Q42" i="8"/>
  <c r="R42" i="8"/>
  <c r="T42" i="8"/>
  <c r="N43" i="8"/>
  <c r="O43" i="8"/>
  <c r="Q43" i="8"/>
  <c r="R43" i="8"/>
  <c r="T43" i="8"/>
  <c r="T14" i="8"/>
  <c r="R14" i="8"/>
  <c r="Q14" i="8"/>
  <c r="O14" i="8"/>
  <c r="N14" i="8"/>
  <c r="L36" i="5" l="1"/>
  <c r="K36" i="5"/>
  <c r="J36" i="5"/>
  <c r="J32" i="5"/>
  <c r="K32" i="5"/>
  <c r="L32" i="5"/>
  <c r="K31" i="5"/>
  <c r="J14" i="5"/>
  <c r="K14" i="5"/>
  <c r="L14" i="5"/>
  <c r="J15" i="5"/>
  <c r="K15" i="5"/>
  <c r="L15" i="5"/>
  <c r="J16" i="5"/>
  <c r="K16" i="5"/>
  <c r="L16" i="5"/>
  <c r="J17" i="5"/>
  <c r="K17" i="5"/>
  <c r="L17" i="5"/>
  <c r="J18" i="5"/>
  <c r="K18" i="5"/>
  <c r="L18" i="5"/>
  <c r="J19" i="5"/>
  <c r="K19" i="5"/>
  <c r="L19" i="5"/>
  <c r="J20" i="5"/>
  <c r="K20" i="5"/>
  <c r="L20" i="5"/>
  <c r="J21" i="5"/>
  <c r="K21" i="5"/>
  <c r="L21" i="5"/>
  <c r="M21" i="5"/>
  <c r="N21" i="5"/>
  <c r="O21" i="5"/>
  <c r="N20" i="5"/>
  <c r="K13" i="5"/>
  <c r="L31" i="5"/>
  <c r="O20" i="5"/>
  <c r="L13" i="5"/>
  <c r="M20" i="5" l="1"/>
  <c r="J31" i="5"/>
  <c r="P13" i="5"/>
  <c r="F40" i="36" l="1"/>
  <c r="F39" i="36"/>
  <c r="F38" i="36"/>
  <c r="F37" i="36"/>
  <c r="F36" i="36"/>
  <c r="F35" i="36"/>
  <c r="F34" i="36"/>
  <c r="F33" i="36"/>
  <c r="F32" i="36"/>
  <c r="F31" i="36"/>
  <c r="F30" i="36"/>
  <c r="F29" i="36"/>
  <c r="F27" i="36"/>
  <c r="F26" i="36"/>
  <c r="F24" i="36"/>
  <c r="F23" i="36"/>
  <c r="F22" i="36"/>
  <c r="F21" i="36"/>
  <c r="F20" i="36"/>
  <c r="F19" i="36"/>
  <c r="F18" i="36"/>
  <c r="F17" i="36"/>
  <c r="F16" i="36"/>
  <c r="F15" i="36"/>
  <c r="F13" i="36"/>
  <c r="F12" i="36"/>
  <c r="D63" i="33"/>
  <c r="D62" i="33"/>
  <c r="D61" i="33"/>
  <c r="D60" i="33"/>
  <c r="D59" i="33"/>
  <c r="D58" i="33"/>
  <c r="D57" i="33"/>
  <c r="D56" i="33"/>
  <c r="D55" i="33"/>
  <c r="D54" i="33"/>
  <c r="D51" i="33"/>
  <c r="D50" i="33"/>
  <c r="D49" i="33"/>
  <c r="D48" i="33"/>
  <c r="D47" i="33"/>
  <c r="D46" i="33"/>
  <c r="D45" i="33"/>
  <c r="D44" i="33"/>
  <c r="D43" i="33"/>
  <c r="D42" i="33"/>
  <c r="G64" i="33"/>
  <c r="F64" i="33"/>
  <c r="G52" i="33"/>
  <c r="F52" i="33"/>
  <c r="F34" i="33"/>
  <c r="F33" i="33"/>
  <c r="F32" i="33"/>
  <c r="F31" i="33"/>
  <c r="F30" i="33"/>
  <c r="F29" i="33"/>
  <c r="F28" i="33"/>
  <c r="F27" i="33"/>
  <c r="F26" i="33"/>
  <c r="F25" i="33"/>
  <c r="F22" i="33"/>
  <c r="F21" i="33"/>
  <c r="F20" i="33"/>
  <c r="F19" i="33"/>
  <c r="F18" i="33"/>
  <c r="F17" i="33"/>
  <c r="F16" i="33"/>
  <c r="F15" i="33"/>
  <c r="F14" i="33"/>
  <c r="F13" i="33"/>
  <c r="F59" i="37"/>
  <c r="F50" i="37"/>
  <c r="F36" i="37"/>
  <c r="N59" i="33" l="1"/>
  <c r="Q59" i="33"/>
  <c r="Q60" i="33"/>
  <c r="N60" i="33"/>
  <c r="Q61" i="33"/>
  <c r="N61" i="33"/>
  <c r="Q62" i="33"/>
  <c r="N62" i="33"/>
  <c r="N55" i="33"/>
  <c r="Q55" i="33"/>
  <c r="N63" i="33"/>
  <c r="Q63" i="33"/>
  <c r="Q54" i="33"/>
  <c r="N54" i="33"/>
  <c r="Q56" i="33"/>
  <c r="N56" i="33"/>
  <c r="Q58" i="33"/>
  <c r="N58" i="33"/>
  <c r="Q57" i="33"/>
  <c r="N57" i="33"/>
  <c r="N49" i="33"/>
  <c r="Q49" i="33"/>
  <c r="Q48" i="33"/>
  <c r="N48" i="33"/>
  <c r="Q44" i="33"/>
  <c r="N44" i="33"/>
  <c r="Q50" i="33"/>
  <c r="N50" i="33"/>
  <c r="N45" i="33"/>
  <c r="Q45" i="33"/>
  <c r="N43" i="33"/>
  <c r="Q43" i="33"/>
  <c r="Q46" i="33"/>
  <c r="N46" i="33"/>
  <c r="Q42" i="33"/>
  <c r="N42" i="33"/>
  <c r="N51" i="33"/>
  <c r="Q51" i="33"/>
  <c r="N47" i="33"/>
  <c r="Q47" i="33"/>
  <c r="H50" i="37"/>
  <c r="J50" i="37"/>
  <c r="G65" i="33"/>
  <c r="F65" i="33"/>
  <c r="B1" i="47"/>
  <c r="F32" i="45" l="1"/>
  <c r="F18" i="45"/>
  <c r="D33" i="22" l="1"/>
  <c r="D34" i="41"/>
  <c r="D35" i="41"/>
  <c r="D36" i="41"/>
  <c r="D37" i="41"/>
  <c r="D38" i="41"/>
  <c r="D39" i="41"/>
  <c r="D40" i="41"/>
  <c r="D41" i="41"/>
  <c r="D33" i="41"/>
  <c r="D18" i="41"/>
  <c r="D19" i="41"/>
  <c r="D20" i="41"/>
  <c r="D21" i="41"/>
  <c r="D22" i="41"/>
  <c r="D23" i="41"/>
  <c r="D24" i="41"/>
  <c r="D25" i="41"/>
  <c r="D17" i="41"/>
  <c r="F28" i="22"/>
  <c r="F26" i="22"/>
  <c r="F24" i="22"/>
  <c r="F21" i="22"/>
  <c r="F18" i="22"/>
  <c r="F15" i="22"/>
  <c r="F47" i="22"/>
  <c r="D34" i="22" l="1"/>
  <c r="F38" i="45"/>
  <c r="D1" i="40"/>
  <c r="D1" i="45"/>
  <c r="D1" i="44"/>
  <c r="D1" i="43"/>
  <c r="D1" i="41"/>
  <c r="F13" i="5"/>
  <c r="F444" i="40"/>
  <c r="F427" i="40"/>
  <c r="F383" i="40"/>
  <c r="F382" i="40"/>
  <c r="F381" i="40"/>
  <c r="F380" i="40"/>
  <c r="F342" i="40"/>
  <c r="F297" i="40"/>
  <c r="L296" i="40"/>
  <c r="L295" i="40"/>
  <c r="L294" i="40"/>
  <c r="L293" i="40"/>
  <c r="D255" i="40"/>
  <c r="F246" i="40"/>
  <c r="F229" i="40"/>
  <c r="F185" i="40"/>
  <c r="F100" i="40"/>
  <c r="F55" i="40"/>
  <c r="L423" i="40" l="1"/>
  <c r="L338" i="40"/>
  <c r="L340" i="40"/>
  <c r="D299" i="40"/>
  <c r="D342" i="40"/>
  <c r="L424" i="40"/>
  <c r="L337" i="40"/>
  <c r="D385" i="40"/>
  <c r="L425" i="40"/>
  <c r="L339" i="40"/>
  <c r="L426" i="40"/>
  <c r="H34" i="5" l="1"/>
  <c r="G34" i="5"/>
  <c r="F14" i="5"/>
  <c r="F15" i="5"/>
  <c r="F16" i="5"/>
  <c r="F17" i="5"/>
  <c r="F18" i="5"/>
  <c r="F19" i="5"/>
  <c r="F20" i="5"/>
  <c r="F21" i="5"/>
  <c r="J35" i="33"/>
  <c r="I35" i="33"/>
  <c r="H35" i="33"/>
  <c r="G35" i="33"/>
  <c r="F35" i="33"/>
  <c r="J23" i="33"/>
  <c r="G23" i="33"/>
  <c r="H23" i="33"/>
  <c r="I23" i="33"/>
  <c r="F23" i="33"/>
  <c r="K21" i="13"/>
  <c r="L21" i="13"/>
  <c r="M21" i="13"/>
  <c r="G35" i="5" s="1"/>
  <c r="N21" i="13"/>
  <c r="H35" i="5" s="1"/>
  <c r="J21" i="13"/>
  <c r="I21" i="13"/>
  <c r="H21" i="13"/>
  <c r="G21" i="13"/>
  <c r="F21" i="13"/>
  <c r="G36" i="33" l="1"/>
  <c r="G71" i="33" s="1"/>
  <c r="D69" i="33" s="1"/>
  <c r="H36" i="33"/>
  <c r="I36" i="33"/>
  <c r="J36" i="33"/>
  <c r="F36" i="33"/>
  <c r="F15" i="16" l="1"/>
  <c r="F24" i="16" s="1"/>
  <c r="D1" i="38" l="1"/>
  <c r="F46" i="37" l="1"/>
  <c r="F34" i="37"/>
  <c r="F13" i="37" l="1"/>
  <c r="D1" i="37"/>
  <c r="F28" i="18"/>
  <c r="F27" i="18"/>
  <c r="F26" i="18"/>
  <c r="F24" i="18"/>
  <c r="F23" i="18"/>
  <c r="F22" i="18"/>
  <c r="F20" i="18"/>
  <c r="F19" i="18"/>
  <c r="F18" i="18"/>
  <c r="F16" i="18"/>
  <c r="F15" i="18"/>
  <c r="F14" i="18"/>
  <c r="F12" i="18"/>
  <c r="D1" i="36"/>
  <c r="F23" i="37" l="1"/>
  <c r="F48" i="37" s="1"/>
  <c r="F29" i="18"/>
  <c r="F53" i="37" l="1"/>
  <c r="H48" i="37"/>
  <c r="J48" i="37"/>
  <c r="H53" i="37" l="1"/>
  <c r="J53" i="37"/>
  <c r="F36" i="5"/>
  <c r="F32" i="5"/>
  <c r="F31" i="5"/>
  <c r="F34" i="5"/>
  <c r="H37" i="5" l="1"/>
  <c r="F35" i="5"/>
  <c r="D1" i="34" l="1"/>
  <c r="D1" i="33"/>
  <c r="H22" i="5"/>
  <c r="N22" i="5" l="1"/>
  <c r="O22" i="5"/>
  <c r="M22" i="5"/>
  <c r="F33" i="5"/>
  <c r="F37" i="5" s="1"/>
  <c r="F45" i="5" l="1"/>
  <c r="D41" i="5" s="1"/>
  <c r="G37" i="5"/>
  <c r="L37" i="5" l="1"/>
  <c r="J37" i="5"/>
  <c r="K37" i="5"/>
  <c r="C50" i="31"/>
  <c r="C125" i="31"/>
  <c r="C103" i="31" s="1"/>
  <c r="C124" i="31"/>
  <c r="C123" i="31"/>
  <c r="C122" i="31"/>
  <c r="C121" i="31"/>
  <c r="C120" i="31"/>
  <c r="C119" i="31"/>
  <c r="C113" i="31"/>
  <c r="C104" i="31"/>
  <c r="C98" i="31"/>
  <c r="C100" i="31" s="1"/>
  <c r="C101" i="31" s="1"/>
  <c r="C97" i="31"/>
  <c r="C94" i="31"/>
  <c r="C93" i="31"/>
  <c r="C92" i="31"/>
  <c r="C90" i="31"/>
  <c r="C91" i="31" s="1"/>
  <c r="C89" i="31"/>
  <c r="C74" i="31"/>
  <c r="C73" i="31"/>
  <c r="C72" i="31"/>
  <c r="C70" i="31"/>
  <c r="C69" i="31"/>
  <c r="C68" i="31"/>
  <c r="C63" i="31"/>
  <c r="C56" i="31"/>
  <c r="C80" i="31" s="1"/>
  <c r="C55" i="31"/>
  <c r="C59" i="31" s="1"/>
  <c r="C53" i="31"/>
  <c r="C37" i="31"/>
  <c r="C36" i="31"/>
  <c r="C34" i="31"/>
  <c r="C30" i="31"/>
  <c r="C28" i="31"/>
  <c r="C26" i="31"/>
  <c r="C23" i="31"/>
  <c r="C29" i="31" s="1"/>
  <c r="C21" i="31"/>
  <c r="C20" i="31"/>
  <c r="C19" i="31"/>
  <c r="C16" i="31"/>
  <c r="C15" i="31"/>
  <c r="C14" i="31"/>
  <c r="C13" i="31"/>
  <c r="C12" i="31"/>
  <c r="C10" i="31"/>
  <c r="C9" i="31"/>
  <c r="H37" i="30"/>
  <c r="D27" i="30"/>
  <c r="D24" i="30"/>
  <c r="D23" i="30"/>
  <c r="G212" i="29"/>
  <c r="F212" i="29"/>
  <c r="E212" i="29"/>
  <c r="D212" i="29"/>
  <c r="M207" i="29"/>
  <c r="L207" i="29"/>
  <c r="K207" i="29"/>
  <c r="J207" i="29"/>
  <c r="I207" i="29"/>
  <c r="H207" i="29"/>
  <c r="G207" i="29"/>
  <c r="F207" i="29"/>
  <c r="E207" i="29"/>
  <c r="D207" i="29"/>
  <c r="F11" i="24"/>
  <c r="D1" i="24"/>
  <c r="D1" i="22"/>
  <c r="F43" i="21"/>
  <c r="F25" i="21"/>
  <c r="D1" i="21"/>
  <c r="D1" i="18"/>
  <c r="D1" i="16"/>
  <c r="D1" i="13"/>
  <c r="D1" i="11"/>
  <c r="D1" i="10"/>
  <c r="D1" i="9"/>
  <c r="D1" i="8"/>
  <c r="C1" i="7"/>
  <c r="D1" i="6"/>
  <c r="G22" i="5"/>
  <c r="D1" i="5"/>
  <c r="V17" i="4"/>
  <c r="F3" i="4"/>
  <c r="F2" i="4"/>
  <c r="B3" i="3"/>
  <c r="B2" i="3"/>
  <c r="C39" i="31"/>
  <c r="C38" i="31"/>
  <c r="U40" i="8" l="1"/>
  <c r="S40" i="8"/>
  <c r="W40" i="8"/>
  <c r="P40" i="8"/>
  <c r="S41" i="8"/>
  <c r="U41" i="8"/>
  <c r="W41" i="8"/>
  <c r="P41" i="8"/>
  <c r="P42" i="8"/>
  <c r="S42" i="8"/>
  <c r="U42" i="8"/>
  <c r="W42" i="8"/>
  <c r="S33" i="8"/>
  <c r="U33" i="8"/>
  <c r="W33" i="8"/>
  <c r="P33" i="8"/>
  <c r="U35" i="8"/>
  <c r="P35" i="8"/>
  <c r="S35" i="8"/>
  <c r="W35" i="8"/>
  <c r="P43" i="8"/>
  <c r="S43" i="8"/>
  <c r="U43" i="8"/>
  <c r="W43" i="8"/>
  <c r="P32" i="8"/>
  <c r="S32" i="8"/>
  <c r="W32" i="8"/>
  <c r="U32" i="8"/>
  <c r="P26" i="8"/>
  <c r="S26" i="8"/>
  <c r="W26" i="8"/>
  <c r="U26" i="8"/>
  <c r="W28" i="8"/>
  <c r="P28" i="8"/>
  <c r="S28" i="8"/>
  <c r="U28" i="8"/>
  <c r="W36" i="8"/>
  <c r="P36" i="8"/>
  <c r="S36" i="8"/>
  <c r="U36" i="8"/>
  <c r="U37" i="8"/>
  <c r="S37" i="8"/>
  <c r="W37" i="8"/>
  <c r="P37" i="8"/>
  <c r="S18" i="8"/>
  <c r="P18" i="8"/>
  <c r="W18" i="8"/>
  <c r="U18" i="8"/>
  <c r="P34" i="8"/>
  <c r="S34" i="8"/>
  <c r="U34" i="8"/>
  <c r="W34" i="8"/>
  <c r="W14" i="8"/>
  <c r="U14" i="8"/>
  <c r="S14" i="8"/>
  <c r="P14" i="8"/>
  <c r="U16" i="8"/>
  <c r="W16" i="8"/>
  <c r="P16" i="8"/>
  <c r="S16" i="8"/>
  <c r="U38" i="8"/>
  <c r="W38" i="8"/>
  <c r="P38" i="8"/>
  <c r="S38" i="8"/>
  <c r="S19" i="8"/>
  <c r="U19" i="8"/>
  <c r="W19" i="8"/>
  <c r="P19" i="8"/>
  <c r="U27" i="8"/>
  <c r="P27" i="8"/>
  <c r="S27" i="8"/>
  <c r="W27" i="8"/>
  <c r="U15" i="8"/>
  <c r="W15" i="8"/>
  <c r="P15" i="8"/>
  <c r="S15" i="8"/>
  <c r="U29" i="8"/>
  <c r="W29" i="8"/>
  <c r="S29" i="8"/>
  <c r="P29" i="8"/>
  <c r="U30" i="8"/>
  <c r="W30" i="8"/>
  <c r="P30" i="8"/>
  <c r="S30" i="8"/>
  <c r="S17" i="8"/>
  <c r="U17" i="8"/>
  <c r="W17" i="8"/>
  <c r="P17" i="8"/>
  <c r="S31" i="8"/>
  <c r="U31" i="8"/>
  <c r="P31" i="8"/>
  <c r="W31" i="8"/>
  <c r="S39" i="8"/>
  <c r="W39" i="8"/>
  <c r="U39" i="8"/>
  <c r="P39" i="8"/>
  <c r="K22" i="5"/>
  <c r="L22" i="5"/>
  <c r="J22" i="5"/>
  <c r="F22" i="5"/>
  <c r="B3" i="47"/>
  <c r="B2" i="47"/>
  <c r="D2" i="45"/>
  <c r="D2" i="40"/>
  <c r="D3" i="45"/>
  <c r="D3" i="40"/>
  <c r="D3" i="43"/>
  <c r="D3" i="44"/>
  <c r="D2" i="43"/>
  <c r="D2" i="44"/>
  <c r="C102" i="31"/>
  <c r="D2" i="41"/>
  <c r="D3" i="41"/>
  <c r="D2" i="37"/>
  <c r="D2" i="38"/>
  <c r="D3" i="37"/>
  <c r="D3" i="38"/>
  <c r="D2" i="36"/>
  <c r="D3" i="36"/>
  <c r="G11" i="24"/>
  <c r="H11" i="24" s="1"/>
  <c r="I11" i="24" s="1"/>
  <c r="J11" i="24" s="1"/>
  <c r="K11" i="24" s="1"/>
  <c r="L11" i="24" s="1"/>
  <c r="M11" i="24" s="1"/>
  <c r="N11" i="24" s="1"/>
  <c r="O11" i="24" s="1"/>
  <c r="P11" i="24" s="1"/>
  <c r="Q11" i="24" s="1"/>
  <c r="R11" i="24" s="1"/>
  <c r="S11" i="24" s="1"/>
  <c r="T11" i="24" s="1"/>
  <c r="U11" i="24" s="1"/>
  <c r="V11" i="24" s="1"/>
  <c r="W11" i="24" s="1"/>
  <c r="X11" i="24" s="1"/>
  <c r="Y11" i="24" s="1"/>
  <c r="Z11" i="24" s="1"/>
  <c r="AA11" i="24" s="1"/>
  <c r="AB11" i="24" s="1"/>
  <c r="AC11" i="24" s="1"/>
  <c r="AD11" i="24" s="1"/>
  <c r="AE11" i="24" s="1"/>
  <c r="AF11" i="24" s="1"/>
  <c r="AG11" i="24" s="1"/>
  <c r="AH11" i="24" s="1"/>
  <c r="AI11" i="24" s="1"/>
  <c r="D3" i="33"/>
  <c r="D3" i="34"/>
  <c r="C75" i="31"/>
  <c r="C106" i="31" s="1"/>
  <c r="C107" i="31" s="1"/>
  <c r="D2" i="33"/>
  <c r="D2" i="34"/>
  <c r="C60" i="31"/>
  <c r="C64" i="31"/>
  <c r="C99" i="31"/>
  <c r="C65" i="31"/>
  <c r="C54" i="31"/>
  <c r="C58" i="31" s="1"/>
  <c r="C86" i="31"/>
  <c r="D3" i="9"/>
  <c r="D3" i="13"/>
  <c r="C42" i="31"/>
  <c r="C41" i="31"/>
  <c r="C40" i="31"/>
  <c r="C2" i="7"/>
  <c r="C3" i="7"/>
  <c r="D3" i="5"/>
  <c r="D2" i="18"/>
  <c r="D3" i="22"/>
  <c r="C79" i="31"/>
  <c r="D2" i="5"/>
  <c r="D2" i="8"/>
  <c r="D2" i="16"/>
  <c r="D3" i="18"/>
  <c r="D2" i="21"/>
  <c r="C57" i="31"/>
  <c r="C22" i="31" s="1"/>
  <c r="D2" i="6"/>
  <c r="D2" i="22"/>
  <c r="D3" i="8"/>
  <c r="D3" i="16"/>
  <c r="D3" i="21"/>
  <c r="D2" i="24"/>
  <c r="C82" i="31"/>
  <c r="D2" i="10"/>
  <c r="D2" i="11"/>
  <c r="D3" i="24"/>
  <c r="C83" i="31"/>
  <c r="D3" i="6"/>
  <c r="D3" i="10"/>
  <c r="D3" i="11"/>
  <c r="D2" i="9"/>
  <c r="D2" i="13"/>
  <c r="E58" i="30"/>
  <c r="E62" i="30"/>
  <c r="I39" i="30"/>
  <c r="E67" i="30"/>
  <c r="I47" i="30"/>
  <c r="I37" i="30"/>
  <c r="E70" i="30"/>
  <c r="C43" i="31"/>
  <c r="C46" i="31"/>
  <c r="E61" i="30"/>
  <c r="I45" i="30"/>
  <c r="E69" i="30"/>
  <c r="I48" i="30"/>
  <c r="I49" i="30"/>
  <c r="E60" i="30"/>
  <c r="E56" i="30"/>
  <c r="I46" i="30"/>
  <c r="I51" i="30"/>
  <c r="E63" i="30"/>
  <c r="E71" i="30"/>
  <c r="E68" i="30"/>
  <c r="E59" i="30"/>
  <c r="I43" i="30"/>
  <c r="E64" i="30"/>
  <c r="E65" i="30"/>
  <c r="I52" i="30"/>
  <c r="I38" i="30"/>
  <c r="I50" i="30"/>
  <c r="I44" i="30"/>
  <c r="E57" i="30"/>
  <c r="E51" i="30"/>
  <c r="I40" i="30"/>
  <c r="E66" i="30"/>
  <c r="I41" i="30"/>
  <c r="I42" i="30"/>
  <c r="C49" i="31"/>
  <c r="C44" i="31"/>
  <c r="C32" i="31" l="1"/>
  <c r="C76" i="31"/>
  <c r="C31" i="31"/>
  <c r="E195" i="29"/>
  <c r="E47" i="30"/>
  <c r="G48" i="30"/>
  <c r="G43" i="30"/>
  <c r="C48" i="31"/>
  <c r="G42" i="30"/>
  <c r="E41" i="30"/>
  <c r="G49" i="30"/>
  <c r="E50" i="30"/>
  <c r="E39" i="30"/>
  <c r="E52" i="30"/>
  <c r="G41" i="30"/>
  <c r="G40" i="30"/>
  <c r="G39" i="30"/>
  <c r="E49" i="30"/>
  <c r="E40" i="30"/>
  <c r="E37" i="30"/>
  <c r="E43" i="30"/>
  <c r="G37" i="30"/>
  <c r="G52" i="30"/>
  <c r="G47" i="30"/>
  <c r="G44" i="30"/>
  <c r="G50" i="30"/>
  <c r="C45" i="31"/>
  <c r="G38" i="30"/>
  <c r="E46" i="30"/>
  <c r="G45" i="30"/>
  <c r="E48" i="30"/>
  <c r="E38" i="30"/>
  <c r="E44" i="30"/>
  <c r="G51" i="30"/>
  <c r="G46" i="30"/>
  <c r="C47" i="31"/>
  <c r="E42" i="30"/>
  <c r="E45" i="30"/>
  <c r="C52" i="31" l="1"/>
  <c r="C116" i="31"/>
  <c r="C51"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37" authorId="0" shapeId="0" xr:uid="{60564C85-55D2-4966-9D65-6F65281A3E29}">
      <text>
        <r>
          <rPr>
            <b/>
            <sz val="9"/>
            <color rgb="FF000000"/>
            <rFont val="Tahoma"/>
            <family val="2"/>
          </rPr>
          <t>Author:</t>
        </r>
        <r>
          <rPr>
            <sz val="9"/>
            <color rgb="FF000000"/>
            <rFont val="Tahoma"/>
            <family val="2"/>
          </rPr>
          <t xml:space="preserve">
This is populated from FRCP_y1 which is selected by the business on the cover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<sst xmlns="http://schemas.openxmlformats.org/spreadsheetml/2006/main" count="5725" uniqueCount="1899">
  <si>
    <t>INSTRUCTIONS</t>
  </si>
  <si>
    <t>CONTENTS</t>
  </si>
  <si>
    <t>TEMPLATE DATE</t>
  </si>
  <si>
    <t>Business &amp; other details</t>
  </si>
  <si>
    <t>2.1 Expenditure summary</t>
  </si>
  <si>
    <t>2.2 Repex</t>
  </si>
  <si>
    <t>2.5 Connections</t>
  </si>
  <si>
    <t>2.6 Non-network</t>
  </si>
  <si>
    <t>2.7 Vegetation management</t>
  </si>
  <si>
    <t>2.8 Maintenance</t>
  </si>
  <si>
    <t>2.10 Overheads</t>
  </si>
  <si>
    <t>3.1 Revenue</t>
  </si>
  <si>
    <t>3.2.3 Provisions</t>
  </si>
  <si>
    <t>3.5 Physical assets</t>
  </si>
  <si>
    <t>3.6 Quality of services</t>
  </si>
  <si>
    <t>5.2 Asset Age Profile</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</si>
  <si>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</si>
  <si>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</si>
  <si>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</si>
  <si>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</si>
  <si>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</si>
  <si>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</si>
  <si>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Australian Transmission Co.</t>
  </si>
  <si>
    <t>ACN/ABN</t>
  </si>
  <si>
    <t>Business Address</t>
  </si>
  <si>
    <t>Postal Address</t>
  </si>
  <si>
    <t>Address 1</t>
  </si>
  <si>
    <t>Address 2</t>
  </si>
  <si>
    <t>Suburb</t>
  </si>
  <si>
    <t>State</t>
  </si>
  <si>
    <t>Post code</t>
  </si>
  <si>
    <t>`</t>
  </si>
  <si>
    <t>Contact Names</t>
  </si>
  <si>
    <t>Name</t>
  </si>
  <si>
    <t>Phone</t>
  </si>
  <si>
    <t>Email</t>
  </si>
  <si>
    <t>2020-21</t>
  </si>
  <si>
    <t>2022-23</t>
  </si>
  <si>
    <t>SUBMISSION DETAILS</t>
  </si>
  <si>
    <t>Source</t>
  </si>
  <si>
    <t>Reporting</t>
  </si>
  <si>
    <t>THIS FILE</t>
  </si>
  <si>
    <t>Data Quality</t>
  </si>
  <si>
    <t>Consolidated</t>
  </si>
  <si>
    <t>Confidentiality Status</t>
  </si>
  <si>
    <t>Public</t>
  </si>
  <si>
    <t>.</t>
  </si>
  <si>
    <t>Submission Date</t>
  </si>
  <si>
    <t>dd/mm/yy</t>
  </si>
  <si>
    <t>Connections</t>
  </si>
  <si>
    <t>Non-network</t>
  </si>
  <si>
    <t>Capitalised network overheads</t>
  </si>
  <si>
    <t>Capitalised corporate overheads</t>
  </si>
  <si>
    <t xml:space="preserve">2.1.2 - PRESCRIBED TRANSMISSION SERVICE OPEX </t>
  </si>
  <si>
    <t>Vegetation management</t>
  </si>
  <si>
    <t>Maintenance</t>
  </si>
  <si>
    <t>Network overheads</t>
  </si>
  <si>
    <t>Corporate overheads</t>
  </si>
  <si>
    <t>2.2.1 - REPLACEMENT EXPENDITURE, VOLUMES AND ASSET FAILURES BY ASSET CATEGORY</t>
  </si>
  <si>
    <t>Other</t>
  </si>
  <si>
    <t>Comments</t>
  </si>
  <si>
    <t/>
  </si>
  <si>
    <t>2.5.2 - DESCRIPTION OF CONNECTION PROJECTS</t>
  </si>
  <si>
    <t>2.6.1 - NON-NETWORK EXPENDITURE</t>
  </si>
  <si>
    <t>MOTOR VEHICLES</t>
  </si>
  <si>
    <t>BUILDINGS AND PROPERTY</t>
  </si>
  <si>
    <t>OTHER</t>
  </si>
  <si>
    <t>km</t>
  </si>
  <si>
    <t>number</t>
  </si>
  <si>
    <t>(per cent)</t>
  </si>
  <si>
    <t>Route line length within zone</t>
  </si>
  <si>
    <t>Number of maintenance spans</t>
  </si>
  <si>
    <t>Total length of maintenance spans</t>
  </si>
  <si>
    <t>Average number of trees per maintenance span</t>
  </si>
  <si>
    <t>Length of vegetation corridors</t>
  </si>
  <si>
    <t>metres</t>
  </si>
  <si>
    <t>Average frequency of cutting cycle</t>
  </si>
  <si>
    <t>years</t>
  </si>
  <si>
    <t>2.8.1 - DESCRIPTOR METRICS FOR ROUTINE AND NON-ROUTINE MAINTENANCE</t>
  </si>
  <si>
    <t>Transmission towers</t>
  </si>
  <si>
    <t>Transmission tower support structures</t>
  </si>
  <si>
    <t>Conductors</t>
  </si>
  <si>
    <t>Transmission cables</t>
  </si>
  <si>
    <t>Substation power transformers</t>
  </si>
  <si>
    <t>EBSS</t>
  </si>
  <si>
    <t>STPIS</t>
  </si>
  <si>
    <t>Total revenue of incentive schemes</t>
  </si>
  <si>
    <t>3.2.3 - PROVISIONS</t>
  </si>
  <si>
    <t>$</t>
  </si>
  <si>
    <t>&lt;Provision name&gt;</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</si>
  <si>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</si>
  <si>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</si>
  <si>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</si>
  <si>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</si>
  <si>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</si>
  <si>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</si>
  <si>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</si>
  <si>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</si>
  <si>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Opening value</t>
  </si>
  <si>
    <t>Inflation addition</t>
  </si>
  <si>
    <t xml:space="preserve">Disposals </t>
  </si>
  <si>
    <t xml:space="preserve">Closing value </t>
  </si>
  <si>
    <t>132 kV</t>
  </si>
  <si>
    <t>66 kV</t>
  </si>
  <si>
    <t>33 kV</t>
  </si>
  <si>
    <t>22 kV</t>
  </si>
  <si>
    <t>11 kV</t>
  </si>
  <si>
    <t>MVA</t>
  </si>
  <si>
    <t xml:space="preserve">3.5.1 - TRANSMISSION SYSTEM CAPACITIES </t>
  </si>
  <si>
    <t>500 kV</t>
  </si>
  <si>
    <t>330 kV</t>
  </si>
  <si>
    <t>275 kV</t>
  </si>
  <si>
    <t>220 kV</t>
  </si>
  <si>
    <t>110 kV</t>
  </si>
  <si>
    <t>88 kV</t>
  </si>
  <si>
    <t>%</t>
  </si>
  <si>
    <t>minutes</t>
  </si>
  <si>
    <t>3.6.2 - MARKET IMPACT COMPONENT</t>
  </si>
  <si>
    <t>3.6.3 - SYSTEM LOSSES</t>
  </si>
  <si>
    <t>System losses</t>
  </si>
  <si>
    <t>Number of spans</t>
  </si>
  <si>
    <t>Years</t>
  </si>
  <si>
    <t>Trees</t>
  </si>
  <si>
    <t>Defects</t>
  </si>
  <si>
    <t>This sheet may be used to identify amendments made to data resubmitted to the AER. It may also be used to provide additional information not captured in this workbook.</t>
  </si>
  <si>
    <t>NSP data amendments</t>
  </si>
  <si>
    <t>Worksheet</t>
  </si>
  <si>
    <t>Table</t>
  </si>
  <si>
    <t>AER CONDITIONAL FORMATTING</t>
  </si>
  <si>
    <t>CONDITIONAL FORMATTING MAP</t>
  </si>
  <si>
    <t>=INDEX(dms_CF_3.6.1, MATCH(dms_TradingName,dms_CF_TradingName))="Y"</t>
  </si>
  <si>
    <t>=INDEX(dms_CF_3.6.5, MATCH(dms_TradingName,dms_CF_TradingName))="Y"</t>
  </si>
  <si>
    <t>=INDEX(dms_CF_3.6.6, MATCH(dms_TradingName,dms_CF_TradingName))="Y"</t>
  </si>
  <si>
    <t>=INDEX(dms_CF_3.6.7.1, MATCH(dms_TradingName,dms_CF_TradingName))="Y"</t>
  </si>
  <si>
    <t>=INDEX(dms_CF_3.6.7.2, MATCH(dms_TradingName,dms_CF_TradingName))="Y"</t>
  </si>
  <si>
    <t>=INDEX(dms_CF_3.6.7.3, MATCH(dms_TradingName,dms_CF_TradingName))="Y"</t>
  </si>
  <si>
    <t>=INDEX(dms_CF_3.6.7.4, MATCH(dms_TradingName,dms_CF_TradingName))="Y"</t>
  </si>
  <si>
    <t>=INDEX(dms_CF_3.6.8, MATCH(dms_TradingName,dms_CF_TradingName))="Y"</t>
  </si>
  <si>
    <t>=INDEX(dms_CF_4.1, MATCH(dms_TradingName,dms_CF_TradingName))="Y"</t>
  </si>
  <si>
    <t>=INDEX(dms_CF_6.6.1, MATCH(dms_TradingName,dms_CF_TradingName))="Y"</t>
  </si>
  <si>
    <t>=INDEX(dms_CF_6.8, MATCH(dms_TradingName,dms_CF_TradingName))="Y"</t>
  </si>
  <si>
    <t>=INDEX(dms_CF_7.12, MATCH(dms_TradingName,dms_CF_TradingName))="Y"</t>
  </si>
  <si>
    <t>=INDEX(dms_CF_8.1_A, MATCH(dms_TradingName,dms_CF_TradingName))="Y"</t>
  </si>
  <si>
    <t>=INDEX(dms_CF_8.1_B, MATCH(dms_TradingName,dms_CF_TradingName))="Y"</t>
  </si>
  <si>
    <t>=INDEX(dms_CF_8.1_Neg, MATCH(dms_TradingName,dms_CF_TradingName))="Y"</t>
  </si>
  <si>
    <t>=INDEX(dms_CF_4.4.1_Neg, MATCH(dms_TradingName,dms_CF_TradingName))="Y"</t>
  </si>
  <si>
    <t>dms_CF_TradingName</t>
  </si>
  <si>
    <t>JurisdictionList</t>
  </si>
  <si>
    <t>Sector</t>
  </si>
  <si>
    <t>Segment</t>
  </si>
  <si>
    <t>dms_CF_3.6.1</t>
  </si>
  <si>
    <t>dms_CF_3.6.5</t>
  </si>
  <si>
    <t>dms_CF_3.6.6</t>
  </si>
  <si>
    <t>dms_CF_3.6.7.1</t>
  </si>
  <si>
    <t>dms_CF_3.6.7.2</t>
  </si>
  <si>
    <t>dms_CF_3.6.7.3</t>
  </si>
  <si>
    <t>dms_CF_3.6.7.4</t>
  </si>
  <si>
    <t>dms_CF_3.6.8</t>
  </si>
  <si>
    <t>dms_CF_4.1</t>
  </si>
  <si>
    <t>dms_CF_6.6.1</t>
  </si>
  <si>
    <t>dms_CF_6.8</t>
  </si>
  <si>
    <t>dms_CF_7.12</t>
  </si>
  <si>
    <t>dms_CF_8.1_A</t>
  </si>
  <si>
    <t>dms_CF_8.1_B</t>
  </si>
  <si>
    <t>dms_CF_8.1_Neg</t>
  </si>
  <si>
    <t>dms_CF_4.4.1</t>
  </si>
  <si>
    <t>dms_CF_MAIFI_flag</t>
  </si>
  <si>
    <t>Spare1</t>
  </si>
  <si>
    <t>Spare2</t>
  </si>
  <si>
    <t>ActewAGL Distribution</t>
  </si>
  <si>
    <t>ACT</t>
  </si>
  <si>
    <t>Electricity</t>
  </si>
  <si>
    <t>Distribution</t>
  </si>
  <si>
    <t>Y</t>
  </si>
  <si>
    <t>N</t>
  </si>
  <si>
    <t>Ausgrid</t>
  </si>
  <si>
    <t>NSW</t>
  </si>
  <si>
    <t>AusNet (D)</t>
  </si>
  <si>
    <t>Vic</t>
  </si>
  <si>
    <t>AusNet (T)</t>
  </si>
  <si>
    <t>Transmission</t>
  </si>
  <si>
    <t>CitiPower</t>
  </si>
  <si>
    <t>Directlink</t>
  </si>
  <si>
    <t>Qld</t>
  </si>
  <si>
    <t>ElectraNet</t>
  </si>
  <si>
    <t>SA</t>
  </si>
  <si>
    <t>Endeavour Energy</t>
  </si>
  <si>
    <t>Energex</t>
  </si>
  <si>
    <t>Ergon Energy</t>
  </si>
  <si>
    <t>Essential Energy</t>
  </si>
  <si>
    <t>Jemena Electricity</t>
  </si>
  <si>
    <t>Murraylink</t>
  </si>
  <si>
    <t>Power and Water</t>
  </si>
  <si>
    <t>NT</t>
  </si>
  <si>
    <t>Powercor Australia</t>
  </si>
  <si>
    <t>Powerlink</t>
  </si>
  <si>
    <t>SA Power Networks</t>
  </si>
  <si>
    <t>TasNetworks (D)</t>
  </si>
  <si>
    <t>Tas</t>
  </si>
  <si>
    <t>TasNetworks (T)</t>
  </si>
  <si>
    <t>TransGrid</t>
  </si>
  <si>
    <t>United Energy</t>
  </si>
  <si>
    <t>Confidential</t>
  </si>
  <si>
    <t>Amended</t>
  </si>
  <si>
    <t>Worksheet 6.2 STPIS reliability</t>
  </si>
  <si>
    <t>Formula</t>
  </si>
  <si>
    <t>Applied to:</t>
  </si>
  <si>
    <t>=INDEX(dms_CBD_flag,MATCH(dms_TradingName,dms_TradingName_List))="NO"</t>
  </si>
  <si>
    <t>$D$11,$D$17,$D$23,$D$33,$D$39,$D$45,$D$55,$D$61,$D$67,$D$77,$D$83,$D$89</t>
  </si>
  <si>
    <t>=INDEX(dms_Urban_flag,MATCH(dms_TradingName,dms_TradingName_List))="NO"</t>
  </si>
  <si>
    <t>$D$12,$D$18,$D$24,$D$56,$D$62,$D$78,$D$68,$D$84</t>
  </si>
  <si>
    <t>=INDEX(dms_ShortRural_flag,MATCH(dms_TradingName,dms_TradingName_List))="NO"</t>
  </si>
  <si>
    <t>$D$13,$D$19,$D$25,$D$57,$D$63,$D$69,$D$79,$D$85</t>
  </si>
  <si>
    <t>=INDEX(dms_LongRural_flag,MATCH(dms_TradingName,dms_TradingName_List))="NO"</t>
  </si>
  <si>
    <t>$D$14,$D$20,$D$26,$D$58,$D$64,$D$65,$D$70,$D$71,$D$80,$D$86</t>
  </si>
  <si>
    <t>=INDEX(dms_FeederType_5_flag,MATCH(dms_TradingName,dms_TradingName_List))="NO"</t>
  </si>
  <si>
    <t>$D$87,$D$81,$D$71,$D$65,$D$59,$D$49,$D$43,$D$37,$D$21,$D$15</t>
  </si>
  <si>
    <t>=dms_MAIFI_Flag="No"</t>
  </si>
  <si>
    <t>$D$55:$D$72</t>
  </si>
  <si>
    <t>=(INDEX(dms_Model_Span,MATCH(dms_Model,dms_Model_List))&gt;1)</t>
  </si>
  <si>
    <t>=(INDEX(dms_Model_Span,MATCH(dms_Model,dms_Model_List))=1)</t>
  </si>
  <si>
    <t>STYLES IN USE</t>
  </si>
  <si>
    <t>dms_1</t>
  </si>
  <si>
    <t>dms_2</t>
  </si>
  <si>
    <t>dms_3</t>
  </si>
  <si>
    <t>dms_4</t>
  </si>
  <si>
    <t>dms_5</t>
  </si>
  <si>
    <t>dms_NUM</t>
  </si>
  <si>
    <t>dms_NUM%</t>
  </si>
  <si>
    <t>dms_Row_Locked</t>
  </si>
  <si>
    <t>dms_Row1</t>
  </si>
  <si>
    <t>dms_Row2</t>
  </si>
  <si>
    <t>dms_T1</t>
  </si>
  <si>
    <t>dms_T2</t>
  </si>
  <si>
    <t>dms_BH</t>
  </si>
  <si>
    <t>dms_BY1</t>
  </si>
  <si>
    <t>dms_BY2</t>
  </si>
  <si>
    <t>dms_GH</t>
  </si>
  <si>
    <t>dms_GY1</t>
  </si>
  <si>
    <t>dms_GY2</t>
  </si>
  <si>
    <t>AER NAMED RANGES</t>
  </si>
  <si>
    <t>DROP DOWN SELECTORS USED IN WORKBOOKS</t>
  </si>
  <si>
    <t>COVER SHEET</t>
  </si>
  <si>
    <t>dms_DataQuality_List</t>
  </si>
  <si>
    <t>dms_Confid_status_List</t>
  </si>
  <si>
    <t>-- select --</t>
  </si>
  <si>
    <t>Actual</t>
  </si>
  <si>
    <t>Estimate</t>
  </si>
  <si>
    <t>For all files either AER or business needs to be able to specify the type of submission</t>
  </si>
  <si>
    <t>For PTRM &amp; RFM templates we must provide a choice in case they change their form of control - otherwise it is drawn from the business specific lookup table above.</t>
  </si>
  <si>
    <t>dms_SourceList</t>
  </si>
  <si>
    <t>dms_FormControl_Choices</t>
  </si>
  <si>
    <t>Revenue cap</t>
  </si>
  <si>
    <t>After appeal</t>
  </si>
  <si>
    <t>Revenue yield</t>
  </si>
  <si>
    <t>Draft decision</t>
  </si>
  <si>
    <t>Weighted average price cap</t>
  </si>
  <si>
    <t>Final decision</t>
  </si>
  <si>
    <t>PTRM update 1</t>
  </si>
  <si>
    <t>PTRM update 2</t>
  </si>
  <si>
    <t>PTRM update 3</t>
  </si>
  <si>
    <t>PTRM update 4</t>
  </si>
  <si>
    <t>PTRM update 5</t>
  </si>
  <si>
    <t>PTRM update 6</t>
  </si>
  <si>
    <t>PTRM update 7</t>
  </si>
  <si>
    <t>Regulatory proposal</t>
  </si>
  <si>
    <t>Revised regulatory proposal</t>
  </si>
  <si>
    <t>This is used to create an image to insert on 6.3 STPIS sheet - not for dropdown lists.</t>
  </si>
  <si>
    <t>GAS</t>
  </si>
  <si>
    <t>CA &amp; RESET RINS 
DNSP</t>
  </si>
  <si>
    <t>dms_DNSP_020301_SubstationType</t>
  </si>
  <si>
    <t>dms_DNSP_020301_ProjectType</t>
  </si>
  <si>
    <t>dms_DNSP_020301_ProjectTrigger</t>
  </si>
  <si>
    <t>dms_DNSP_020302_ProjectType</t>
  </si>
  <si>
    <t>dms_DNSP_020302_ProjectTrigger</t>
  </si>
  <si>
    <t>dms_STPIS_Exclusion_List</t>
  </si>
  <si>
    <t>dms_Reason_Interruption</t>
  </si>
  <si>
    <t>dms_Reason_Interruption_Detailed</t>
  </si>
  <si>
    <t>Reason for interruption</t>
  </si>
  <si>
    <t>dms_N0205_AssetType</t>
  </si>
  <si>
    <t>Subtransmission substation</t>
  </si>
  <si>
    <t>New substation establishment</t>
  </si>
  <si>
    <t>Demand growth</t>
  </si>
  <si>
    <t>New line on new route - single circuit</t>
  </si>
  <si>
    <t>Weather</t>
  </si>
  <si>
    <t>Animal</t>
  </si>
  <si>
    <t>Animal impact</t>
  </si>
  <si>
    <t>Cast Iron</t>
  </si>
  <si>
    <t>Zone substation</t>
  </si>
  <si>
    <t>Substation upgrade - capacity</t>
  </si>
  <si>
    <t xml:space="preserve"> Voltage issues</t>
  </si>
  <si>
    <t>New line on new route - dual circuit</t>
  </si>
  <si>
    <t>Equipment failure</t>
  </si>
  <si>
    <t>Asset failure</t>
  </si>
  <si>
    <t>Animal nesting/burrowing, etc and other</t>
  </si>
  <si>
    <t>PVC</t>
  </si>
  <si>
    <t>Switching station</t>
  </si>
  <si>
    <t>Substation upgrade - voltage</t>
  </si>
  <si>
    <t xml:space="preserve"> Reactive power issue</t>
  </si>
  <si>
    <t>New line on new route - other</t>
  </si>
  <si>
    <t>Operational error</t>
  </si>
  <si>
    <t>Polyamide</t>
  </si>
  <si>
    <t xml:space="preserve"> Fault level issues</t>
  </si>
  <si>
    <t>Line rebuild over existing route - single circuit</t>
  </si>
  <si>
    <t>Vegetation</t>
  </si>
  <si>
    <t>Overloads</t>
  </si>
  <si>
    <t>LV</t>
  </si>
  <si>
    <t>High density polyethylene (80)</t>
  </si>
  <si>
    <t xml:space="preserve"> Safety</t>
  </si>
  <si>
    <t>Line rebuild over existing route - dual circuit</t>
  </si>
  <si>
    <t xml:space="preserve"> Net market benefit</t>
  </si>
  <si>
    <t>Animals</t>
  </si>
  <si>
    <t>Planned</t>
  </si>
  <si>
    <t>Distribution substation</t>
  </si>
  <si>
    <t>High density polyethylene (100)</t>
  </si>
  <si>
    <t xml:space="preserve"> Environment</t>
  </si>
  <si>
    <t>Reconductor - Single circuit</t>
  </si>
  <si>
    <t>Third party impacts</t>
  </si>
  <si>
    <t>Network business</t>
  </si>
  <si>
    <t>HV</t>
  </si>
  <si>
    <t>High density polyethylene (250)</t>
  </si>
  <si>
    <t xml:space="preserve"> Other</t>
  </si>
  <si>
    <t>Reconductor - Dual circuit</t>
  </si>
  <si>
    <t>Transmission failure</t>
  </si>
  <si>
    <t>Third party</t>
  </si>
  <si>
    <t>High density polyethylene (575)</t>
  </si>
  <si>
    <t>Reconductor - Other</t>
  </si>
  <si>
    <t>Load shedding</t>
  </si>
  <si>
    <t>Unknown</t>
  </si>
  <si>
    <t>Subtransmission</t>
  </si>
  <si>
    <t>Medium density polyethylene</t>
  </si>
  <si>
    <t>Line upgrade - raising/retensoring</t>
  </si>
  <si>
    <t>Inter-distributor connection failure</t>
  </si>
  <si>
    <t>insert description of 'other'</t>
  </si>
  <si>
    <t>Unprotected steel</t>
  </si>
  <si>
    <t>Line upgrade - voltage upgrade</t>
  </si>
  <si>
    <t>Network error</t>
  </si>
  <si>
    <t>Protected steel</t>
  </si>
  <si>
    <t>Line upgrade - capacity</t>
  </si>
  <si>
    <t>2 - STPIS Exclusion (3.3)(a)</t>
  </si>
  <si>
    <t>Switching and protection error</t>
  </si>
  <si>
    <t>String spare circuit</t>
  </si>
  <si>
    <t>3 - STPIS Exclusion (3.3)(a)</t>
  </si>
  <si>
    <t>Fire</t>
  </si>
  <si>
    <t>4 - STPIS Exclusion (3.3)(a)</t>
  </si>
  <si>
    <t>5 - STPIS Exclusion (3.3)(a)</t>
  </si>
  <si>
    <t>Dig-in</t>
  </si>
  <si>
    <t>6 - STPIS Exclusion (3.3)(a)</t>
  </si>
  <si>
    <t>Unauthorised access</t>
  </si>
  <si>
    <t>7 - STPIS Exclusion (3.3)(a)</t>
  </si>
  <si>
    <t>Vehicle impact</t>
  </si>
  <si>
    <t>Blow-in/Fall-in - NSP responsibility</t>
  </si>
  <si>
    <t>Grow-in - NSP responsibility</t>
  </si>
  <si>
    <t>Blow-in/Fall-in - Other responsible party</t>
  </si>
  <si>
    <t>Grow-in - Other responsible party</t>
  </si>
  <si>
    <t xml:space="preserve">CA &amp; RESET RINS 
TNSP </t>
  </si>
  <si>
    <t>dms_TNSP_0203_SubstationType</t>
  </si>
  <si>
    <t>dms_TNSP_020301_ProjectType</t>
  </si>
  <si>
    <t>dms_TNSP_020301_ProjectTrigger</t>
  </si>
  <si>
    <t>dms_TNSP_020302_ProjectType</t>
  </si>
  <si>
    <t>dms_TNSP_0203_ProjectTrigger</t>
  </si>
  <si>
    <t>Terminal station</t>
  </si>
  <si>
    <t>Capacity upgrade</t>
  </si>
  <si>
    <t>Transmission substation</t>
  </si>
  <si>
    <t>Voltage upgrade</t>
  </si>
  <si>
    <t>Net market benefit</t>
  </si>
  <si>
    <t>NAMED RANGES USED IN ETL PROCESS</t>
  </si>
  <si>
    <t>CA &amp; RESET RINS 
DNSP ONLY</t>
  </si>
  <si>
    <t>dms_020303_01_UOM</t>
  </si>
  <si>
    <t>dms_020501_01_UOM</t>
  </si>
  <si>
    <t>dms_020501_02_UOM</t>
  </si>
  <si>
    <t>dms_020501_03_UOM</t>
  </si>
  <si>
    <t>dms_020501_04_UOM</t>
  </si>
  <si>
    <t>dms_020701_01_UOM</t>
  </si>
  <si>
    <t>dms_020701_02_UOM</t>
  </si>
  <si>
    <t>dms_020701_01_Rows</t>
  </si>
  <si>
    <t>dms_040102_01_UOM</t>
  </si>
  <si>
    <t>dms_040102_04_UOM</t>
  </si>
  <si>
    <t>dms_S140101_UOM</t>
  </si>
  <si>
    <t>dms_S140102_UOM</t>
  </si>
  <si>
    <t>dms_S140201_UOM</t>
  </si>
  <si>
    <t>Circuit line length in km</t>
  </si>
  <si>
    <t>0's</t>
  </si>
  <si>
    <t>days</t>
  </si>
  <si>
    <t>number per km</t>
  </si>
  <si>
    <t>MVA added</t>
  </si>
  <si>
    <t>$0s</t>
  </si>
  <si>
    <t>Number</t>
  </si>
  <si>
    <t>total spend $0s</t>
  </si>
  <si>
    <t>net circuit km added</t>
  </si>
  <si>
    <t>CA &amp; RESET RINS 
TNSP ONLY</t>
  </si>
  <si>
    <t>CA &amp; RESET RINS 
DNSP &amp; TNSP</t>
  </si>
  <si>
    <t>dms_020603_01_UOM</t>
  </si>
  <si>
    <r>
      <t xml:space="preserve">EB &amp; RESET RINS 
</t>
    </r>
    <r>
      <rPr>
        <sz val="26"/>
        <color rgb="FFFF0000"/>
        <rFont val="Calibri"/>
        <family val="2"/>
        <scheme val="minor"/>
      </rPr>
      <t>DNSP ONLY</t>
    </r>
  </si>
  <si>
    <t>dms_030601_01_UOM</t>
  </si>
  <si>
    <t>dms_030601_02_UOM</t>
  </si>
  <si>
    <t>dms_030701_01_UOM</t>
  </si>
  <si>
    <t>dms_030702_01_UOM</t>
  </si>
  <si>
    <t>dms_030703_01_UOM</t>
  </si>
  <si>
    <t>minutes/customer</t>
  </si>
  <si>
    <t>Customer / km</t>
  </si>
  <si>
    <t>MWh/customer</t>
  </si>
  <si>
    <t>interruptions/customer</t>
  </si>
  <si>
    <t>kVA / customer</t>
  </si>
  <si>
    <t>Spans</t>
  </si>
  <si>
    <t>WHEN INSERTING COVER SHEET INTO A TNSP FILE - APPLY THESE NAMED RANGES</t>
  </si>
  <si>
    <r>
      <t xml:space="preserve">EB &amp; RESET RINS 
</t>
    </r>
    <r>
      <rPr>
        <sz val="26"/>
        <color rgb="FFFF0000"/>
        <rFont val="Calibri"/>
        <family val="2"/>
        <scheme val="minor"/>
      </rPr>
      <t>TNSP ONLY</t>
    </r>
  </si>
  <si>
    <t>EB &amp; RESET RINS 
DNSP &amp; TNSP</t>
  </si>
  <si>
    <t>dms_EB_RAB_PIT</t>
  </si>
  <si>
    <t>Beginning of year</t>
  </si>
  <si>
    <t>End of year</t>
  </si>
  <si>
    <t>ARR 
DNSP ONLY</t>
  </si>
  <si>
    <t>dms_030605_UOM</t>
  </si>
  <si>
    <t>dms_03060703_UOM</t>
  </si>
  <si>
    <t>Spare</t>
  </si>
  <si>
    <t>RFM</t>
  </si>
  <si>
    <t>dms_Beg</t>
  </si>
  <si>
    <t>dms_Mid</t>
  </si>
  <si>
    <t>dms_End</t>
  </si>
  <si>
    <t>Mid year</t>
  </si>
  <si>
    <t>End of Year</t>
  </si>
  <si>
    <t>PTRM</t>
  </si>
  <si>
    <t>dms_PTRM_RAB_PIT</t>
  </si>
  <si>
    <t>dms_PTRM_TAB_PIT</t>
  </si>
  <si>
    <t>DMS_Xfactor</t>
  </si>
  <si>
    <t>x factors</t>
  </si>
  <si>
    <t xml:space="preserve">STPIS &amp; MIC NAMED RANGES </t>
  </si>
  <si>
    <t>These "row descriptions" are the column headings in the various templates but become row descriptions in the ETL process</t>
  </si>
  <si>
    <t>Table 6.3 sustained interruptions - row descriptions</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</si>
  <si>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</si>
  <si>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</si>
  <si>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</si>
  <si>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</si>
  <si>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</si>
  <si>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</si>
  <si>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</si>
  <si>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</si>
  <si>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Table 6.1 telephone answering - row descriptions and start date</t>
  </si>
  <si>
    <t>dms_060101_Rows</t>
  </si>
  <si>
    <t>dms_060102_Rows</t>
  </si>
  <si>
    <t>dms_060101_StartDateTxt</t>
  </si>
  <si>
    <t>Total number of calls 
(after removing excluded events)</t>
  </si>
  <si>
    <t xml:space="preserve">Number of calls answered within 30 seconds 
(after excluding excluded events) </t>
  </si>
  <si>
    <t>Table 6.8.1 - row descriptions</t>
  </si>
  <si>
    <t>dms_060801_01_Rows</t>
  </si>
  <si>
    <t>dms_060801_02_Rows</t>
  </si>
  <si>
    <t>dms_060801_03_Rows</t>
  </si>
  <si>
    <t>dms_060801_04_Rows</t>
  </si>
  <si>
    <t>Number of interruptions</t>
  </si>
  <si>
    <t>Duration of interruptions</t>
  </si>
  <si>
    <t>Total unplanned minutes off supply</t>
  </si>
  <si>
    <t>Effect on unplanned MAIFI</t>
  </si>
  <si>
    <t>Table 7.9.4 - market impact component - row descriptions</t>
  </si>
  <si>
    <t>dms_070904_01_Rows</t>
  </si>
  <si>
    <t>without exclusions</t>
  </si>
  <si>
    <t>with exclusions</t>
  </si>
  <si>
    <t>These headings (Lists) are determined from the INDEX/MATCH function on the NSP selected on the Business &amp; other details sheet</t>
  </si>
  <si>
    <t>Table 6.7.1 - daily performance data - unplanned - MAIFI  -- row descriptions and header named range values</t>
  </si>
  <si>
    <t>dms_060701_Feeder_Header_Lvl4</t>
  </si>
  <si>
    <t>Network</t>
  </si>
  <si>
    <t>dms_060701_Rows</t>
  </si>
  <si>
    <t>All events</t>
  </si>
  <si>
    <t>After removing excluded events</t>
  </si>
  <si>
    <t>the number of column headings changes from 10 to 12 depending on the number of feeder categories for the NSP</t>
  </si>
  <si>
    <t>dms_0603_FeederList</t>
  </si>
  <si>
    <t>Use these to add to specific worksheets in existing files</t>
  </si>
  <si>
    <t>ARRs 6.7 STPIS daily performance</t>
  </si>
  <si>
    <t>dms_060101_Values</t>
  </si>
  <si>
    <t>dms_060102_Values</t>
  </si>
  <si>
    <t>dms_060701_Values</t>
  </si>
  <si>
    <t>dms_LeapYear</t>
  </si>
  <si>
    <t>ARR's  6.8 STPIS exclusions</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</si>
  <si>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</si>
  <si>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</si>
  <si>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</si>
  <si>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</si>
  <si>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</si>
  <si>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</si>
  <si>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</si>
  <si>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</si>
  <si>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</si>
  <si>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</si>
  <si>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dms_060801_StartCell</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</si>
  <si>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</si>
  <si>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</si>
  <si>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</si>
  <si>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</si>
  <si>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</si>
  <si>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</si>
  <si>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</si>
  <si>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</si>
  <si>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</si>
  <si>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</si>
  <si>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</si>
  <si>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</si>
  <si>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t>AER LOOKUP TABLES</t>
  </si>
  <si>
    <t>Template Version</t>
  </si>
  <si>
    <t>Feeder Types</t>
  </si>
  <si>
    <t>MAIFI flag</t>
  </si>
  <si>
    <t>Feeder Names</t>
  </si>
  <si>
    <t>dms_TradingName_List</t>
  </si>
  <si>
    <t>dms_TradingNameFull_List</t>
  </si>
  <si>
    <t>dms_ABN_List</t>
  </si>
  <si>
    <t>dms_JurisdictionList</t>
  </si>
  <si>
    <t>dms_Sector_List</t>
  </si>
  <si>
    <t>dms_Segment_List</t>
  </si>
  <si>
    <t>dms_FormControl_List</t>
  </si>
  <si>
    <t>dms_RPT_List</t>
  </si>
  <si>
    <t>dms_RPTMonth_List</t>
  </si>
  <si>
    <t>dms_CRCPlength_List</t>
  </si>
  <si>
    <t>dms_FRCPlength_List</t>
  </si>
  <si>
    <t>dms_PRCPlength_List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</si>
  <si>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</si>
  <si>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</si>
  <si>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</si>
  <si>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</si>
  <si>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</si>
  <si>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</si>
  <si>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</si>
  <si>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</si>
  <si>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</si>
  <si>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</si>
  <si>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</si>
  <si>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</si>
  <si>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</si>
  <si>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</si>
  <si>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</si>
  <si>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</si>
  <si>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</si>
  <si>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dms_MAIFI_flag_List</t>
  </si>
  <si>
    <t>dms_FeederName_1</t>
  </si>
  <si>
    <t>dms_FeederName_2</t>
  </si>
  <si>
    <t>dms_FeederName_3</t>
  </si>
  <si>
    <t>dms_FeederName_4</t>
  </si>
  <si>
    <t>dms_FeederName_5</t>
  </si>
  <si>
    <t>dms_Public_Lighting_List</t>
  </si>
  <si>
    <t>AEMO</t>
  </si>
  <si>
    <t>Australian Energy Market Operator Ltd</t>
  </si>
  <si>
    <t>-</t>
  </si>
  <si>
    <t>Financial</t>
  </si>
  <si>
    <t>March</t>
  </si>
  <si>
    <t>x</t>
  </si>
  <si>
    <t>Level 22</t>
  </si>
  <si>
    <t>530 Collins Street</t>
  </si>
  <si>
    <t>MELBOURNE</t>
  </si>
  <si>
    <t>GPO Box 2008</t>
  </si>
  <si>
    <t>NO</t>
  </si>
  <si>
    <t>CBD</t>
  </si>
  <si>
    <t>Urban</t>
  </si>
  <si>
    <t>Short rural</t>
  </si>
  <si>
    <t>Long rural</t>
  </si>
  <si>
    <t>Ausnet Services (Transmission) Ltd</t>
  </si>
  <si>
    <t>78 079 798 173</t>
  </si>
  <si>
    <t>transmission determination</t>
  </si>
  <si>
    <t>Level 32</t>
  </si>
  <si>
    <t>2 Southbank Boulevard</t>
  </si>
  <si>
    <t>SOUTHBANK</t>
  </si>
  <si>
    <t>Locked Bag 14051</t>
  </si>
  <si>
    <t>MELBOURNE CITY MAIL CENTRE</t>
  </si>
  <si>
    <t>June</t>
  </si>
  <si>
    <t>123 Straight Street</t>
  </si>
  <si>
    <t>SYDNEY</t>
  </si>
  <si>
    <t>PO Box 123</t>
  </si>
  <si>
    <t>Level 25</t>
  </si>
  <si>
    <t>580 George Street</t>
  </si>
  <si>
    <t>PO Box R41</t>
  </si>
  <si>
    <t>ROYAL EXCHANGE</t>
  </si>
  <si>
    <t>52-55 East Terrace</t>
  </si>
  <si>
    <t>Rymill Park</t>
  </si>
  <si>
    <t>ADELAIDE</t>
  </si>
  <si>
    <t>PO Box 7096</t>
  </si>
  <si>
    <t>Hutt Street Post Office</t>
  </si>
  <si>
    <t>Level 19</t>
  </si>
  <si>
    <t>Queensland Electricity Transmission Corporation Limited trading as Powerlink Queensland</t>
  </si>
  <si>
    <t>33 Harold St</t>
  </si>
  <si>
    <t>VIRGINIA</t>
  </si>
  <si>
    <t>PO Box 1193</t>
  </si>
  <si>
    <t>QLD</t>
  </si>
  <si>
    <t>1-7 Maria Street</t>
  </si>
  <si>
    <t>LENAH VALLEY</t>
  </si>
  <si>
    <t>PO Box 606</t>
  </si>
  <si>
    <t>MOONAH</t>
  </si>
  <si>
    <t>NSW Electricity Networks Operations Pty Ltd trading as TransGrid</t>
  </si>
  <si>
    <t>70 250 995 390</t>
  </si>
  <si>
    <t>180 Thomas Street</t>
  </si>
  <si>
    <t>PO Box A1000</t>
  </si>
  <si>
    <t>SYDNEY SOUTH</t>
  </si>
  <si>
    <t>The Reg Year Ending (dms_RYE) must be set to the last year of the regulatory period. For forecast data is is usually (FRCP_y5) for EXPENDITURE it is a single year (CRY). For historical EXPENDITURE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</si>
  <si>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</si>
  <si>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</si>
  <si>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</si>
  <si>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</si>
  <si>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</si>
  <si>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</si>
  <si>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</si>
  <si>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</si>
  <si>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</si>
  <si>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</si>
  <si>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</si>
  <si>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</si>
  <si>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</si>
  <si>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</si>
  <si>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Pricing</t>
  </si>
  <si>
    <t>Pricing Proposal</t>
  </si>
  <si>
    <t>PRICING PROPOSAL</t>
  </si>
  <si>
    <t>Post Tax Revenue Model</t>
  </si>
  <si>
    <t>POST TAX REVENUE MODEL</t>
  </si>
  <si>
    <t>Reset</t>
  </si>
  <si>
    <t>Regulatory Reporting (Reset)</t>
  </si>
  <si>
    <t>REGULATORY REPORTING STATEMENT</t>
  </si>
  <si>
    <t>Roll Forward Model</t>
  </si>
  <si>
    <t>ROLL FORWARD MODEL</t>
  </si>
  <si>
    <t>WACC</t>
  </si>
  <si>
    <t>Weighted Average Cost of Capital</t>
  </si>
  <si>
    <t>WEIGHTED AVERAGE COST OF CAPITAL</t>
  </si>
  <si>
    <t>Calendar</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</si>
  <si>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</si>
  <si>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</si>
  <si>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</si>
  <si>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</si>
  <si>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</si>
  <si>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</si>
  <si>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</si>
  <si>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</si>
  <si>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</si>
  <si>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</si>
  <si>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</si>
  <si>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</si>
  <si>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</si>
  <si>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</si>
  <si>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</si>
  <si>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</si>
  <si>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</si>
  <si>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</si>
  <si>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</si>
  <si>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</si>
  <si>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</si>
  <si>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</si>
  <si>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</si>
  <si>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</si>
  <si>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</si>
  <si>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</si>
  <si>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</si>
  <si>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</si>
  <si>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</si>
  <si>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</si>
  <si>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</si>
  <si>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</si>
  <si>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</si>
  <si>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</si>
  <si>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</si>
  <si>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</si>
  <si>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</si>
  <si>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</si>
  <si>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</si>
  <si>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</si>
  <si>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</si>
  <si>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</si>
  <si>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</si>
  <si>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</si>
  <si>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</si>
  <si>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</si>
  <si>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</si>
  <si>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</si>
  <si>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</si>
  <si>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</si>
  <si>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</si>
  <si>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</si>
  <si>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</si>
  <si>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</si>
  <si>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</si>
  <si>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</si>
  <si>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</si>
  <si>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</si>
  <si>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</si>
  <si>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</si>
  <si>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</si>
  <si>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</si>
  <si>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</si>
  <si>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</si>
  <si>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</si>
  <si>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</si>
  <si>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</si>
  <si>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</si>
  <si>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</si>
  <si>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</si>
  <si>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</si>
  <si>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</si>
  <si>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</si>
  <si>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</si>
  <si>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</si>
  <si>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</si>
  <si>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</si>
  <si>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</si>
  <si>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</si>
  <si>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</si>
  <si>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</si>
  <si>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</si>
  <si>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</si>
  <si>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</si>
  <si>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2004-05</t>
  </si>
  <si>
    <t>2005</t>
  </si>
  <si>
    <t>2005-06</t>
  </si>
  <si>
    <t>2006</t>
  </si>
  <si>
    <t>CRY - FRY</t>
  </si>
  <si>
    <t>2006-07</t>
  </si>
  <si>
    <t>2007</t>
  </si>
  <si>
    <t>dms_y1</t>
  </si>
  <si>
    <t>2007-08</t>
  </si>
  <si>
    <t>2008</t>
  </si>
  <si>
    <t>dms_y2</t>
  </si>
  <si>
    <t>2008-09</t>
  </si>
  <si>
    <t>2009</t>
  </si>
  <si>
    <t>dms_y3</t>
  </si>
  <si>
    <t>2009-10</t>
  </si>
  <si>
    <t>dms_y4</t>
  </si>
  <si>
    <t>2010-11</t>
  </si>
  <si>
    <t>dms_y5</t>
  </si>
  <si>
    <t>2011-12</t>
  </si>
  <si>
    <t>dms_y6</t>
  </si>
  <si>
    <t>2012-13</t>
  </si>
  <si>
    <t>dms_y7</t>
  </si>
  <si>
    <t>2013-14</t>
  </si>
  <si>
    <t>dms_y8</t>
  </si>
  <si>
    <t>2014-15</t>
  </si>
  <si>
    <t>dms_y9</t>
  </si>
  <si>
    <t>2015-16</t>
  </si>
  <si>
    <t>dms_y10</t>
  </si>
  <si>
    <t>2016-17</t>
  </si>
  <si>
    <t>dms_y11</t>
  </si>
  <si>
    <t>2017-18</t>
  </si>
  <si>
    <t>dms_y12</t>
  </si>
  <si>
    <t>2018-19</t>
  </si>
  <si>
    <t>dms_y13</t>
  </si>
  <si>
    <t>2019-20</t>
  </si>
  <si>
    <t>dms_y14</t>
  </si>
  <si>
    <t>dms_y15</t>
  </si>
  <si>
    <t>2021-22</t>
  </si>
  <si>
    <t>dms_y16</t>
  </si>
  <si>
    <t>2023-24</t>
  </si>
  <si>
    <t>2024-25</t>
  </si>
  <si>
    <t>2025-26</t>
  </si>
  <si>
    <t>2026-27</t>
  </si>
  <si>
    <t>2027-28</t>
  </si>
  <si>
    <t>2028-29</t>
  </si>
  <si>
    <t>2029-30</t>
  </si>
  <si>
    <t>2030-31</t>
  </si>
  <si>
    <t>2031-32</t>
  </si>
  <si>
    <t>2032-33</t>
  </si>
  <si>
    <t>2033-34</t>
  </si>
  <si>
    <t>2034-35</t>
  </si>
  <si>
    <t>2035-36</t>
  </si>
  <si>
    <t>2036-37</t>
  </si>
  <si>
    <t>2037</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</si>
  <si>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</si>
  <si>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</si>
  <si>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</si>
  <si>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</si>
  <si>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</si>
  <si>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</si>
  <si>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</si>
  <si>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</si>
  <si>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</si>
  <si>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</si>
  <si>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Selected here</t>
  </si>
  <si>
    <t>Model / RIN</t>
  </si>
  <si>
    <t>dms_Model</t>
  </si>
  <si>
    <r>
      <t xml:space="preserve">Read from </t>
    </r>
    <r>
      <rPr>
        <i/>
        <sz val="11"/>
        <color theme="1"/>
        <rFont val="Calibri"/>
        <family val="2"/>
        <scheme val="minor"/>
      </rPr>
      <t>Business &amp; other details</t>
    </r>
  </si>
  <si>
    <t>dms_Source</t>
  </si>
  <si>
    <t>Data quality</t>
  </si>
  <si>
    <t>dms_DQ_1</t>
  </si>
  <si>
    <t>Data status</t>
  </si>
  <si>
    <t>dms_DQ_2</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</si>
  <si>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</si>
  <si>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</si>
  <si>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</si>
  <si>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</si>
  <si>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</si>
  <si>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</si>
  <si>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</si>
  <si>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</si>
  <si>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</si>
  <si>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</si>
  <si>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=IF(dms_DQ_2="Confidential","Consolidated","Public")</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</si>
  <si>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</si>
  <si>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</si>
  <si>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</si>
  <si>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</si>
  <si>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</si>
  <si>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</si>
  <si>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</si>
  <si>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</si>
  <si>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</si>
  <si>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</si>
  <si>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</si>
  <si>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</si>
  <si>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</si>
  <si>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</si>
  <si>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</si>
  <si>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</si>
  <si>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</si>
  <si>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</si>
  <si>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</si>
  <si>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</si>
  <si>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</si>
  <si>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</si>
  <si>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</si>
  <si>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</si>
  <si>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</si>
  <si>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</si>
  <si>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</si>
  <si>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</si>
  <si>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</si>
  <si>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</si>
  <si>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"&amp;VALUE((LEFT(dms_RYE,2)&amp;RIGHT(dms_RYE,2))))</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</si>
  <si>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</si>
  <si>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</si>
  <si>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</si>
  <si>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</si>
  <si>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</si>
  <si>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</si>
  <si>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</si>
  <si>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</si>
  <si>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</si>
  <si>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</si>
  <si>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dms_CRY_start_year</t>
  </si>
  <si>
    <t>dms_CRY_start_row</t>
  </si>
  <si>
    <t>dms_FRCP_start_row</t>
  </si>
  <si>
    <t>dms_CRCP_start_row</t>
  </si>
  <si>
    <t>dms_PRCP_start_row</t>
  </si>
  <si>
    <t>dms_RYE_start_row</t>
  </si>
  <si>
    <t>FRCP_start_year</t>
  </si>
  <si>
    <t>Converts the FRCP start row to display the year</t>
  </si>
  <si>
    <t>CRCP_start_year</t>
  </si>
  <si>
    <t>Converts the CRCP start row to display the year</t>
  </si>
  <si>
    <t>PRCP_start_year</t>
  </si>
  <si>
    <t>Converts the PRCP start row to display the year</t>
  </si>
  <si>
    <t>FRCP_final_year</t>
  </si>
  <si>
    <t>Finds the FRCP final year</t>
  </si>
  <si>
    <t>CRCP_final_year</t>
  </si>
  <si>
    <t>Finds the CRCP final year</t>
  </si>
  <si>
    <t>PRCP_final_year</t>
  </si>
  <si>
    <t>Finds the PRCP final year</t>
  </si>
  <si>
    <t>dms_Reset_final_year</t>
  </si>
  <si>
    <t>For Resets and PTRM/RFMs (same as FRCP_final_year)</t>
  </si>
  <si>
    <t>dms_SpecifiedYear_final_year</t>
  </si>
  <si>
    <t>dms_DollarReal_year</t>
  </si>
  <si>
    <t>dms_Previous_DollarReal_year</t>
  </si>
  <si>
    <t>dms_CRY_RYE</t>
  </si>
  <si>
    <t>For ABC single year RINS</t>
  </si>
  <si>
    <t>dms_Reset_RYE</t>
  </si>
  <si>
    <t>dms_Specified_RYE</t>
  </si>
  <si>
    <t>dms_Model_Span</t>
  </si>
  <si>
    <t>A result of 5 is used to signify that it is more than 1 year span</t>
  </si>
  <si>
    <t>dms_RYE_result</t>
  </si>
  <si>
    <t>dms_Reset_Span</t>
  </si>
  <si>
    <t>Reset span of years as text</t>
  </si>
  <si>
    <t>dms_SpecifiedYear_Span</t>
  </si>
  <si>
    <t>Multi year ABC span of years as text</t>
  </si>
  <si>
    <t>dms_Header_Span</t>
  </si>
  <si>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</si>
  <si>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</si>
  <si>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</si>
  <si>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</si>
  <si>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</si>
  <si>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</si>
  <si>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</si>
  <si>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</si>
  <si>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</si>
  <si>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</si>
  <si>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</si>
  <si>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</si>
  <si>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</si>
  <si>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</si>
  <si>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</si>
  <si>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</si>
  <si>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</si>
  <si>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</si>
  <si>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</si>
  <si>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</si>
  <si>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</si>
  <si>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</si>
  <si>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</si>
  <si>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</si>
  <si>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</si>
  <si>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</si>
  <si>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</si>
  <si>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</si>
  <si>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</si>
  <si>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</si>
  <si>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</si>
  <si>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</si>
  <si>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</si>
  <si>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</si>
  <si>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</si>
  <si>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</si>
  <si>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</si>
  <si>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</si>
  <si>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</si>
  <si>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</si>
  <si>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</si>
  <si>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</si>
  <si>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</si>
  <si>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</si>
  <si>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</si>
  <si>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</si>
  <si>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</si>
  <si>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</si>
  <si>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</si>
  <si>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</si>
  <si>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</si>
  <si>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</si>
  <si>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</si>
  <si>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</si>
  <si>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</si>
  <si>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</si>
  <si>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</si>
  <si>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</si>
  <si>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</si>
  <si>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</si>
  <si>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</si>
  <si>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</si>
  <si>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</si>
  <si>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</si>
  <si>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</si>
  <si>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</si>
  <si>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</si>
  <si>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</si>
  <si>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</si>
  <si>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</si>
  <si>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</si>
  <si>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</si>
  <si>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</si>
  <si>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</si>
  <si>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</si>
  <si>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</si>
  <si>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</si>
  <si>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</si>
  <si>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</si>
  <si>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</si>
  <si>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</si>
  <si>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</si>
  <si>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</si>
  <si>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</si>
  <si>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</si>
  <si>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</si>
  <si>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</si>
  <si>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</si>
  <si>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</si>
  <si>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</si>
  <si>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</si>
  <si>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</si>
  <si>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</si>
  <si>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</si>
  <si>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</si>
  <si>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</si>
  <si>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t>Is dms_060801_StartCell named range present?</t>
  </si>
  <si>
    <t>=IFERROR(IF((ROW(dms_060801_StartCell)-1)=1,"yes","yes"),"no")</t>
  </si>
  <si>
    <t>Table 6.8 - Number of offset rows</t>
  </si>
  <si>
    <t>dms_0608_OffsetRows</t>
  </si>
  <si>
    <t>=IFERROR(IF(dms_Model="ARR",(ROW(dms_060801_StartCell)-1),"not an ARR"),"6.8 error")</t>
  </si>
  <si>
    <t>Table 6.8 - Last row</t>
  </si>
  <si>
    <t>0</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</si>
  <si>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</si>
  <si>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</si>
  <si>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</si>
  <si>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</si>
  <si>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</si>
  <si>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</si>
  <si>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</si>
  <si>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</si>
  <si>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</si>
  <si>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</si>
  <si>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</si>
  <si>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</si>
  <si>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</si>
  <si>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</si>
  <si>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</si>
  <si>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</si>
  <si>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</si>
  <si>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</si>
  <si>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</si>
  <si>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</si>
  <si>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</si>
  <si>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</si>
  <si>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</si>
  <si>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</si>
  <si>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</si>
  <si>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</si>
  <si>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</si>
  <si>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</si>
  <si>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</si>
  <si>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</si>
  <si>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</si>
  <si>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</si>
  <si>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</si>
  <si>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</si>
  <si>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</si>
  <si>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</si>
  <si>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</si>
  <si>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</si>
  <si>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</si>
  <si>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</si>
  <si>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</si>
  <si>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</si>
  <si>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</si>
  <si>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</si>
  <si>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</si>
  <si>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</si>
  <si>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</si>
  <si>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</si>
  <si>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Reporting year</t>
  </si>
  <si>
    <t xml:space="preserve">Replacement </t>
  </si>
  <si>
    <t xml:space="preserve">Augmentation </t>
  </si>
  <si>
    <t>ICT</t>
  </si>
  <si>
    <t>Property</t>
  </si>
  <si>
    <t>Fleet</t>
  </si>
  <si>
    <t>Other Non-network</t>
  </si>
  <si>
    <t>number of assets</t>
  </si>
  <si>
    <t>OPERATING EXPENDITURE</t>
  </si>
  <si>
    <t>Recurrent</t>
  </si>
  <si>
    <t>Non-recurrent</t>
  </si>
  <si>
    <t>Other non-network expenditure</t>
  </si>
  <si>
    <t>TRANSMISSION LINE MAINTENANCE</t>
  </si>
  <si>
    <t>SUBSTATIONS EQUIPMENT &amp; PROPERTY MAINTENANCE</t>
  </si>
  <si>
    <t>SCADA &amp; NETWORK CONTROL MAINTENANCE</t>
  </si>
  <si>
    <t>PROTECTION SYSTEMS MAINTENANCE</t>
  </si>
  <si>
    <t xml:space="preserve">OTHER MAINTENANCE ACTIVITY </t>
  </si>
  <si>
    <t>Substation switchbays</t>
  </si>
  <si>
    <t>SCADA, network control and protection systems</t>
  </si>
  <si>
    <t>Revenue from other sources</t>
  </si>
  <si>
    <t>Capex timing adjustment</t>
  </si>
  <si>
    <t xml:space="preserve">DC08 - Asset base values | regulatory accounts (PTS) </t>
  </si>
  <si>
    <t>DC09 - Revenue and financial statements | Provisions</t>
  </si>
  <si>
    <t>number of transformers</t>
  </si>
  <si>
    <t>number of lines</t>
  </si>
  <si>
    <t>number of events</t>
  </si>
  <si>
    <t>number of dispatch intervals</t>
  </si>
  <si>
    <t xml:space="preserve">CAPITAL EXPENDITURE </t>
  </si>
  <si>
    <t>Protected (SOCI)</t>
  </si>
  <si>
    <t>#25C6FF</t>
  </si>
  <si>
    <t>#FFCCCC</t>
  </si>
  <si>
    <t>12.5% Grey</t>
  </si>
  <si>
    <t>Amended Confidential</t>
  </si>
  <si>
    <t>#FFCCCC &amp; 
12.5% Grey</t>
  </si>
  <si>
    <t>Total other TNSP defined</t>
  </si>
  <si>
    <t>REGULATORY ACCOUNTS (PTS)</t>
  </si>
  <si>
    <t>Easement levy</t>
  </si>
  <si>
    <t>Other corporate overheads</t>
  </si>
  <si>
    <t>DIRECTLY ATTRIBUTABLE OPEX</t>
  </si>
  <si>
    <t>ALLOCATED OPEX</t>
  </si>
  <si>
    <t>REGULATORY 
ACCOUNTS (PTS)</t>
  </si>
  <si>
    <t>Device expenditure</t>
  </si>
  <si>
    <t>&lt;TNSP specified&gt;</t>
  </si>
  <si>
    <t>TRANSMISSION TOWERS</t>
  </si>
  <si>
    <t>TRANSMISSION TOWER SUPPORT STRUCTURES</t>
  </si>
  <si>
    <t>CONDUCTORS</t>
  </si>
  <si>
    <t>TRANSMISSION CABLES</t>
  </si>
  <si>
    <t>SUBSTATION SWITCHBAYS</t>
  </si>
  <si>
    <t>SUBSTATION POWER TRANSFORMERS</t>
  </si>
  <si>
    <t>SUBSTATION REACTIVE PLANT</t>
  </si>
  <si>
    <t>SCADA, NETWORK CONTROL AND PROTECTION SYSTEMS</t>
  </si>
  <si>
    <t>Tree trimming</t>
  </si>
  <si>
    <t>Vegetation corridor clearance</t>
  </si>
  <si>
    <t>Inspection</t>
  </si>
  <si>
    <t>Contractor liaison expenditure</t>
  </si>
  <si>
    <t>Other vegetation management expenditure</t>
  </si>
  <si>
    <t>Vegetation management expenditure</t>
  </si>
  <si>
    <t>Maintenance expenditure</t>
  </si>
  <si>
    <t>Non-Network Expenditure</t>
  </si>
  <si>
    <t>INFORMATION &amp; COMMUNICATIONS TECHNOLOGY</t>
  </si>
  <si>
    <t>Opex by purpose</t>
  </si>
  <si>
    <t>Overheads expenditure</t>
  </si>
  <si>
    <t>Replacement capex by asset category as commissioned</t>
  </si>
  <si>
    <t>Asset replacement activities</t>
  </si>
  <si>
    <t>Description of connection projects</t>
  </si>
  <si>
    <t>kV</t>
  </si>
  <si>
    <t>Underground / Overhead</t>
  </si>
  <si>
    <t>Year</t>
  </si>
  <si>
    <t>Income statement - expenditure</t>
  </si>
  <si>
    <t>Income statement</t>
  </si>
  <si>
    <t>OTHER REVENUE (TRANSMISSION)</t>
  </si>
  <si>
    <t>Network charges</t>
  </si>
  <si>
    <t>Other revenue (transmission)</t>
  </si>
  <si>
    <t>Gross proceeds from sale of fixed assets</t>
  </si>
  <si>
    <t>OTHER EXPENDITURE (before interest and tax)</t>
  </si>
  <si>
    <t>TOTAL EXPENDITURE (before interest and tax)</t>
  </si>
  <si>
    <t>TOTAL REVENUE (before interest and tax)</t>
  </si>
  <si>
    <t>text</t>
  </si>
  <si>
    <t>Disaggregated revenue</t>
  </si>
  <si>
    <t>REVENUE REWARDS AND PENALTIES - INCENTIVE SCHEMES</t>
  </si>
  <si>
    <t>Total provisions</t>
  </si>
  <si>
    <t>OPENING BALANCE (the carrying amount at the beginning of the period)</t>
  </si>
  <si>
    <t>TOTAL PROVISIONS</t>
  </si>
  <si>
    <t>DC09 - Revenue and financial statements | Other financial information</t>
  </si>
  <si>
    <t>ADJUSTED ALLOWED REVENUE</t>
  </si>
  <si>
    <t>Maximum allowed revenue</t>
  </si>
  <si>
    <t>Adjustments allowed under NER 6A.3.2</t>
  </si>
  <si>
    <t>Reopener for capex</t>
  </si>
  <si>
    <t>Pass throughs</t>
  </si>
  <si>
    <t>SSIS</t>
  </si>
  <si>
    <t>DMIAM</t>
  </si>
  <si>
    <t>Contingent projects (transmission)</t>
  </si>
  <si>
    <t>Revocation of transmission determination</t>
  </si>
  <si>
    <t>Any other adjustments allowed under NER 6A3.2</t>
  </si>
  <si>
    <t>Other adjustments</t>
  </si>
  <si>
    <t>REVENUE FROM PRESCRIBED SERVICES</t>
  </si>
  <si>
    <t>Prescribed entry services</t>
  </si>
  <si>
    <t>Prescribed exit services</t>
  </si>
  <si>
    <t>Prescribed common transmission services</t>
  </si>
  <si>
    <t>Locational TUOS services</t>
  </si>
  <si>
    <t>Non-locational TUOS services</t>
  </si>
  <si>
    <t>Net revenue from modified load export charges</t>
  </si>
  <si>
    <t>System strength services</t>
  </si>
  <si>
    <t>Inter-regional settlements residues; proceeds from auctions</t>
  </si>
  <si>
    <t>Intra-regional settlements residues</t>
  </si>
  <si>
    <t>Budgeted revenue from customers</t>
  </si>
  <si>
    <t>BUDGETED REVENUE FROM CUSTOMERS</t>
  </si>
  <si>
    <t>Prescribed common transmission services (excluding system strength charges)</t>
  </si>
  <si>
    <t>Prescribed common transmission services (system strength charges)</t>
  </si>
  <si>
    <t>(Under)/Over collection for reporting period</t>
  </si>
  <si>
    <t>(Under)/Over balance carried forward from previous reporting period</t>
  </si>
  <si>
    <t>Interest Adjustment</t>
  </si>
  <si>
    <t>Interest on prior reporting period (full interest rate)</t>
  </si>
  <si>
    <t>Interest on current reporting period movement (half interest rate)</t>
  </si>
  <si>
    <t>Carried Forward Under/Over collection balance</t>
  </si>
  <si>
    <t>Adjusted allowed revenue</t>
  </si>
  <si>
    <t>Revenue from prescribed services</t>
  </si>
  <si>
    <t>Revenue earned</t>
  </si>
  <si>
    <t>Adjusted allowed revenue (year t-2)</t>
  </si>
  <si>
    <t>Revenue earned (year t-2)</t>
  </si>
  <si>
    <t>Actual over or (under) recovery (year t-2)</t>
  </si>
  <si>
    <t>Estimated year (t-2) under or over recovery (included in year (t-1) revenue adjustments)</t>
  </si>
  <si>
    <t>True up of estimated under or over recovery (included in year (t) revenue adjustments)</t>
  </si>
  <si>
    <t>REDUCTION IN PRICES PAID BY TRANSMISSION CUSTOMERS</t>
  </si>
  <si>
    <t>TUOS services - adjusted non-location component</t>
  </si>
  <si>
    <t>Common service charges</t>
  </si>
  <si>
    <t>Related party transactions</t>
  </si>
  <si>
    <t>Price reduction / recovery</t>
  </si>
  <si>
    <t>PAYMENTS FROM RELATED PARTIES</t>
  </si>
  <si>
    <t>RELATED PARTIES</t>
  </si>
  <si>
    <t>DESCRIPTION OF TRANSACTION</t>
  </si>
  <si>
    <t>TYPE OF SERVICE</t>
  </si>
  <si>
    <t>PROCUREMENT PROCESS</t>
  </si>
  <si>
    <t>PAYMENTS TO RELATED PARTIES</t>
  </si>
  <si>
    <t>INDICATIVE TOTAL REGULATORY ASSET BASE ROLL FORWARD (WITHIN PERIOD)</t>
  </si>
  <si>
    <t xml:space="preserve">Gross capex </t>
  </si>
  <si>
    <t>INDICATIVE TOTAL TAX ASSET BASE ROLL FORWARD (WITHIN PERIOD)</t>
  </si>
  <si>
    <t>Length data</t>
  </si>
  <si>
    <t>OVERHEAD NETWORK LENGTH OF CIRCUIT AT EACH VOLTAGE</t>
  </si>
  <si>
    <t>UNDERGROUND CABLE CIRCUIT LENGTH AT EACH VOLTAGE</t>
  </si>
  <si>
    <t>Total overhead length</t>
  </si>
  <si>
    <t>Total underground length</t>
  </si>
  <si>
    <t>Other voltages</t>
  </si>
  <si>
    <t>ESTIMATED OVERHEAD NETWORK WEIGHTED AVERAGE MVA CAPACITY BY VOLTAGE CLASS</t>
  </si>
  <si>
    <t>ESTIMATED UNDERGROUND NETWORK WEIGHTED AVERAGE MVA CAPACITY BY VOLTAGE CLASS</t>
  </si>
  <si>
    <t>UNPLANNED OUTAGES</t>
  </si>
  <si>
    <t>Market impact component</t>
  </si>
  <si>
    <t>Market impact parameter</t>
  </si>
  <si>
    <t>Market impact parameter - calendar year</t>
  </si>
  <si>
    <t>7.9.4 - MARKET IMPACT COMPONENT</t>
  </si>
  <si>
    <t>PLANNED OUTAGES</t>
  </si>
  <si>
    <t>January</t>
  </si>
  <si>
    <t>February</t>
  </si>
  <si>
    <t>April</t>
  </si>
  <si>
    <t>May</t>
  </si>
  <si>
    <t>July</t>
  </si>
  <si>
    <t>August</t>
  </si>
  <si>
    <t>September</t>
  </si>
  <si>
    <t>October</t>
  </si>
  <si>
    <t>November</t>
  </si>
  <si>
    <t>December</t>
  </si>
  <si>
    <t>DC05 - Service Performance | Market impact component</t>
  </si>
  <si>
    <t>DC03 - Network metrics | Network assets - volume</t>
  </si>
  <si>
    <t>Installed assets - quantity currently in commission by financial year</t>
  </si>
  <si>
    <t>&lt;TNSP other incentive scheme category&gt;</t>
  </si>
  <si>
    <r>
      <rPr>
        <b/>
        <sz val="12"/>
        <color theme="1"/>
        <rFont val="Calibri"/>
        <family val="2"/>
        <scheme val="minor"/>
      </rPr>
      <t>FRCP_y1</t>
    </r>
    <r>
      <rPr>
        <sz val="12"/>
        <color theme="1"/>
        <rFont val="Calibri"/>
        <family val="2"/>
        <scheme val="minor"/>
      </rPr>
      <t xml:space="preserve"> from cover sheet</t>
    </r>
  </si>
  <si>
    <r>
      <t xml:space="preserve">Uses </t>
    </r>
    <r>
      <rPr>
        <b/>
        <sz val="12"/>
        <color theme="1"/>
        <rFont val="Calibri"/>
        <family val="2"/>
        <scheme val="minor"/>
      </rPr>
      <t>FRCP_y1</t>
    </r>
    <r>
      <rPr>
        <sz val="12"/>
        <color theme="1"/>
        <rFont val="Calibri"/>
        <family val="2"/>
        <scheme val="minor"/>
      </rPr>
      <t xml:space="preserve"> as a start reference</t>
    </r>
  </si>
  <si>
    <r>
      <t xml:space="preserve">Uses the value in </t>
    </r>
    <r>
      <rPr>
        <b/>
        <sz val="12"/>
        <color theme="1"/>
        <rFont val="Calibri"/>
        <family val="2"/>
        <scheme val="minor"/>
      </rPr>
      <t>dms_CRCPlength_Num</t>
    </r>
  </si>
  <si>
    <r>
      <t xml:space="preserve">Uses the value in </t>
    </r>
    <r>
      <rPr>
        <b/>
        <sz val="12"/>
        <color theme="1"/>
        <rFont val="Calibri"/>
        <family val="2"/>
        <scheme val="minor"/>
      </rPr>
      <t>dms_CRCPlength_Num</t>
    </r>
    <r>
      <rPr>
        <sz val="12"/>
        <color theme="1"/>
        <rFont val="Calibri"/>
        <family val="2"/>
        <scheme val="minor"/>
      </rPr>
      <t xml:space="preserve"> and </t>
    </r>
    <r>
      <rPr>
        <b/>
        <sz val="12"/>
        <color theme="1"/>
        <rFont val="Calibri"/>
        <family val="2"/>
        <scheme val="minor"/>
      </rPr>
      <t>dms_PRCPlength_Num</t>
    </r>
  </si>
  <si>
    <r>
      <t xml:space="preserve">Uses the value in </t>
    </r>
    <r>
      <rPr>
        <b/>
        <sz val="12"/>
        <color theme="1"/>
        <rFont val="Calibri"/>
        <family val="2"/>
        <scheme val="minor"/>
      </rPr>
      <t>dms_FRCPlength_Num-1</t>
    </r>
  </si>
  <si>
    <r>
      <rPr>
        <b/>
        <sz val="12"/>
        <color theme="1"/>
        <rFont val="Calibri"/>
        <family val="2"/>
        <scheme val="minor"/>
      </rPr>
      <t xml:space="preserve">FRY </t>
    </r>
    <r>
      <rPr>
        <sz val="12"/>
        <color theme="1"/>
        <rFont val="Calibri"/>
        <family val="2"/>
        <scheme val="minor"/>
      </rPr>
      <t>from cover sheet</t>
    </r>
  </si>
  <si>
    <r>
      <t xml:space="preserve">Uses the value in </t>
    </r>
    <r>
      <rPr>
        <b/>
        <sz val="12"/>
        <color theme="1"/>
        <rFont val="Calibri"/>
        <family val="2"/>
        <scheme val="minor"/>
      </rPr>
      <t>CRCP_final_year</t>
    </r>
  </si>
  <si>
    <r>
      <t>Uses the value in P</t>
    </r>
    <r>
      <rPr>
        <b/>
        <sz val="12"/>
        <color theme="1"/>
        <rFont val="Calibri"/>
        <family val="2"/>
        <scheme val="minor"/>
      </rPr>
      <t>RCP_final_year</t>
    </r>
  </si>
  <si>
    <r>
      <t xml:space="preserve">If model span &gt; 1 then uses </t>
    </r>
    <r>
      <rPr>
        <b/>
        <sz val="12"/>
        <color theme="1"/>
        <rFont val="Calibri"/>
        <family val="2"/>
        <scheme val="minor"/>
      </rPr>
      <t xml:space="preserve">dms_Reset_RYE </t>
    </r>
    <r>
      <rPr>
        <sz val="12"/>
        <color theme="1"/>
        <rFont val="Calibri"/>
        <family val="2"/>
        <scheme val="minor"/>
      </rPr>
      <t>otherwise it's a multi year ABC and uses</t>
    </r>
    <r>
      <rPr>
        <b/>
        <sz val="12"/>
        <color theme="1"/>
        <rFont val="Calibri"/>
        <family val="2"/>
        <scheme val="minor"/>
      </rPr>
      <t xml:space="preserve"> dms_Specified_RYE</t>
    </r>
  </si>
  <si>
    <r>
      <t xml:space="preserve">If multi year ABC - uses </t>
    </r>
    <r>
      <rPr>
        <b/>
        <sz val="12"/>
        <color theme="1"/>
        <rFont val="Calibri"/>
        <family val="2"/>
        <scheme val="minor"/>
      </rPr>
      <t>dms_Specified_FinalYear</t>
    </r>
  </si>
  <si>
    <r>
      <t xml:space="preserve">Nested IF - feeds into </t>
    </r>
    <r>
      <rPr>
        <b/>
        <sz val="12"/>
        <color theme="1"/>
        <rFont val="Calibri"/>
        <family val="2"/>
        <scheme val="minor"/>
      </rPr>
      <t>dms_RYE</t>
    </r>
  </si>
  <si>
    <r>
      <t xml:space="preserve">NESTED IF - for </t>
    </r>
    <r>
      <rPr>
        <b/>
        <sz val="12"/>
        <color theme="1"/>
        <rFont val="Calibri"/>
        <family val="2"/>
        <scheme val="minor"/>
      </rPr>
      <t>Sheet Headers</t>
    </r>
  </si>
  <si>
    <r>
      <t xml:space="preserve">insert </t>
    </r>
    <r>
      <rPr>
        <i/>
        <u/>
        <sz val="12"/>
        <color theme="0" tint="-0.499984740745262"/>
        <rFont val="Arial"/>
        <family val="2"/>
      </rPr>
      <t>dms_LeapYear</t>
    </r>
    <r>
      <rPr>
        <i/>
        <sz val="12"/>
        <color theme="0" tint="-0.499984740745262"/>
        <rFont val="Arial"/>
        <family val="2"/>
      </rPr>
      <t xml:space="preserve"> NR if required</t>
    </r>
  </si>
  <si>
    <r>
      <t>Using</t>
    </r>
    <r>
      <rPr>
        <i/>
        <sz val="12"/>
        <color theme="4" tint="-0.499984740745262"/>
        <rFont val="Arial"/>
        <family val="2"/>
      </rPr>
      <t xml:space="preserve"> 060101</t>
    </r>
    <r>
      <rPr>
        <sz val="12"/>
        <color theme="4" tint="-0.499984740745262"/>
        <rFont val="Arial"/>
        <family val="2"/>
      </rPr>
      <t xml:space="preserve"> as naming standard not 060701 for start dates</t>
    </r>
  </si>
  <si>
    <r>
      <t xml:space="preserve">dms_060801_StartCell </t>
    </r>
    <r>
      <rPr>
        <i/>
        <sz val="12"/>
        <color theme="0" tint="-0.499984740745262"/>
        <rFont val="Arial"/>
        <family val="2"/>
      </rPr>
      <t>is only found on worksheet 6.8 and is used to determine the starting date for the date range</t>
    </r>
  </si>
  <si>
    <t>3.6.1 - SERVICE COMPONENT</t>
  </si>
  <si>
    <t>Units</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</si>
  <si>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</si>
  <si>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</si>
  <si>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</si>
  <si>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</si>
  <si>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</si>
  <si>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</si>
  <si>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</si>
  <si>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</si>
  <si>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</si>
  <si>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</si>
  <si>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</si>
  <si>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Number of Reactive plant forced outages</t>
  </si>
  <si>
    <t>Number of Transformer forced outages</t>
  </si>
  <si>
    <t>Transformers outage rate - forced</t>
  </si>
  <si>
    <t>Reactive plant outage rate - forced</t>
  </si>
  <si>
    <t>number of reactive plants</t>
  </si>
  <si>
    <t xml:space="preserve">Average outage duration </t>
  </si>
  <si>
    <t>Failure of protection system</t>
  </si>
  <si>
    <t>Material failure of Supervisory Control and Data Acquisition (SCADA) system</t>
  </si>
  <si>
    <t>Incorrect operational isolation of primary or secondary equipment</t>
  </si>
  <si>
    <t>Direct expenditure</t>
  </si>
  <si>
    <t xml:space="preserve">Asset replacements </t>
  </si>
  <si>
    <t xml:space="preserve">Asset failures  </t>
  </si>
  <si>
    <t>DC07 - Capital expenditure | Capex by purpose</t>
  </si>
  <si>
    <t>DC02 - Operational Outputs | Asset replacement activities as commissioned</t>
  </si>
  <si>
    <t>DC02 - Operational Outputs | Other outputs</t>
  </si>
  <si>
    <t>Project name</t>
  </si>
  <si>
    <t>2.7.2 - EXPENDITURE METRICS BY ZONE</t>
  </si>
  <si>
    <t>Substation reactive plants</t>
  </si>
  <si>
    <t>DC06 - Operating expenditure | regulatory accounts (PTS)</t>
  </si>
  <si>
    <t>2.8.2 - COST METRICS FOR ROUTINE AND NON-ROUTINE MAINTENANCE</t>
  </si>
  <si>
    <t>2.10.1 - NETWORK OVERHEADS EXPENDITURE</t>
  </si>
  <si>
    <t>2.10.2 - CORPORATE OVERHEADS EXPENDITURE</t>
  </si>
  <si>
    <t>Operating expenditure</t>
  </si>
  <si>
    <t>Capital expenditure</t>
  </si>
  <si>
    <t>DC06 - Operating expenditure | Regulatory accounts</t>
  </si>
  <si>
    <t>PROJECT NAME/ID</t>
  </si>
  <si>
    <t>Total operations and maintenance expenditure</t>
  </si>
  <si>
    <t>Directly attributable opex</t>
  </si>
  <si>
    <t>Allocated opex</t>
  </si>
  <si>
    <t>Total gross capex - as incurred</t>
  </si>
  <si>
    <t>Indirect expenditure</t>
  </si>
  <si>
    <t>Total expenditure</t>
  </si>
  <si>
    <t>Total gross capex</t>
  </si>
  <si>
    <t>Total Opex</t>
  </si>
  <si>
    <t>Regulatory accounts
 (Prescribed transmission services)</t>
  </si>
  <si>
    <t>Other expenditure (before interest and tax)</t>
  </si>
  <si>
    <t>Depreciation</t>
  </si>
  <si>
    <t>Loss on disposal of fixed assets</t>
  </si>
  <si>
    <t>Debt raising expenditure</t>
  </si>
  <si>
    <t>Capex - as commissioned</t>
  </si>
  <si>
    <t>Total capex</t>
  </si>
  <si>
    <t>Total disposals by asset class</t>
  </si>
  <si>
    <t>Total immediate expensing of capex</t>
  </si>
  <si>
    <t>Total NCIPAP projects</t>
  </si>
  <si>
    <t>ANNUAL INFORMATION ORDER</t>
  </si>
  <si>
    <t>CA RIN 2.1 EXPENDITURE SUMMARY</t>
  </si>
  <si>
    <t>2.1.1 - PRESCRIBED TRANSMISSION SERVICES CAPEX (as incurred)</t>
  </si>
  <si>
    <t>CA RIN 2.2 REPEX</t>
  </si>
  <si>
    <t>Asset failures</t>
  </si>
  <si>
    <t>DC03 - Network metrics | Length</t>
  </si>
  <si>
    <t>DC03 - Network metrics | Capacity</t>
  </si>
  <si>
    <t>Prescribed transmission services</t>
  </si>
  <si>
    <t>CA RIN 2.5 CONNECTIONS</t>
  </si>
  <si>
    <t>CA RIN 2.6 NON-NETWORK</t>
  </si>
  <si>
    <t>CA RIN 2.7 VEGETATION MANAGEMENT</t>
  </si>
  <si>
    <t>CA RIN 2.8 MAINTENANCE</t>
  </si>
  <si>
    <t>CA RIN 2.10 OVERHEADS</t>
  </si>
  <si>
    <t>Revenue requirements</t>
  </si>
  <si>
    <t>Asset augmentation activities as commissioned</t>
  </si>
  <si>
    <t>Augex asset data - lines</t>
  </si>
  <si>
    <t>KV</t>
  </si>
  <si>
    <t>Line ID</t>
  </si>
  <si>
    <t>Project ID</t>
  </si>
  <si>
    <t>Project type</t>
  </si>
  <si>
    <t xml:space="preserve">Voltage </t>
  </si>
  <si>
    <t>Project trigger</t>
  </si>
  <si>
    <t>Direct Expenditure</t>
  </si>
  <si>
    <t>DC02 - Operational outputs | Connections (transmission)</t>
  </si>
  <si>
    <t>Connection rating</t>
  </si>
  <si>
    <t>Connection 
voltage</t>
  </si>
  <si>
    <t xml:space="preserve">Year connection project completed </t>
  </si>
  <si>
    <t>Regulatory accounts 
(prescribed transmission services)</t>
  </si>
  <si>
    <t>Total ICT expenditure</t>
  </si>
  <si>
    <t>OTHER NON-NETWORK CAPITAL EXPENDITURE</t>
  </si>
  <si>
    <t>Total non-network operating expenditure</t>
  </si>
  <si>
    <t>Total non-network capital expenditure</t>
  </si>
  <si>
    <t>3.1.3 REVENUE (penalties) ALLOWED (deducted) THROUGH INCENTIVE SCHEMES</t>
  </si>
  <si>
    <t>DC09 - Revenue and financial statements | Regulatory accounts (PTS)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</si>
  <si>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</si>
  <si>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</si>
  <si>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</si>
  <si>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</si>
  <si>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DC06 - Operating expenditure |Regulatory accounts (PTS)</t>
  </si>
  <si>
    <t>DC07 - Capital expenditure | Capex by asset class</t>
  </si>
  <si>
    <t>CAPEX - AS COMMISSIONED</t>
  </si>
  <si>
    <t>CAPEX - AS INCURRED</t>
  </si>
  <si>
    <t>Movements in provisions allocated to as commissioned capex</t>
  </si>
  <si>
    <t>Gross capex additions to the RAB and TAB</t>
  </si>
  <si>
    <t>Disposals by asset class</t>
  </si>
  <si>
    <t>Immediate expensing of capex</t>
  </si>
  <si>
    <t>NCIPAP projects</t>
  </si>
  <si>
    <t>Movements in provisions allocated to as incurred capex</t>
  </si>
  <si>
    <t>Audited financial statements</t>
  </si>
  <si>
    <t>Negotiated transmission services</t>
  </si>
  <si>
    <t>Non-regulated transmission services</t>
  </si>
  <si>
    <t>Not allocated</t>
  </si>
  <si>
    <t>Regulatory adjustments</t>
  </si>
  <si>
    <t>Regulatory 
accounts (PTS)</t>
  </si>
  <si>
    <t xml:space="preserve">DC06 - Operating expenditure | Audited statutory accounts </t>
  </si>
  <si>
    <t>DC06 - Operating expenditure | Regulatory accounts (PTS)</t>
  </si>
  <si>
    <r>
      <t xml:space="preserve">Asset base by asset group - </t>
    </r>
    <r>
      <rPr>
        <sz val="11"/>
        <rFont val="Calibri"/>
        <family val="2"/>
        <scheme val="minor"/>
      </rPr>
      <t>partially as incurred</t>
    </r>
  </si>
  <si>
    <t>Assets maintained</t>
  </si>
  <si>
    <t>Assets inspected</t>
  </si>
  <si>
    <t>Routine</t>
  </si>
  <si>
    <t>Non-routine</t>
  </si>
  <si>
    <t>Direct</t>
  </si>
  <si>
    <t>Indirect</t>
  </si>
  <si>
    <t>5.2.1 - ASSET AGE PROFILE</t>
  </si>
  <si>
    <t>CA RIN 5.2 ASSET AGE PROFILE</t>
  </si>
  <si>
    <t>DC09 - Revenue and financial statements | Audited statutory accounts</t>
  </si>
  <si>
    <t>&lt;TNSP descriptor&gt;</t>
  </si>
  <si>
    <t>Large Projects</t>
  </si>
  <si>
    <t>REVENUE RECOVERIES</t>
  </si>
  <si>
    <t>REVENUE UNDERS / OVERS</t>
  </si>
  <si>
    <t>REVENUE RECONCILIATION (T-2)</t>
  </si>
  <si>
    <r>
      <t xml:space="preserve">Asset base by asset group - </t>
    </r>
    <r>
      <rPr>
        <sz val="11"/>
        <rFont val="Calibri"/>
        <family val="2"/>
        <scheme val="minor"/>
      </rPr>
      <t>as commissioned</t>
    </r>
  </si>
  <si>
    <t>Forecast straight line depreciation</t>
  </si>
  <si>
    <t>Actual tax depreciation</t>
  </si>
  <si>
    <t>Capacity</t>
  </si>
  <si>
    <t>Service component performance</t>
  </si>
  <si>
    <t>Regulatory financial statements (PTS)</t>
  </si>
  <si>
    <t>BUSINESS SPECIFIED PROVISIONS</t>
  </si>
  <si>
    <t>Regulatory accounts (PTS)</t>
  </si>
  <si>
    <t>Length</t>
  </si>
  <si>
    <t>SOURCE: STPIS Guidelines V.5</t>
  </si>
  <si>
    <t>Parameter 2 Loss of supply event frequency</t>
  </si>
  <si>
    <t>TNSP</t>
  </si>
  <si>
    <t>Transgrid</t>
  </si>
  <si>
    <t>x system minute</t>
  </si>
  <si>
    <t>y system minute</t>
  </si>
  <si>
    <t xml:space="preserve"> 'y' threshold applied in the reporting year under the scheme</t>
  </si>
  <si>
    <t>System minutes</t>
  </si>
  <si>
    <t>Number of events</t>
  </si>
  <si>
    <t xml:space="preserve"> 'x' threshold applied in the reporting year under the scheme</t>
  </si>
  <si>
    <t>SERVICE PARAMETER 1 – AVERAGE CIRCUIT OUTAGE RATE</t>
  </si>
  <si>
    <t xml:space="preserve">SERVICE PARAMETER 2 – LOSS OF SUPPLY EVENT FREQUENCY </t>
  </si>
  <si>
    <t>SERVICE PARAMETER 3 – AVERAGE OUTAGE DURATION</t>
  </si>
  <si>
    <t>SERVICE PARAMETER 4 – PROPER OPERATION OF EQUIPMENT – NUMBER OF FAILURE EVENTS</t>
  </si>
  <si>
    <t>INDENTIFY THE SERVICE TARGET PERFORMANCE INCENTIVE SCHEME (STPIS) THAT APPLIED IN THE REPORTING PERIOD</t>
  </si>
  <si>
    <t>DC05 - Service Performance | Service component performance</t>
  </si>
  <si>
    <t>DC05 - Service Performance | System losses</t>
  </si>
  <si>
    <t>Without exclusions</t>
  </si>
  <si>
    <t>With exclusions</t>
  </si>
  <si>
    <t>Calendar year</t>
  </si>
  <si>
    <t>Amount of prudent discounts offered / recovered from other transmission customers</t>
  </si>
  <si>
    <t>RESET RIN 7.9 MARKET IMPACT COMPONENT</t>
  </si>
  <si>
    <t>Reset RIN</t>
  </si>
  <si>
    <t>Information Guideline</t>
  </si>
  <si>
    <t>7.9 Market Impact Component</t>
  </si>
  <si>
    <t>EB RIN 3.1 REVENUE</t>
  </si>
  <si>
    <t>EB RIN 3.5 PHYSICAL ASSETS</t>
  </si>
  <si>
    <t>X</t>
  </si>
  <si>
    <t>TQS0116A</t>
  </si>
  <si>
    <t>TQS0116B</t>
  </si>
  <si>
    <t>TQS0116C</t>
  </si>
  <si>
    <t>TQS0116D</t>
  </si>
  <si>
    <t>TQS0116E</t>
  </si>
  <si>
    <t>TQS0116F</t>
  </si>
  <si>
    <t>TQS0116G</t>
  </si>
  <si>
    <t>TQS0116H</t>
  </si>
  <si>
    <t>TQS0117A</t>
  </si>
  <si>
    <t>TQS0117B</t>
  </si>
  <si>
    <t>TQS0117C</t>
  </si>
  <si>
    <t>TQS0117D</t>
  </si>
  <si>
    <t>TQS0117E</t>
  </si>
  <si>
    <t>TQS0117F</t>
  </si>
  <si>
    <t>TQS0117G</t>
  </si>
  <si>
    <t>TQS0117H</t>
  </si>
  <si>
    <t>EB Reference</t>
  </si>
  <si>
    <t>system minutes per annum</t>
  </si>
  <si>
    <t>TQS0116I</t>
  </si>
  <si>
    <t>TQS0117I</t>
  </si>
  <si>
    <t>TQS0116J</t>
  </si>
  <si>
    <t>TQS0117J</t>
  </si>
  <si>
    <t>TQS0116K</t>
  </si>
  <si>
    <t>TQS0116L</t>
  </si>
  <si>
    <t>TQS0116M</t>
  </si>
  <si>
    <t>TQS0116N</t>
  </si>
  <si>
    <t>TQS0116O</t>
  </si>
  <si>
    <t>TQS0116P</t>
  </si>
  <si>
    <t>TQS0116Q</t>
  </si>
  <si>
    <t>TQS0116R</t>
  </si>
  <si>
    <t>TQS0116S</t>
  </si>
  <si>
    <t>TQS0116T</t>
  </si>
  <si>
    <t>TQS0117K</t>
  </si>
  <si>
    <t>TQS0117L</t>
  </si>
  <si>
    <t>TQS0117M</t>
  </si>
  <si>
    <t>TQS0117N</t>
  </si>
  <si>
    <t>TQS0117O</t>
  </si>
  <si>
    <t>TQS0117P</t>
  </si>
  <si>
    <t>TQS0117Q</t>
  </si>
  <si>
    <t>TQS0117R</t>
  </si>
  <si>
    <t>TQS0117S</t>
  </si>
  <si>
    <t>TQS0117T</t>
  </si>
  <si>
    <t>Number of events greater than</t>
  </si>
  <si>
    <t>threshold applied</t>
  </si>
  <si>
    <t>Audit</t>
  </si>
  <si>
    <t>Buildings and property expenditure</t>
  </si>
  <si>
    <t>Capex - as incurred</t>
  </si>
  <si>
    <t>The information provided in response to the annual information order is subject to the assurance requirements set out in section 6 of the Order.</t>
  </si>
  <si>
    <t>ASSURANCE REQUIREMENTS</t>
  </si>
  <si>
    <t>This worksheet provides a summary list of the relevant assurance standard for each table on each worksheet in this data submission workbook.</t>
  </si>
  <si>
    <t>Sub table</t>
  </si>
  <si>
    <t xml:space="preserve">Actual information </t>
  </si>
  <si>
    <t>Estimated information</t>
  </si>
  <si>
    <t>Assurance standard</t>
  </si>
  <si>
    <t xml:space="preserve">Column heading </t>
  </si>
  <si>
    <t>ASAE3000</t>
  </si>
  <si>
    <t>Voltage</t>
  </si>
  <si>
    <t>Not required</t>
  </si>
  <si>
    <t>ASA805</t>
  </si>
  <si>
    <t>ASRE2405</t>
  </si>
  <si>
    <t>Table disaggregation (if needed)</t>
  </si>
  <si>
    <t>2.4.2 - ACTUAL GROSS CAPITAL EXPENDITURE – AS INCURRED</t>
  </si>
  <si>
    <t>2.4.1 - ACTUAL GROSS CAPITAL EXPENDITURE – AS COMMISSIONED</t>
  </si>
  <si>
    <t>8.6 INDICATIVE ASSET BASE ROLL FORWARD</t>
  </si>
  <si>
    <t>8.6.2 - INDICATIVE ASSET BASE AS COMMISSIONED</t>
  </si>
  <si>
    <t>9.2.1 - RFS INCOME STATEMENT</t>
  </si>
  <si>
    <t>9.1.1 - DISAGG INCOME STATEMENT</t>
  </si>
  <si>
    <t xml:space="preserve">7.6.1 - PRICE REDUCTION/RECOVERY </t>
  </si>
  <si>
    <t>7.7.1 - RELATED PARTY TRANSACTIONS</t>
  </si>
  <si>
    <t>7.5.1 - LARGE PROJECT OPERATING EXPENDITURE</t>
  </si>
  <si>
    <t>7.5.2 - LARGE PROJECT CAPITAL EXPENDITURE</t>
  </si>
  <si>
    <t>8.8.1 - REVENUE REQUIREMENTS</t>
  </si>
  <si>
    <t>8.5.1 - DISAGG OPEX - OPERATIONS AND MAINTENANCE EXPENDITURE - AUDITED FINANCIAL STATEMENTS</t>
  </si>
  <si>
    <t>8.5.2 - DISAGG OPEX - OPERATIONS AND MAINTENANCE EXPENDITURE - REGULATORY ACCOUNTS</t>
  </si>
  <si>
    <t>#</t>
  </si>
  <si>
    <t>≥0</t>
  </si>
  <si>
    <t>NULL</t>
  </si>
  <si>
    <t>Asset Replacement</t>
  </si>
  <si>
    <t>YYYY</t>
  </si>
  <si>
    <t>TNSP defined</t>
  </si>
  <si>
    <t>TNSP specified</t>
  </si>
  <si>
    <t>text
NULL valid</t>
  </si>
  <si>
    <t>Connection voltage</t>
  </si>
  <si>
    <t>under/over</t>
  </si>
  <si>
    <r>
      <t>NULL</t>
    </r>
    <r>
      <rPr>
        <sz val="10"/>
        <color theme="1"/>
        <rFont val="Calibri"/>
        <family val="2"/>
        <scheme val="minor"/>
      </rPr>
      <t xml:space="preserve"> if</t>
    </r>
  </si>
  <si>
    <t>Text</t>
  </si>
  <si>
    <t>Free Text</t>
  </si>
  <si>
    <t>Free text</t>
  </si>
  <si>
    <t>Non-rountine</t>
  </si>
  <si>
    <t>Category descriptors must align with categories in the PTRM for the relevant year and/or with previously submitted categories</t>
  </si>
  <si>
    <t>DC07 - Capital expenditure |capex by purpose</t>
  </si>
  <si>
    <t>Reg accounts</t>
  </si>
  <si>
    <t>Categories consistent with previous year's reporting where applicable</t>
  </si>
  <si>
    <t>consistent with previous year where applicable</t>
  </si>
  <si>
    <t>Circuit capacity</t>
  </si>
  <si>
    <t>STPIS Version</t>
  </si>
  <si>
    <t>≥0;≤1</t>
  </si>
  <si>
    <t>Regulatory accounts</t>
  </si>
  <si>
    <t>Prescribed tranmission services</t>
  </si>
  <si>
    <t>Category descriptors to be  consistent with previous year's reporting, where applicable</t>
  </si>
  <si>
    <t>Related parties</t>
  </si>
  <si>
    <t>Description of transaction</t>
  </si>
  <si>
    <t>Type of service</t>
  </si>
  <si>
    <t>Procurement process</t>
  </si>
  <si>
    <t>Categories to be consistent with previous year's reporting where applicable</t>
  </si>
  <si>
    <t>Text choice</t>
  </si>
  <si>
    <t>Planned - without</t>
  </si>
  <si>
    <t>Planned - with</t>
  </si>
  <si>
    <t>Unplanned - without</t>
  </si>
  <si>
    <t>Unpanned - with</t>
  </si>
  <si>
    <t>Unit of measure - eg $ or $real or $(year)</t>
  </si>
  <si>
    <t>Unit of measure</t>
  </si>
  <si>
    <t>CHECK SUM</t>
  </si>
  <si>
    <t>NULL if</t>
  </si>
  <si>
    <t>If more rows needed, copy this row and insert above</t>
  </si>
  <si>
    <t>Regulatory 
accounts (PTS) Direct</t>
  </si>
  <si>
    <t>Regulatory 
accounts (PTS) Indirect</t>
  </si>
  <si>
    <t>Annual Orders</t>
  </si>
  <si>
    <t>2.4 Hist Capex by Asset Class</t>
  </si>
  <si>
    <t>8.5 DISAGG Opex</t>
  </si>
  <si>
    <t>9.1 DISAGG Inc</t>
  </si>
  <si>
    <t>9.2 RFS Inc</t>
  </si>
  <si>
    <t>7.6 PTS Price Redn</t>
  </si>
  <si>
    <t>7.7 INF Rel Part Trans</t>
  </si>
  <si>
    <t>7.5 Large projects</t>
  </si>
  <si>
    <t>8.8 Revenue Requirements</t>
  </si>
  <si>
    <t>8.6 Indicative Asset Base Roll Forward</t>
  </si>
  <si>
    <t xml:space="preserve">Calendar year </t>
  </si>
  <si>
    <t xml:space="preserve">CY </t>
  </si>
  <si>
    <t xml:space="preserve">Financial year </t>
  </si>
  <si>
    <t>FY</t>
  </si>
  <si>
    <t>If more rows needed, insert above this row</t>
  </si>
  <si>
    <t>N/A</t>
  </si>
  <si>
    <t>Submission type</t>
  </si>
  <si>
    <t>Annual Information Order</t>
  </si>
  <si>
    <t>Amended data 
Amendment Reason</t>
  </si>
  <si>
    <t>2.3c.2 - MATERIAL PROJECTS</t>
  </si>
  <si>
    <t>Assets added</t>
  </si>
  <si>
    <t>NA</t>
  </si>
  <si>
    <t>2.3c.2 Material projects</t>
  </si>
  <si>
    <t>Expected commissioning date</t>
  </si>
  <si>
    <t>DC07 - Capital expenditure | Material projects</t>
  </si>
  <si>
    <t>Project start date</t>
  </si>
  <si>
    <t>Regulatory Financial Statements 
(prescribed transmission services)</t>
  </si>
  <si>
    <t>Project details</t>
  </si>
  <si>
    <t>dd/mm/yyyy</t>
  </si>
  <si>
    <t>ASAE3001</t>
  </si>
  <si>
    <t>ASAE3002</t>
  </si>
  <si>
    <t>ASAE3003</t>
  </si>
  <si>
    <t>ASAE3004</t>
  </si>
  <si>
    <t>ASAE3005</t>
  </si>
  <si>
    <t>ASAE3006</t>
  </si>
  <si>
    <t>project start date / Expected commissioning date</t>
  </si>
  <si>
    <t>Capex $real</t>
  </si>
  <si>
    <t>2.3c Material projects</t>
  </si>
  <si>
    <t>na</t>
  </si>
  <si>
    <t>Opex</t>
  </si>
  <si>
    <t>ASA806</t>
  </si>
  <si>
    <t>ASRE2406</t>
  </si>
  <si>
    <t>Capex</t>
  </si>
  <si>
    <t>&lt;business specified unit of measure&gt;</t>
  </si>
  <si>
    <t>&lt;TNSP specified asset&gt;</t>
  </si>
  <si>
    <t>&lt;Project name&gt;</t>
  </si>
  <si>
    <t>Asset details</t>
  </si>
  <si>
    <t>Asset name</t>
  </si>
  <si>
    <t>Unit of measure (eg KM, MVA)</t>
  </si>
  <si>
    <t>DD/MM/YYYY</t>
  </si>
  <si>
    <t>Regulatory Financial Statements (prescribed transmission services)</t>
  </si>
  <si>
    <t>2.3c Material Projects</t>
  </si>
  <si>
    <t>Motor vehicles</t>
  </si>
  <si>
    <t>Categories specified must align with the categories used in the previous regulatory year, or an explanation for new categories provided.</t>
  </si>
  <si>
    <t>Regulatory accounts 
(prescribed transmission services)
Direct expenditure</t>
  </si>
  <si>
    <t>Substation reactive plant</t>
  </si>
  <si>
    <t>Assurance requirements by table</t>
  </si>
  <si>
    <t>EB RIN 3.2.3 PROVISIONS</t>
  </si>
  <si>
    <t>number of assets/km</t>
  </si>
  <si>
    <t>TREV0301</t>
  </si>
  <si>
    <t>TREV0302</t>
  </si>
  <si>
    <t>TREV0312</t>
  </si>
  <si>
    <t>TREV0303</t>
  </si>
  <si>
    <t>TREV0304</t>
  </si>
  <si>
    <t>TREV0305</t>
  </si>
  <si>
    <t>TREV0306</t>
  </si>
  <si>
    <t>TREV0307</t>
  </si>
  <si>
    <t>TREV0308</t>
  </si>
  <si>
    <t>TREV0309</t>
  </si>
  <si>
    <t>TREV0310</t>
  </si>
  <si>
    <t>TREV0311</t>
  </si>
  <si>
    <t>TREV03</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</si>
  <si>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</si>
  <si>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</si>
  <si>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</si>
  <si>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</si>
  <si>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</si>
  <si>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</si>
  <si>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</si>
  <si>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</si>
  <si>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</si>
  <si>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</si>
  <si>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</si>
  <si>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</si>
  <si>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</si>
  <si>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</si>
  <si>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</si>
  <si>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</si>
  <si>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</si>
  <si>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</si>
  <si>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</si>
  <si>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</si>
  <si>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</si>
  <si>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</si>
  <si>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</si>
  <si>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</si>
  <si>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</si>
  <si>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</si>
  <si>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</si>
  <si>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</si>
  <si>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</si>
  <si>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</si>
  <si>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</si>
  <si>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</si>
  <si>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</si>
  <si>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</si>
  <si>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</si>
  <si>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</si>
  <si>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</si>
  <si>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</si>
  <si>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</si>
  <si>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</si>
  <si>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</si>
  <si>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</si>
  <si>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</si>
  <si>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</si>
  <si>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</si>
  <si>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</si>
  <si>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</si>
  <si>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</si>
  <si>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</si>
  <si>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</si>
  <si>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</si>
  <si>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</si>
  <si>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</si>
  <si>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</si>
  <si>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</si>
  <si>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</si>
  <si>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</si>
  <si>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</si>
  <si>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</si>
  <si>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</si>
  <si>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</si>
  <si>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</si>
  <si>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</si>
  <si>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</si>
  <si>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</si>
  <si>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</si>
  <si>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</si>
  <si>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</si>
  <si>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</si>
  <si>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</si>
  <si>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</si>
  <si>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</si>
  <si>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</si>
  <si>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</si>
  <si>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</si>
  <si>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</si>
  <si>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</si>
  <si>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</si>
  <si>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</si>
  <si>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</si>
  <si>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</si>
  <si>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</si>
  <si>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</si>
  <si>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</si>
  <si>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</si>
  <si>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</si>
  <si>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</si>
  <si>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</si>
  <si>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</si>
  <si>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</si>
  <si>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</si>
  <si>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</si>
  <si>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</si>
  <si>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</si>
  <si>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</si>
  <si>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</si>
  <si>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</si>
  <si>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</si>
  <si>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</si>
  <si>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</si>
  <si>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</si>
  <si>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</si>
  <si>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</si>
  <si>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</si>
  <si>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</si>
  <si>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</si>
  <si>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</si>
  <si>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</si>
  <si>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</si>
  <si>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</si>
  <si>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</si>
  <si>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</si>
  <si>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</si>
  <si>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</si>
  <si>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</si>
  <si>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</si>
  <si>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</si>
  <si>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</si>
  <si>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</si>
  <si>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</si>
  <si>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</si>
  <si>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</si>
  <si>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</si>
  <si>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</si>
  <si>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</si>
  <si>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</si>
  <si>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</si>
  <si>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</si>
  <si>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</si>
  <si>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</si>
  <si>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</si>
  <si>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</si>
  <si>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</si>
  <si>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</si>
  <si>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</si>
  <si>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</si>
  <si>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</si>
  <si>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</si>
  <si>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</si>
  <si>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</si>
  <si>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</si>
  <si>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</si>
  <si>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</si>
  <si>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</si>
  <si>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</si>
  <si>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</si>
  <si>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</si>
  <si>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</si>
  <si>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</si>
  <si>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</si>
  <si>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</si>
  <si>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</si>
  <si>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</si>
  <si>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</si>
  <si>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</si>
  <si>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</si>
  <si>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</si>
  <si>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</si>
  <si>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</si>
  <si>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</si>
  <si>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</si>
  <si>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</si>
  <si>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</si>
  <si>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</si>
  <si>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</si>
  <si>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</si>
  <si>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</si>
  <si>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</si>
  <si>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</si>
  <si>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</si>
  <si>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</si>
  <si>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</si>
  <si>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</si>
  <si>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</si>
  <si>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</si>
  <si>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</si>
  <si>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</si>
  <si>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</si>
  <si>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</si>
  <si>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</si>
  <si>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</si>
  <si>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</si>
  <si>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</si>
  <si>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</si>
  <si>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</si>
  <si>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</si>
  <si>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</si>
  <si>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</si>
  <si>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</si>
  <si>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</si>
  <si>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</si>
  <si>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</si>
  <si>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</si>
  <si>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</si>
  <si>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</si>
  <si>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</si>
  <si>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</si>
  <si>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</si>
  <si>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</si>
  <si>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</si>
  <si>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</si>
  <si>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</si>
  <si>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</si>
  <si>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</si>
  <si>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</si>
  <si>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</si>
  <si>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</si>
  <si>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</si>
  <si>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</si>
  <si>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</si>
  <si>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</si>
  <si>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</si>
  <si>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</si>
  <si>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</si>
  <si>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</si>
  <si>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</si>
  <si>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</si>
  <si>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</si>
  <si>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</si>
  <si>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</si>
  <si>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</si>
  <si>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</si>
  <si>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</si>
  <si>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</si>
  <si>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</si>
  <si>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</si>
  <si>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</si>
  <si>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</si>
  <si>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</si>
  <si>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</si>
  <si>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</si>
  <si>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</si>
  <si>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</si>
  <si>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</si>
  <si>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</si>
  <si>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</si>
  <si>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</si>
  <si>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</si>
  <si>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</si>
  <si>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</si>
  <si>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</si>
  <si>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</si>
  <si>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</si>
  <si>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</si>
  <si>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</si>
  <si>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</si>
  <si>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</si>
  <si>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</si>
  <si>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</si>
  <si>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</si>
  <si>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</si>
  <si>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</si>
  <si>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</si>
  <si>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</si>
  <si>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</si>
  <si>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</si>
  <si>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</si>
  <si>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</si>
  <si>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</si>
  <si>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</si>
  <si>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</si>
  <si>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</si>
  <si>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</si>
  <si>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</si>
  <si>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</si>
  <si>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</si>
  <si>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</si>
  <si>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</si>
  <si>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</si>
  <si>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</si>
  <si>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TPA0101</t>
  </si>
  <si>
    <t>TPA0102</t>
  </si>
  <si>
    <t>TPA0103</t>
  </si>
  <si>
    <t>TPA0104</t>
  </si>
  <si>
    <t>TPA0105</t>
  </si>
  <si>
    <t>TPA0106</t>
  </si>
  <si>
    <t>TPA0107</t>
  </si>
  <si>
    <t>TPA0108</t>
  </si>
  <si>
    <t>TPA0109</t>
  </si>
  <si>
    <t>TPA0110</t>
  </si>
  <si>
    <t>TPA0111</t>
  </si>
  <si>
    <t>TPA0112</t>
  </si>
  <si>
    <t>TPA01</t>
  </si>
  <si>
    <t>TPA0201</t>
  </si>
  <si>
    <t>TPA0202</t>
  </si>
  <si>
    <t>TPA0203</t>
  </si>
  <si>
    <t>TPA0204</t>
  </si>
  <si>
    <t>TPA0205</t>
  </si>
  <si>
    <t>TPA0206</t>
  </si>
  <si>
    <t>TPA0207</t>
  </si>
  <si>
    <t>TPA0208</t>
  </si>
  <si>
    <t>TPA0209</t>
  </si>
  <si>
    <t>TPA0210</t>
  </si>
  <si>
    <t>TPA02</t>
  </si>
  <si>
    <t>TPA0301</t>
  </si>
  <si>
    <t>TPA0302</t>
  </si>
  <si>
    <t>TPA0303</t>
  </si>
  <si>
    <t>TPA0304</t>
  </si>
  <si>
    <t>TPA0305</t>
  </si>
  <si>
    <t>TPA0306</t>
  </si>
  <si>
    <t>TPA0307</t>
  </si>
  <si>
    <t>TPA0308</t>
  </si>
  <si>
    <t>TPA0309</t>
  </si>
  <si>
    <t>TPA0310</t>
  </si>
  <si>
    <t>TPA0311</t>
  </si>
  <si>
    <t>TPA0401</t>
  </si>
  <si>
    <t>TPA0402</t>
  </si>
  <si>
    <t>TPA0403</t>
  </si>
  <si>
    <t>TPA0404</t>
  </si>
  <si>
    <t>TPA0405</t>
  </si>
  <si>
    <t>TPA0406</t>
  </si>
  <si>
    <t>TPA0407</t>
  </si>
  <si>
    <t>TPA0408</t>
  </si>
  <si>
    <t>TPA0409</t>
  </si>
  <si>
    <t>TPA0410</t>
  </si>
  <si>
    <t>TPA0411</t>
  </si>
  <si>
    <t>TQS0101</t>
  </si>
  <si>
    <t>TQS0102</t>
  </si>
  <si>
    <t>TQS0103</t>
  </si>
  <si>
    <t>TQS0104</t>
  </si>
  <si>
    <t>TQS0105</t>
  </si>
  <si>
    <t>TQS0106</t>
  </si>
  <si>
    <t>TQS0107</t>
  </si>
  <si>
    <t>TQS0108</t>
  </si>
  <si>
    <t>TQS0109</t>
  </si>
  <si>
    <t>TQS0110</t>
  </si>
  <si>
    <t>TQS0111</t>
  </si>
  <si>
    <t>TQS0112</t>
  </si>
  <si>
    <t>TQS0113</t>
  </si>
  <si>
    <t>TQS0114</t>
  </si>
  <si>
    <t>TQS0115</t>
  </si>
  <si>
    <t>TQS0118</t>
  </si>
  <si>
    <t>TQS0119</t>
  </si>
  <si>
    <t>TQS0120</t>
  </si>
  <si>
    <t>TQS0121</t>
  </si>
  <si>
    <t>TQS02</t>
  </si>
  <si>
    <t>TQS03</t>
  </si>
  <si>
    <t>DC06 - Operating expenditure | Large projects</t>
  </si>
  <si>
    <t>TREV0110</t>
  </si>
  <si>
    <t>TREV01</t>
  </si>
  <si>
    <t>EB RIN 3.6 QUALITY OF SERVICES</t>
  </si>
  <si>
    <t>7.5 LARGE PROJECTS</t>
  </si>
  <si>
    <t>8.8 REVENUE REQUIREMENTS</t>
  </si>
  <si>
    <t>CA RIN 2.3c MATERIAL PROJECTS (AUGEX)</t>
  </si>
  <si>
    <t xml:space="preserve">Info Guideline 2.4 Hist Capex by Asset Class </t>
  </si>
  <si>
    <t>Info Guideline 8.5 DISAGG Opex</t>
  </si>
  <si>
    <t>Info Guideline 9.1 DISAGG Inc</t>
  </si>
  <si>
    <t>Info Guideline 9.2 RFS Inc</t>
  </si>
  <si>
    <t>Info Guideline 7.6 PTS Price Redn</t>
  </si>
  <si>
    <t>Info Guideline 7.7 Inf Rel Part Trans</t>
  </si>
  <si>
    <t>8.6.1 - INDICATIVE ASSET BASE PARTIALLY AS INCURRED</t>
  </si>
  <si>
    <t>DC06 - Operating expenditure | Audited statutory accounts</t>
  </si>
  <si>
    <t>DC07 - Capital expenditure | Audited statutory accounts</t>
  </si>
  <si>
    <t>DC07 - Capital expenditure | Regulatory accounts (PTS)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</si>
</sst>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64" formatCode="_(* #,##0.00_);_(* \(#,##0.00\);_(* &quot;-&quot;??_);_(@_)"/>
    <numFmt numFmtId="165" formatCode="_(* #,##0_);_(* \(#,##0\);_(* &quot;-&quot;_);_(@_)"/>
    <numFmt numFmtId="166" formatCode="##\ ###\ ###\ ###\ ##0"/>
    <numFmt numFmtId="167" formatCode="0#\ ####\ ####"/>
    <numFmt numFmtId="168" formatCode="_-* #,##0_-;[Red]\(#,##0\)_-;_-* &quot;-&quot;??_-;_-@_-"/>
    <numFmt numFmtId="169" formatCode="_-* #,##0_-;\-* #,##0_-;_-* &quot;-&quot;??_-;_-@_-"/>
    <numFmt numFmtId="170" formatCode="#,##0.000_ ;[Red]\-#,##0.000\ "/>
    <numFmt numFmtId="171" formatCode="#,##0.000"/>
    <numFmt numFmtId="172" formatCode="_-* #,##0.000_-;[Red]\(#,##0.000\)_-;_-* &quot;-&quot;??_-;_-@_-"/>
    <numFmt numFmtId="173" formatCode="yyyy"/>
    <numFmt numFmtId="174" formatCode="_-* #,##0.0_-;[Red]\(#,##0.0\)_-;_-* &quot;-&quot;??_-;_-@_-"/>
    <numFmt numFmtId="175" formatCode="#,##0.00000"/>
    <numFmt numFmtId="176" formatCode="#,##0.0000"/>
    <numFmt numFmtId="177" formatCode="0000"/>
    <numFmt numFmtId="178" formatCode="mmmm\ yyyy"/>
    <numFmt numFmtId="179" formatCode="dd/mm/yyyy"/>
  </numFmts>
  <fonts count="188">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10"/>
      <name val="Arial"/>
      <family val="2"/>
    </font>
    <font>
      <b/>
      <sz val="14"/>
      <name val="Arial"/>
      <family val="2"/>
    </font>
    <font>
      <sz val="12"/>
      <name val="Arial"/>
      <family val="2"/>
    </font>
    <font>
      <i/>
      <sz val="12"/>
      <name val="Arial"/>
      <family val="2"/>
    </font>
    <font>
      <sz val="11"/>
      <name val="Arial"/>
      <family val="2"/>
    </font>
    <font>
      <b/>
      <sz val="11"/>
      <name val="Arial"/>
      <family val="2"/>
    </font>
    <font>
      <b/>
      <sz val="12"/>
      <name val="Arial"/>
      <family val="2"/>
    </font>
    <font>
      <b/>
      <sz val="9"/>
      <name val="Arial"/>
      <family val="2"/>
    </font>
    <font>
      <b/>
      <sz val="16"/>
      <color theme="0"/>
      <name val="Arial"/>
      <family val="2"/>
    </font>
    <font>
      <b/>
      <sz val="20"/>
      <color theme="0"/>
      <name val="Arial"/>
      <family val="2"/>
    </font>
    <font>
      <sz val="11"/>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sz val="12"/>
      <name val="Calibri"/>
      <family val="2"/>
      <scheme val="minor"/>
    </font>
    <font>
      <sz val="12"/>
      <color rgb="FFFF0000"/>
      <name val="Arial"/>
      <family val="2"/>
    </font>
    <font>
      <b/>
      <sz val="18"/>
      <color theme="0"/>
      <name val="Arial"/>
      <family val="2"/>
    </font>
    <font>
      <b/>
      <sz val="24"/>
      <color theme="0"/>
      <name val="Arial"/>
      <family val="2"/>
    </font>
    <font>
      <sz val="11"/>
      <color theme="1"/>
      <name val="Arial"/>
      <family val="2"/>
    </font>
    <font>
      <b/>
      <sz val="14"/>
      <color theme="0"/>
      <name val="Arial"/>
      <family val="2"/>
    </font>
    <font>
      <b/>
      <sz val="11"/>
      <color theme="0"/>
      <name val="Arial"/>
      <family val="2"/>
    </font>
    <font>
      <sz val="14"/>
      <color theme="1"/>
      <name val="Arial"/>
      <family val="2"/>
    </font>
    <font>
      <sz val="14"/>
      <color theme="1"/>
      <name val="Calibri"/>
      <family val="2"/>
      <scheme val="minor"/>
    </font>
    <font>
      <b/>
      <sz val="10"/>
      <color theme="0"/>
      <name val="Arial"/>
      <family val="2"/>
    </font>
    <font>
      <sz val="12"/>
      <color theme="0"/>
      <name val="Arial"/>
      <family val="2"/>
    </font>
    <font>
      <b/>
      <sz val="12"/>
      <color theme="0"/>
      <name val="Arial"/>
      <family val="2"/>
    </font>
    <font>
      <b/>
      <sz val="11"/>
      <color theme="1"/>
      <name val="Arial"/>
      <family val="2"/>
    </font>
    <font>
      <b/>
      <sz val="11"/>
      <color rgb="FFFF0000"/>
      <name val="Arial"/>
      <family val="2"/>
    </font>
    <font>
      <b/>
      <sz val="16"/>
      <color indexed="9"/>
      <name val="Arial"/>
      <family val="2"/>
    </font>
    <font>
      <b/>
      <sz val="16"/>
      <color indexed="9"/>
      <name val="Calibri"/>
      <family val="2"/>
      <scheme val="minor"/>
    </font>
    <font>
      <b/>
      <sz val="16"/>
      <color theme="0"/>
      <name val="Calibri"/>
      <family val="2"/>
      <scheme val="minor"/>
    </font>
    <font>
      <b/>
      <sz val="14"/>
      <color theme="0"/>
      <name val="Calibri"/>
      <family val="2"/>
      <scheme val="minor"/>
    </font>
    <font>
      <sz val="11"/>
      <name val="Calibri"/>
      <family val="2"/>
      <scheme val="minor"/>
    </font>
    <font>
      <b/>
      <sz val="10"/>
      <color indexed="8"/>
      <name val="Arial"/>
      <family val="2"/>
    </font>
    <font>
      <sz val="10"/>
      <color theme="1"/>
      <name val="Arial"/>
      <family val="2"/>
    </font>
    <font>
      <b/>
      <sz val="11"/>
      <name val="Calibri"/>
      <family val="2"/>
      <scheme val="minor"/>
    </font>
    <font>
      <b/>
      <sz val="10"/>
      <color theme="1"/>
      <name val="Calibri"/>
      <family val="2"/>
      <scheme val="minor"/>
    </font>
    <font>
      <b/>
      <sz val="10"/>
      <name val="Arial"/>
      <family val="2"/>
    </font>
    <font>
      <b/>
      <sz val="14"/>
      <name val="Calibri"/>
      <family val="2"/>
      <scheme val="minor"/>
    </font>
    <font>
      <b/>
      <sz val="14"/>
      <color theme="1"/>
      <name val="Calibri"/>
      <family val="2"/>
      <scheme val="minor"/>
    </font>
    <font>
      <b/>
      <sz val="10"/>
      <color rgb="FFFF0000"/>
      <name val="Calibri"/>
      <family val="2"/>
      <scheme val="minor"/>
    </font>
    <font>
      <sz val="10"/>
      <name val="Calibri"/>
      <family val="2"/>
      <scheme val="minor"/>
    </font>
    <font>
      <i/>
      <sz val="11"/>
      <color theme="1"/>
      <name val="Calibri"/>
      <family val="2"/>
      <scheme val="minor"/>
    </font>
    <font>
      <b/>
      <sz val="10"/>
      <name val="Calibri"/>
      <family val="2"/>
      <scheme val="minor"/>
    </font>
    <font>
      <b/>
      <sz val="12"/>
      <color theme="1"/>
      <name val="Calibri"/>
      <family val="2"/>
      <scheme val="minor"/>
    </font>
    <font>
      <sz val="9"/>
      <name val="Arial"/>
      <family val="2"/>
    </font>
    <font>
      <sz val="12"/>
      <color theme="1"/>
      <name val="Calibri"/>
      <family val="2"/>
      <scheme val="minor"/>
    </font>
    <font>
      <b/>
      <sz val="16"/>
      <color rgb="FFFFFFFF"/>
      <name val="Arial"/>
      <family val="2"/>
    </font>
    <font>
      <b/>
      <sz val="10"/>
      <color rgb="FFFF0000"/>
      <name val="Arial"/>
      <family val="2"/>
    </font>
    <font>
      <i/>
      <sz val="10"/>
      <name val="Arial"/>
      <family val="2"/>
    </font>
    <font>
      <b/>
      <i/>
      <sz val="11"/>
      <color theme="1"/>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u/>
      <sz val="11"/>
      <color theme="0"/>
      <name val="Calibri"/>
      <family val="2"/>
      <scheme val="minor"/>
    </font>
    <font>
      <b/>
      <sz val="36"/>
      <color theme="0"/>
      <name val="Calibri"/>
      <family val="2"/>
      <scheme val="minor"/>
    </font>
    <font>
      <sz val="11"/>
      <color theme="1" tint="0.34998626667073579"/>
      <name val="Calibri"/>
      <family val="2"/>
      <scheme val="minor"/>
    </font>
    <font>
      <b/>
      <sz val="11"/>
      <color theme="3" tint="0.39994506668294322"/>
      <name val="Calibri"/>
      <family val="2"/>
      <scheme val="minor"/>
    </font>
    <font>
      <sz val="22"/>
      <color theme="0"/>
      <name val="Calibri"/>
      <family val="2"/>
      <scheme val="minor"/>
    </font>
    <font>
      <sz val="26"/>
      <color theme="0"/>
      <name val="Calibri"/>
      <family val="2"/>
      <scheme val="minor"/>
    </font>
    <font>
      <sz val="22"/>
      <color theme="1"/>
      <name val="Calibri"/>
      <family val="2"/>
      <scheme val="minor"/>
    </font>
    <font>
      <i/>
      <sz val="11"/>
      <color theme="1"/>
      <name val="Arial"/>
      <family val="2"/>
    </font>
    <font>
      <sz val="26"/>
      <name val="Calibri"/>
      <family val="2"/>
      <scheme val="minor"/>
    </font>
    <font>
      <sz val="24"/>
      <color theme="0"/>
      <name val="Calibri"/>
      <family val="2"/>
      <scheme val="minor"/>
    </font>
    <font>
      <sz val="11"/>
      <color theme="1"/>
      <name val="Calibri"/>
      <family val="2"/>
    </font>
    <font>
      <sz val="10"/>
      <color rgb="FF000000"/>
      <name val="Arial"/>
      <family val="2"/>
    </font>
    <font>
      <sz val="26"/>
      <color rgb="FFFF0000"/>
      <name val="Calibri"/>
      <family val="2"/>
      <scheme val="minor"/>
    </font>
    <font>
      <b/>
      <sz val="11"/>
      <color theme="3" tint="0.39997558519241921"/>
      <name val="Calibri"/>
      <family val="2"/>
      <scheme val="minor"/>
    </font>
    <font>
      <sz val="10"/>
      <color theme="4"/>
      <name val="Arial"/>
      <family val="2"/>
    </font>
    <font>
      <b/>
      <sz val="11"/>
      <color theme="4"/>
      <name val="Arial"/>
      <family val="2"/>
    </font>
    <font>
      <b/>
      <i/>
      <sz val="10"/>
      <name val="Arial"/>
      <family val="2"/>
    </font>
    <font>
      <sz val="10"/>
      <color theme="0" tint="-0.499984740745262"/>
      <name val="Arial"/>
      <family val="2"/>
    </font>
    <font>
      <b/>
      <i/>
      <sz val="12"/>
      <name val="Arial"/>
      <family val="2"/>
    </font>
    <font>
      <b/>
      <sz val="11"/>
      <color theme="7"/>
      <name val="Arial"/>
      <family val="2"/>
    </font>
    <font>
      <sz val="11"/>
      <color theme="4" tint="-0.249977111117893"/>
      <name val="Calibri"/>
      <family val="2"/>
      <scheme val="minor"/>
    </font>
    <font>
      <b/>
      <sz val="9"/>
      <color rgb="FF000000"/>
      <name val="Tahoma"/>
      <family val="2"/>
    </font>
    <font>
      <sz val="9"/>
      <color rgb="FF000000"/>
      <name val="Tahoma"/>
      <family val="2"/>
    </font>
    <font>
      <sz val="16"/>
      <color rgb="FFFF0000"/>
      <name val="Arial"/>
      <family val="2"/>
    </font>
    <font>
      <sz val="14"/>
      <color rgb="FFFF0000"/>
      <name val="Arial"/>
      <family val="2"/>
    </font>
    <font>
      <sz val="10"/>
      <color theme="5" tint="-0.249977111117893"/>
      <name val="Arial"/>
      <family val="2"/>
    </font>
    <font>
      <sz val="11"/>
      <color theme="5" tint="-0.249977111117893"/>
      <name val="Arial"/>
      <family val="2"/>
    </font>
    <font>
      <sz val="11"/>
      <color rgb="FF000000"/>
      <name val="Arial"/>
      <family val="2"/>
    </font>
    <font>
      <sz val="10"/>
      <color rgb="FF808080"/>
      <name val="Arial"/>
      <family val="2"/>
    </font>
    <font>
      <b/>
      <sz val="8"/>
      <color theme="1"/>
      <name val="Calibri"/>
      <family val="2"/>
      <scheme val="minor"/>
    </font>
    <font>
      <sz val="9"/>
      <name val="Calibri"/>
      <family val="2"/>
      <scheme val="minor"/>
    </font>
    <font>
      <sz val="9"/>
      <color theme="1"/>
      <name val="Calibri"/>
      <family val="2"/>
      <scheme val="minor"/>
    </font>
    <font>
      <b/>
      <sz val="12"/>
      <name val="Calibri"/>
      <family val="2"/>
    </font>
    <font>
      <sz val="9"/>
      <color rgb="FF808080"/>
      <name val="Calibri"/>
      <family val="2"/>
      <scheme val="minor"/>
    </font>
    <font>
      <sz val="11"/>
      <name val="Calibri"/>
      <family val="2"/>
    </font>
    <font>
      <b/>
      <sz val="9"/>
      <color theme="1"/>
      <name val="Calibri"/>
      <family val="2"/>
      <scheme val="minor"/>
    </font>
    <font>
      <sz val="8"/>
      <name val="Calibri"/>
      <family val="2"/>
      <scheme val="minor"/>
    </font>
    <font>
      <sz val="14"/>
      <color theme="0"/>
      <name val="Calibri"/>
      <family val="2"/>
      <scheme val="minor"/>
    </font>
    <font>
      <sz val="11"/>
      <color rgb="FF000000"/>
      <name val="Calibri"/>
      <family val="2"/>
    </font>
    <font>
      <sz val="8"/>
      <name val="Arial"/>
      <family val="2"/>
    </font>
    <font>
      <b/>
      <sz val="18"/>
      <color theme="1"/>
      <name val="Calibri"/>
      <family val="2"/>
      <scheme val="minor"/>
    </font>
    <font>
      <b/>
      <sz val="11"/>
      <color indexed="9"/>
      <name val="Calibri"/>
      <family val="2"/>
      <scheme val="minor"/>
    </font>
    <font>
      <i/>
      <sz val="11"/>
      <name val="Calibri"/>
      <family val="2"/>
      <scheme val="minor"/>
    </font>
    <font>
      <b/>
      <sz val="11"/>
      <color theme="3"/>
      <name val="Calibri"/>
      <family val="2"/>
      <scheme val="minor"/>
    </font>
    <font>
      <b/>
      <sz val="10"/>
      <color theme="0"/>
      <name val="Calibri"/>
      <family val="2"/>
    </font>
    <font>
      <sz val="12"/>
      <color theme="1"/>
      <name val="Arial"/>
      <family val="2"/>
    </font>
    <font>
      <sz val="20"/>
      <name val="Calibri"/>
      <family val="2"/>
      <scheme val="minor"/>
    </font>
    <font>
      <sz val="20"/>
      <color theme="1"/>
      <name val="Calibri"/>
      <family val="2"/>
      <scheme val="minor"/>
    </font>
    <font>
      <b/>
      <sz val="28"/>
      <color theme="1"/>
      <name val="Calibri"/>
      <family val="2"/>
    </font>
    <font>
      <sz val="20"/>
      <name val="Calibri"/>
      <family val="2"/>
    </font>
    <font>
      <b/>
      <sz val="12"/>
      <color theme="3"/>
      <name val="Calibri"/>
      <family val="2"/>
      <scheme val="minor"/>
    </font>
    <font>
      <sz val="11"/>
      <color theme="0" tint="-0.249977111117893"/>
      <name val="Calibri"/>
      <family val="2"/>
      <scheme val="minor"/>
    </font>
    <font>
      <sz val="18"/>
      <color theme="0" tint="-0.249977111117893"/>
      <name val="Calibri"/>
      <family val="2"/>
      <scheme val="minor"/>
    </font>
    <font>
      <u/>
      <sz val="11"/>
      <color theme="0" tint="-0.249977111117893"/>
      <name val="Calibri"/>
      <family val="2"/>
      <scheme val="minor"/>
    </font>
    <font>
      <u/>
      <sz val="12"/>
      <color theme="0" tint="-0.249977111117893"/>
      <name val="Calibri"/>
      <family val="2"/>
      <scheme val="minor"/>
    </font>
    <font>
      <u/>
      <sz val="12"/>
      <color theme="0"/>
      <name val="Calibri"/>
      <family val="2"/>
      <scheme val="minor"/>
    </font>
    <font>
      <sz val="12"/>
      <color theme="0" tint="-0.34998626667073579"/>
      <name val="Calibri"/>
      <family val="2"/>
      <scheme val="minor"/>
    </font>
    <font>
      <b/>
      <sz val="12"/>
      <color theme="0" tint="-0.34998626667073579"/>
      <name val="Calibri"/>
      <family val="2"/>
      <scheme val="minor"/>
    </font>
    <font>
      <b/>
      <sz val="14"/>
      <color theme="3" tint="0.59996337778862885"/>
      <name val="Calibri"/>
      <family val="2"/>
      <scheme val="minor"/>
    </font>
    <font>
      <sz val="12"/>
      <color theme="0" tint="-0.499984740745262"/>
      <name val="Arial"/>
      <family val="2"/>
    </font>
    <font>
      <b/>
      <sz val="12"/>
      <color theme="1" tint="0.14999847407452621"/>
      <name val="Arial"/>
      <family val="2"/>
    </font>
    <font>
      <b/>
      <sz val="12"/>
      <color theme="1"/>
      <name val="Arial"/>
      <family val="2"/>
    </font>
    <font>
      <sz val="12"/>
      <color theme="4" tint="0.59999389629810485"/>
      <name val="Arial"/>
      <family val="2"/>
    </font>
    <font>
      <sz val="12"/>
      <color theme="5" tint="-0.249977111117893"/>
      <name val="Arial"/>
      <family val="2"/>
    </font>
    <font>
      <sz val="12"/>
      <color theme="4" tint="-0.499984740745262"/>
      <name val="Arial"/>
      <family val="2"/>
    </font>
    <font>
      <b/>
      <sz val="12"/>
      <color rgb="FF000000"/>
      <name val="Arial"/>
      <family val="2"/>
    </font>
    <font>
      <sz val="12"/>
      <color rgb="FF000000"/>
      <name val="Arial"/>
      <family val="2"/>
    </font>
    <font>
      <sz val="12"/>
      <color theme="1"/>
      <name val="Calibri"/>
      <family val="2"/>
    </font>
    <font>
      <sz val="12"/>
      <color rgb="FFFF0000"/>
      <name val="Calibri"/>
      <family val="2"/>
      <scheme val="minor"/>
    </font>
    <font>
      <i/>
      <sz val="12"/>
      <color theme="4" tint="-0.249977111117893"/>
      <name val="Arial"/>
      <family val="2"/>
    </font>
    <font>
      <sz val="12"/>
      <color theme="4" tint="-0.249977111117893"/>
      <name val="Arial"/>
      <family val="2"/>
    </font>
    <font>
      <i/>
      <sz val="12"/>
      <color theme="0" tint="-0.499984740745262"/>
      <name val="Arial"/>
      <family val="2"/>
    </font>
    <font>
      <i/>
      <u/>
      <sz val="12"/>
      <color theme="0" tint="-0.499984740745262"/>
      <name val="Arial"/>
      <family val="2"/>
    </font>
    <font>
      <i/>
      <sz val="12"/>
      <color theme="4" tint="-0.499984740745262"/>
      <name val="Arial"/>
      <family val="2"/>
    </font>
    <font>
      <i/>
      <sz val="12"/>
      <color theme="1"/>
      <name val="Arial"/>
      <family val="2"/>
    </font>
    <font>
      <b/>
      <sz val="12"/>
      <color theme="0" tint="-0.499984740745262"/>
      <name val="Arial"/>
      <family val="2"/>
    </font>
    <font>
      <b/>
      <sz val="12"/>
      <color rgb="FF808080"/>
      <name val="Arial"/>
      <family val="2"/>
    </font>
    <font>
      <sz val="12"/>
      <color rgb="FF808080"/>
      <name val="Arial"/>
      <family val="2"/>
    </font>
    <font>
      <sz val="10"/>
      <color rgb="FF00B050"/>
      <name val="Calibri"/>
      <family val="2"/>
      <scheme val="minor"/>
    </font>
    <font>
      <sz val="11"/>
      <color theme="0" tint="-0.34998626667073579"/>
      <name val="Calibri"/>
      <family val="2"/>
      <scheme val="minor"/>
    </font>
    <font>
      <b/>
      <sz val="11"/>
      <color theme="0" tint="-0.34998626667073579"/>
      <name val="Calibri"/>
      <family val="2"/>
      <scheme val="minor"/>
    </font>
    <font>
      <b/>
      <sz val="12"/>
      <color rgb="FFFFFFFF"/>
      <name val="Calibri"/>
      <family val="2"/>
      <scheme val="minor"/>
    </font>
    <font>
      <b/>
      <sz val="14"/>
      <color rgb="FFFFFFFF"/>
      <name val="Calibri"/>
      <family val="2"/>
      <scheme val="minor"/>
    </font>
    <font>
      <sz val="10"/>
      <name val="Palatino"/>
    </font>
    <font>
      <b/>
      <i/>
      <sz val="10"/>
      <color theme="1"/>
      <name val="Calibri"/>
      <family val="2"/>
      <scheme val="minor"/>
    </font>
    <font>
      <sz val="10"/>
      <color rgb="FFFF66FF"/>
      <name val="Calibri"/>
      <family val="2"/>
      <scheme val="minor"/>
    </font>
    <font>
      <b/>
      <sz val="10"/>
      <color theme="0"/>
      <name val="Calibri"/>
      <family val="2"/>
      <scheme val="minor"/>
    </font>
    <font>
      <sz val="10"/>
      <color rgb="FF3333FF"/>
      <name val="Calibri"/>
      <family val="2"/>
      <scheme val="minor"/>
    </font>
    <font>
      <b/>
      <sz val="14"/>
      <color indexed="9"/>
      <name val="Calibri"/>
      <family val="2"/>
      <scheme val="minor"/>
    </font>
    <font>
      <sz val="11"/>
      <color rgb="FF3333FF"/>
      <name val="Calibri"/>
      <family val="2"/>
      <scheme val="minor"/>
    </font>
    <font>
      <b/>
      <sz val="10"/>
      <color indexed="9"/>
      <name val="Calibri"/>
      <family val="2"/>
      <scheme val="minor"/>
    </font>
    <font>
      <sz val="10"/>
      <color indexed="9"/>
      <name val="Calibri"/>
      <family val="2"/>
      <scheme val="minor"/>
    </font>
    <font>
      <b/>
      <sz val="11"/>
      <color theme="0"/>
      <name val="Calbri"/>
    </font>
    <font>
      <i/>
      <sz val="10"/>
      <color indexed="8"/>
      <name val="Calibri"/>
      <family val="2"/>
      <scheme val="minor"/>
    </font>
    <font>
      <b/>
      <sz val="10"/>
      <color indexed="8"/>
      <name val="Calibri"/>
      <family val="2"/>
      <scheme val="minor"/>
    </font>
    <font>
      <sz val="10"/>
      <color indexed="8"/>
      <name val="Calibri"/>
      <family val="2"/>
      <scheme val="minor"/>
    </font>
    <font>
      <sz val="8"/>
      <color theme="1"/>
      <name val="Calibri"/>
      <family val="2"/>
      <scheme val="minor"/>
    </font>
    <font>
      <i/>
      <sz val="10"/>
      <name val="Calibri"/>
      <family val="2"/>
      <scheme val="minor"/>
    </font>
    <font>
      <b/>
      <sz val="10"/>
      <color theme="3" tint="0.59996337778862885"/>
      <name val="Calibri"/>
      <family val="2"/>
      <scheme val="minor"/>
    </font>
    <font>
      <i/>
      <sz val="10"/>
      <color theme="1"/>
      <name val="Calibri"/>
      <family val="2"/>
      <scheme val="minor"/>
    </font>
    <font>
      <b/>
      <sz val="10"/>
      <color rgb="FF000000"/>
      <name val="Calibri"/>
      <family val="2"/>
      <scheme val="minor"/>
    </font>
    <font>
      <sz val="14"/>
      <color indexed="9"/>
      <name val="Calibri"/>
      <family val="2"/>
      <scheme val="minor"/>
    </font>
    <font>
      <b/>
      <sz val="14"/>
      <color theme="0" tint="-0.249977111117893"/>
      <name val="Calibri"/>
      <family val="2"/>
      <scheme val="minor"/>
    </font>
    <font>
      <u/>
      <sz val="14"/>
      <color theme="0"/>
      <name val="Calibri"/>
      <family val="2"/>
      <scheme val="minor"/>
    </font>
    <font>
      <b/>
      <sz val="11"/>
      <color rgb="FFFF0000"/>
      <name val="Calibri"/>
      <family val="2"/>
      <scheme val="minor"/>
    </font>
    <font>
      <sz val="10"/>
      <color rgb="FF000000"/>
      <name val="Calibri"/>
      <family val="2"/>
      <scheme val="minor"/>
    </font>
    <font>
      <b/>
      <sz val="11"/>
      <color rgb="FFFFFFFF"/>
      <name val="Calibri"/>
      <family val="2"/>
      <scheme val="minor"/>
    </font>
    <font>
      <sz val="11"/>
      <color rgb="FFFF66FF"/>
      <name val="Calibri"/>
      <family val="2"/>
      <scheme val="minor"/>
    </font>
    <font>
      <b/>
      <i/>
      <sz val="10"/>
      <name val="Calibri"/>
      <family val="2"/>
      <scheme val="minor"/>
    </font>
    <font>
      <sz val="10"/>
      <color theme="0" tint="-0.34998626667073579"/>
      <name val="Calibri"/>
      <family val="2"/>
      <scheme val="minor"/>
    </font>
    <font>
      <b/>
      <sz val="11"/>
      <color indexed="8"/>
      <name val="Calibri"/>
      <family val="2"/>
    </font>
    <font>
      <sz val="10"/>
      <color rgb="FF000000"/>
      <name val="Calibri"/>
      <family val="2"/>
    </font>
    <font>
      <b/>
      <sz val="10"/>
      <color theme="0" tint="-0.34998626667073579"/>
      <name val="Calibri"/>
      <family val="2"/>
      <scheme val="minor"/>
    </font>
    <font>
      <b/>
      <sz val="20"/>
      <color theme="0"/>
      <name val="Calibri"/>
      <family val="2"/>
      <scheme val="minor"/>
    </font>
    <font>
      <sz val="12"/>
      <color rgb="FF000080"/>
      <name val="Calibri"/>
      <family val="2"/>
      <scheme val="minor"/>
    </font>
    <font>
      <sz val="12"/>
      <color rgb="FFFFFFFF"/>
      <name val="Calibri"/>
      <family val="2"/>
      <scheme val="minor"/>
    </font>
    <font>
      <b/>
      <sz val="16"/>
      <name val="Calibri"/>
      <family val="2"/>
      <scheme val="minor"/>
    </font>
    <font>
      <b/>
      <sz val="9"/>
      <color rgb="FFFF0000"/>
      <name val="Arial"/>
      <family val="2"/>
    </font>
    <font>
      <sz val="11"/>
      <color rgb="FF00B0F0"/>
      <name val="Calibri"/>
      <family val="2"/>
      <scheme val="minor"/>
    </font>
    <font>
      <sz val="10"/>
      <color theme="1"/>
      <name val="Calibri"/>
      <family val="2"/>
    </font>
    <font>
      <strike/>
      <sz val="10"/>
      <color theme="1"/>
      <name val="Calibri"/>
      <family val="2"/>
      <scheme val="minor"/>
    </font>
    <font>
      <sz val="8"/>
      <name val="Calibri Light"/>
      <family val="2"/>
    </font>
    <font>
      <sz val="7"/>
      <color theme="1"/>
      <name val="Calibri"/>
      <family val="2"/>
      <scheme val="minor"/>
    </font>
    <font>
      <b/>
      <sz val="9"/>
      <color theme="1"/>
      <name val="Arial"/>
      <family val="2"/>
    </font>
    <font>
      <sz val="10"/>
      <color theme="4" tint="-0.499984740745262"/>
      <name val="Calibri"/>
      <family val="2"/>
      <scheme val="minor"/>
    </font>
    <font>
      <u/>
      <sz val="11"/>
      <color theme="10"/>
      <name val="Calibri"/>
      <family val="2"/>
      <scheme val="minor"/>
    </font>
  </fonts>
  <fills count="8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rgb="FF31869B"/>
        <bgColor rgb="FF000000"/>
      </patternFill>
    </fill>
    <fill>
      <patternFill patternType="solid">
        <fgColor theme="0" tint="-0.499984740745262"/>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indexed="8"/>
        <bgColor indexed="64"/>
      </patternFill>
    </fill>
    <fill>
      <patternFill patternType="solid">
        <fgColor rgb="FFFFFFCC"/>
        <bgColor rgb="FFFFFFCC"/>
      </patternFill>
    </fill>
    <fill>
      <patternFill patternType="solid">
        <fgColor theme="6" tint="0.39997558519241921"/>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FFCC"/>
        <bgColor rgb="FF000000"/>
      </patternFill>
    </fill>
    <fill>
      <patternFill patternType="solid">
        <fgColor theme="6" tint="0.59999389629810485"/>
        <bgColor indexed="64"/>
      </patternFill>
    </fill>
    <fill>
      <patternFill patternType="solid">
        <fgColor rgb="FF000000"/>
        <bgColor rgb="FF000000"/>
      </patternFill>
    </fill>
    <fill>
      <patternFill patternType="solid">
        <fgColor rgb="FF808080"/>
        <bgColor rgb="FF000000"/>
      </patternFill>
    </fill>
    <fill>
      <patternFill patternType="solid">
        <fgColor rgb="FFFFFFFF"/>
        <bgColor rgb="FF000000"/>
      </patternFill>
    </fill>
    <fill>
      <patternFill patternType="solid">
        <fgColor indexed="9"/>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3"/>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39997558519241921"/>
        <bgColor theme="4" tint="0.79998168889431442"/>
      </patternFill>
    </fill>
    <fill>
      <patternFill patternType="solid">
        <fgColor theme="6" tint="0.39997558519241921"/>
        <bgColor theme="4" tint="0.79998168889431442"/>
      </patternFill>
    </fill>
    <fill>
      <patternFill patternType="solid">
        <fgColor rgb="FFFFCCCC"/>
        <bgColor indexed="64"/>
      </patternFill>
    </fill>
    <fill>
      <patternFill patternType="gray125">
        <fgColor theme="3" tint="0.39991454817346722"/>
        <bgColor rgb="FFFFFFCC"/>
      </patternFill>
    </fill>
    <fill>
      <patternFill patternType="solid">
        <fgColor rgb="FFBFBFBF"/>
        <bgColor rgb="FF000000"/>
      </patternFill>
    </fill>
    <fill>
      <patternFill patternType="solid">
        <fgColor rgb="FFEEECE1"/>
        <bgColor rgb="FF000000"/>
      </patternFill>
    </fill>
    <fill>
      <patternFill patternType="solid">
        <fgColor theme="6" tint="0.59996337778862885"/>
        <bgColor indexed="64"/>
      </patternFill>
    </fill>
    <fill>
      <patternFill patternType="solid">
        <fgColor theme="5" tint="-0.249977111117893"/>
        <bgColor indexed="64"/>
      </patternFill>
    </fill>
    <fill>
      <patternFill patternType="solid">
        <fgColor theme="6"/>
        <bgColor indexed="64"/>
      </patternFill>
    </fill>
    <fill>
      <patternFill patternType="solid">
        <fgColor theme="0" tint="-0.14999847407452621"/>
        <bgColor rgb="FF000000"/>
      </patternFill>
    </fill>
    <fill>
      <patternFill patternType="solid">
        <fgColor theme="4"/>
        <bgColor indexed="64"/>
      </patternFill>
    </fill>
    <fill>
      <patternFill patternType="solid">
        <fgColor rgb="FFFF0000"/>
        <bgColor indexed="64"/>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2" tint="-0.249977111117893"/>
        <bgColor indexed="64"/>
      </patternFill>
    </fill>
    <fill>
      <patternFill patternType="solid">
        <fgColor rgb="FFCCCCFF"/>
        <bgColor indexed="64"/>
      </patternFill>
    </fill>
    <fill>
      <patternFill patternType="solid">
        <fgColor theme="2" tint="-0.749992370372631"/>
        <bgColor indexed="64"/>
      </patternFill>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theme="4" tint="0.79998168889431442"/>
        <bgColor indexed="64"/>
      </patternFill>
    </fill>
    <fill>
      <patternFill patternType="solid">
        <fgColor rgb="FFFABF8F"/>
        <bgColor rgb="FF000000"/>
      </patternFill>
    </fill>
    <fill>
      <patternFill patternType="solid">
        <fgColor theme="9" tint="0.39997558519241921"/>
        <bgColor rgb="FF000000"/>
      </patternFill>
    </fill>
    <fill>
      <patternFill patternType="solid">
        <fgColor rgb="FFB8CCE4"/>
        <bgColor rgb="FF000000"/>
      </patternFill>
    </fill>
    <fill>
      <patternFill patternType="solid">
        <fgColor rgb="FFC3C1C1"/>
        <bgColor indexed="64"/>
      </patternFill>
    </fill>
    <fill>
      <patternFill patternType="solid">
        <fgColor rgb="FF25C6FF"/>
        <bgColor indexed="64"/>
      </patternFill>
    </fill>
    <fill>
      <patternFill patternType="gray125">
        <fgColor theme="3"/>
        <bgColor rgb="FFFFFFCC"/>
      </patternFill>
    </fill>
    <fill>
      <patternFill patternType="gray125">
        <fgColor theme="3"/>
        <bgColor rgb="FFFFCCCC"/>
      </patternFill>
    </fill>
    <fill>
      <patternFill patternType="gray125">
        <fgColor theme="3" tint="0.39991454817346722"/>
        <bgColor rgb="FFFFCCCC"/>
      </patternFill>
    </fill>
    <fill>
      <patternFill patternType="solid">
        <fgColor rgb="FF303F51"/>
        <bgColor indexed="64"/>
      </patternFill>
    </fill>
    <fill>
      <patternFill patternType="solid">
        <fgColor rgb="FFF2F2F2"/>
        <bgColor indexed="64"/>
      </patternFill>
    </fill>
    <fill>
      <patternFill patternType="solid">
        <fgColor theme="0"/>
        <bgColor rgb="FFFFFFCC"/>
      </patternFill>
    </fill>
    <fill>
      <patternFill patternType="solid">
        <fgColor theme="3" tint="-0.24994659260841701"/>
        <bgColor indexed="64"/>
      </patternFill>
    </fill>
    <fill>
      <patternFill patternType="solid">
        <fgColor rgb="FFE8DFD8"/>
        <bgColor indexed="64"/>
      </patternFill>
    </fill>
    <fill>
      <patternFill patternType="solid">
        <fgColor theme="8" tint="0.39997558519241921"/>
        <bgColor rgb="FF000000"/>
      </patternFill>
    </fill>
    <fill>
      <patternFill patternType="gray125">
        <fgColor theme="4" tint="0.39991454817346722"/>
        <bgColor rgb="FFFFFFCC"/>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59996337778862885"/>
        <bgColor indexed="64"/>
      </patternFill>
    </fill>
    <fill>
      <patternFill patternType="solid">
        <fgColor theme="0"/>
        <bgColor rgb="FF000000"/>
      </patternFill>
    </fill>
    <fill>
      <patternFill patternType="solid">
        <fgColor theme="3" tint="0.79998168889431442"/>
        <bgColor indexed="64"/>
      </patternFill>
    </fill>
    <fill>
      <patternFill patternType="solid">
        <fgColor rgb="FF00B050"/>
        <bgColor indexed="64"/>
      </patternFill>
    </fill>
    <fill>
      <patternFill patternType="solid">
        <fgColor rgb="FFDE98CA"/>
        <bgColor indexed="64"/>
      </patternFill>
    </fill>
    <fill>
      <patternFill patternType="solid">
        <fgColor rgb="FFB6B2FF"/>
        <bgColor rgb="FF000000"/>
      </patternFill>
    </fill>
    <fill>
      <patternFill patternType="solid">
        <fgColor rgb="FFB6B2FF"/>
        <bgColor indexed="64"/>
      </patternFill>
    </fill>
    <fill>
      <patternFill patternType="solid">
        <fgColor theme="5" tint="0.39997558519241921"/>
        <bgColor indexed="64"/>
      </patternFill>
    </fill>
    <fill>
      <patternFill patternType="solid">
        <fgColor rgb="FFE2EEE9"/>
        <bgColor indexed="64"/>
      </patternFill>
    </fill>
    <fill>
      <patternFill patternType="solid">
        <fgColor rgb="FFDF81C0"/>
        <bgColor indexed="64"/>
      </patternFill>
    </fill>
    <fill>
      <patternFill patternType="solid">
        <fgColor theme="0" tint="-4.9989318521683403E-2"/>
        <bgColor rgb="FF000000"/>
      </patternFill>
    </fill>
  </fills>
  <borders count="421">
    <border>
      <left/>
      <right/>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auto="1"/>
      </top>
      <bottom style="medium">
        <color auto="1"/>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auto="1"/>
      </left>
      <right/>
      <top/>
      <bottom/>
      <diagonal/>
    </border>
    <border>
      <left style="medium">
        <color auto="1"/>
      </left>
      <right style="medium">
        <color auto="1"/>
      </right>
      <top/>
      <bottom/>
      <diagonal/>
    </border>
    <border>
      <left style="thin">
        <color auto="1"/>
      </left>
      <right style="thin">
        <color auto="1"/>
      </right>
      <top/>
      <bottom style="thin">
        <color auto="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auto="1"/>
      </left>
      <right/>
      <top style="medium">
        <color indexed="64"/>
      </top>
      <bottom style="thin">
        <color theme="0" tint="-0.34998626667073579"/>
      </bottom>
      <diagonal/>
    </border>
    <border>
      <left/>
      <right style="medium">
        <color auto="1"/>
      </right>
      <top style="medium">
        <color auto="1"/>
      </top>
      <bottom style="thin">
        <color theme="0" tint="-0.34998626667073579"/>
      </bottom>
      <diagonal/>
    </border>
    <border>
      <left style="thin">
        <color indexed="64"/>
      </left>
      <right/>
      <top/>
      <bottom style="thin">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auto="1"/>
      </top>
      <bottom style="medium">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theme="0" tint="-0.24994659260841701"/>
      </bottom>
      <diagonal/>
    </border>
    <border>
      <left/>
      <right/>
      <top style="medium">
        <color indexed="64"/>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auto="1"/>
      </left>
      <right style="medium">
        <color auto="1"/>
      </right>
      <top style="thin">
        <color theme="0" tint="-0.24994659260841701"/>
      </top>
      <bottom style="medium">
        <color auto="1"/>
      </bottom>
      <diagonal/>
    </border>
    <border>
      <left/>
      <right/>
      <top style="thin">
        <color theme="0" tint="-0.24994659260841701"/>
      </top>
      <bottom style="medium">
        <color indexed="64"/>
      </bottom>
      <diagonal/>
    </border>
    <border>
      <left/>
      <right/>
      <top/>
      <bottom style="thin">
        <color theme="0" tint="-0.24994659260841701"/>
      </bottom>
      <diagonal/>
    </border>
    <border>
      <left style="medium">
        <color auto="1"/>
      </left>
      <right/>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thin">
        <color theme="0" tint="-0.24994659260841701"/>
      </top>
      <bottom style="medium">
        <color indexed="64"/>
      </bottom>
      <diagonal/>
    </border>
    <border>
      <left style="medium">
        <color auto="1"/>
      </left>
      <right style="medium">
        <color indexed="64"/>
      </right>
      <top style="thin">
        <color theme="0" tint="-0.24994659260841701"/>
      </top>
      <bottom/>
      <diagonal/>
    </border>
    <border>
      <left style="medium">
        <color auto="1"/>
      </left>
      <right/>
      <top style="medium">
        <color auto="1"/>
      </top>
      <bottom style="thin">
        <color theme="0" tint="-0.2499465926084170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auto="1"/>
      </top>
      <bottom/>
      <diagonal/>
    </border>
    <border>
      <left/>
      <right style="medium">
        <color indexed="64"/>
      </right>
      <top style="thin">
        <color auto="1"/>
      </top>
      <bottom/>
      <diagonal/>
    </border>
    <border>
      <left/>
      <right style="thin">
        <color indexed="64"/>
      </right>
      <top style="thin">
        <color indexed="64"/>
      </top>
      <bottom/>
      <diagonal/>
    </border>
    <border>
      <left style="medium">
        <color auto="1"/>
      </left>
      <right/>
      <top style="thin">
        <color indexed="64"/>
      </top>
      <bottom style="thin">
        <color indexed="64"/>
      </bottom>
      <diagonal/>
    </border>
    <border>
      <left/>
      <right style="medium">
        <color indexed="64"/>
      </right>
      <top style="thin">
        <color auto="1"/>
      </top>
      <bottom style="thin">
        <color auto="1"/>
      </bottom>
      <diagonal/>
    </border>
    <border>
      <left style="medium">
        <color auto="1"/>
      </left>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style="medium">
        <color auto="1"/>
      </bottom>
      <diagonal/>
    </border>
    <border>
      <left style="medium">
        <color indexed="64"/>
      </left>
      <right style="thin">
        <color indexed="64"/>
      </right>
      <top style="medium">
        <color indexed="64"/>
      </top>
      <bottom style="thin">
        <color theme="0" tint="-0.34998626667073579"/>
      </bottom>
      <diagonal/>
    </border>
    <border>
      <left style="thin">
        <color indexed="64"/>
      </left>
      <right/>
      <top style="thin">
        <color indexed="64"/>
      </top>
      <bottom/>
      <diagonal/>
    </border>
    <border>
      <left/>
      <right style="medium">
        <color indexed="64"/>
      </right>
      <top style="medium">
        <color indexed="64"/>
      </top>
      <bottom style="thin">
        <color theme="0" tint="-0.24994659260841701"/>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right style="medium">
        <color indexed="64"/>
      </right>
      <top style="thin">
        <color theme="0" tint="-0.24994659260841701"/>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medium">
        <color auto="1"/>
      </right>
      <top style="thin">
        <color theme="0" tint="-0.34998626667073579"/>
      </top>
      <bottom style="thin">
        <color theme="0" tint="-0.34998626667073579"/>
      </bottom>
      <diagonal/>
    </border>
    <border>
      <left style="thin">
        <color theme="0" tint="-0.24994659260841701"/>
      </left>
      <right/>
      <top style="thin">
        <color theme="0" tint="-0.24994659260841701"/>
      </top>
      <bottom style="medium">
        <color indexed="64"/>
      </bottom>
      <diagonal/>
    </border>
    <border>
      <left/>
      <right style="medium">
        <color indexed="64"/>
      </right>
      <top style="thin">
        <color theme="0" tint="-0.24994659260841701"/>
      </top>
      <bottom style="thin">
        <color theme="0" tint="-0.24994659260841701"/>
      </bottom>
      <diagonal/>
    </border>
    <border>
      <left style="medium">
        <color indexed="64"/>
      </left>
      <right style="thin">
        <color indexed="64"/>
      </right>
      <top style="medium">
        <color indexed="64"/>
      </top>
      <bottom style="thin">
        <color rgb="FFA6A6A6"/>
      </bottom>
      <diagonal/>
    </border>
    <border>
      <left/>
      <right style="thin">
        <color indexed="64"/>
      </right>
      <top style="thin">
        <color indexed="64"/>
      </top>
      <bottom style="thin">
        <color indexed="64"/>
      </bottom>
      <diagonal/>
    </border>
    <border>
      <left style="medium">
        <color indexed="64"/>
      </left>
      <right/>
      <top style="thin">
        <color theme="0" tint="-0.34998626667073579"/>
      </top>
      <bottom/>
      <diagonal/>
    </border>
    <border>
      <left style="medium">
        <color auto="1"/>
      </left>
      <right style="medium">
        <color indexed="64"/>
      </right>
      <top/>
      <bottom style="thin">
        <color indexed="64"/>
      </bottom>
      <diagonal/>
    </border>
    <border>
      <left style="medium">
        <color indexed="64"/>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auto="1"/>
      </left>
      <right style="medium">
        <color auto="1"/>
      </right>
      <top style="thin">
        <color auto="1"/>
      </top>
      <bottom style="thin">
        <color auto="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medium">
        <color auto="1"/>
      </right>
      <top style="thin">
        <color auto="1"/>
      </top>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auto="1"/>
      </left>
      <right style="medium">
        <color indexed="64"/>
      </right>
      <top/>
      <bottom style="medium">
        <color indexed="64"/>
      </bottom>
      <diagonal/>
    </border>
    <border>
      <left style="medium">
        <color auto="1"/>
      </left>
      <right style="thin">
        <color theme="0" tint="-0.24994659260841701"/>
      </right>
      <top style="medium">
        <color auto="1"/>
      </top>
      <bottom style="thin">
        <color auto="1"/>
      </bottom>
      <diagonal/>
    </border>
    <border>
      <left style="medium">
        <color auto="1"/>
      </left>
      <right style="thin">
        <color theme="0" tint="-0.24994659260841701"/>
      </right>
      <top/>
      <bottom style="thin">
        <color indexed="64"/>
      </bottom>
      <diagonal/>
    </border>
    <border>
      <left style="medium">
        <color auto="1"/>
      </left>
      <right style="thin">
        <color theme="0" tint="-0.24994659260841701"/>
      </right>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thin">
        <color theme="0" tint="-0.24994659260841701"/>
      </right>
      <top style="medium">
        <color indexed="64"/>
      </top>
      <bottom/>
      <diagonal/>
    </border>
    <border>
      <left/>
      <right/>
      <top style="thin">
        <color indexed="64"/>
      </top>
      <bottom style="thin">
        <color indexed="64"/>
      </bottom>
      <diagonal/>
    </border>
    <border>
      <left style="thin">
        <color theme="0" tint="-0.24994659260841701"/>
      </left>
      <right style="thin">
        <color indexed="64"/>
      </right>
      <top style="thin">
        <color auto="1"/>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auto="1"/>
      </left>
      <right style="medium">
        <color indexed="64"/>
      </right>
      <top/>
      <bottom style="thin">
        <color theme="0" tint="-0.24994659260841701"/>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top style="medium">
        <color indexed="64"/>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indexed="64"/>
      </right>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thin">
        <color theme="0" tint="-0.24994659260841701"/>
      </left>
      <right style="medium">
        <color indexed="64"/>
      </right>
      <top/>
      <bottom style="thin">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thin">
        <color rgb="FFBFBFBF"/>
      </left>
      <right style="medium">
        <color indexed="64"/>
      </right>
      <top style="medium">
        <color indexed="64"/>
      </top>
      <bottom style="medium">
        <color indexed="64"/>
      </bottom>
      <diagonal/>
    </border>
    <border>
      <left style="thin">
        <color rgb="FFBFBFBF"/>
      </left>
      <right style="thin">
        <color rgb="FFBFBFBF"/>
      </right>
      <top style="medium">
        <color indexed="64"/>
      </top>
      <bottom/>
      <diagonal/>
    </border>
    <border>
      <left style="dotted">
        <color rgb="FFFF0000"/>
      </left>
      <right style="medium">
        <color indexed="64"/>
      </right>
      <top style="dotted">
        <color rgb="FFFF0000"/>
      </top>
      <bottom/>
      <diagonal/>
    </border>
    <border>
      <left style="medium">
        <color indexed="64"/>
      </left>
      <right style="thin">
        <color indexed="64"/>
      </right>
      <top style="dotted">
        <color rgb="FFFF0000"/>
      </top>
      <bottom style="medium">
        <color indexed="64"/>
      </bottom>
      <diagonal/>
    </border>
    <border>
      <left style="thin">
        <color rgb="FFBFBFBF"/>
      </left>
      <right style="thin">
        <color indexed="64"/>
      </right>
      <top style="dotted">
        <color rgb="FFFF0000"/>
      </top>
      <bottom style="medium">
        <color auto="1"/>
      </bottom>
      <diagonal/>
    </border>
    <border>
      <left style="thin">
        <color rgb="FFBFBFBF"/>
      </left>
      <right style="dotted">
        <color rgb="FFFF0000"/>
      </right>
      <top style="dotted">
        <color rgb="FFFF0000"/>
      </top>
      <bottom style="medium">
        <color indexed="64"/>
      </bottom>
      <diagonal/>
    </border>
    <border>
      <left style="dotted">
        <color rgb="FFFF0000"/>
      </left>
      <right style="medium">
        <color indexed="64"/>
      </right>
      <top/>
      <bottom/>
      <diagonal/>
    </border>
    <border>
      <left style="thin">
        <color theme="0" tint="-0.24994659260841701"/>
      </left>
      <right style="dotted">
        <color rgb="FFFF0000"/>
      </right>
      <top/>
      <bottom style="thin">
        <color theme="0" tint="-0.24994659260841701"/>
      </bottom>
      <diagonal/>
    </border>
    <border>
      <left style="thin">
        <color theme="0" tint="-0.24994659260841701"/>
      </left>
      <right style="dotted">
        <color rgb="FFFF0000"/>
      </right>
      <top style="thin">
        <color theme="0" tint="-0.24994659260841701"/>
      </top>
      <bottom style="thin">
        <color theme="0" tint="-0.24994659260841701"/>
      </bottom>
      <diagonal/>
    </border>
    <border>
      <left style="thin">
        <color theme="0" tint="-0.24994659260841701"/>
      </left>
      <right style="dotted">
        <color rgb="FFFF0000"/>
      </right>
      <top style="thin">
        <color theme="0" tint="-0.24994659260841701"/>
      </top>
      <bottom style="medium">
        <color indexed="64"/>
      </bottom>
      <diagonal/>
    </border>
    <border>
      <left style="dotted">
        <color rgb="FFFF0000"/>
      </left>
      <right/>
      <top/>
      <bottom/>
      <diagonal/>
    </border>
    <border>
      <left/>
      <right style="dotted">
        <color rgb="FFFF0000"/>
      </right>
      <top/>
      <bottom/>
      <diagonal/>
    </border>
    <border>
      <left style="medium">
        <color rgb="FFFF0000"/>
      </left>
      <right style="thin">
        <color theme="0" tint="-0.24994659260841701"/>
      </right>
      <top style="medium">
        <color rgb="FFFF0000"/>
      </top>
      <bottom style="medium">
        <color rgb="FFFF0000"/>
      </bottom>
      <diagonal/>
    </border>
    <border>
      <left style="thin">
        <color theme="0" tint="-0.24994659260841701"/>
      </left>
      <right style="thin">
        <color theme="0" tint="-0.24994659260841701"/>
      </right>
      <top style="medium">
        <color rgb="FFFF0000"/>
      </top>
      <bottom style="medium">
        <color rgb="FFFF0000"/>
      </bottom>
      <diagonal/>
    </border>
    <border>
      <left style="thin">
        <color theme="0" tint="-0.24994659260841701"/>
      </left>
      <right style="medium">
        <color rgb="FFFF0000"/>
      </right>
      <top style="medium">
        <color rgb="FFFF0000"/>
      </top>
      <bottom style="medium">
        <color rgb="FFFF0000"/>
      </bottom>
      <diagonal/>
    </border>
    <border>
      <left style="dotted">
        <color rgb="FFFF0000"/>
      </left>
      <right style="medium">
        <color rgb="FFFF0000"/>
      </right>
      <top/>
      <bottom/>
      <diagonal/>
    </border>
    <border>
      <left style="medium">
        <color rgb="FFFF0000"/>
      </left>
      <right style="thin">
        <color theme="0" tint="-0.24994659260841701"/>
      </right>
      <top/>
      <bottom style="thin">
        <color theme="0" tint="-0.24994659260841701"/>
      </bottom>
      <diagonal/>
    </border>
    <border>
      <left style="thin">
        <color theme="0" tint="-0.24994659260841701"/>
      </left>
      <right style="medium">
        <color rgb="FFFF0000"/>
      </right>
      <top/>
      <bottom style="thin">
        <color theme="0" tint="-0.24994659260841701"/>
      </bottom>
      <diagonal/>
    </border>
    <border>
      <left style="medium">
        <color rgb="FFFF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FF0000"/>
      </right>
      <top style="thin">
        <color theme="0" tint="-0.24994659260841701"/>
      </top>
      <bottom style="thin">
        <color theme="0" tint="-0.24994659260841701"/>
      </bottom>
      <diagonal/>
    </border>
    <border>
      <left style="dotted">
        <color rgb="FFFF0000"/>
      </left>
      <right style="medium">
        <color rgb="FFFF0000"/>
      </right>
      <top/>
      <bottom style="dotted">
        <color rgb="FFFF0000"/>
      </bottom>
      <diagonal/>
    </border>
    <border>
      <left style="medium">
        <color rgb="FFFF0000"/>
      </left>
      <right style="thin">
        <color theme="0" tint="-0.24994659260841701"/>
      </right>
      <top style="thin">
        <color theme="0" tint="-0.24994659260841701"/>
      </top>
      <bottom style="dotted">
        <color rgb="FFFF0000"/>
      </bottom>
      <diagonal/>
    </border>
    <border>
      <left style="thin">
        <color theme="0" tint="-0.24994659260841701"/>
      </left>
      <right style="thin">
        <color theme="0" tint="-0.24994659260841701"/>
      </right>
      <top style="thin">
        <color theme="0" tint="-0.24994659260841701"/>
      </top>
      <bottom style="dotted">
        <color rgb="FFFF0000"/>
      </bottom>
      <diagonal/>
    </border>
    <border>
      <left style="thin">
        <color theme="0" tint="-0.24994659260841701"/>
      </left>
      <right style="medium">
        <color rgb="FFFF0000"/>
      </right>
      <top style="thin">
        <color theme="0" tint="-0.24994659260841701"/>
      </top>
      <bottom style="dotted">
        <color rgb="FFFF0000"/>
      </bottom>
      <diagonal/>
    </border>
    <border>
      <left/>
      <right style="dotted">
        <color rgb="FFFF0000"/>
      </right>
      <top/>
      <bottom style="dotted">
        <color rgb="FFFF0000"/>
      </bottom>
      <diagonal/>
    </border>
    <border>
      <left style="thin">
        <color rgb="FFBFBFBF"/>
      </left>
      <right style="thin">
        <color indexed="64"/>
      </right>
      <top style="medium">
        <color indexed="64"/>
      </top>
      <bottom/>
      <diagonal/>
    </border>
    <border>
      <left style="thin">
        <color rgb="FFBFBFBF"/>
      </left>
      <right style="medium">
        <color indexed="64"/>
      </right>
      <top style="medium">
        <color indexed="64"/>
      </top>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right style="thin">
        <color theme="0" tint="-0.24994659260841701"/>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indexed="64"/>
      </left>
      <right/>
      <top style="thin">
        <color theme="4" tint="0.39997558519241921"/>
      </top>
      <bottom/>
      <diagonal/>
    </border>
    <border>
      <left/>
      <right/>
      <top style="thin">
        <color theme="4" tint="0.39997558519241921"/>
      </top>
      <bottom/>
      <diagonal/>
    </border>
    <border>
      <left/>
      <right style="medium">
        <color indexed="64"/>
      </right>
      <top style="thin">
        <color theme="4" tint="0.39997558519241921"/>
      </top>
      <bottom/>
      <diagonal/>
    </border>
    <border>
      <left style="medium">
        <color indexed="64"/>
      </left>
      <right/>
      <top style="thin">
        <color theme="4" tint="0.39997558519241921"/>
      </top>
      <bottom style="medium">
        <color auto="1"/>
      </bottom>
      <diagonal/>
    </border>
    <border>
      <left style="thin">
        <color indexed="64"/>
      </left>
      <right style="thin">
        <color rgb="FFBFBFBF"/>
      </right>
      <top style="medium">
        <color indexed="64"/>
      </top>
      <bottom style="medium">
        <color indexed="64"/>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right style="medium">
        <color indexed="64"/>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thin">
        <color rgb="FFBFBFBF"/>
      </left>
      <right style="medium">
        <color indexed="64"/>
      </right>
      <top style="medium">
        <color indexed="64"/>
      </top>
      <bottom style="mediumDashed">
        <color indexed="64"/>
      </bottom>
      <diagonal/>
    </border>
    <border>
      <left style="thin">
        <color theme="0" tint="-0.24994659260841701"/>
      </left>
      <right/>
      <top/>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theme="0" tint="-0.24994659260841701"/>
      </left>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
      <left style="thin">
        <color theme="0" tint="-0.24994659260841701"/>
      </left>
      <right style="thin">
        <color auto="1"/>
      </right>
      <top style="thin">
        <color theme="0" tint="-0.24994659260841701"/>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4"/>
      </top>
      <bottom style="double">
        <color theme="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rgb="FFA6A6A6"/>
      </right>
      <top style="thin">
        <color rgb="FFA6A6A6"/>
      </top>
      <bottom style="thin">
        <color rgb="FFA6A6A6"/>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auto="1"/>
      </right>
      <top style="thin">
        <color auto="1"/>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theme="0" tint="-0.24994659260841701"/>
      </right>
      <top style="thin">
        <color indexed="64"/>
      </top>
      <bottom style="thin">
        <color theme="0" tint="-0.2499465926084170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bottom/>
      <diagonal/>
    </border>
    <border>
      <left style="thin">
        <color theme="0" tint="-0.14996795556505021"/>
      </left>
      <right style="thin">
        <color indexed="64"/>
      </right>
      <top style="thin">
        <color indexed="64"/>
      </top>
      <bottom style="thin">
        <color theme="0" tint="-0.14996795556505021"/>
      </bottom>
      <diagonal/>
    </border>
    <border>
      <left/>
      <right style="medium">
        <color indexed="64"/>
      </right>
      <top style="medium">
        <color indexed="64"/>
      </top>
      <bottom style="thin">
        <color rgb="FFA6A6A6"/>
      </bottom>
      <diagonal/>
    </border>
    <border>
      <left/>
      <right style="thin">
        <color indexed="64"/>
      </right>
      <top/>
      <bottom style="thin">
        <color indexed="64"/>
      </bottom>
      <diagonal/>
    </border>
    <border>
      <left style="thin">
        <color theme="0" tint="-0.14996795556505021"/>
      </left>
      <right style="thin">
        <color auto="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style="thin">
        <color theme="0" tint="-0.14993743705557422"/>
      </right>
      <top style="thin">
        <color indexed="64"/>
      </top>
      <bottom style="thin">
        <color theme="0" tint="-0.14993743705557422"/>
      </bottom>
      <diagonal/>
    </border>
    <border>
      <left style="thin">
        <color theme="0" tint="-0.14993743705557422"/>
      </left>
      <right style="thin">
        <color theme="0" tint="-0.14993743705557422"/>
      </right>
      <top style="thin">
        <color indexed="64"/>
      </top>
      <bottom style="thin">
        <color theme="0" tint="-0.14993743705557422"/>
      </bottom>
      <diagonal/>
    </border>
    <border>
      <left style="thin">
        <color theme="0" tint="-0.14993743705557422"/>
      </left>
      <right style="thin">
        <color indexed="64"/>
      </right>
      <top style="thin">
        <color indexed="64"/>
      </top>
      <bottom style="thin">
        <color theme="0" tint="-0.14993743705557422"/>
      </bottom>
      <diagonal/>
    </border>
    <border>
      <left style="thin">
        <color indexed="64"/>
      </left>
      <right style="thin">
        <color theme="0" tint="-0.14993743705557422"/>
      </right>
      <top style="thin">
        <color theme="0" tint="-0.14993743705557422"/>
      </top>
      <bottom style="thin">
        <color theme="0" tint="-0.14993743705557422"/>
      </bottom>
      <diagonal/>
    </border>
    <border>
      <left style="thin">
        <color theme="0" tint="-0.14993743705557422"/>
      </left>
      <right style="thin">
        <color indexed="64"/>
      </right>
      <top style="thin">
        <color theme="0" tint="-0.14993743705557422"/>
      </top>
      <bottom style="thin">
        <color theme="0" tint="-0.14993743705557422"/>
      </bottom>
      <diagonal/>
    </border>
    <border>
      <left style="thin">
        <color indexed="64"/>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3743705557422"/>
      </left>
      <right style="thin">
        <color indexed="64"/>
      </right>
      <top style="thin">
        <color theme="0" tint="-0.14993743705557422"/>
      </top>
      <bottom style="thin">
        <color indexed="64"/>
      </bottom>
      <diagonal/>
    </border>
    <border>
      <left style="thin">
        <color theme="0" tint="-0.14993743705557422"/>
      </left>
      <right style="thin">
        <color indexed="64"/>
      </right>
      <top style="thin">
        <color indexed="64"/>
      </top>
      <bottom style="thin">
        <color indexed="64"/>
      </bottom>
      <diagonal/>
    </border>
    <border>
      <left style="thin">
        <color indexed="64"/>
      </left>
      <right style="thin">
        <color theme="0" tint="-0.14993743705557422"/>
      </right>
      <top style="thin">
        <color indexed="64"/>
      </top>
      <bottom style="thin">
        <color indexed="64"/>
      </bottom>
      <diagonal/>
    </border>
    <border>
      <left style="thin">
        <color theme="0" tint="-0.14993743705557422"/>
      </left>
      <right/>
      <top style="thin">
        <color indexed="64"/>
      </top>
      <bottom style="thin">
        <color theme="0" tint="-0.14993743705557422"/>
      </bottom>
      <diagonal/>
    </border>
    <border>
      <left style="thin">
        <color theme="0" tint="-0.14996795556505021"/>
      </left>
      <right style="thin">
        <color theme="0" tint="-0.24994659260841701"/>
      </right>
      <top style="thin">
        <color indexed="64"/>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right style="thin">
        <color theme="0" tint="-0.14993743705557422"/>
      </right>
      <top style="thin">
        <color indexed="64"/>
      </top>
      <bottom style="thin">
        <color indexed="64"/>
      </bottom>
      <diagonal/>
    </border>
    <border>
      <left style="thin">
        <color theme="0" tint="-0.14996795556505021"/>
      </left>
      <right style="thin">
        <color theme="0" tint="-0.14996795556505021"/>
      </right>
      <top style="thin">
        <color theme="0" tint="-0.14996795556505021"/>
      </top>
      <bottom/>
      <diagonal/>
    </border>
    <border>
      <left style="thin">
        <color theme="0" tint="-0.24994659260841701"/>
      </left>
      <right/>
      <top style="thin">
        <color indexed="64"/>
      </top>
      <bottom style="thin">
        <color theme="0" tint="-0.24994659260841701"/>
      </bottom>
      <diagonal/>
    </border>
    <border>
      <left/>
      <right style="thin">
        <color theme="0" tint="-0.14993743705557422"/>
      </right>
      <top style="thin">
        <color indexed="64"/>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34998626667073579"/>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style="thin">
        <color theme="0" tint="-0.34998626667073579"/>
      </left>
      <right style="thin">
        <color theme="0" tint="-0.14996795556505021"/>
      </right>
      <top style="thin">
        <color theme="0" tint="-0.14996795556505021"/>
      </top>
      <bottom style="thin">
        <color theme="0" tint="-0.34998626667073579"/>
      </bottom>
      <diagonal/>
    </border>
    <border>
      <left style="thin">
        <color theme="0" tint="-0.34998626667073579"/>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34998626667073579"/>
      </top>
      <bottom style="thin">
        <color theme="0" tint="-0.14996795556505021"/>
      </bottom>
      <diagonal/>
    </border>
    <border>
      <left style="thin">
        <color theme="0" tint="-0.14993743705557422"/>
      </left>
      <right style="thin">
        <color theme="0" tint="-0.14993743705557422"/>
      </right>
      <top style="thin">
        <color theme="0" tint="-0.34998626667073579"/>
      </top>
      <bottom style="thin">
        <color theme="0" tint="-0.14993743705557422"/>
      </bottom>
      <diagonal/>
    </border>
    <border>
      <left style="thin">
        <color theme="0" tint="-0.14993743705557422"/>
      </left>
      <right style="thin">
        <color theme="0" tint="-0.34998626667073579"/>
      </right>
      <top style="thin">
        <color theme="0" tint="-0.34998626667073579"/>
      </top>
      <bottom style="thin">
        <color theme="0" tint="-0.14993743705557422"/>
      </bottom>
      <diagonal/>
    </border>
    <border>
      <left style="thin">
        <color theme="0" tint="-0.14993743705557422"/>
      </left>
      <right style="thin">
        <color theme="0" tint="-0.34998626667073579"/>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34998626667073579"/>
      </bottom>
      <diagonal/>
    </border>
    <border>
      <left style="thin">
        <color theme="0" tint="-0.14993743705557422"/>
      </left>
      <right style="thin">
        <color theme="0" tint="-0.34998626667073579"/>
      </right>
      <top style="thin">
        <color theme="0" tint="-0.14993743705557422"/>
      </top>
      <bottom style="thin">
        <color theme="0" tint="-0.34998626667073579"/>
      </bottom>
      <diagonal/>
    </border>
    <border>
      <left style="thin">
        <color theme="0" tint="-0.14996795556505021"/>
      </left>
      <right style="thin">
        <color theme="0" tint="-0.34998626667073579"/>
      </right>
      <top style="thin">
        <color theme="0" tint="-0.34998626667073579"/>
      </top>
      <bottom style="thin">
        <color theme="0" tint="-0.14996795556505021"/>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34998626667073579"/>
      </right>
      <top style="thin">
        <color theme="0" tint="-0.14996795556505021"/>
      </top>
      <bottom style="thin">
        <color theme="0" tint="-0.14996795556505021"/>
      </bottom>
      <diagonal/>
    </border>
    <border>
      <left/>
      <right style="thin">
        <color theme="0" tint="-0.34998626667073579"/>
      </right>
      <top/>
      <bottom/>
      <diagonal/>
    </border>
    <border>
      <left/>
      <right style="thin">
        <color theme="0" tint="-0.14996795556505021"/>
      </right>
      <top style="thin">
        <color theme="0" tint="-0.34998626667073579"/>
      </top>
      <bottom style="thin">
        <color theme="0" tint="-0.14996795556505021"/>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style="thin">
        <color theme="0" tint="-0.14996795556505021"/>
      </bottom>
      <diagonal/>
    </border>
    <border>
      <left/>
      <right/>
      <top style="thin">
        <color theme="0" tint="-0.34998626667073579"/>
      </top>
      <bottom style="thin">
        <color theme="0" tint="-0.14996795556505021"/>
      </bottom>
      <diagonal/>
    </border>
    <border>
      <left/>
      <right style="thin">
        <color theme="0" tint="-0.34998626667073579"/>
      </right>
      <top style="thin">
        <color theme="0" tint="-0.34998626667073579"/>
      </top>
      <bottom style="thin">
        <color theme="0" tint="-0.14996795556505021"/>
      </bottom>
      <diagonal/>
    </border>
    <border>
      <left style="thin">
        <color theme="0" tint="-0.34998626667073579"/>
      </left>
      <right/>
      <top style="thin">
        <color theme="0" tint="-0.14996795556505021"/>
      </top>
      <bottom/>
      <diagonal/>
    </border>
    <border>
      <left/>
      <right/>
      <top style="thin">
        <color theme="0" tint="-0.14996795556505021"/>
      </top>
      <bottom/>
      <diagonal/>
    </border>
    <border>
      <left/>
      <right style="thin">
        <color theme="0" tint="-0.34998626667073579"/>
      </right>
      <top style="thin">
        <color theme="0" tint="-0.14996795556505021"/>
      </top>
      <bottom/>
      <diagonal/>
    </border>
    <border>
      <left style="thin">
        <color theme="0" tint="-0.34998626667073579"/>
      </left>
      <right/>
      <top/>
      <bottom style="thin">
        <color theme="0" tint="-0.14996795556505021"/>
      </bottom>
      <diagonal/>
    </border>
    <border>
      <left/>
      <right style="thin">
        <color theme="0" tint="-0.34998626667073579"/>
      </right>
      <top/>
      <bottom style="thin">
        <color theme="0" tint="-0.14996795556505021"/>
      </bottom>
      <diagonal/>
    </border>
    <border>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14996795556505021"/>
      </right>
      <top style="thin">
        <color theme="0" tint="-0.34998626667073579"/>
      </top>
      <bottom style="thin">
        <color theme="0" tint="-0.34998626667073579"/>
      </bottom>
      <diagonal/>
    </border>
    <border>
      <left style="thin">
        <color theme="0" tint="-0.34998626667073579"/>
      </left>
      <right style="thin">
        <color theme="0" tint="-0.14996795556505021"/>
      </right>
      <top style="thin">
        <color theme="0" tint="-0.34998626667073579"/>
      </top>
      <bottom/>
      <diagonal/>
    </border>
    <border>
      <left/>
      <right style="thin">
        <color theme="0" tint="-0.14996795556505021"/>
      </right>
      <top style="thin">
        <color theme="0" tint="-0.34998626667073579"/>
      </top>
      <bottom/>
      <diagonal/>
    </border>
    <border>
      <left style="thin">
        <color theme="0" tint="-0.34998626667073579"/>
      </left>
      <right style="thin">
        <color theme="0" tint="-0.14996795556505021"/>
      </right>
      <top style="thin">
        <color theme="0" tint="-0.14996795556505021"/>
      </top>
      <bottom/>
      <diagonal/>
    </border>
    <border>
      <left style="thin">
        <color theme="0" tint="-0.14996795556505021"/>
      </left>
      <right style="thin">
        <color theme="0" tint="-0.34998626667073579"/>
      </right>
      <top style="thin">
        <color theme="0" tint="-0.14996795556505021"/>
      </top>
      <bottom/>
      <diagonal/>
    </border>
    <border>
      <left style="thin">
        <color theme="0" tint="-0.14996795556505021"/>
      </left>
      <right style="thin">
        <color theme="0" tint="-0.34998626667073579"/>
      </right>
      <top/>
      <bottom style="thin">
        <color theme="0" tint="-0.14996795556505021"/>
      </bottom>
      <diagonal/>
    </border>
    <border>
      <left style="thin">
        <color theme="0" tint="-0.34998626667073579"/>
      </left>
      <right style="thin">
        <color theme="0" tint="-0.34998626667073579"/>
      </right>
      <top style="thin">
        <color theme="0" tint="-0.34998626667073579"/>
      </top>
      <bottom/>
      <diagonal/>
    </border>
    <border>
      <left style="thin">
        <color theme="0" tint="-0.14996795556505021"/>
      </left>
      <right style="thin">
        <color theme="0" tint="-0.14996795556505021"/>
      </right>
      <top style="thin">
        <color theme="0" tint="-0.34998626667073579"/>
      </top>
      <bottom style="thin">
        <color theme="0" tint="-0.34998626667073579"/>
      </bottom>
      <diagonal/>
    </border>
    <border>
      <left style="thin">
        <color theme="0" tint="-0.14996795556505021"/>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14996795556505021"/>
      </right>
      <top style="thin">
        <color theme="0" tint="-0.34998626667073579"/>
      </top>
      <bottom style="thin">
        <color theme="0" tint="-0.34998626667073579"/>
      </bottom>
      <diagonal/>
    </border>
    <border>
      <left style="thin">
        <color theme="0" tint="-0.34998626667073579"/>
      </left>
      <right/>
      <top style="thin">
        <color theme="0" tint="-0.14996795556505021"/>
      </top>
      <bottom style="thin">
        <color theme="0" tint="-0.34998626667073579"/>
      </bottom>
      <diagonal/>
    </border>
    <border>
      <left/>
      <right/>
      <top style="thin">
        <color theme="0" tint="-0.14996795556505021"/>
      </top>
      <bottom style="thin">
        <color theme="0" tint="-0.34998626667073579"/>
      </bottom>
      <diagonal/>
    </border>
    <border>
      <left style="thin">
        <color theme="0" tint="-0.34998626667073579"/>
      </left>
      <right style="thin">
        <color theme="0" tint="-0.14993743705557422"/>
      </right>
      <top style="thin">
        <color theme="0" tint="-0.14993743705557422"/>
      </top>
      <bottom style="thin">
        <color theme="0" tint="-0.14993743705557422"/>
      </bottom>
      <diagonal/>
    </border>
    <border>
      <left style="thin">
        <color theme="0" tint="-0.34998626667073579"/>
      </left>
      <right style="thin">
        <color theme="0" tint="-0.14993743705557422"/>
      </right>
      <top style="thin">
        <color theme="0" tint="-0.14993743705557422"/>
      </top>
      <bottom style="thin">
        <color theme="0" tint="-0.34998626667073579"/>
      </bottom>
      <diagonal/>
    </border>
    <border>
      <left style="thin">
        <color theme="0" tint="-0.34998626667073579"/>
      </left>
      <right style="thin">
        <color theme="0" tint="-0.14993743705557422"/>
      </right>
      <top style="thin">
        <color theme="0" tint="-0.34998626667073579"/>
      </top>
      <bottom style="thin">
        <color theme="0" tint="-0.14993743705557422"/>
      </bottom>
      <diagonal/>
    </border>
    <border>
      <left/>
      <right style="thin">
        <color theme="0" tint="-0.34998626667073579"/>
      </right>
      <top style="thin">
        <color theme="0" tint="-0.14996795556505021"/>
      </top>
      <bottom style="thin">
        <color theme="0" tint="-0.34998626667073579"/>
      </bottom>
      <diagonal/>
    </border>
    <border>
      <left style="thin">
        <color theme="0" tint="-0.34998626667073579"/>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34998626667073579"/>
      </top>
      <bottom/>
      <diagonal/>
    </border>
    <border>
      <left style="thin">
        <color theme="0" tint="-0.14996795556505021"/>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14996795556505021"/>
      </bottom>
      <diagonal/>
    </border>
    <border>
      <left/>
      <right style="thin">
        <color theme="0" tint="-0.14996795556505021"/>
      </right>
      <top/>
      <bottom style="thin">
        <color theme="0" tint="-0.1499679555650502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14993743705557422"/>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34998626667073579"/>
      </left>
      <right style="thin">
        <color theme="0" tint="-0.34998626667073579"/>
      </right>
      <top style="thin">
        <color theme="0" tint="-0.14993743705557422"/>
      </top>
      <bottom style="thin">
        <color theme="0" tint="-0.34998626667073579"/>
      </bottom>
      <diagonal/>
    </border>
    <border>
      <left style="thin">
        <color theme="0" tint="-0.14996795556505021"/>
      </left>
      <right style="thin">
        <color theme="0" tint="-0.14996795556505021"/>
      </right>
      <top/>
      <bottom/>
      <diagonal/>
    </border>
    <border>
      <left style="thin">
        <color theme="0" tint="-0.34998626667073579"/>
      </left>
      <right style="thin">
        <color theme="0" tint="-0.14996795556505021"/>
      </right>
      <top/>
      <bottom/>
      <diagonal/>
    </border>
    <border>
      <left style="thin">
        <color theme="0" tint="-0.34998626667073579"/>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thin">
        <color theme="0" tint="-0.34998626667073579"/>
      </right>
      <top/>
      <bottom style="thin">
        <color theme="0" tint="-0.34998626667073579"/>
      </bottom>
      <diagonal/>
    </border>
    <border>
      <left/>
      <right style="thin">
        <color theme="0" tint="-0.14996795556505021"/>
      </right>
      <top/>
      <bottom style="thin">
        <color theme="0" tint="-0.34998626667073579"/>
      </bottom>
      <diagonal/>
    </border>
    <border>
      <left style="thin">
        <color theme="0" tint="-0.14996795556505021"/>
      </left>
      <right/>
      <top style="thin">
        <color theme="0" tint="-0.34998626667073579"/>
      </top>
      <bottom style="thin">
        <color theme="0" tint="-0.14996795556505021"/>
      </bottom>
      <diagonal/>
    </border>
    <border>
      <left/>
      <right/>
      <top/>
      <bottom style="thin">
        <color theme="0" tint="-0.14993743705557422"/>
      </bottom>
      <diagonal/>
    </border>
    <border>
      <left style="thin">
        <color theme="0" tint="-0.34998626667073579"/>
      </left>
      <right/>
      <top/>
      <bottom style="thin">
        <color theme="0" tint="-0.14993743705557422"/>
      </bottom>
      <diagonal/>
    </border>
    <border>
      <left/>
      <right style="thin">
        <color theme="0" tint="-0.34998626667073579"/>
      </right>
      <top/>
      <bottom style="thin">
        <color theme="0" tint="-0.14993743705557422"/>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diagonal/>
    </border>
    <border>
      <left style="thin">
        <color theme="0" tint="-0.14993743705557422"/>
      </left>
      <right style="thin">
        <color theme="0" tint="-0.14993743705557422"/>
      </right>
      <top style="thin">
        <color indexed="64"/>
      </top>
      <bottom style="thin">
        <color theme="0" tint="-0.14990691854609822"/>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style="thin">
        <color theme="0" tint="-0.14993743705557422"/>
      </left>
      <right style="thin">
        <color theme="0" tint="-0.14993743705557422"/>
      </right>
      <top/>
      <bottom style="thin">
        <color theme="0" tint="-0.14990691854609822"/>
      </bottom>
      <diagonal/>
    </border>
    <border>
      <left style="thin">
        <color theme="0" tint="-0.14990691854609822"/>
      </left>
      <right style="thin">
        <color theme="0" tint="-0.14990691854609822"/>
      </right>
      <top style="thin">
        <color indexed="64"/>
      </top>
      <bottom style="thin">
        <color theme="0" tint="-0.14990691854609822"/>
      </bottom>
      <diagonal/>
    </border>
    <border>
      <left style="thin">
        <color theme="0" tint="-0.14993743705557422"/>
      </left>
      <right style="thin">
        <color theme="0" tint="-0.14993743705557422"/>
      </right>
      <top style="thin">
        <color theme="0" tint="-0.14990691854609822"/>
      </top>
      <bottom style="thin">
        <color indexed="64"/>
      </bottom>
      <diagonal/>
    </border>
    <border>
      <left style="thin">
        <color theme="0" tint="-0.14996795556505021"/>
      </left>
      <right/>
      <top/>
      <bottom style="thin">
        <color theme="0" tint="-0.14996795556505021"/>
      </bottom>
      <diagonal/>
    </border>
    <border>
      <left style="thin">
        <color theme="0" tint="-0.34998626667073579"/>
      </left>
      <right style="thin">
        <color theme="0" tint="-0.34998626667073579"/>
      </right>
      <top style="thin">
        <color theme="0" tint="-0.14996795556505021"/>
      </top>
      <bottom/>
      <diagonal/>
    </border>
    <border>
      <left/>
      <right style="thin">
        <color theme="0" tint="-0.14996795556505021"/>
      </right>
      <top style="thin">
        <color theme="0" tint="-0.14996795556505021"/>
      </top>
      <bottom style="thin">
        <color indexed="64"/>
      </bottom>
      <diagonal/>
    </border>
    <border>
      <left/>
      <right style="thin">
        <color theme="0" tint="-0.14993743705557422"/>
      </right>
      <top style="thin">
        <color theme="0" tint="-0.14993743705557422"/>
      </top>
      <bottom style="thin">
        <color theme="0" tint="-0.14993743705557422"/>
      </bottom>
      <diagonal/>
    </border>
    <border>
      <left style="thin">
        <color indexed="64"/>
      </left>
      <right style="thin">
        <color theme="0" tint="-0.14993743705557422"/>
      </right>
      <top style="thin">
        <color indexed="64"/>
      </top>
      <bottom style="thin">
        <color theme="0" tint="-0.14996795556505021"/>
      </bottom>
      <diagonal/>
    </border>
    <border>
      <left style="thin">
        <color indexed="64"/>
      </left>
      <right style="thin">
        <color theme="0" tint="-0.14993743705557422"/>
      </right>
      <top style="thin">
        <color theme="0" tint="-0.14996795556505021"/>
      </top>
      <bottom style="thin">
        <color theme="0" tint="-0.14996795556505021"/>
      </bottom>
      <diagonal/>
    </border>
    <border>
      <left style="thin">
        <color indexed="64"/>
      </left>
      <right style="thin">
        <color theme="0" tint="-0.14993743705557422"/>
      </right>
      <top style="thin">
        <color theme="0" tint="-0.14996795556505021"/>
      </top>
      <bottom style="thin">
        <color indexed="64"/>
      </bottom>
      <diagonal/>
    </border>
    <border>
      <left/>
      <right style="thin">
        <color theme="0" tint="-0.14993743705557422"/>
      </right>
      <top style="thin">
        <color theme="0" tint="-0.14993743705557422"/>
      </top>
      <bottom style="thin">
        <color indexed="64"/>
      </bottom>
      <diagonal/>
    </border>
    <border>
      <left style="thin">
        <color theme="0" tint="-0.14996795556505021"/>
      </left>
      <right/>
      <top/>
      <bottom style="thin">
        <color theme="0" tint="-0.34998626667073579"/>
      </bottom>
      <diagonal/>
    </border>
    <border>
      <left style="thin">
        <color theme="0" tint="-0.14993743705557422"/>
      </left>
      <right style="thin">
        <color theme="0" tint="-0.34998626667073579"/>
      </right>
      <top/>
      <bottom style="thin">
        <color theme="0" tint="-0.14993743705557422"/>
      </bottom>
      <diagonal/>
    </border>
    <border>
      <left/>
      <right style="thin">
        <color theme="0" tint="-0.24994659260841701"/>
      </right>
      <top style="thin">
        <color theme="0" tint="-0.34998626667073579"/>
      </top>
      <bottom style="thin">
        <color theme="0" tint="-0.14996795556505021"/>
      </bottom>
      <diagonal/>
    </border>
    <border>
      <left style="thin">
        <color theme="0" tint="-0.14993743705557422"/>
      </left>
      <right style="thin">
        <color indexed="64"/>
      </right>
      <top style="thin">
        <color theme="0" tint="-0.14990691854609822"/>
      </top>
      <bottom style="thin">
        <color indexed="64"/>
      </bottom>
      <diagonal/>
    </border>
    <border>
      <left style="thin">
        <color theme="0" tint="-0.14996795556505021"/>
      </left>
      <right/>
      <top style="thin">
        <color theme="0" tint="-0.14996795556505021"/>
      </top>
      <bottom style="thin">
        <color indexed="64"/>
      </bottom>
      <diagonal/>
    </border>
    <border>
      <left style="thin">
        <color theme="0" tint="-0.14993743705557422"/>
      </left>
      <right style="thin">
        <color theme="0" tint="-0.14993743705557422"/>
      </right>
      <top/>
      <bottom style="thin">
        <color theme="0" tint="-0.34998626667073579"/>
      </bottom>
      <diagonal/>
    </border>
    <border>
      <left style="thin">
        <color theme="0" tint="-0.14993743705557422"/>
      </left>
      <right style="thin">
        <color theme="0" tint="-0.34998626667073579"/>
      </right>
      <top/>
      <bottom style="thin">
        <color theme="0" tint="-0.34998626667073579"/>
      </bottom>
      <diagonal/>
    </border>
    <border>
      <left style="thin">
        <color theme="0" tint="-0.34998626667073579"/>
      </left>
      <right style="thin">
        <color theme="0" tint="-0.14993743705557422"/>
      </right>
      <top/>
      <bottom style="thin">
        <color theme="0" tint="-0.34998626667073579"/>
      </bottom>
      <diagonal/>
    </border>
    <border>
      <left/>
      <right style="thin">
        <color theme="0" tint="-0.14996795556505021"/>
      </right>
      <top style="thin">
        <color indexed="64"/>
      </top>
      <bottom style="thin">
        <color theme="0" tint="-0.14996795556505021"/>
      </bottom>
      <diagonal/>
    </border>
    <border>
      <left style="thin">
        <color theme="0" tint="-0.14993743705557422"/>
      </left>
      <right style="thin">
        <color theme="0" tint="-0.14990691854609822"/>
      </right>
      <top/>
      <bottom/>
      <diagonal/>
    </border>
    <border>
      <left style="thin">
        <color theme="0" tint="-0.14990691854609822"/>
      </left>
      <right style="thin">
        <color theme="0" tint="-0.14990691854609822"/>
      </right>
      <top/>
      <bottom/>
      <diagonal/>
    </border>
    <border>
      <left style="thin">
        <color theme="0" tint="-0.14990691854609822"/>
      </left>
      <right style="thin">
        <color theme="0" tint="-0.14993743705557422"/>
      </right>
      <top/>
      <bottom/>
      <diagonal/>
    </border>
    <border>
      <left style="thin">
        <color auto="1"/>
      </left>
      <right/>
      <top style="thin">
        <color auto="1"/>
      </top>
      <bottom style="thin">
        <color theme="0" tint="-0.14996795556505021"/>
      </bottom>
      <diagonal/>
    </border>
    <border>
      <left/>
      <right/>
      <top style="thin">
        <color auto="1"/>
      </top>
      <bottom style="thin">
        <color theme="0" tint="-0.14996795556505021"/>
      </bottom>
      <diagonal/>
    </border>
    <border>
      <left style="thin">
        <color theme="0" tint="-0.14993743705557422"/>
      </left>
      <right style="thin">
        <color theme="0" tint="-0.14993743705557422"/>
      </right>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34998626667073579"/>
      </left>
      <right style="thin">
        <color theme="0" tint="-0.14990691854609822"/>
      </right>
      <top style="thin">
        <color theme="0" tint="-0.34998626667073579"/>
      </top>
      <bottom style="thin">
        <color theme="0" tint="-0.14990691854609822"/>
      </bottom>
      <diagonal/>
    </border>
    <border>
      <left style="thin">
        <color theme="0" tint="-0.14990691854609822"/>
      </left>
      <right style="thin">
        <color theme="0" tint="-0.14990691854609822"/>
      </right>
      <top style="thin">
        <color theme="0" tint="-0.34998626667073579"/>
      </top>
      <bottom style="thin">
        <color theme="0" tint="-0.14990691854609822"/>
      </bottom>
      <diagonal/>
    </border>
    <border>
      <left style="thin">
        <color theme="0" tint="-0.14990691854609822"/>
      </left>
      <right style="thin">
        <color theme="0" tint="-0.34998626667073579"/>
      </right>
      <top style="thin">
        <color theme="0" tint="-0.34998626667073579"/>
      </top>
      <bottom style="thin">
        <color theme="0" tint="-0.14990691854609822"/>
      </bottom>
      <diagonal/>
    </border>
    <border>
      <left style="thin">
        <color theme="0" tint="-0.34998626667073579"/>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6795556505021"/>
      </left>
      <right style="thin">
        <color theme="0" tint="-0.14993743705557422"/>
      </right>
      <top style="thin">
        <color indexed="64"/>
      </top>
      <bottom style="thin">
        <color theme="0" tint="-0.14996795556505021"/>
      </bottom>
      <diagonal/>
    </border>
    <border>
      <left style="thin">
        <color theme="0" tint="-0.14993743705557422"/>
      </left>
      <right style="thin">
        <color theme="0" tint="-0.14993743705557422"/>
      </right>
      <top style="thin">
        <color indexed="64"/>
      </top>
      <bottom style="thin">
        <color theme="0" tint="-0.14996795556505021"/>
      </bottom>
      <diagonal/>
    </border>
    <border>
      <left style="thin">
        <color theme="0" tint="-0.34998626667073579"/>
      </left>
      <right style="thin">
        <color theme="0" tint="-0.14993743705557422"/>
      </right>
      <top/>
      <bottom style="thin">
        <color theme="0" tint="-0.14993743705557422"/>
      </bottom>
      <diagonal/>
    </border>
    <border>
      <left style="thin">
        <color theme="0" tint="-0.14990691854609822"/>
      </left>
      <right/>
      <top style="thin">
        <color theme="0" tint="-0.34998626667073579"/>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3743705557422"/>
      </left>
      <right/>
      <top style="thin">
        <color theme="0" tint="-0.34998626667073579"/>
      </top>
      <bottom style="thin">
        <color theme="0" tint="-0.14993743705557422"/>
      </bottom>
      <diagonal/>
    </border>
    <border>
      <left style="thin">
        <color theme="0" tint="-0.14993743705557422"/>
      </left>
      <right/>
      <top/>
      <bottom style="thin">
        <color theme="0" tint="-0.14993743705557422"/>
      </bottom>
      <diagonal/>
    </border>
    <border>
      <left style="thin">
        <color theme="0" tint="-0.14993743705557422"/>
      </left>
      <right/>
      <top/>
      <bottom style="thin">
        <color theme="0" tint="-0.34998626667073579"/>
      </bottom>
      <diagonal/>
    </border>
    <border>
      <left/>
      <right style="thin">
        <color theme="0" tint="-0.14990691854609822"/>
      </right>
      <top style="thin">
        <color theme="0" tint="-0.34998626667073579"/>
      </top>
      <bottom style="thin">
        <color theme="0" tint="-0.14990691854609822"/>
      </bottom>
      <diagonal/>
    </border>
    <border>
      <left/>
      <right style="thin">
        <color theme="0" tint="-0.14993743705557422"/>
      </right>
      <top style="thin">
        <color theme="0" tint="-0.34998626667073579"/>
      </top>
      <bottom style="thin">
        <color theme="0" tint="-0.14993743705557422"/>
      </bottom>
      <diagonal/>
    </border>
    <border>
      <left/>
      <right style="thin">
        <color theme="0" tint="-0.14993743705557422"/>
      </right>
      <top/>
      <bottom style="thin">
        <color theme="0" tint="-0.14993743705557422"/>
      </bottom>
      <diagonal/>
    </border>
    <border>
      <left/>
      <right style="thin">
        <color theme="0" tint="-0.14993743705557422"/>
      </right>
      <top/>
      <bottom style="thin">
        <color theme="0" tint="-0.34998626667073579"/>
      </bottom>
      <diagonal/>
    </border>
    <border>
      <left style="thin">
        <color theme="0" tint="-0.34998626667073579"/>
      </left>
      <right/>
      <top/>
      <bottom style="thin">
        <color theme="0" tint="-0.14990691854609822"/>
      </bottom>
      <diagonal/>
    </border>
    <border>
      <left/>
      <right/>
      <top style="thin">
        <color theme="0" tint="-0.14996795556505021"/>
      </top>
      <bottom style="thin">
        <color auto="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right style="thin">
        <color theme="0" tint="-0.24994659260841701"/>
      </right>
      <top style="thin">
        <color theme="0" tint="-0.34998626667073579"/>
      </top>
      <bottom style="thin">
        <color theme="0" tint="-0.24994659260841701"/>
      </bottom>
      <diagonal/>
    </border>
    <border>
      <left/>
      <right style="thin">
        <color theme="0" tint="-0.14990691854609822"/>
      </right>
      <top style="thin">
        <color theme="0" tint="-0.14990691854609822"/>
      </top>
      <bottom/>
      <diagonal/>
    </border>
    <border>
      <left style="thin">
        <color theme="0" tint="-0.14990691854609822"/>
      </left>
      <right style="thin">
        <color theme="0" tint="-0.34998626667073579"/>
      </right>
      <top style="thin">
        <color theme="0" tint="-0.14990691854609822"/>
      </top>
      <bottom/>
      <diagonal/>
    </border>
    <border>
      <left style="thin">
        <color theme="0" tint="-0.34998626667073579"/>
      </left>
      <right style="thin">
        <color theme="0" tint="-0.14990691854609822"/>
      </right>
      <top style="thin">
        <color theme="0" tint="-0.14990691854609822"/>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top style="thin">
        <color theme="0" tint="-0.14990691854609822"/>
      </top>
      <bottom/>
      <diagonal/>
    </border>
    <border>
      <left style="thin">
        <color auto="1"/>
      </left>
      <right style="thin">
        <color theme="0" tint="-0.24994659260841701"/>
      </right>
      <top style="thin">
        <color auto="1"/>
      </top>
      <bottom style="thin">
        <color theme="0" tint="-0.14996795556505021"/>
      </bottom>
      <diagonal/>
    </border>
    <border>
      <left style="thin">
        <color auto="1"/>
      </left>
      <right style="thin">
        <color theme="0" tint="-0.24994659260841701"/>
      </right>
      <top style="thin">
        <color theme="0" tint="-0.14996795556505021"/>
      </top>
      <bottom style="thin">
        <color theme="0" tint="-0.14996795556505021"/>
      </bottom>
      <diagonal/>
    </border>
    <border>
      <left style="thin">
        <color auto="1"/>
      </left>
      <right style="thin">
        <color theme="0" tint="-0.24994659260841701"/>
      </right>
      <top style="thin">
        <color theme="0" tint="-0.14996795556505021"/>
      </top>
      <bottom style="thin">
        <color auto="1"/>
      </bottom>
      <diagonal/>
    </border>
    <border>
      <left style="thin">
        <color theme="0" tint="-0.14993743705557422"/>
      </left>
      <right style="thin">
        <color indexed="64"/>
      </right>
      <top style="thin">
        <color indexed="64"/>
      </top>
      <bottom style="thin">
        <color theme="0" tint="-0.14990691854609822"/>
      </bottom>
      <diagonal/>
    </border>
    <border>
      <left style="thin">
        <color theme="0" tint="-0.14993743705557422"/>
      </left>
      <right style="thin">
        <color indexed="64"/>
      </right>
      <top style="thin">
        <color theme="0" tint="-0.14990691854609822"/>
      </top>
      <bottom style="thin">
        <color theme="0" tint="-0.14990691854609822"/>
      </bottom>
      <diagonal/>
    </border>
    <border>
      <left style="thin">
        <color theme="0" tint="-0.14996795556505021"/>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34998626667073579"/>
      </right>
      <top style="thin">
        <color theme="0" tint="-0.24994659260841701"/>
      </top>
      <bottom style="thin">
        <color theme="0" tint="-0.34998626667073579"/>
      </bottom>
      <diagonal/>
    </border>
    <border>
      <left style="thin">
        <color theme="0" tint="-0.24994659260841701"/>
      </left>
      <right style="thin">
        <color auto="1"/>
      </right>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indexed="64"/>
      </left>
      <right style="thin">
        <color theme="0" tint="-0.24994659260841701"/>
      </right>
      <top/>
      <bottom style="thin">
        <color theme="0" tint="-0.2499465926084170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2">
    <xf numFmtId="0" fontId="0" fillId="0" borderId="0"/>
    <xf numFmtId="49" fontId="16" fillId="2" borderId="0">
      <alignment vertical="center"/>
    </xf>
    <xf numFmtId="0" fontId="16" fillId="12" borderId="0">
      <alignment vertical="center"/>
    </xf>
    <xf numFmtId="0" fontId="36" fillId="12" borderId="0">
      <alignment horizontal="left" vertical="center"/>
      <protection locked="0"/>
    </xf>
    <xf numFmtId="0" fontId="20" fillId="2" borderId="0">
      <alignment vertical="center"/>
      <protection locked="0"/>
    </xf>
    <xf numFmtId="168" fontId="26" fillId="4" borderId="22" applyFill="0" applyBorder="0">
      <alignment horizontal="right" indent="2"/>
      <protection locked="0"/>
    </xf>
    <xf numFmtId="169" fontId="41" fillId="61" borderId="10" applyBorder="0">
      <alignment horizontal="right" vertical="center"/>
      <protection locked="0"/>
    </xf>
    <xf numFmtId="0" fontId="111" fillId="0" borderId="0">
      <alignment vertical="center"/>
    </xf>
    <xf numFmtId="170" fontId="2" fillId="23" borderId="54" applyFill="0" applyBorder="0">
      <alignment vertical="top" wrapText="1"/>
    </xf>
    <xf numFmtId="49" fontId="8" fillId="4" borderId="71" applyAlignment="0">
      <alignment horizontal="left" vertical="center" wrapText="1"/>
      <protection locked="0"/>
    </xf>
    <xf numFmtId="0" fontId="22" fillId="0" borderId="226">
      <alignment horizontal="left" vertical="center" indent="1"/>
    </xf>
    <xf numFmtId="168" fontId="40" fillId="24" borderId="81" applyBorder="0">
      <alignment horizontal="right"/>
      <protection locked="0"/>
    </xf>
    <xf numFmtId="174" fontId="26" fillId="4" borderId="21" applyFill="0" applyBorder="0">
      <alignment horizontal="right" indent="2"/>
      <protection locked="0"/>
    </xf>
    <xf numFmtId="0" fontId="55" fillId="27" borderId="0" applyAlignment="0">
      <alignment horizontal="left" vertical="center"/>
    </xf>
    <xf numFmtId="0" fontId="36" fillId="12" borderId="0">
      <alignment horizontal="left" vertical="center"/>
      <protection locked="0"/>
    </xf>
    <xf numFmtId="168" fontId="40" fillId="4" borderId="56" applyBorder="0">
      <alignment horizontal="right"/>
      <protection locked="0"/>
    </xf>
    <xf numFmtId="49" fontId="2" fillId="39" borderId="71" applyNumberFormat="0" applyFont="0" applyBorder="0" applyAlignment="0" applyProtection="0">
      <alignment horizontal="left" vertical="center" wrapText="1"/>
      <protection locked="0"/>
    </xf>
    <xf numFmtId="174" fontId="40" fillId="4" borderId="56" applyBorder="0">
      <alignment horizontal="right"/>
      <protection locked="0"/>
    </xf>
    <xf numFmtId="10" fontId="40" fillId="24" borderId="81" applyBorder="0">
      <alignment horizontal="right"/>
      <protection locked="0"/>
    </xf>
    <xf numFmtId="0" fontId="110" fillId="0" borderId="0">
      <alignment vertical="center"/>
    </xf>
    <xf numFmtId="49" fontId="94" fillId="0" borderId="63" applyProtection="0"/>
    <xf numFmtId="49" fontId="120" fillId="0" borderId="0">
      <alignment vertical="center"/>
    </xf>
    <xf numFmtId="0" fontId="51" fillId="42" borderId="41" applyBorder="0">
      <alignment horizontal="left" vertical="center"/>
    </xf>
    <xf numFmtId="49" fontId="8" fillId="5" borderId="71" applyAlignment="0" applyProtection="0">
      <alignment horizontal="left" vertical="center" wrapText="1"/>
      <protection locked="0"/>
    </xf>
    <xf numFmtId="169" fontId="41" fillId="70" borderId="55">
      <alignment horizontal="right" vertical="center"/>
      <protection locked="0"/>
    </xf>
    <xf numFmtId="0" fontId="106" fillId="69" borderId="0">
      <alignment horizontal="center" vertical="center" wrapText="1"/>
    </xf>
    <xf numFmtId="0" fontId="13" fillId="9" borderId="127">
      <alignment horizontal="right" vertical="center" wrapText="1" indent="1"/>
    </xf>
    <xf numFmtId="0" fontId="13" fillId="21" borderId="127">
      <alignment horizontal="right" vertical="center" wrapText="1" indent="1"/>
    </xf>
    <xf numFmtId="49" fontId="13" fillId="18" borderId="102" applyBorder="0">
      <alignment horizontal="center" vertical="center" wrapText="1"/>
    </xf>
    <xf numFmtId="0" fontId="13" fillId="19" borderId="6" applyBorder="0">
      <alignment horizontal="right" vertical="center" wrapText="1" indent="1"/>
    </xf>
    <xf numFmtId="0" fontId="13" fillId="43" borderId="6" applyBorder="0">
      <alignment horizontal="right" vertical="center" wrapText="1" indent="1"/>
    </xf>
    <xf numFmtId="0" fontId="95" fillId="28" borderId="0">
      <alignment horizontal="right" indent="1" shrinkToFit="1"/>
    </xf>
    <xf numFmtId="0" fontId="102" fillId="0" borderId="224" applyNumberFormat="0" applyFill="0" applyAlignment="0" applyProtection="0"/>
    <xf numFmtId="0" fontId="12" fillId="72" borderId="0" applyNumberFormat="0" applyFont="0" applyBorder="0" applyAlignment="0" applyProtection="0"/>
    <xf numFmtId="49" fontId="43" fillId="67" borderId="0">
      <alignment horizontal="center" vertical="center" wrapText="1"/>
    </xf>
    <xf numFmtId="0" fontId="101" fillId="64" borderId="223" applyNumberFormat="0" applyFont="0" applyBorder="0" applyAlignment="0" applyProtection="0">
      <alignment vertical="center"/>
    </xf>
    <xf numFmtId="0" fontId="8" fillId="0" borderId="107">
      <alignment horizontal="left" vertical="center" wrapText="1" indent="1"/>
    </xf>
    <xf numFmtId="0" fontId="3" fillId="2" borderId="0">
      <alignment vertical="center"/>
      <protection locked="0"/>
    </xf>
    <xf numFmtId="0" fontId="8" fillId="0" borderId="0"/>
    <xf numFmtId="0" fontId="143" fillId="26" borderId="0">
      <alignment vertical="center"/>
      <protection locked="0"/>
    </xf>
    <xf numFmtId="0" fontId="8" fillId="0" borderId="0"/>
    <xf numFmtId="0" fontId="1" fillId="0" borderId="0"/>
    <xf numFmtId="0" fontId="8" fillId="0" borderId="0"/>
    <xf numFmtId="168" fontId="26" fillId="24" borderId="244" applyFill="0" applyBorder="0">
      <alignment horizontal="right" indent="2"/>
      <protection locked="0"/>
    </xf>
    <xf numFmtId="0" fontId="8" fillId="0" borderId="0"/>
    <xf numFmtId="0" fontId="8" fillId="0" borderId="0" applyFill="0"/>
    <xf numFmtId="0" fontId="145" fillId="0" borderId="0"/>
    <xf numFmtId="0" fontId="100" fillId="0" borderId="0"/>
    <xf numFmtId="164" fontId="1" fillId="0" borderId="0" applyFont="0" applyFill="0" applyBorder="0" applyAlignment="0" applyProtection="0"/>
    <xf numFmtId="164" fontId="1" fillId="0" borderId="0" applyFont="0" applyFill="0" applyBorder="0" applyAlignment="0" applyProtection="0"/>
    <xf numFmtId="0" fontId="100" fillId="0" borderId="0"/>
    <xf numFmtId="0" fontId="187" fillId="0" borderId="0" applyNumberFormat="0" applyFill="0" applyBorder="0" applyAlignment="0" applyProtection="0"/>
  </cellStyleXfs>
  <cellXfs count="2242">
    <xf numFmtId="0" fontId="0" fillId="0" borderId="0" xfId="0"/>
    <xf numFmtId="0" fontId="0" fillId="0" borderId="0" xfId="0"/>
    <xf numFmtId="0" fontId="0" fillId="3" borderId="0" xfId="0" applyFill="1"/>
    <xf numFmtId="0" fontId="0" fillId="0" borderId="0" xfId="0"/>
    <xf numFmtId="0" fontId="0" fillId="0" borderId="0" xfId="0" applyAlignment="1">
      <alignment vertical="center"/>
    </xf>
    <xf numFmtId="0" fontId="21" fillId="10" borderId="0" xfId="0" quotePrefix="1" applyFont="1" applyFill="1" applyBorder="1" applyAlignment="1" applyProtection="1">
      <alignment vertical="center"/>
    </xf>
    <xf numFmtId="49" fontId="16" fillId="2" borderId="0" xfId="1">
      <alignment vertical="center"/>
    </xf>
    <xf numFmtId="0" fontId="17" fillId="2" borderId="0" xfId="1" quotePrefix="1" applyNumberFormat="1" applyFont="1">
      <alignment vertical="center"/>
    </xf>
    <xf numFmtId="0" fontId="17" fillId="2" borderId="0" xfId="1" applyNumberFormat="1" applyFont="1">
      <alignment vertical="center"/>
    </xf>
    <xf numFmtId="49" fontId="17" fillId="2" borderId="0" xfId="1" applyFont="1">
      <alignment vertical="center"/>
    </xf>
    <xf numFmtId="0" fontId="17" fillId="2" borderId="0" xfId="1" applyNumberFormat="1" applyFont="1" applyAlignment="1">
      <alignment horizontal="left" vertical="center"/>
    </xf>
    <xf numFmtId="0" fontId="16" fillId="12" borderId="0" xfId="2">
      <alignment vertical="center"/>
    </xf>
    <xf numFmtId="0" fontId="16" fillId="3" borderId="0" xfId="2" applyFill="1">
      <alignment vertical="center"/>
    </xf>
    <xf numFmtId="0" fontId="16" fillId="7" borderId="0" xfId="2" applyFill="1">
      <alignment vertical="center"/>
    </xf>
    <xf numFmtId="0" fontId="9" fillId="7" borderId="0" xfId="2" applyFont="1" applyFill="1">
      <alignment vertical="center"/>
    </xf>
    <xf numFmtId="0" fontId="10" fillId="3" borderId="0" xfId="2" applyFont="1" applyFill="1" applyAlignment="1">
      <alignment horizontal="justify" vertical="center" wrapText="1"/>
    </xf>
    <xf numFmtId="0" fontId="25" fillId="14" borderId="0" xfId="0" applyFont="1" applyFill="1"/>
    <xf numFmtId="0" fontId="25" fillId="14" borderId="0" xfId="0" applyFont="1" applyFill="1" applyAlignment="1">
      <alignment vertical="top"/>
    </xf>
    <xf numFmtId="0" fontId="25" fillId="14" borderId="0" xfId="0" applyFont="1" applyFill="1" applyAlignment="1">
      <alignment horizontal="centerContinuous" vertical="top"/>
    </xf>
    <xf numFmtId="0" fontId="25" fillId="14" borderId="0" xfId="0" applyFont="1" applyFill="1" applyAlignment="1">
      <alignment horizontal="center" vertical="top"/>
    </xf>
    <xf numFmtId="0" fontId="0" fillId="14" borderId="0" xfId="0" applyFill="1"/>
    <xf numFmtId="0" fontId="26" fillId="3" borderId="0" xfId="0" applyFont="1" applyFill="1"/>
    <xf numFmtId="0" fontId="26" fillId="14" borderId="0" xfId="0" applyFont="1" applyFill="1"/>
    <xf numFmtId="0" fontId="27" fillId="14" borderId="0" xfId="0" applyFont="1" applyFill="1"/>
    <xf numFmtId="0" fontId="26" fillId="3" borderId="0" xfId="0" applyFont="1" applyFill="1" applyAlignment="1">
      <alignment vertical="center"/>
    </xf>
    <xf numFmtId="0" fontId="26" fillId="14" borderId="0" xfId="0" applyFont="1" applyFill="1" applyAlignment="1">
      <alignment vertical="center"/>
    </xf>
    <xf numFmtId="0" fontId="29" fillId="14" borderId="0" xfId="0" applyFont="1" applyFill="1" applyAlignment="1">
      <alignment vertical="center"/>
    </xf>
    <xf numFmtId="0" fontId="28" fillId="14" borderId="0" xfId="0" applyFont="1" applyFill="1"/>
    <xf numFmtId="0" fontId="28" fillId="14" borderId="0" xfId="0" applyFont="1" applyFill="1" applyAlignment="1">
      <alignment wrapText="1"/>
    </xf>
    <xf numFmtId="0" fontId="27" fillId="14" borderId="0" xfId="0" applyFont="1" applyFill="1" applyAlignment="1">
      <alignment horizontal="left"/>
    </xf>
    <xf numFmtId="0" fontId="28" fillId="14" borderId="0" xfId="0" applyFont="1" applyFill="1" applyAlignment="1">
      <alignment horizontal="right"/>
    </xf>
    <xf numFmtId="0" fontId="26" fillId="14" borderId="0" xfId="0" applyFont="1" applyFill="1" applyAlignment="1">
      <alignment horizontal="left"/>
    </xf>
    <xf numFmtId="0" fontId="31" fillId="14" borderId="0" xfId="0" applyFont="1" applyFill="1" applyAlignment="1">
      <alignment horizontal="right"/>
    </xf>
    <xf numFmtId="0" fontId="0" fillId="0" borderId="0" xfId="0" quotePrefix="1"/>
    <xf numFmtId="0" fontId="26" fillId="3" borderId="0" xfId="0" applyFont="1" applyFill="1" applyAlignment="1">
      <alignment vertical="top"/>
    </xf>
    <xf numFmtId="0" fontId="32" fillId="3" borderId="0" xfId="0" applyFont="1" applyFill="1" applyAlignment="1">
      <alignment vertical="top"/>
    </xf>
    <xf numFmtId="0" fontId="26" fillId="14" borderId="0" xfId="0" applyFont="1" applyFill="1" applyAlignment="1">
      <alignment vertical="top"/>
    </xf>
    <xf numFmtId="0" fontId="27" fillId="14" borderId="0" xfId="0" applyFont="1" applyFill="1" applyAlignment="1">
      <alignment horizontal="right" vertical="center"/>
    </xf>
    <xf numFmtId="0" fontId="32" fillId="14" borderId="0" xfId="0" applyFont="1" applyFill="1" applyAlignment="1">
      <alignment vertical="top"/>
    </xf>
    <xf numFmtId="0" fontId="27" fillId="14" borderId="0" xfId="0" applyFont="1" applyFill="1" applyAlignment="1">
      <alignment vertical="top" wrapText="1"/>
    </xf>
    <xf numFmtId="0" fontId="32" fillId="14" borderId="0" xfId="0" applyFont="1" applyFill="1"/>
    <xf numFmtId="0" fontId="37" fillId="16" borderId="0" xfId="0" applyFont="1" applyFill="1" applyAlignment="1" applyProtection="1">
      <alignment vertical="center"/>
    </xf>
    <xf numFmtId="0" fontId="0" fillId="3" borderId="0" xfId="0" applyFont="1" applyFill="1" applyAlignment="1" applyProtection="1">
      <alignment vertical="center"/>
    </xf>
    <xf numFmtId="0" fontId="38" fillId="16" borderId="0" xfId="0" applyFont="1" applyFill="1" applyAlignment="1" applyProtection="1">
      <alignment vertical="center"/>
    </xf>
    <xf numFmtId="0" fontId="0" fillId="3" borderId="0" xfId="0" applyFont="1" applyFill="1"/>
    <xf numFmtId="0" fontId="0" fillId="0" borderId="0" xfId="0" applyFont="1" applyProtection="1"/>
    <xf numFmtId="0" fontId="0" fillId="3" borderId="0" xfId="0" applyFont="1" applyFill="1" applyProtection="1"/>
    <xf numFmtId="0" fontId="39" fillId="2" borderId="0" xfId="4" applyFont="1">
      <alignment vertical="center"/>
      <protection locked="0"/>
    </xf>
    <xf numFmtId="0" fontId="40" fillId="3" borderId="0" xfId="0" applyFont="1" applyFill="1" applyProtection="1"/>
    <xf numFmtId="0" fontId="0" fillId="3" borderId="0" xfId="0" applyFill="1" applyAlignment="1">
      <alignment vertical="center"/>
    </xf>
    <xf numFmtId="0" fontId="5" fillId="3" borderId="0" xfId="0" applyFont="1" applyFill="1" applyAlignment="1">
      <alignment vertical="center"/>
    </xf>
    <xf numFmtId="0" fontId="47" fillId="3" borderId="0" xfId="0" applyFont="1" applyFill="1"/>
    <xf numFmtId="0" fontId="0" fillId="3" borderId="0" xfId="0" applyFill="1"/>
    <xf numFmtId="0" fontId="0" fillId="3" borderId="0" xfId="0" applyFill="1" applyProtection="1"/>
    <xf numFmtId="0" fontId="0" fillId="0" borderId="7" xfId="0" applyBorder="1"/>
    <xf numFmtId="0" fontId="6" fillId="3" borderId="0" xfId="0" applyFont="1" applyFill="1" applyAlignment="1" applyProtection="1">
      <alignment horizontal="right" indent="1"/>
    </xf>
    <xf numFmtId="0" fontId="59" fillId="3" borderId="0" xfId="0" applyFont="1" applyFill="1" applyAlignment="1" applyProtection="1">
      <alignment horizontal="right" indent="1"/>
    </xf>
    <xf numFmtId="0" fontId="60" fillId="3" borderId="0" xfId="0" applyFont="1" applyFill="1" applyAlignment="1" applyProtection="1">
      <alignment horizontal="right" indent="1"/>
    </xf>
    <xf numFmtId="0" fontId="61" fillId="3" borderId="0" xfId="0" applyFont="1" applyFill="1" applyAlignment="1" applyProtection="1">
      <alignment horizontal="right" indent="1"/>
    </xf>
    <xf numFmtId="0" fontId="62" fillId="3" borderId="0" xfId="0" applyFont="1" applyFill="1" applyAlignment="1" applyProtection="1">
      <alignment horizontal="right" indent="1"/>
    </xf>
    <xf numFmtId="0" fontId="47" fillId="3" borderId="0" xfId="0" applyFont="1" applyFill="1" applyAlignment="1" applyProtection="1">
      <alignment horizontal="left" vertical="center"/>
    </xf>
    <xf numFmtId="0" fontId="37" fillId="2" borderId="0" xfId="0" applyFont="1" applyFill="1" applyAlignment="1" applyProtection="1">
      <alignment vertical="center" wrapText="1"/>
    </xf>
    <xf numFmtId="0" fontId="63" fillId="32" borderId="0" xfId="0" applyFont="1" applyFill="1" applyAlignment="1">
      <alignment vertical="center"/>
    </xf>
    <xf numFmtId="0" fontId="0" fillId="32" borderId="0" xfId="0" applyFill="1"/>
    <xf numFmtId="0" fontId="3" fillId="34" borderId="1" xfId="0" applyFont="1" applyFill="1" applyBorder="1" applyAlignment="1">
      <alignment vertical="top" wrapText="1"/>
    </xf>
    <xf numFmtId="0" fontId="45" fillId="34" borderId="1" xfId="0" applyFont="1" applyFill="1" applyBorder="1" applyAlignment="1">
      <alignment horizontal="center" vertical="top" wrapText="1"/>
    </xf>
    <xf numFmtId="0" fontId="45" fillId="34" borderId="14" xfId="0" applyFont="1" applyFill="1" applyBorder="1" applyAlignment="1">
      <alignment horizontal="center" vertical="top" wrapText="1"/>
    </xf>
    <xf numFmtId="0" fontId="0" fillId="0" borderId="0" xfId="0" applyAlignment="1">
      <alignment vertical="top" wrapText="1"/>
    </xf>
    <xf numFmtId="0" fontId="26" fillId="9" borderId="1" xfId="0" applyFont="1" applyFill="1" applyBorder="1" applyAlignment="1">
      <alignment vertical="top"/>
    </xf>
    <xf numFmtId="0" fontId="8" fillId="37" borderId="124" xfId="0" applyFont="1" applyFill="1" applyBorder="1" applyAlignment="1">
      <alignment vertical="top"/>
    </xf>
    <xf numFmtId="0" fontId="64" fillId="5" borderId="1" xfId="0" applyFont="1" applyFill="1" applyBorder="1" applyAlignment="1">
      <alignment horizontal="center"/>
    </xf>
    <xf numFmtId="0" fontId="64" fillId="5" borderId="124" xfId="0" applyFont="1" applyFill="1" applyBorder="1" applyAlignment="1">
      <alignment horizontal="center"/>
    </xf>
    <xf numFmtId="0" fontId="64" fillId="5" borderId="26" xfId="0" applyFont="1" applyFill="1" applyBorder="1" applyAlignment="1">
      <alignment horizontal="center"/>
    </xf>
    <xf numFmtId="0" fontId="26" fillId="9" borderId="125" xfId="0" applyFont="1" applyFill="1" applyBorder="1" applyAlignment="1">
      <alignment vertical="top"/>
    </xf>
    <xf numFmtId="0" fontId="8" fillId="37" borderId="126" xfId="0" applyFont="1" applyFill="1" applyBorder="1" applyAlignment="1">
      <alignment vertical="top"/>
    </xf>
    <xf numFmtId="0" fontId="64" fillId="5" borderId="125" xfId="0" applyFont="1" applyFill="1" applyBorder="1" applyAlignment="1">
      <alignment horizontal="center"/>
    </xf>
    <xf numFmtId="0" fontId="64" fillId="5" borderId="126" xfId="0" applyFont="1" applyFill="1" applyBorder="1" applyAlignment="1">
      <alignment horizontal="center"/>
    </xf>
    <xf numFmtId="0" fontId="64" fillId="5" borderId="39" xfId="0" applyFont="1" applyFill="1" applyBorder="1" applyAlignment="1">
      <alignment horizontal="center"/>
    </xf>
    <xf numFmtId="0" fontId="26" fillId="18" borderId="125" xfId="0" applyFont="1" applyFill="1" applyBorder="1" applyAlignment="1">
      <alignment vertical="top"/>
    </xf>
    <xf numFmtId="0" fontId="8" fillId="38" borderId="126" xfId="0" applyFont="1" applyFill="1" applyBorder="1" applyAlignment="1">
      <alignment vertical="top"/>
    </xf>
    <xf numFmtId="0" fontId="8" fillId="18" borderId="126" xfId="0" applyFont="1" applyFill="1" applyBorder="1" applyAlignment="1">
      <alignment vertical="top"/>
    </xf>
    <xf numFmtId="0" fontId="8" fillId="9" borderId="126" xfId="0" applyFont="1" applyFill="1" applyBorder="1" applyAlignment="1">
      <alignment vertical="top"/>
    </xf>
    <xf numFmtId="0" fontId="26" fillId="9" borderId="37" xfId="0" applyFont="1" applyFill="1" applyBorder="1" applyAlignment="1">
      <alignment vertical="top"/>
    </xf>
    <xf numFmtId="0" fontId="8" fillId="9" borderId="79" xfId="0" applyFont="1" applyFill="1" applyBorder="1" applyAlignment="1">
      <alignment vertical="top"/>
    </xf>
    <xf numFmtId="0" fontId="64" fillId="5" borderId="37" xfId="0" applyFont="1" applyFill="1" applyBorder="1" applyAlignment="1">
      <alignment horizontal="center"/>
    </xf>
    <xf numFmtId="0" fontId="64" fillId="5" borderId="79" xfId="0" applyFont="1" applyFill="1" applyBorder="1" applyAlignment="1">
      <alignment horizontal="center"/>
    </xf>
    <xf numFmtId="0" fontId="64" fillId="5" borderId="31" xfId="0" applyFont="1" applyFill="1" applyBorder="1" applyAlignment="1">
      <alignment horizontal="center"/>
    </xf>
    <xf numFmtId="0" fontId="0" fillId="39" borderId="0" xfId="0" applyFill="1"/>
    <xf numFmtId="0" fontId="65" fillId="40" borderId="0" xfId="0" applyFont="1" applyFill="1"/>
    <xf numFmtId="0" fontId="5" fillId="0" borderId="0" xfId="0" applyFont="1"/>
    <xf numFmtId="0" fontId="45" fillId="0" borderId="0" xfId="0" applyFont="1"/>
    <xf numFmtId="0" fontId="8" fillId="0" borderId="0" xfId="0" quotePrefix="1" applyFont="1"/>
    <xf numFmtId="0" fontId="8" fillId="0" borderId="0" xfId="0" applyFont="1"/>
    <xf numFmtId="0" fontId="110" fillId="0" borderId="0" xfId="19">
      <alignment vertical="center"/>
    </xf>
    <xf numFmtId="0" fontId="111" fillId="0" borderId="0" xfId="7" applyBorder="1">
      <alignment vertical="center"/>
    </xf>
    <xf numFmtId="49" fontId="94" fillId="0" borderId="0" xfId="20" applyBorder="1"/>
    <xf numFmtId="49" fontId="120" fillId="0" borderId="0" xfId="21" applyBorder="1">
      <alignment vertical="center"/>
    </xf>
    <xf numFmtId="0" fontId="51" fillId="42" borderId="0" xfId="22" applyBorder="1">
      <alignment horizontal="left" vertical="center"/>
    </xf>
    <xf numFmtId="168" fontId="40" fillId="24" borderId="0" xfId="11" applyBorder="1">
      <alignment horizontal="right"/>
      <protection locked="0"/>
    </xf>
    <xf numFmtId="10" fontId="40" fillId="24" borderId="0" xfId="18" applyBorder="1">
      <alignment horizontal="right"/>
      <protection locked="0"/>
    </xf>
    <xf numFmtId="0" fontId="22" fillId="0" borderId="226" xfId="10">
      <alignment horizontal="left" vertical="center" indent="1"/>
    </xf>
    <xf numFmtId="49" fontId="8" fillId="4" borderId="71" xfId="9" applyAlignment="1">
      <protection locked="0"/>
    </xf>
    <xf numFmtId="49" fontId="8" fillId="5" borderId="71" xfId="23" applyAlignment="1" applyProtection="1"/>
    <xf numFmtId="169" fontId="41" fillId="61" borderId="10" xfId="6">
      <alignment horizontal="right" vertical="center"/>
      <protection locked="0"/>
    </xf>
    <xf numFmtId="169" fontId="41" fillId="70" borderId="55" xfId="24">
      <alignment horizontal="right" vertical="center"/>
      <protection locked="0"/>
    </xf>
    <xf numFmtId="0" fontId="106" fillId="69" borderId="75" xfId="25" applyBorder="1" applyAlignment="1">
      <alignment vertical="center" wrapText="1"/>
    </xf>
    <xf numFmtId="0" fontId="13" fillId="9" borderId="127" xfId="26">
      <alignment horizontal="right" vertical="center" wrapText="1" indent="1"/>
    </xf>
    <xf numFmtId="0" fontId="13" fillId="21" borderId="127" xfId="27">
      <alignment horizontal="right" vertical="center" wrapText="1" indent="1"/>
    </xf>
    <xf numFmtId="49" fontId="13" fillId="18" borderId="40" xfId="28" applyBorder="1" applyAlignment="1">
      <alignment vertical="center" wrapText="1"/>
    </xf>
    <xf numFmtId="0" fontId="13" fillId="19" borderId="127" xfId="29" applyBorder="1">
      <alignment horizontal="right" vertical="center" wrapText="1" indent="1"/>
    </xf>
    <xf numFmtId="0" fontId="13" fillId="43" borderId="127" xfId="30" applyBorder="1">
      <alignment horizontal="right" vertical="center" wrapText="1" indent="1"/>
    </xf>
    <xf numFmtId="0" fontId="0" fillId="0" borderId="0" xfId="0" quotePrefix="1" applyAlignment="1">
      <alignment horizontal="center" vertical="top"/>
    </xf>
    <xf numFmtId="0" fontId="66" fillId="44" borderId="0" xfId="0" applyFont="1" applyFill="1" applyAlignment="1">
      <alignment horizontal="left"/>
    </xf>
    <xf numFmtId="0" fontId="28" fillId="32" borderId="26"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top"/>
    </xf>
    <xf numFmtId="0" fontId="26" fillId="21" borderId="128" xfId="0" quotePrefix="1" applyFont="1" applyFill="1" applyBorder="1"/>
    <xf numFmtId="0" fontId="26" fillId="21" borderId="128" xfId="0" applyFont="1" applyFill="1" applyBorder="1"/>
    <xf numFmtId="0" fontId="26" fillId="21" borderId="120" xfId="0" applyFont="1" applyFill="1" applyBorder="1"/>
    <xf numFmtId="0" fontId="0" fillId="0" borderId="0" xfId="0" applyAlignment="1">
      <alignment horizontal="left"/>
    </xf>
    <xf numFmtId="0" fontId="26" fillId="21" borderId="36" xfId="0" applyFont="1" applyFill="1" applyBorder="1"/>
    <xf numFmtId="0" fontId="26" fillId="21" borderId="29" xfId="0" applyFont="1" applyFill="1" applyBorder="1"/>
    <xf numFmtId="0" fontId="26" fillId="0" borderId="29" xfId="0" applyFont="1" applyBorder="1"/>
    <xf numFmtId="0" fontId="26" fillId="0" borderId="38" xfId="0" applyFont="1" applyBorder="1"/>
    <xf numFmtId="0" fontId="26" fillId="0" borderId="31" xfId="0" applyFont="1" applyBorder="1"/>
    <xf numFmtId="49" fontId="26" fillId="3" borderId="0" xfId="0" applyNumberFormat="1" applyFont="1" applyFill="1"/>
    <xf numFmtId="0" fontId="26" fillId="15" borderId="24" xfId="0" applyFont="1" applyFill="1" applyBorder="1" applyAlignment="1">
      <alignment horizontal="left" vertical="top" wrapText="1"/>
    </xf>
    <xf numFmtId="0" fontId="26" fillId="21" borderId="27" xfId="0" applyFont="1" applyFill="1" applyBorder="1"/>
    <xf numFmtId="0" fontId="26" fillId="21" borderId="22" xfId="0" applyFont="1" applyFill="1" applyBorder="1"/>
    <xf numFmtId="0" fontId="26" fillId="21" borderId="78" xfId="0" applyFont="1" applyFill="1" applyBorder="1"/>
    <xf numFmtId="0" fontId="26" fillId="21" borderId="60" xfId="0" applyFont="1" applyFill="1" applyBorder="1"/>
    <xf numFmtId="1" fontId="26" fillId="3" borderId="0" xfId="0" applyNumberFormat="1" applyFont="1" applyFill="1"/>
    <xf numFmtId="0" fontId="26" fillId="21" borderId="31" xfId="0" applyFont="1" applyFill="1" applyBorder="1"/>
    <xf numFmtId="0" fontId="68" fillId="0" borderId="0" xfId="0" applyFont="1"/>
    <xf numFmtId="1" fontId="69" fillId="3" borderId="0" xfId="0" applyNumberFormat="1" applyFont="1" applyFill="1"/>
    <xf numFmtId="0" fontId="5" fillId="15" borderId="26" xfId="0" applyFont="1" applyFill="1" applyBorder="1" applyAlignment="1">
      <alignment horizontal="left" vertical="top" wrapText="1"/>
    </xf>
    <xf numFmtId="0" fontId="34" fillId="15" borderId="26" xfId="0" applyFont="1" applyFill="1" applyBorder="1" applyAlignment="1">
      <alignment horizontal="left" vertical="top" wrapText="1"/>
    </xf>
    <xf numFmtId="0" fontId="34" fillId="7" borderId="26" xfId="0" applyFont="1" applyFill="1" applyBorder="1" applyAlignment="1">
      <alignment horizontal="left" vertical="center" wrapText="1"/>
    </xf>
    <xf numFmtId="0" fontId="34" fillId="7" borderId="26" xfId="0" applyFont="1" applyFill="1" applyBorder="1" applyAlignment="1">
      <alignment horizontal="center" vertical="center" wrapText="1"/>
    </xf>
    <xf numFmtId="0" fontId="45" fillId="7" borderId="26" xfId="0" applyFont="1" applyFill="1" applyBorder="1" applyAlignment="1">
      <alignment horizontal="center" vertical="center" wrapText="1"/>
    </xf>
    <xf numFmtId="0" fontId="45" fillId="15" borderId="9" xfId="0" applyFont="1" applyFill="1" applyBorder="1" applyAlignment="1">
      <alignment horizontal="centerContinuous" vertical="center" wrapText="1"/>
    </xf>
    <xf numFmtId="0" fontId="45" fillId="15" borderId="11" xfId="0" applyFont="1" applyFill="1" applyBorder="1" applyAlignment="1">
      <alignment horizontal="centerContinuous" vertical="center" wrapText="1"/>
    </xf>
    <xf numFmtId="0" fontId="0" fillId="25" borderId="75" xfId="0" applyFill="1" applyBorder="1"/>
    <xf numFmtId="0" fontId="0" fillId="25" borderId="76" xfId="0" applyFill="1" applyBorder="1" applyProtection="1">
      <protection locked="0"/>
    </xf>
    <xf numFmtId="49" fontId="0" fillId="25" borderId="76" xfId="0" applyNumberFormat="1" applyFill="1" applyBorder="1"/>
    <xf numFmtId="0" fontId="0" fillId="25" borderId="76" xfId="0" applyFill="1" applyBorder="1" applyAlignment="1">
      <alignment vertical="center"/>
    </xf>
    <xf numFmtId="49" fontId="0" fillId="25" borderId="117" xfId="0" applyNumberFormat="1" applyFill="1" applyBorder="1"/>
    <xf numFmtId="0" fontId="8" fillId="46" borderId="75" xfId="0" applyFont="1" applyFill="1" applyBorder="1" applyAlignment="1">
      <alignment horizontal="left"/>
    </xf>
    <xf numFmtId="0" fontId="40" fillId="7" borderId="76" xfId="0" applyFont="1" applyFill="1" applyBorder="1"/>
    <xf numFmtId="0" fontId="0" fillId="7" borderId="91" xfId="0" applyFill="1" applyBorder="1" applyAlignment="1">
      <alignment horizontal="left" vertical="center"/>
    </xf>
    <xf numFmtId="0" fontId="0" fillId="0" borderId="58" xfId="0" applyBorder="1" applyAlignment="1">
      <alignment horizontal="left" vertical="center"/>
    </xf>
    <xf numFmtId="0" fontId="40" fillId="21" borderId="76" xfId="0" applyFont="1" applyFill="1" applyBorder="1"/>
    <xf numFmtId="0" fontId="0" fillId="25" borderId="68" xfId="0" applyFill="1" applyBorder="1"/>
    <xf numFmtId="0" fontId="0" fillId="25" borderId="71" xfId="0" applyFill="1" applyBorder="1" applyProtection="1">
      <protection locked="0"/>
    </xf>
    <xf numFmtId="0" fontId="0" fillId="25" borderId="71" xfId="0" applyFill="1" applyBorder="1"/>
    <xf numFmtId="0" fontId="0" fillId="25" borderId="77" xfId="0" applyFill="1" applyBorder="1"/>
    <xf numFmtId="0" fontId="8" fillId="46" borderId="68" xfId="0" applyFont="1" applyFill="1" applyBorder="1" applyAlignment="1">
      <alignment horizontal="left"/>
    </xf>
    <xf numFmtId="0" fontId="40" fillId="7" borderId="71" xfId="0" applyFont="1" applyFill="1" applyBorder="1"/>
    <xf numFmtId="0" fontId="0" fillId="7" borderId="95" xfId="0" applyFill="1" applyBorder="1" applyAlignment="1">
      <alignment horizontal="left" vertical="center"/>
    </xf>
    <xf numFmtId="0" fontId="0" fillId="0" borderId="80" xfId="0" applyBorder="1" applyAlignment="1">
      <alignment horizontal="left" vertical="center"/>
    </xf>
    <xf numFmtId="0" fontId="40" fillId="21" borderId="71" xfId="0" applyFont="1" applyFill="1" applyBorder="1"/>
    <xf numFmtId="0" fontId="0" fillId="25" borderId="71" xfId="0" applyFill="1" applyBorder="1" applyAlignment="1">
      <alignment vertical="center"/>
    </xf>
    <xf numFmtId="0" fontId="0" fillId="25" borderId="77" xfId="0" applyFill="1" applyBorder="1" applyAlignment="1">
      <alignment vertical="center"/>
    </xf>
    <xf numFmtId="0" fontId="0" fillId="7" borderId="129" xfId="0" applyFill="1" applyBorder="1"/>
    <xf numFmtId="0" fontId="0" fillId="0" borderId="88" xfId="0" applyBorder="1"/>
    <xf numFmtId="0" fontId="0" fillId="7" borderId="93" xfId="0" applyFill="1" applyBorder="1"/>
    <xf numFmtId="0" fontId="0" fillId="0" borderId="89" xfId="0" applyBorder="1"/>
    <xf numFmtId="0" fontId="0" fillId="0" borderId="68" xfId="0" applyBorder="1"/>
    <xf numFmtId="0" fontId="0" fillId="0" borderId="71" xfId="0" applyBorder="1"/>
    <xf numFmtId="0" fontId="0" fillId="7" borderId="93" xfId="0" applyFill="1" applyBorder="1" applyAlignment="1">
      <alignment horizontal="left" vertical="center"/>
    </xf>
    <xf numFmtId="1" fontId="26" fillId="3" borderId="71" xfId="0" applyNumberFormat="1" applyFont="1" applyFill="1" applyBorder="1"/>
    <xf numFmtId="0" fontId="0" fillId="7" borderId="95" xfId="0" applyFill="1" applyBorder="1"/>
    <xf numFmtId="0" fontId="0" fillId="0" borderId="77" xfId="0" applyBorder="1"/>
    <xf numFmtId="0" fontId="0" fillId="7" borderId="130" xfId="0" applyFill="1" applyBorder="1" applyAlignment="1">
      <alignment horizontal="left" vertical="center"/>
    </xf>
    <xf numFmtId="0" fontId="0" fillId="3" borderId="84" xfId="0" applyFill="1" applyBorder="1" applyAlignment="1">
      <alignment vertical="center"/>
    </xf>
    <xf numFmtId="0" fontId="0" fillId="0" borderId="64" xfId="0" applyBorder="1" applyAlignment="1">
      <alignment horizontal="left" vertical="center"/>
    </xf>
    <xf numFmtId="0" fontId="26" fillId="3" borderId="71" xfId="0" applyFont="1" applyFill="1" applyBorder="1"/>
    <xf numFmtId="0" fontId="0" fillId="7" borderId="97" xfId="0" applyFill="1" applyBorder="1" applyAlignment="1">
      <alignment horizontal="left" vertical="center"/>
    </xf>
    <xf numFmtId="0" fontId="0" fillId="3" borderId="92" xfId="0" applyFill="1" applyBorder="1" applyAlignment="1">
      <alignment vertical="center"/>
    </xf>
    <xf numFmtId="0" fontId="0" fillId="2" borderId="5" xfId="0" applyFill="1" applyBorder="1"/>
    <xf numFmtId="0" fontId="0" fillId="7" borderId="97" xfId="0" applyFill="1" applyBorder="1"/>
    <xf numFmtId="0" fontId="0" fillId="3" borderId="58" xfId="0" applyFill="1" applyBorder="1" applyAlignment="1">
      <alignment horizontal="left" vertical="center"/>
    </xf>
    <xf numFmtId="0" fontId="0" fillId="3" borderId="88" xfId="0" applyFill="1" applyBorder="1" applyAlignment="1">
      <alignment horizontal="left" vertical="center"/>
    </xf>
    <xf numFmtId="0" fontId="0" fillId="3" borderId="16" xfId="0" applyFill="1" applyBorder="1" applyAlignment="1">
      <alignment vertical="center"/>
    </xf>
    <xf numFmtId="0" fontId="0" fillId="0" borderId="90" xfId="0" applyBorder="1"/>
    <xf numFmtId="0" fontId="0" fillId="3" borderId="80" xfId="0" applyFill="1" applyBorder="1" applyAlignment="1">
      <alignment horizontal="left" vertical="center"/>
    </xf>
    <xf numFmtId="0" fontId="0" fillId="3" borderId="64" xfId="0" applyFill="1" applyBorder="1" applyAlignment="1">
      <alignment horizontal="left" vertical="center"/>
    </xf>
    <xf numFmtId="0" fontId="0" fillId="0" borderId="71" xfId="0" applyBorder="1" applyAlignment="1">
      <alignment vertical="center"/>
    </xf>
    <xf numFmtId="0" fontId="0" fillId="3" borderId="16" xfId="0" applyFill="1" applyBorder="1" applyAlignment="1">
      <alignment vertical="top"/>
    </xf>
    <xf numFmtId="0" fontId="0" fillId="3" borderId="90" xfId="0" applyFill="1" applyBorder="1" applyAlignment="1">
      <alignment horizontal="left" vertical="center"/>
    </xf>
    <xf numFmtId="0" fontId="0" fillId="3" borderId="93" xfId="0" applyFill="1" applyBorder="1" applyAlignment="1">
      <alignment horizontal="left" vertical="center"/>
    </xf>
    <xf numFmtId="0" fontId="0" fillId="0" borderId="72" xfId="0" applyBorder="1"/>
    <xf numFmtId="0" fontId="0" fillId="0" borderId="74" xfId="0" applyBorder="1"/>
    <xf numFmtId="0" fontId="0" fillId="0" borderId="79" xfId="0" applyBorder="1"/>
    <xf numFmtId="0" fontId="0" fillId="0" borderId="74" xfId="0" applyBorder="1" applyAlignment="1">
      <alignment vertical="center"/>
    </xf>
    <xf numFmtId="0" fontId="0" fillId="3" borderId="100" xfId="0" applyFill="1" applyBorder="1" applyAlignment="1">
      <alignment horizontal="left" vertical="center"/>
    </xf>
    <xf numFmtId="0" fontId="0" fillId="3" borderId="84" xfId="0" applyFill="1" applyBorder="1" applyAlignment="1">
      <alignment vertical="top"/>
    </xf>
    <xf numFmtId="0" fontId="0" fillId="3" borderId="120" xfId="0" applyFill="1" applyBorder="1" applyAlignment="1">
      <alignment vertical="center"/>
    </xf>
    <xf numFmtId="0" fontId="0" fillId="3" borderId="29" xfId="0" applyFill="1" applyBorder="1" applyAlignment="1">
      <alignment vertical="center"/>
    </xf>
    <xf numFmtId="0" fontId="0" fillId="3" borderId="31" xfId="0" applyFill="1" applyBorder="1" applyAlignment="1">
      <alignment vertical="center"/>
    </xf>
    <xf numFmtId="0" fontId="0" fillId="2" borderId="8" xfId="0" applyFill="1" applyBorder="1"/>
    <xf numFmtId="49" fontId="0" fillId="25" borderId="91" xfId="0" applyNumberFormat="1" applyFill="1" applyBorder="1"/>
    <xf numFmtId="0" fontId="0" fillId="25" borderId="93" xfId="0" applyFill="1" applyBorder="1"/>
    <xf numFmtId="0" fontId="0" fillId="25" borderId="93" xfId="0" applyFill="1" applyBorder="1" applyAlignment="1">
      <alignment vertical="center"/>
    </xf>
    <xf numFmtId="0" fontId="0" fillId="0" borderId="93" xfId="0" applyBorder="1" applyAlignment="1">
      <alignment vertical="center"/>
    </xf>
    <xf numFmtId="0" fontId="0" fillId="25" borderId="74" xfId="0" applyFill="1" applyBorder="1"/>
    <xf numFmtId="0" fontId="0" fillId="0" borderId="100" xfId="0" applyBorder="1" applyAlignment="1">
      <alignment vertical="center"/>
    </xf>
    <xf numFmtId="0" fontId="71" fillId="44" borderId="0" xfId="0" applyFont="1" applyFill="1" applyAlignment="1">
      <alignment horizontal="left"/>
    </xf>
    <xf numFmtId="0" fontId="0" fillId="44" borderId="0" xfId="0" applyFill="1"/>
    <xf numFmtId="0" fontId="0" fillId="0" borderId="7" xfId="0" applyBorder="1" applyAlignment="1">
      <alignment vertical="center"/>
    </xf>
    <xf numFmtId="0" fontId="45" fillId="18" borderId="131" xfId="0" applyFont="1" applyFill="1" applyBorder="1" applyAlignment="1">
      <alignment vertical="center" wrapText="1"/>
    </xf>
    <xf numFmtId="0" fontId="45" fillId="45" borderId="132" xfId="0" applyFont="1" applyFill="1" applyBorder="1" applyAlignment="1">
      <alignment vertical="center" wrapText="1"/>
    </xf>
    <xf numFmtId="0" fontId="45" fillId="45" borderId="132" xfId="0" applyFont="1" applyFill="1" applyBorder="1" applyAlignment="1">
      <alignment horizontal="left" vertical="center" wrapText="1"/>
    </xf>
    <xf numFmtId="0" fontId="45" fillId="18" borderId="132" xfId="0" applyFont="1" applyFill="1" applyBorder="1" applyAlignment="1">
      <alignment vertical="center" wrapText="1"/>
    </xf>
    <xf numFmtId="0" fontId="45" fillId="18" borderId="133" xfId="0" applyFont="1" applyFill="1" applyBorder="1" applyAlignment="1">
      <alignment vertical="center" wrapText="1"/>
    </xf>
    <xf numFmtId="0" fontId="0" fillId="0" borderId="0" xfId="0" applyAlignment="1">
      <alignment wrapText="1"/>
    </xf>
    <xf numFmtId="0" fontId="0" fillId="0" borderId="0" xfId="0" applyAlignment="1">
      <alignment vertical="center" wrapText="1"/>
    </xf>
    <xf numFmtId="0" fontId="72" fillId="25" borderId="75" xfId="0" applyFont="1" applyFill="1" applyBorder="1" applyAlignment="1">
      <alignment wrapText="1"/>
    </xf>
    <xf numFmtId="0" fontId="8" fillId="25" borderId="76" xfId="0" applyFont="1" applyFill="1" applyBorder="1" applyAlignment="1">
      <alignment wrapText="1"/>
    </xf>
    <xf numFmtId="0" fontId="53" fillId="25" borderId="76" xfId="0" applyFont="1" applyFill="1" applyBorder="1" applyAlignment="1">
      <alignment vertical="center"/>
    </xf>
    <xf numFmtId="0" fontId="73" fillId="25" borderId="76" xfId="0" applyFont="1" applyFill="1" applyBorder="1" applyAlignment="1">
      <alignment vertical="center" wrapText="1"/>
    </xf>
    <xf numFmtId="0" fontId="73" fillId="25" borderId="91" xfId="0" applyFont="1" applyFill="1" applyBorder="1" applyAlignment="1">
      <alignment vertical="center" wrapText="1"/>
    </xf>
    <xf numFmtId="0" fontId="53" fillId="25" borderId="75" xfId="0" applyFont="1" applyFill="1" applyBorder="1" applyAlignment="1">
      <alignment vertical="center"/>
    </xf>
    <xf numFmtId="0" fontId="53" fillId="25" borderId="91" xfId="0" applyFont="1" applyFill="1" applyBorder="1" applyAlignment="1">
      <alignment vertical="center"/>
    </xf>
    <xf numFmtId="0" fontId="72" fillId="25" borderId="68" xfId="0" applyFont="1" applyFill="1" applyBorder="1" applyAlignment="1">
      <alignment wrapText="1"/>
    </xf>
    <xf numFmtId="0" fontId="8" fillId="25" borderId="71" xfId="0" applyFont="1" applyFill="1" applyBorder="1" applyAlignment="1">
      <alignment wrapText="1"/>
    </xf>
    <xf numFmtId="0" fontId="53" fillId="25" borderId="71" xfId="0" applyFont="1" applyFill="1" applyBorder="1" applyAlignment="1">
      <alignment vertical="center"/>
    </xf>
    <xf numFmtId="0" fontId="73" fillId="25" borderId="71" xfId="0" applyFont="1" applyFill="1" applyBorder="1" applyAlignment="1">
      <alignment vertical="center" wrapText="1"/>
    </xf>
    <xf numFmtId="0" fontId="73" fillId="25" borderId="93" xfId="0" applyFont="1" applyFill="1" applyBorder="1" applyAlignment="1">
      <alignment vertical="center" wrapText="1"/>
    </xf>
    <xf numFmtId="0" fontId="53" fillId="25" borderId="68" xfId="0" applyFont="1" applyFill="1" applyBorder="1" applyAlignment="1">
      <alignment vertical="center"/>
    </xf>
    <xf numFmtId="0" fontId="53" fillId="25" borderId="93" xfId="0" applyFont="1" applyFill="1" applyBorder="1" applyAlignment="1">
      <alignment vertical="center"/>
    </xf>
    <xf numFmtId="0" fontId="53" fillId="0" borderId="93" xfId="0" applyFont="1" applyBorder="1" applyAlignment="1">
      <alignment vertical="center"/>
    </xf>
    <xf numFmtId="0" fontId="8" fillId="0" borderId="71" xfId="0" applyFont="1" applyBorder="1"/>
    <xf numFmtId="0" fontId="8" fillId="0" borderId="93" xfId="0" applyFont="1" applyBorder="1"/>
    <xf numFmtId="0" fontId="53" fillId="0" borderId="68" xfId="0" applyFont="1" applyBorder="1" applyAlignment="1">
      <alignment vertical="center"/>
    </xf>
    <xf numFmtId="0" fontId="53" fillId="0" borderId="71" xfId="0" applyFont="1" applyBorder="1" applyAlignment="1">
      <alignment vertical="center"/>
    </xf>
    <xf numFmtId="0" fontId="8" fillId="0" borderId="71" xfId="0" applyFont="1" applyBorder="1" applyAlignment="1">
      <alignment vertical="center"/>
    </xf>
    <xf numFmtId="0" fontId="8" fillId="0" borderId="68" xfId="0" applyFont="1" applyBorder="1" applyAlignment="1">
      <alignment vertical="center"/>
    </xf>
    <xf numFmtId="0" fontId="8" fillId="0" borderId="72" xfId="0" applyFont="1" applyBorder="1" applyAlignment="1">
      <alignment vertical="center"/>
    </xf>
    <xf numFmtId="0" fontId="8" fillId="25" borderId="74" xfId="0" applyFont="1" applyFill="1" applyBorder="1" applyAlignment="1">
      <alignment wrapText="1"/>
    </xf>
    <xf numFmtId="0" fontId="8" fillId="0" borderId="74" xfId="0" applyFont="1" applyBorder="1" applyAlignment="1">
      <alignment vertical="center"/>
    </xf>
    <xf numFmtId="0" fontId="8" fillId="0" borderId="74" xfId="0" applyFont="1" applyBorder="1"/>
    <xf numFmtId="0" fontId="8" fillId="0" borderId="100" xfId="0" applyFont="1" applyBorder="1"/>
    <xf numFmtId="0" fontId="53" fillId="0" borderId="72" xfId="0" applyFont="1" applyBorder="1" applyAlignment="1">
      <alignment vertical="center"/>
    </xf>
    <xf numFmtId="0" fontId="53" fillId="0" borderId="74" xfId="0" applyFont="1" applyBorder="1" applyAlignment="1">
      <alignment vertical="center"/>
    </xf>
    <xf numFmtId="0" fontId="53" fillId="0" borderId="100" xfId="0" applyFont="1" applyBorder="1" applyAlignment="1">
      <alignment vertical="center"/>
    </xf>
    <xf numFmtId="0" fontId="0" fillId="0" borderId="0" xfId="0" applyAlignment="1">
      <alignment horizontal="left" indent="2"/>
    </xf>
    <xf numFmtId="0" fontId="7" fillId="0" borderId="0" xfId="0" applyFont="1" applyAlignment="1">
      <alignment horizontal="right"/>
    </xf>
    <xf numFmtId="0" fontId="45" fillId="45" borderId="24" xfId="0" applyFont="1" applyFill="1" applyBorder="1" applyAlignment="1">
      <alignment vertical="center" wrapText="1"/>
    </xf>
    <xf numFmtId="0" fontId="12" fillId="25" borderId="120" xfId="0" applyFont="1" applyFill="1" applyBorder="1" applyAlignment="1">
      <alignment horizontal="center" vertical="top" wrapText="1"/>
    </xf>
    <xf numFmtId="0" fontId="12" fillId="25" borderId="29" xfId="0" applyFont="1" applyFill="1" applyBorder="1" applyAlignment="1">
      <alignment horizontal="center" vertical="top" wrapText="1"/>
    </xf>
    <xf numFmtId="0" fontId="26" fillId="25" borderId="31" xfId="0" applyFont="1" applyFill="1" applyBorder="1" applyAlignment="1">
      <alignment horizontal="center" vertical="center"/>
    </xf>
    <xf numFmtId="0" fontId="45" fillId="18" borderId="134" xfId="0" applyFont="1" applyFill="1" applyBorder="1" applyAlignment="1">
      <alignment vertical="center" wrapText="1"/>
    </xf>
    <xf numFmtId="0" fontId="53" fillId="25" borderId="27" xfId="0" applyFont="1" applyFill="1" applyBorder="1" applyAlignment="1">
      <alignment horizontal="center" vertical="center"/>
    </xf>
    <xf numFmtId="0" fontId="53" fillId="25" borderId="29" xfId="0" applyFont="1" applyFill="1" applyBorder="1" applyAlignment="1">
      <alignment horizontal="center" vertical="center"/>
    </xf>
    <xf numFmtId="0" fontId="53" fillId="25" borderId="31" xfId="0" applyFont="1" applyFill="1" applyBorder="1" applyAlignment="1">
      <alignment horizontal="center" vertical="center"/>
    </xf>
    <xf numFmtId="0" fontId="31" fillId="47" borderId="136" xfId="0" applyFont="1" applyFill="1" applyBorder="1" applyAlignment="1">
      <alignment horizontal="center" vertical="center" wrapText="1"/>
    </xf>
    <xf numFmtId="0" fontId="31" fillId="47" borderId="137" xfId="0" applyFont="1" applyFill="1" applyBorder="1" applyAlignment="1">
      <alignment horizontal="center" vertical="center" wrapText="1"/>
    </xf>
    <xf numFmtId="0" fontId="31" fillId="47" borderId="138" xfId="0" applyFont="1" applyFill="1" applyBorder="1" applyAlignment="1">
      <alignment horizontal="center" vertical="center" wrapText="1"/>
    </xf>
    <xf numFmtId="0" fontId="0" fillId="21" borderId="4" xfId="0" applyFill="1" applyBorder="1" applyAlignment="1">
      <alignment horizontal="center"/>
    </xf>
    <xf numFmtId="0" fontId="0" fillId="21" borderId="0" xfId="0" applyFill="1" applyAlignment="1">
      <alignment horizontal="center"/>
    </xf>
    <xf numFmtId="0" fontId="0" fillId="21" borderId="19" xfId="0" applyFill="1" applyBorder="1" applyAlignment="1">
      <alignment horizontal="center" vertical="center" wrapText="1"/>
    </xf>
    <xf numFmtId="0" fontId="0" fillId="21" borderId="140" xfId="0" applyFill="1" applyBorder="1" applyAlignment="1">
      <alignment horizontal="center" vertical="center" wrapText="1"/>
    </xf>
    <xf numFmtId="0" fontId="0" fillId="21" borderId="68" xfId="0" applyFill="1" applyBorder="1" applyAlignment="1">
      <alignment horizontal="center" vertical="center" wrapText="1"/>
    </xf>
    <xf numFmtId="0" fontId="0" fillId="21" borderId="71" xfId="0" applyFill="1" applyBorder="1" applyAlignment="1">
      <alignment horizontal="center" vertical="center" wrapText="1"/>
    </xf>
    <xf numFmtId="0" fontId="0" fillId="0" borderId="141" xfId="0" applyBorder="1"/>
    <xf numFmtId="0" fontId="0" fillId="0" borderId="68" xfId="0" applyBorder="1" applyAlignment="1">
      <alignment vertical="center"/>
    </xf>
    <xf numFmtId="0" fontId="0" fillId="21" borderId="74" xfId="0" applyFill="1" applyBorder="1" applyAlignment="1">
      <alignment horizontal="center" vertical="center" wrapText="1"/>
    </xf>
    <xf numFmtId="0" fontId="0" fillId="0" borderId="142" xfId="0" applyBorder="1"/>
    <xf numFmtId="0" fontId="68" fillId="0" borderId="143" xfId="0" applyFont="1" applyBorder="1"/>
    <xf numFmtId="0" fontId="0" fillId="0" borderId="144" xfId="0" applyBorder="1"/>
    <xf numFmtId="0" fontId="3" fillId="48" borderId="0" xfId="0" applyFont="1" applyFill="1" applyAlignment="1">
      <alignment horizontal="centerContinuous"/>
    </xf>
    <xf numFmtId="0" fontId="31" fillId="47" borderId="145" xfId="0" applyFont="1" applyFill="1" applyBorder="1" applyAlignment="1">
      <alignment horizontal="center" vertical="center" wrapText="1"/>
    </xf>
    <xf numFmtId="0" fontId="31" fillId="47" borderId="146" xfId="0" applyFont="1" applyFill="1" applyBorder="1" applyAlignment="1">
      <alignment horizontal="center" vertical="center" wrapText="1"/>
    </xf>
    <xf numFmtId="0" fontId="31" fillId="47" borderId="147" xfId="0" applyFont="1" applyFill="1" applyBorder="1" applyAlignment="1">
      <alignment horizontal="center" vertical="center" wrapText="1"/>
    </xf>
    <xf numFmtId="0" fontId="0" fillId="21" borderId="149" xfId="0" applyFill="1" applyBorder="1" applyAlignment="1">
      <alignment horizontal="center"/>
    </xf>
    <xf numFmtId="0" fontId="0" fillId="0" borderId="19" xfId="0" applyBorder="1"/>
    <xf numFmtId="0" fontId="0" fillId="21" borderId="150" xfId="0" applyFill="1" applyBorder="1" applyAlignment="1">
      <alignment horizontal="center" vertical="center" wrapText="1"/>
    </xf>
    <xf numFmtId="0" fontId="0" fillId="21" borderId="151" xfId="0" applyFill="1" applyBorder="1" applyAlignment="1">
      <alignment horizontal="center"/>
    </xf>
    <xf numFmtId="0" fontId="0" fillId="21" borderId="152" xfId="0" applyFill="1" applyBorder="1" applyAlignment="1">
      <alignment horizontal="center" vertical="center" wrapText="1"/>
    </xf>
    <xf numFmtId="0" fontId="0" fillId="0" borderId="152" xfId="0" applyBorder="1"/>
    <xf numFmtId="0" fontId="0" fillId="21" borderId="154" xfId="0" applyFill="1" applyBorder="1" applyAlignment="1">
      <alignment horizontal="center"/>
    </xf>
    <xf numFmtId="0" fontId="0" fillId="0" borderId="155" xfId="0" applyBorder="1"/>
    <xf numFmtId="0" fontId="0" fillId="0" borderId="156" xfId="0" applyBorder="1"/>
    <xf numFmtId="0" fontId="0" fillId="0" borderId="157" xfId="0" applyBorder="1"/>
    <xf numFmtId="0" fontId="31" fillId="47" borderId="24" xfId="0" applyFont="1" applyFill="1" applyBorder="1" applyAlignment="1">
      <alignment horizontal="center" vertical="center" wrapText="1"/>
    </xf>
    <xf numFmtId="0" fontId="0" fillId="21" borderId="29" xfId="0" applyFill="1" applyBorder="1" applyAlignment="1">
      <alignment horizontal="center"/>
    </xf>
    <xf numFmtId="0" fontId="0" fillId="21" borderId="31" xfId="0" applyFill="1" applyBorder="1" applyAlignment="1">
      <alignment horizontal="center"/>
    </xf>
    <xf numFmtId="0" fontId="31" fillId="49" borderId="13" xfId="0" applyFont="1" applyFill="1" applyBorder="1" applyAlignment="1">
      <alignment vertical="center" wrapText="1"/>
    </xf>
    <xf numFmtId="0" fontId="31" fillId="49" borderId="158" xfId="0" applyFont="1" applyFill="1" applyBorder="1" applyAlignment="1">
      <alignment vertical="center" wrapText="1"/>
    </xf>
    <xf numFmtId="0" fontId="31" fillId="49" borderId="159" xfId="0" applyFont="1" applyFill="1" applyBorder="1" applyAlignment="1">
      <alignment vertical="center" wrapText="1"/>
    </xf>
    <xf numFmtId="0" fontId="0" fillId="50" borderId="75" xfId="0" applyFill="1" applyBorder="1" applyAlignment="1">
      <alignment horizontal="center" vertical="center" wrapText="1"/>
    </xf>
    <xf numFmtId="0" fontId="0" fillId="50" borderId="76" xfId="0" applyFill="1" applyBorder="1" applyAlignment="1">
      <alignment horizontal="center" vertical="center" wrapText="1"/>
    </xf>
    <xf numFmtId="0" fontId="0" fillId="0" borderId="76" xfId="0" applyBorder="1"/>
    <xf numFmtId="0" fontId="0" fillId="0" borderId="91" xfId="0" applyBorder="1"/>
    <xf numFmtId="0" fontId="0" fillId="50" borderId="68" xfId="0" applyFill="1" applyBorder="1" applyAlignment="1">
      <alignment horizontal="center" vertical="center" wrapText="1"/>
    </xf>
    <xf numFmtId="0" fontId="0" fillId="50" borderId="71" xfId="0" applyFill="1" applyBorder="1" applyAlignment="1">
      <alignment horizontal="center" vertical="center" wrapText="1"/>
    </xf>
    <xf numFmtId="0" fontId="0" fillId="0" borderId="93" xfId="0" applyBorder="1"/>
    <xf numFmtId="0" fontId="0" fillId="50" borderId="72" xfId="0" applyFill="1" applyBorder="1" applyAlignment="1">
      <alignment horizontal="center" vertical="center" wrapText="1"/>
    </xf>
    <xf numFmtId="0" fontId="0" fillId="0" borderId="100" xfId="0" applyBorder="1"/>
    <xf numFmtId="0" fontId="45" fillId="51" borderId="115" xfId="0" applyFont="1" applyFill="1" applyBorder="1" applyAlignment="1">
      <alignment horizontal="center" vertical="center" wrapText="1"/>
    </xf>
    <xf numFmtId="0" fontId="45" fillId="51" borderId="160" xfId="0" applyFont="1" applyFill="1" applyBorder="1" applyAlignment="1">
      <alignment horizontal="center" vertical="center" wrapText="1"/>
    </xf>
    <xf numFmtId="0" fontId="45" fillId="51" borderId="116" xfId="0" applyFont="1" applyFill="1" applyBorder="1" applyAlignment="1">
      <alignment horizontal="center" vertical="center" wrapText="1"/>
    </xf>
    <xf numFmtId="0" fontId="0" fillId="6" borderId="6" xfId="0" applyFill="1" applyBorder="1"/>
    <xf numFmtId="0" fontId="0" fillId="6" borderId="7" xfId="0" applyFill="1" applyBorder="1"/>
    <xf numFmtId="0" fontId="0" fillId="6" borderId="8" xfId="0" applyFill="1" applyBorder="1"/>
    <xf numFmtId="0" fontId="0" fillId="0" borderId="4" xfId="0" applyBorder="1" applyAlignment="1">
      <alignment vertical="center"/>
    </xf>
    <xf numFmtId="0" fontId="0" fillId="0" borderId="5" xfId="0" applyBorder="1"/>
    <xf numFmtId="0" fontId="45" fillId="51" borderId="111" xfId="0" applyFont="1" applyFill="1" applyBorder="1" applyAlignment="1">
      <alignment horizontal="center" vertical="center" wrapText="1"/>
    </xf>
    <xf numFmtId="0" fontId="45" fillId="51" borderId="161" xfId="0" applyFont="1" applyFill="1" applyBorder="1" applyAlignment="1">
      <alignment horizontal="center" vertical="center" wrapText="1"/>
    </xf>
    <xf numFmtId="0" fontId="5" fillId="51" borderId="162" xfId="0" applyFont="1" applyFill="1" applyBorder="1" applyAlignment="1">
      <alignment vertical="center"/>
    </xf>
    <xf numFmtId="0" fontId="0" fillId="6" borderId="75" xfId="0" applyFill="1" applyBorder="1" applyAlignment="1">
      <alignment horizontal="left" vertical="center" wrapText="1"/>
    </xf>
    <xf numFmtId="0" fontId="0" fillId="6" borderId="76" xfId="0" applyFill="1" applyBorder="1" applyAlignment="1">
      <alignment horizontal="left"/>
    </xf>
    <xf numFmtId="0" fontId="0" fillId="6" borderId="91" xfId="0" applyFill="1" applyBorder="1" applyAlignment="1">
      <alignment horizontal="left"/>
    </xf>
    <xf numFmtId="0" fontId="0" fillId="6" borderId="68" xfId="0" applyFill="1" applyBorder="1" applyAlignment="1">
      <alignment horizontal="left" vertical="center" wrapText="1"/>
    </xf>
    <xf numFmtId="0" fontId="0" fillId="6" borderId="71" xfId="0" applyFill="1" applyBorder="1" applyAlignment="1">
      <alignment horizontal="left" vertical="top"/>
    </xf>
    <xf numFmtId="0" fontId="0" fillId="0" borderId="93" xfId="0" applyBorder="1" applyAlignment="1">
      <alignment horizontal="left"/>
    </xf>
    <xf numFmtId="0" fontId="0" fillId="6" borderId="72" xfId="0" applyFill="1" applyBorder="1" applyAlignment="1">
      <alignment horizontal="left" vertical="center" wrapText="1"/>
    </xf>
    <xf numFmtId="0" fontId="0" fillId="0" borderId="74" xfId="0" applyBorder="1" applyAlignment="1">
      <alignment horizontal="left" vertical="top"/>
    </xf>
    <xf numFmtId="0" fontId="0" fillId="0" borderId="100" xfId="0" applyBorder="1" applyAlignment="1">
      <alignment horizontal="left"/>
    </xf>
    <xf numFmtId="0" fontId="45" fillId="6" borderId="9" xfId="0" applyFont="1" applyFill="1" applyBorder="1" applyAlignment="1">
      <alignment vertical="center"/>
    </xf>
    <xf numFmtId="0" fontId="45" fillId="6" borderId="10" xfId="0" applyFont="1" applyFill="1" applyBorder="1" applyAlignment="1">
      <alignment vertical="center"/>
    </xf>
    <xf numFmtId="0" fontId="45" fillId="6" borderId="11" xfId="0" applyFont="1" applyFill="1" applyBorder="1" applyAlignment="1">
      <alignment vertical="center"/>
    </xf>
    <xf numFmtId="0" fontId="45" fillId="0" borderId="0" xfId="0" applyFont="1" applyAlignment="1">
      <alignment vertical="center"/>
    </xf>
    <xf numFmtId="0" fontId="8" fillId="0" borderId="0" xfId="0" applyFont="1" applyAlignment="1">
      <alignment horizontal="left" indent="3"/>
    </xf>
    <xf numFmtId="0" fontId="75" fillId="0" borderId="115" xfId="0" applyFont="1" applyBorder="1" applyAlignment="1">
      <alignment horizontal="center" vertical="center" wrapText="1"/>
    </xf>
    <xf numFmtId="0" fontId="75" fillId="0" borderId="160" xfId="0" applyFont="1" applyBorder="1" applyAlignment="1">
      <alignment horizontal="center" vertical="center" wrapText="1"/>
    </xf>
    <xf numFmtId="0" fontId="75" fillId="0" borderId="116" xfId="0" applyFont="1" applyBorder="1" applyAlignment="1">
      <alignment horizontal="center" vertical="center" wrapText="1"/>
    </xf>
    <xf numFmtId="0" fontId="76" fillId="0" borderId="0" xfId="0" applyFont="1" applyAlignment="1">
      <alignment vertical="center"/>
    </xf>
    <xf numFmtId="3" fontId="45" fillId="7" borderId="66" xfId="0" applyNumberFormat="1" applyFont="1" applyFill="1" applyBorder="1" applyAlignment="1">
      <alignment horizontal="left" vertical="center" wrapText="1"/>
    </xf>
    <xf numFmtId="3" fontId="45" fillId="7" borderId="53" xfId="0" applyNumberFormat="1" applyFont="1" applyFill="1" applyBorder="1" applyAlignment="1" applyProtection="1">
      <alignment horizontal="left" vertical="center" wrapText="1"/>
      <protection locked="0"/>
    </xf>
    <xf numFmtId="175" fontId="45" fillId="7" borderId="53" xfId="0" applyNumberFormat="1" applyFont="1" applyFill="1" applyBorder="1" applyAlignment="1" applyProtection="1">
      <alignment horizontal="left" vertical="center" wrapText="1"/>
      <protection locked="0"/>
    </xf>
    <xf numFmtId="175" fontId="45" fillId="7" borderId="101" xfId="0" applyNumberFormat="1" applyFont="1" applyFill="1" applyBorder="1" applyAlignment="1" applyProtection="1">
      <alignment horizontal="left" vertical="center" wrapText="1"/>
      <protection locked="0"/>
    </xf>
    <xf numFmtId="0" fontId="75" fillId="0" borderId="1"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3" xfId="0" applyFont="1" applyBorder="1" applyAlignment="1">
      <alignment horizontal="center" vertical="center" wrapText="1"/>
    </xf>
    <xf numFmtId="0" fontId="43" fillId="18" borderId="25" xfId="0" applyFont="1" applyFill="1" applyBorder="1" applyAlignment="1">
      <alignment horizontal="center" vertical="center" wrapText="1"/>
    </xf>
    <xf numFmtId="0" fontId="45" fillId="18" borderId="12" xfId="0" applyFont="1" applyFill="1" applyBorder="1" applyAlignment="1">
      <alignment horizontal="center" vertical="center" wrapText="1"/>
    </xf>
    <xf numFmtId="14" fontId="0" fillId="18" borderId="24" xfId="0" applyNumberFormat="1" applyFill="1" applyBorder="1" applyAlignment="1">
      <alignment horizontal="left" vertical="center"/>
    </xf>
    <xf numFmtId="0" fontId="75" fillId="0" borderId="9" xfId="0" applyFont="1" applyBorder="1" applyAlignment="1">
      <alignment horizontal="center" vertical="center"/>
    </xf>
    <xf numFmtId="0" fontId="75" fillId="0" borderId="10" xfId="0" applyFont="1" applyBorder="1" applyAlignment="1">
      <alignment horizontal="center" vertical="center"/>
    </xf>
    <xf numFmtId="0" fontId="75" fillId="0" borderId="11" xfId="0" applyFont="1" applyBorder="1" applyAlignment="1">
      <alignment horizontal="center" vertical="center"/>
    </xf>
    <xf numFmtId="14" fontId="45" fillId="18" borderId="24" xfId="0" applyNumberFormat="1" applyFont="1" applyFill="1" applyBorder="1" applyAlignment="1">
      <alignment horizontal="left" vertical="center"/>
    </xf>
    <xf numFmtId="14" fontId="45" fillId="18" borderId="24" xfId="0" applyNumberFormat="1" applyFont="1" applyFill="1" applyBorder="1" applyAlignment="1">
      <alignment vertical="center"/>
    </xf>
    <xf numFmtId="0" fontId="45" fillId="45" borderId="0" xfId="0" applyFont="1" applyFill="1" applyAlignment="1">
      <alignment horizontal="right" vertical="center" wrapText="1"/>
    </xf>
    <xf numFmtId="0" fontId="77" fillId="0" borderId="9" xfId="0" applyFont="1" applyBorder="1" applyAlignment="1">
      <alignment horizontal="right" vertical="center"/>
    </xf>
    <xf numFmtId="0" fontId="45" fillId="25" borderId="25" xfId="0" applyFont="1" applyFill="1" applyBorder="1" applyAlignment="1">
      <alignment horizontal="center" vertical="center" wrapText="1"/>
    </xf>
    <xf numFmtId="0" fontId="45" fillId="18" borderId="114" xfId="0" applyFont="1" applyFill="1" applyBorder="1" applyAlignment="1">
      <alignment horizontal="center" vertical="center" wrapText="1"/>
    </xf>
    <xf numFmtId="0" fontId="78" fillId="52" borderId="0" xfId="0" applyFont="1" applyFill="1" applyAlignment="1">
      <alignment vertical="center"/>
    </xf>
    <xf numFmtId="0" fontId="5" fillId="52" borderId="0" xfId="0" applyFont="1" applyFill="1" applyAlignment="1">
      <alignment vertical="center"/>
    </xf>
    <xf numFmtId="0" fontId="57" fillId="0" borderId="0" xfId="0" applyFont="1"/>
    <xf numFmtId="0" fontId="77" fillId="0" borderId="24" xfId="0" applyFont="1" applyBorder="1" applyAlignment="1">
      <alignment horizontal="right"/>
    </xf>
    <xf numFmtId="176" fontId="45" fillId="18" borderId="82" xfId="0" applyNumberFormat="1" applyFont="1" applyFill="1" applyBorder="1" applyAlignment="1">
      <alignment horizontal="center" vertical="center" wrapText="1"/>
    </xf>
    <xf numFmtId="176" fontId="45" fillId="18" borderId="65" xfId="0" applyNumberFormat="1" applyFont="1" applyFill="1" applyBorder="1" applyAlignment="1">
      <alignment horizontal="center" vertical="center" wrapText="1"/>
    </xf>
    <xf numFmtId="176" fontId="45" fillId="25" borderId="65" xfId="0" applyNumberFormat="1" applyFont="1" applyFill="1" applyBorder="1" applyAlignment="1">
      <alignment horizontal="left" vertical="center" wrapText="1"/>
    </xf>
    <xf numFmtId="176" fontId="45" fillId="25" borderId="65" xfId="0" applyNumberFormat="1" applyFont="1" applyFill="1" applyBorder="1" applyAlignment="1">
      <alignment horizontal="center" vertical="center" wrapText="1"/>
    </xf>
    <xf numFmtId="0" fontId="8" fillId="0" borderId="0" xfId="0" applyFont="1" applyAlignment="1">
      <alignment horizontal="right" vertical="center"/>
    </xf>
    <xf numFmtId="0" fontId="8" fillId="28" borderId="0" xfId="0" applyFont="1" applyFill="1" applyAlignment="1">
      <alignment vertical="top"/>
    </xf>
    <xf numFmtId="0" fontId="0" fillId="0" borderId="5" xfId="0" applyBorder="1" applyAlignment="1">
      <alignment vertical="center"/>
    </xf>
    <xf numFmtId="176" fontId="45" fillId="25" borderId="163" xfId="0" applyNumberFormat="1" applyFont="1" applyFill="1" applyBorder="1" applyAlignment="1">
      <alignment horizontal="center" vertical="center" wrapText="1"/>
    </xf>
    <xf numFmtId="176" fontId="45" fillId="25" borderId="160" xfId="0" applyNumberFormat="1" applyFont="1" applyFill="1" applyBorder="1" applyAlignment="1">
      <alignment horizontal="center" vertical="center" wrapText="1"/>
    </xf>
    <xf numFmtId="176" fontId="45" fillId="25" borderId="160" xfId="0" applyNumberFormat="1" applyFont="1" applyFill="1" applyBorder="1" applyAlignment="1">
      <alignment horizontal="left" vertical="center" wrapText="1"/>
    </xf>
    <xf numFmtId="176" fontId="45" fillId="25" borderId="116" xfId="0" applyNumberFormat="1" applyFont="1" applyFill="1" applyBorder="1" applyAlignment="1">
      <alignment horizontal="center" vertical="center" wrapText="1"/>
    </xf>
    <xf numFmtId="0" fontId="8" fillId="28" borderId="0" xfId="0" applyFont="1" applyFill="1"/>
    <xf numFmtId="176" fontId="79" fillId="3" borderId="163" xfId="0" applyNumberFormat="1" applyFont="1" applyFill="1" applyBorder="1"/>
    <xf numFmtId="176" fontId="79" fillId="3" borderId="160" xfId="0" applyNumberFormat="1" applyFont="1" applyFill="1" applyBorder="1"/>
    <xf numFmtId="0" fontId="0" fillId="0" borderId="116" xfId="0" applyBorder="1"/>
    <xf numFmtId="0" fontId="0" fillId="0" borderId="0" xfId="0" applyAlignment="1">
      <alignment horizontal="right" indent="1"/>
    </xf>
    <xf numFmtId="0" fontId="80" fillId="0" borderId="0" xfId="0" applyFont="1" applyAlignment="1">
      <alignment vertical="center"/>
    </xf>
    <xf numFmtId="0" fontId="78" fillId="25" borderId="0" xfId="0" applyFont="1" applyFill="1"/>
    <xf numFmtId="0" fontId="80" fillId="25" borderId="0" xfId="0" applyFont="1" applyFill="1" applyAlignment="1">
      <alignment vertical="center"/>
    </xf>
    <xf numFmtId="0" fontId="0" fillId="0" borderId="0" xfId="0" applyAlignment="1">
      <alignment horizontal="left" vertical="top"/>
    </xf>
    <xf numFmtId="0" fontId="0" fillId="0" borderId="0" xfId="0" applyAlignment="1">
      <alignment horizontal="center" vertical="top"/>
    </xf>
    <xf numFmtId="0" fontId="58" fillId="25" borderId="0" xfId="0" applyFont="1" applyFill="1" applyAlignment="1">
      <alignment vertical="top"/>
    </xf>
    <xf numFmtId="0" fontId="26" fillId="3" borderId="0" xfId="0" applyFont="1" applyFill="1" applyAlignment="1">
      <alignment horizontal="center"/>
    </xf>
    <xf numFmtId="0" fontId="78" fillId="0" borderId="0" xfId="0" applyFont="1"/>
    <xf numFmtId="0" fontId="26" fillId="3" borderId="0" xfId="0" applyFont="1" applyFill="1" applyAlignment="1">
      <alignment horizontal="left"/>
    </xf>
    <xf numFmtId="0" fontId="12" fillId="53" borderId="0" xfId="0" applyFont="1" applyFill="1" applyAlignment="1">
      <alignment vertical="top"/>
    </xf>
    <xf numFmtId="0" fontId="12" fillId="53" borderId="0" xfId="0" applyFont="1" applyFill="1" applyAlignment="1">
      <alignment horizontal="left" vertical="top"/>
    </xf>
    <xf numFmtId="0" fontId="52" fillId="15" borderId="0" xfId="0" applyFont="1" applyFill="1" applyAlignment="1">
      <alignment horizontal="centerContinuous"/>
    </xf>
    <xf numFmtId="0" fontId="45" fillId="21" borderId="1" xfId="0" applyFont="1" applyFill="1" applyBorder="1" applyAlignment="1">
      <alignment horizontal="centerContinuous"/>
    </xf>
    <xf numFmtId="0" fontId="45" fillId="21" borderId="2" xfId="0" applyFont="1" applyFill="1" applyBorder="1" applyAlignment="1">
      <alignment horizontal="centerContinuous"/>
    </xf>
    <xf numFmtId="0" fontId="5" fillId="21" borderId="3" xfId="0" applyFont="1" applyFill="1" applyBorder="1" applyAlignment="1">
      <alignment horizontal="centerContinuous"/>
    </xf>
    <xf numFmtId="0" fontId="43" fillId="13" borderId="26" xfId="0" applyFont="1" applyFill="1" applyBorder="1" applyAlignment="1">
      <alignment horizontal="centerContinuous"/>
    </xf>
    <xf numFmtId="0" fontId="5" fillId="33" borderId="1" xfId="0" applyFont="1" applyFill="1" applyBorder="1" applyAlignment="1">
      <alignment horizontal="centerContinuous"/>
    </xf>
    <xf numFmtId="0" fontId="5" fillId="33" borderId="2" xfId="0" applyFont="1" applyFill="1" applyBorder="1" applyAlignment="1">
      <alignment horizontal="centerContinuous"/>
    </xf>
    <xf numFmtId="0" fontId="5" fillId="33" borderId="3" xfId="0" applyFont="1" applyFill="1" applyBorder="1" applyAlignment="1">
      <alignment horizontal="centerContinuous"/>
    </xf>
    <xf numFmtId="0" fontId="45" fillId="6" borderId="0" xfId="0" applyFont="1" applyFill="1" applyAlignment="1">
      <alignment horizontal="centerContinuous"/>
    </xf>
    <xf numFmtId="14" fontId="0" fillId="0" borderId="0" xfId="0" applyNumberFormat="1" applyAlignment="1">
      <alignment vertical="center" wrapText="1"/>
    </xf>
    <xf numFmtId="0" fontId="81" fillId="8" borderId="1" xfId="0" applyFont="1" applyFill="1" applyBorder="1" applyAlignment="1">
      <alignment vertical="center" wrapText="1"/>
    </xf>
    <xf numFmtId="0" fontId="81" fillId="8" borderId="14" xfId="0" applyFont="1" applyFill="1" applyBorder="1" applyAlignment="1">
      <alignment vertical="center" wrapText="1"/>
    </xf>
    <xf numFmtId="49" fontId="81" fillId="8" borderId="14" xfId="0" applyNumberFormat="1" applyFont="1" applyFill="1" applyBorder="1" applyAlignment="1">
      <alignment vertical="center" wrapText="1"/>
    </xf>
    <xf numFmtId="0" fontId="45" fillId="52" borderId="1" xfId="0" applyFont="1" applyFill="1" applyBorder="1" applyAlignment="1">
      <alignment horizontal="left" vertical="center" wrapText="1"/>
    </xf>
    <xf numFmtId="0" fontId="45" fillId="52" borderId="14" xfId="0" applyFont="1" applyFill="1" applyBorder="1" applyAlignment="1">
      <alignment horizontal="center" vertical="center" wrapText="1"/>
    </xf>
    <xf numFmtId="0" fontId="31" fillId="54" borderId="14" xfId="0" applyFont="1" applyFill="1" applyBorder="1" applyAlignment="1">
      <alignment horizontal="center" vertical="center" wrapText="1"/>
    </xf>
    <xf numFmtId="1" fontId="31" fillId="54" borderId="14" xfId="0" applyNumberFormat="1" applyFont="1" applyFill="1" applyBorder="1" applyAlignment="1">
      <alignment horizontal="center" vertical="center" wrapText="1"/>
    </xf>
    <xf numFmtId="0" fontId="45" fillId="34" borderId="1" xfId="0" applyFont="1" applyFill="1" applyBorder="1" applyAlignment="1">
      <alignment horizontal="center" vertical="center" wrapText="1"/>
    </xf>
    <xf numFmtId="0" fontId="45" fillId="34" borderId="124" xfId="0" applyFont="1" applyFill="1" applyBorder="1" applyAlignment="1">
      <alignment horizontal="center" vertical="center" wrapText="1"/>
    </xf>
    <xf numFmtId="0" fontId="45" fillId="25" borderId="14" xfId="0" applyFont="1" applyFill="1" applyBorder="1" applyAlignment="1">
      <alignment vertical="center" wrapText="1"/>
    </xf>
    <xf numFmtId="0" fontId="45" fillId="25" borderId="124" xfId="0" applyFont="1" applyFill="1" applyBorder="1" applyAlignment="1">
      <alignment vertical="center" wrapText="1"/>
    </xf>
    <xf numFmtId="0" fontId="45" fillId="18" borderId="124" xfId="0" applyFont="1" applyFill="1" applyBorder="1" applyAlignment="1">
      <alignment vertical="center" wrapText="1"/>
    </xf>
    <xf numFmtId="0" fontId="45" fillId="36" borderId="2" xfId="0" applyFont="1" applyFill="1" applyBorder="1" applyAlignment="1">
      <alignment vertical="center" wrapText="1"/>
    </xf>
    <xf numFmtId="0" fontId="45" fillId="36" borderId="1" xfId="0" applyFont="1" applyFill="1" applyBorder="1" applyAlignment="1">
      <alignment vertical="center" wrapText="1"/>
    </xf>
    <xf numFmtId="0" fontId="45" fillId="6" borderId="124" xfId="0" applyFont="1" applyFill="1" applyBorder="1" applyAlignment="1">
      <alignment vertical="center" wrapText="1"/>
    </xf>
    <xf numFmtId="0" fontId="26" fillId="3" borderId="83" xfId="0" applyFont="1" applyFill="1" applyBorder="1" applyAlignment="1">
      <alignment vertical="top"/>
    </xf>
    <xf numFmtId="166" fontId="8" fillId="3" borderId="164" xfId="0" applyNumberFormat="1" applyFont="1" applyFill="1" applyBorder="1" applyAlignment="1">
      <alignment horizontal="right" vertical="top" indent="1"/>
    </xf>
    <xf numFmtId="0" fontId="8" fillId="55" borderId="125" xfId="0" applyFont="1" applyFill="1" applyBorder="1" applyAlignment="1">
      <alignment horizontal="left" vertical="top"/>
    </xf>
    <xf numFmtId="0" fontId="8" fillId="55" borderId="126" xfId="0" applyFont="1" applyFill="1" applyBorder="1" applyAlignment="1">
      <alignment vertical="top"/>
    </xf>
    <xf numFmtId="0" fontId="42" fillId="3" borderId="126" xfId="0" applyFont="1" applyFill="1" applyBorder="1" applyAlignment="1">
      <alignment vertical="top"/>
    </xf>
    <xf numFmtId="0" fontId="42" fillId="3" borderId="126" xfId="0" applyFont="1" applyFill="1" applyBorder="1" applyAlignment="1">
      <alignment horizontal="center" vertical="top"/>
    </xf>
    <xf numFmtId="0" fontId="8" fillId="55" borderId="125" xfId="0" applyFont="1" applyFill="1" applyBorder="1" applyAlignment="1">
      <alignment horizontal="center" vertical="top"/>
    </xf>
    <xf numFmtId="1" fontId="8" fillId="55" borderId="126" xfId="0" applyNumberFormat="1" applyFont="1" applyFill="1" applyBorder="1" applyAlignment="1">
      <alignment horizontal="center" vertical="top"/>
    </xf>
    <xf numFmtId="1" fontId="8" fillId="55" borderId="165" xfId="0" applyNumberFormat="1" applyFont="1" applyFill="1" applyBorder="1" applyAlignment="1">
      <alignment horizontal="center" vertical="top"/>
    </xf>
    <xf numFmtId="0" fontId="8" fillId="55" borderId="165" xfId="0" applyFont="1" applyFill="1" applyBorder="1" applyAlignment="1">
      <alignment horizontal="center" vertical="top"/>
    </xf>
    <xf numFmtId="0" fontId="8" fillId="55" borderId="125" xfId="0" applyFont="1" applyFill="1" applyBorder="1" applyAlignment="1">
      <alignment vertical="center"/>
    </xf>
    <xf numFmtId="0" fontId="8" fillId="55" borderId="126" xfId="0" applyFont="1" applyFill="1" applyBorder="1" applyAlignment="1">
      <alignment vertical="center"/>
    </xf>
    <xf numFmtId="177" fontId="8" fillId="55" borderId="126" xfId="0" applyNumberFormat="1" applyFont="1" applyFill="1" applyBorder="1" applyAlignment="1">
      <alignment horizontal="center" vertical="center"/>
    </xf>
    <xf numFmtId="0" fontId="82" fillId="55" borderId="125" xfId="0" applyFont="1" applyFill="1" applyBorder="1"/>
    <xf numFmtId="0" fontId="82" fillId="55" borderId="126" xfId="0" applyFont="1" applyFill="1" applyBorder="1"/>
    <xf numFmtId="0" fontId="8" fillId="55" borderId="126" xfId="0" applyFont="1" applyFill="1" applyBorder="1"/>
    <xf numFmtId="0" fontId="8" fillId="55" borderId="126" xfId="0" applyFont="1" applyFill="1" applyBorder="1" applyAlignment="1">
      <alignment horizontal="center"/>
    </xf>
    <xf numFmtId="0" fontId="8" fillId="56" borderId="125" xfId="0" applyFont="1" applyFill="1" applyBorder="1" applyAlignment="1">
      <alignment horizontal="center" vertical="top"/>
    </xf>
    <xf numFmtId="1" fontId="8" fillId="56" borderId="126" xfId="0" applyNumberFormat="1" applyFont="1" applyFill="1" applyBorder="1" applyAlignment="1">
      <alignment horizontal="center" vertical="top"/>
    </xf>
    <xf numFmtId="1" fontId="8" fillId="56" borderId="165" xfId="0" applyNumberFormat="1" applyFont="1" applyFill="1" applyBorder="1" applyAlignment="1">
      <alignment horizontal="center" vertical="top"/>
    </xf>
    <xf numFmtId="0" fontId="8" fillId="56" borderId="126" xfId="0" applyFont="1" applyFill="1" applyBorder="1" applyAlignment="1">
      <alignment vertical="center"/>
    </xf>
    <xf numFmtId="0" fontId="26" fillId="15" borderId="83" xfId="0" applyFont="1" applyFill="1" applyBorder="1" applyAlignment="1">
      <alignment vertical="top"/>
    </xf>
    <xf numFmtId="166" fontId="8" fillId="15" borderId="164" xfId="0" applyNumberFormat="1" applyFont="1" applyFill="1" applyBorder="1" applyAlignment="1">
      <alignment horizontal="right" vertical="top" indent="1"/>
    </xf>
    <xf numFmtId="0" fontId="0" fillId="15" borderId="125" xfId="0" applyFont="1" applyFill="1" applyBorder="1" applyAlignment="1">
      <alignment horizontal="left" vertical="top"/>
    </xf>
    <xf numFmtId="0" fontId="8" fillId="15" borderId="126" xfId="0" applyFont="1" applyFill="1" applyBorder="1" applyAlignment="1">
      <alignment vertical="top"/>
    </xf>
    <xf numFmtId="0" fontId="42" fillId="15" borderId="126" xfId="0" applyFont="1" applyFill="1" applyBorder="1" applyAlignment="1">
      <alignment vertical="top"/>
    </xf>
    <xf numFmtId="0" fontId="42" fillId="15" borderId="126" xfId="0" applyFont="1" applyFill="1" applyBorder="1" applyAlignment="1">
      <alignment horizontal="center" vertical="top"/>
    </xf>
    <xf numFmtId="0" fontId="8" fillId="15" borderId="165" xfId="0" applyFont="1" applyFill="1" applyBorder="1" applyAlignment="1">
      <alignment horizontal="center" vertical="top"/>
    </xf>
    <xf numFmtId="0" fontId="8" fillId="15" borderId="125" xfId="0" applyFont="1" applyFill="1" applyBorder="1" applyAlignment="1">
      <alignment vertical="center"/>
    </xf>
    <xf numFmtId="0" fontId="8" fillId="15" borderId="126" xfId="0" applyFont="1" applyFill="1" applyBorder="1" applyAlignment="1">
      <alignment vertical="center"/>
    </xf>
    <xf numFmtId="177" fontId="8" fillId="15" borderId="126" xfId="0" applyNumberFormat="1" applyFont="1" applyFill="1" applyBorder="1" applyAlignment="1">
      <alignment horizontal="center" vertical="center"/>
    </xf>
    <xf numFmtId="0" fontId="0" fillId="55" borderId="126" xfId="0" applyFont="1" applyFill="1" applyBorder="1" applyAlignment="1">
      <alignment vertical="center"/>
    </xf>
    <xf numFmtId="177" fontId="8" fillId="55" borderId="126" xfId="0" applyNumberFormat="1" applyFont="1" applyFill="1" applyBorder="1" applyAlignment="1">
      <alignment horizontal="center"/>
    </xf>
    <xf numFmtId="0" fontId="26" fillId="3" borderId="83" xfId="0" applyFont="1" applyFill="1" applyBorder="1" applyAlignment="1">
      <alignment vertical="top" wrapText="1"/>
    </xf>
    <xf numFmtId="0" fontId="26" fillId="3" borderId="59" xfId="0" applyFont="1" applyFill="1" applyBorder="1" applyAlignment="1">
      <alignment vertical="top"/>
    </xf>
    <xf numFmtId="166" fontId="8" fillId="3" borderId="166" xfId="0" applyNumberFormat="1" applyFont="1" applyFill="1" applyBorder="1" applyAlignment="1">
      <alignment horizontal="right" vertical="top" indent="1"/>
    </xf>
    <xf numFmtId="0" fontId="8" fillId="55" borderId="37" xfId="0" applyFont="1" applyFill="1" applyBorder="1" applyAlignment="1">
      <alignment horizontal="left" vertical="top"/>
    </xf>
    <xf numFmtId="0" fontId="8" fillId="55" borderId="79" xfId="0" applyFont="1" applyFill="1" applyBorder="1" applyAlignment="1">
      <alignment vertical="top"/>
    </xf>
    <xf numFmtId="0" fontId="42" fillId="3" borderId="79" xfId="0" applyFont="1" applyFill="1" applyBorder="1" applyAlignment="1">
      <alignment vertical="top"/>
    </xf>
    <xf numFmtId="0" fontId="42" fillId="3" borderId="79" xfId="0" applyFont="1" applyFill="1" applyBorder="1" applyAlignment="1">
      <alignment horizontal="center" vertical="top"/>
    </xf>
    <xf numFmtId="0" fontId="8" fillId="55" borderId="37" xfId="0" applyFont="1" applyFill="1" applyBorder="1" applyAlignment="1">
      <alignment horizontal="center" vertical="top"/>
    </xf>
    <xf numFmtId="1" fontId="8" fillId="55" borderId="79" xfId="0" applyNumberFormat="1" applyFont="1" applyFill="1" applyBorder="1" applyAlignment="1">
      <alignment horizontal="center" vertical="top"/>
    </xf>
    <xf numFmtId="1" fontId="8" fillId="55" borderId="32" xfId="0" applyNumberFormat="1" applyFont="1" applyFill="1" applyBorder="1" applyAlignment="1">
      <alignment horizontal="center" vertical="top"/>
    </xf>
    <xf numFmtId="0" fontId="8" fillId="55" borderId="32" xfId="0" applyFont="1" applyFill="1" applyBorder="1" applyAlignment="1">
      <alignment horizontal="center" vertical="top"/>
    </xf>
    <xf numFmtId="0" fontId="8" fillId="55" borderId="37" xfId="0" applyFont="1" applyFill="1" applyBorder="1" applyAlignment="1">
      <alignment vertical="center"/>
    </xf>
    <xf numFmtId="0" fontId="8" fillId="55" borderId="79" xfId="0" applyFont="1" applyFill="1" applyBorder="1" applyAlignment="1">
      <alignment vertical="center"/>
    </xf>
    <xf numFmtId="177" fontId="8" fillId="55" borderId="79" xfId="0" applyNumberFormat="1" applyFont="1" applyFill="1" applyBorder="1" applyAlignment="1">
      <alignment horizontal="center" vertical="center"/>
    </xf>
    <xf numFmtId="0" fontId="82" fillId="55" borderId="37" xfId="0" applyFont="1" applyFill="1" applyBorder="1"/>
    <xf numFmtId="0" fontId="82" fillId="55" borderId="79" xfId="0" applyFont="1" applyFill="1" applyBorder="1"/>
    <xf numFmtId="0" fontId="8" fillId="55" borderId="79" xfId="0" applyFont="1" applyFill="1" applyBorder="1"/>
    <xf numFmtId="0" fontId="8" fillId="55" borderId="79" xfId="0" applyFont="1" applyFill="1" applyBorder="1" applyAlignment="1">
      <alignment horizontal="center"/>
    </xf>
    <xf numFmtId="0" fontId="13" fillId="57" borderId="167" xfId="0" applyFont="1" applyFill="1" applyBorder="1" applyAlignment="1">
      <alignment vertical="center" wrapText="1"/>
    </xf>
    <xf numFmtId="0" fontId="13" fillId="57" borderId="168" xfId="0" applyFont="1" applyFill="1" applyBorder="1" applyAlignment="1">
      <alignment vertical="center" wrapText="1"/>
    </xf>
    <xf numFmtId="49" fontId="13" fillId="57" borderId="2" xfId="0" applyNumberFormat="1" applyFont="1" applyFill="1" applyBorder="1" applyAlignment="1">
      <alignment vertical="center" wrapText="1"/>
    </xf>
    <xf numFmtId="49" fontId="13" fillId="57" borderId="169" xfId="0" applyNumberFormat="1" applyFont="1" applyFill="1" applyBorder="1" applyAlignment="1">
      <alignment vertical="center" wrapText="1"/>
    </xf>
    <xf numFmtId="1" fontId="26" fillId="3" borderId="0" xfId="0" applyNumberFormat="1" applyFont="1" applyFill="1" applyAlignment="1">
      <alignment vertical="center"/>
    </xf>
    <xf numFmtId="49" fontId="26" fillId="57" borderId="1" xfId="0" applyNumberFormat="1" applyFont="1" applyFill="1" applyBorder="1"/>
    <xf numFmtId="49" fontId="42" fillId="57" borderId="1" xfId="0" applyNumberFormat="1" applyFont="1" applyFill="1" applyBorder="1"/>
    <xf numFmtId="0" fontId="26" fillId="57" borderId="26" xfId="0" applyFont="1" applyFill="1" applyBorder="1" applyAlignment="1">
      <alignment vertical="center"/>
    </xf>
    <xf numFmtId="49" fontId="26" fillId="57" borderId="167" xfId="0" applyNumberFormat="1" applyFont="1" applyFill="1" applyBorder="1"/>
    <xf numFmtId="49" fontId="42" fillId="57" borderId="167" xfId="0" applyNumberFormat="1" applyFont="1" applyFill="1" applyBorder="1"/>
    <xf numFmtId="0" fontId="0" fillId="57" borderId="39" xfId="0" applyFont="1" applyFill="1" applyBorder="1"/>
    <xf numFmtId="0" fontId="26" fillId="57" borderId="39" xfId="0" applyFont="1" applyFill="1" applyBorder="1" applyAlignment="1">
      <alignment vertical="center"/>
    </xf>
    <xf numFmtId="49" fontId="26" fillId="57" borderId="170" xfId="0" applyNumberFormat="1" applyFont="1" applyFill="1" applyBorder="1"/>
    <xf numFmtId="49" fontId="42" fillId="57" borderId="170" xfId="0" applyNumberFormat="1" applyFont="1" applyFill="1" applyBorder="1"/>
    <xf numFmtId="0" fontId="26" fillId="57" borderId="31" xfId="0" applyFont="1" applyFill="1" applyBorder="1" applyAlignment="1">
      <alignment vertical="center"/>
    </xf>
    <xf numFmtId="0" fontId="0" fillId="0" borderId="0" xfId="0" quotePrefix="1" applyAlignment="1">
      <alignment horizontal="left"/>
    </xf>
    <xf numFmtId="1" fontId="34" fillId="3" borderId="0" xfId="0" applyNumberFormat="1" applyFont="1" applyFill="1" applyAlignment="1">
      <alignment horizontal="center"/>
    </xf>
    <xf numFmtId="0" fontId="45" fillId="0" borderId="0" xfId="0" applyFont="1" applyAlignment="1">
      <alignment horizontal="center"/>
    </xf>
    <xf numFmtId="0" fontId="5" fillId="0" borderId="0" xfId="0" quotePrefix="1" applyFont="1" applyAlignment="1">
      <alignment horizontal="left"/>
    </xf>
    <xf numFmtId="0" fontId="5" fillId="0" borderId="0" xfId="0" quotePrefix="1" applyFont="1"/>
    <xf numFmtId="49" fontId="8" fillId="46" borderId="75" xfId="0" applyNumberFormat="1" applyFont="1" applyFill="1" applyBorder="1" applyAlignment="1">
      <alignment horizontal="center"/>
    </xf>
    <xf numFmtId="49" fontId="0" fillId="7" borderId="91" xfId="0" applyNumberFormat="1" applyFill="1" applyBorder="1" applyAlignment="1">
      <alignment horizontal="center"/>
    </xf>
    <xf numFmtId="0" fontId="0" fillId="0" borderId="28" xfId="0" applyBorder="1" applyAlignment="1">
      <alignment horizontal="right"/>
    </xf>
    <xf numFmtId="0" fontId="0" fillId="9" borderId="27" xfId="0" applyFill="1" applyBorder="1" applyAlignment="1">
      <alignment horizontal="left"/>
    </xf>
    <xf numFmtId="0" fontId="35" fillId="58" borderId="10" xfId="0" applyFont="1" applyFill="1" applyBorder="1" applyAlignment="1">
      <alignment horizontal="center"/>
    </xf>
    <xf numFmtId="49" fontId="8" fillId="46" borderId="68" xfId="0" applyNumberFormat="1" applyFont="1" applyFill="1" applyBorder="1" applyAlignment="1">
      <alignment horizontal="center"/>
    </xf>
    <xf numFmtId="49" fontId="0" fillId="7" borderId="93" xfId="0" applyNumberFormat="1" applyFill="1" applyBorder="1" applyAlignment="1">
      <alignment horizontal="center"/>
    </xf>
    <xf numFmtId="0" fontId="0" fillId="0" borderId="30" xfId="0" applyBorder="1" applyAlignment="1">
      <alignment horizontal="right"/>
    </xf>
    <xf numFmtId="0" fontId="0" fillId="9" borderId="29" xfId="0" applyFill="1" applyBorder="1" applyAlignment="1">
      <alignment horizontal="left"/>
    </xf>
    <xf numFmtId="0" fontId="0" fillId="9" borderId="29" xfId="0" quotePrefix="1" applyFill="1" applyBorder="1" applyAlignment="1">
      <alignment horizontal="left"/>
    </xf>
    <xf numFmtId="0" fontId="0" fillId="0" borderId="33" xfId="0" applyBorder="1" applyAlignment="1">
      <alignment horizontal="right"/>
    </xf>
    <xf numFmtId="0" fontId="0" fillId="0" borderId="32" xfId="0" applyBorder="1" applyAlignment="1">
      <alignment horizontal="right"/>
    </xf>
    <xf numFmtId="0" fontId="0" fillId="9" borderId="31" xfId="0" quotePrefix="1" applyFill="1" applyBorder="1" applyAlignment="1">
      <alignment horizontal="left"/>
    </xf>
    <xf numFmtId="0" fontId="0" fillId="0" borderId="75" xfId="0" applyBorder="1"/>
    <xf numFmtId="0" fontId="5" fillId="0" borderId="91" xfId="0" applyFont="1" applyBorder="1"/>
    <xf numFmtId="0" fontId="0" fillId="0" borderId="68" xfId="0" applyBorder="1" applyAlignment="1">
      <alignment horizontal="right"/>
    </xf>
    <xf numFmtId="0" fontId="0" fillId="25" borderId="93" xfId="0" quotePrefix="1" applyFill="1" applyBorder="1" applyAlignment="1">
      <alignment horizontal="left"/>
    </xf>
    <xf numFmtId="0" fontId="26" fillId="3" borderId="0" xfId="0" quotePrefix="1" applyFont="1" applyFill="1" applyAlignment="1">
      <alignment horizontal="left"/>
    </xf>
    <xf numFmtId="0" fontId="0" fillId="0" borderId="72" xfId="0" applyBorder="1" applyAlignment="1">
      <alignment horizontal="right"/>
    </xf>
    <xf numFmtId="0" fontId="0" fillId="25" borderId="100" xfId="0" quotePrefix="1" applyFill="1" applyBorder="1" applyAlignment="1">
      <alignment horizontal="left"/>
    </xf>
    <xf numFmtId="49" fontId="8" fillId="46" borderId="72" xfId="0" applyNumberFormat="1" applyFont="1" applyFill="1" applyBorder="1" applyAlignment="1">
      <alignment horizontal="center"/>
    </xf>
    <xf numFmtId="49" fontId="0" fillId="7" borderId="100" xfId="0" applyNumberFormat="1" applyFill="1" applyBorder="1" applyAlignment="1">
      <alignment horizontal="center"/>
    </xf>
    <xf numFmtId="0" fontId="0" fillId="0" borderId="0" xfId="0" quotePrefix="1" applyAlignment="1">
      <alignment horizontal="center"/>
    </xf>
    <xf numFmtId="0" fontId="85" fillId="33" borderId="0" xfId="0" applyFont="1" applyFill="1"/>
    <xf numFmtId="0" fontId="86" fillId="33" borderId="0" xfId="0" applyFont="1" applyFill="1" applyAlignment="1">
      <alignment horizontal="center"/>
    </xf>
    <xf numFmtId="0" fontId="87" fillId="33" borderId="0" xfId="0" quotePrefix="1" applyFont="1" applyFill="1"/>
    <xf numFmtId="0" fontId="26" fillId="33" borderId="0" xfId="0" applyFont="1" applyFill="1"/>
    <xf numFmtId="0" fontId="26" fillId="3" borderId="0" xfId="0" applyFont="1" applyFill="1" applyProtection="1">
      <protection locked="0"/>
    </xf>
    <xf numFmtId="0" fontId="56" fillId="0" borderId="1" xfId="0" applyFont="1" applyBorder="1" applyAlignment="1">
      <alignment horizontal="left"/>
    </xf>
    <xf numFmtId="0" fontId="0" fillId="0" borderId="2" xfId="0" applyBorder="1"/>
    <xf numFmtId="0" fontId="26" fillId="3" borderId="2" xfId="0" applyFont="1" applyFill="1" applyBorder="1"/>
    <xf numFmtId="0" fontId="0" fillId="0" borderId="3" xfId="0" applyBorder="1"/>
    <xf numFmtId="0" fontId="56" fillId="3" borderId="4" xfId="0" applyFont="1" applyFill="1" applyBorder="1"/>
    <xf numFmtId="0" fontId="26" fillId="3" borderId="5" xfId="0" applyFont="1" applyFill="1" applyBorder="1"/>
    <xf numFmtId="0" fontId="56" fillId="0" borderId="6" xfId="0" applyFont="1" applyBorder="1"/>
    <xf numFmtId="0" fontId="26" fillId="3" borderId="7" xfId="0" applyFont="1" applyFill="1" applyBorder="1"/>
    <xf numFmtId="0" fontId="26" fillId="3" borderId="8" xfId="0" applyFont="1" applyFill="1" applyBorder="1"/>
    <xf numFmtId="0" fontId="0" fillId="0" borderId="10" xfId="0" applyBorder="1"/>
    <xf numFmtId="0" fontId="0" fillId="0" borderId="64" xfId="0" applyBorder="1"/>
    <xf numFmtId="0" fontId="0" fillId="0" borderId="0" xfId="0" applyAlignment="1">
      <alignment horizontal="right"/>
    </xf>
    <xf numFmtId="0" fontId="0" fillId="21" borderId="33" xfId="0" applyFill="1" applyBorder="1"/>
    <xf numFmtId="0" fontId="0" fillId="21" borderId="90" xfId="0" applyFill="1" applyBorder="1"/>
    <xf numFmtId="0" fontId="0" fillId="21" borderId="30" xfId="0" applyFill="1" applyBorder="1"/>
    <xf numFmtId="0" fontId="0" fillId="21" borderId="80" xfId="0" applyFill="1" applyBorder="1"/>
    <xf numFmtId="0" fontId="88" fillId="21" borderId="30" xfId="0" applyFont="1" applyFill="1" applyBorder="1" applyAlignment="1">
      <alignment vertical="top"/>
    </xf>
    <xf numFmtId="0" fontId="88" fillId="21" borderId="80" xfId="0" applyFont="1" applyFill="1" applyBorder="1" applyAlignment="1">
      <alignment vertical="top"/>
    </xf>
    <xf numFmtId="0" fontId="79" fillId="21" borderId="71" xfId="0" applyFont="1" applyFill="1" applyBorder="1" applyAlignment="1">
      <alignment vertical="top"/>
    </xf>
    <xf numFmtId="0" fontId="0" fillId="21" borderId="32" xfId="0" applyFill="1" applyBorder="1"/>
    <xf numFmtId="0" fontId="0" fillId="21" borderId="61" xfId="0" applyFill="1" applyBorder="1"/>
    <xf numFmtId="0" fontId="72" fillId="41" borderId="134" xfId="0" applyFont="1" applyFill="1" applyBorder="1"/>
    <xf numFmtId="0" fontId="72" fillId="41" borderId="159" xfId="0" applyFont="1" applyFill="1" applyBorder="1"/>
    <xf numFmtId="0" fontId="0" fillId="21" borderId="76" xfId="0" applyFill="1" applyBorder="1" applyAlignment="1">
      <alignment vertical="center"/>
    </xf>
    <xf numFmtId="0" fontId="0" fillId="21" borderId="91" xfId="0" applyFill="1" applyBorder="1" applyAlignment="1">
      <alignment vertical="center"/>
    </xf>
    <xf numFmtId="0" fontId="0" fillId="21" borderId="71" xfId="0" applyFill="1" applyBorder="1" applyAlignment="1">
      <alignment vertical="center"/>
    </xf>
    <xf numFmtId="0" fontId="0" fillId="21" borderId="93" xfId="0" applyFill="1" applyBorder="1" applyAlignment="1">
      <alignment vertical="center"/>
    </xf>
    <xf numFmtId="0" fontId="0" fillId="21" borderId="71" xfId="0" applyFill="1" applyBorder="1"/>
    <xf numFmtId="0" fontId="0" fillId="21" borderId="93" xfId="0" applyFill="1" applyBorder="1"/>
    <xf numFmtId="0" fontId="0" fillId="21" borderId="74" xfId="0" applyFill="1" applyBorder="1"/>
    <xf numFmtId="0" fontId="0" fillId="21" borderId="100" xfId="0" applyFill="1" applyBorder="1"/>
    <xf numFmtId="0" fontId="72" fillId="41" borderId="173" xfId="0" applyFont="1" applyFill="1" applyBorder="1"/>
    <xf numFmtId="0" fontId="72" fillId="41" borderId="174" xfId="0" applyFont="1" applyFill="1" applyBorder="1"/>
    <xf numFmtId="0" fontId="0" fillId="21" borderId="30" xfId="0" applyFill="1" applyBorder="1" applyAlignment="1">
      <alignment vertical="center"/>
    </xf>
    <xf numFmtId="0" fontId="0" fillId="21" borderId="80" xfId="0" applyFill="1" applyBorder="1" applyAlignment="1">
      <alignment vertical="center"/>
    </xf>
    <xf numFmtId="0" fontId="0" fillId="35" borderId="42" xfId="0" applyFill="1" applyBorder="1"/>
    <xf numFmtId="0" fontId="0" fillId="35" borderId="43" xfId="0" applyFill="1" applyBorder="1"/>
    <xf numFmtId="0" fontId="0" fillId="35" borderId="0" xfId="0" applyFill="1"/>
    <xf numFmtId="0" fontId="0" fillId="35" borderId="5" xfId="0" applyFill="1" applyBorder="1"/>
    <xf numFmtId="0" fontId="0" fillId="35" borderId="33" xfId="0" applyFill="1" applyBorder="1"/>
    <xf numFmtId="0" fontId="0" fillId="35" borderId="90" xfId="0" applyFill="1" applyBorder="1"/>
    <xf numFmtId="0" fontId="0" fillId="35" borderId="30" xfId="0" applyFill="1" applyBorder="1"/>
    <xf numFmtId="0" fontId="0" fillId="35" borderId="80" xfId="0" applyFill="1" applyBorder="1"/>
    <xf numFmtId="0" fontId="0" fillId="35" borderId="87" xfId="0" applyFill="1" applyBorder="1"/>
    <xf numFmtId="0" fontId="0" fillId="35" borderId="88" xfId="0" applyFill="1" applyBorder="1"/>
    <xf numFmtId="0" fontId="0" fillId="35" borderId="165" xfId="0" applyFill="1" applyBorder="1"/>
    <xf numFmtId="0" fontId="0" fillId="35" borderId="177" xfId="0" applyFill="1" applyBorder="1"/>
    <xf numFmtId="0" fontId="0" fillId="35" borderId="32" xfId="0" applyFill="1" applyBorder="1"/>
    <xf numFmtId="0" fontId="0" fillId="35" borderId="61" xfId="0" applyFill="1" applyBorder="1"/>
    <xf numFmtId="0" fontId="0" fillId="36" borderId="180" xfId="0" applyFill="1" applyBorder="1"/>
    <xf numFmtId="0" fontId="0" fillId="36" borderId="181" xfId="0" applyFill="1" applyBorder="1"/>
    <xf numFmtId="0" fontId="0" fillId="36" borderId="33" xfId="0" applyFill="1" applyBorder="1" applyAlignment="1">
      <alignment vertical="center"/>
    </xf>
    <xf numFmtId="0" fontId="0" fillId="36" borderId="90" xfId="0" applyFill="1" applyBorder="1" applyAlignment="1">
      <alignment vertical="center"/>
    </xf>
    <xf numFmtId="0" fontId="0" fillId="36" borderId="30" xfId="0" applyFill="1" applyBorder="1" applyAlignment="1">
      <alignment vertical="center"/>
    </xf>
    <xf numFmtId="0" fontId="0" fillId="36" borderId="80" xfId="0" applyFill="1" applyBorder="1" applyAlignment="1">
      <alignment vertical="center"/>
    </xf>
    <xf numFmtId="0" fontId="0" fillId="36" borderId="0" xfId="0" applyFill="1"/>
    <xf numFmtId="0" fontId="0" fillId="36" borderId="5" xfId="0" applyFill="1" applyBorder="1"/>
    <xf numFmtId="0" fontId="72" fillId="41" borderId="176" xfId="0" applyFont="1" applyFill="1" applyBorder="1"/>
    <xf numFmtId="0" fontId="72" fillId="41" borderId="182" xfId="0" applyFont="1" applyFill="1" applyBorder="1"/>
    <xf numFmtId="0" fontId="79" fillId="36" borderId="33" xfId="0" applyFont="1" applyFill="1" applyBorder="1" applyAlignment="1">
      <alignment vertical="top"/>
    </xf>
    <xf numFmtId="0" fontId="0" fillId="36" borderId="33" xfId="0" applyFill="1" applyBorder="1"/>
    <xf numFmtId="0" fontId="0" fillId="36" borderId="90" xfId="0" applyFill="1" applyBorder="1"/>
    <xf numFmtId="0" fontId="26" fillId="36" borderId="0" xfId="0" applyFont="1" applyFill="1"/>
    <xf numFmtId="0" fontId="26" fillId="36" borderId="5" xfId="0" applyFont="1" applyFill="1" applyBorder="1"/>
    <xf numFmtId="0" fontId="79" fillId="36" borderId="90" xfId="0" applyFont="1" applyFill="1" applyBorder="1" applyAlignment="1">
      <alignment vertical="top"/>
    </xf>
    <xf numFmtId="0" fontId="79" fillId="36" borderId="87" xfId="0" applyFont="1" applyFill="1" applyBorder="1" applyAlignment="1">
      <alignment vertical="top"/>
    </xf>
    <xf numFmtId="0" fontId="79" fillId="36" borderId="88" xfId="0" applyFont="1" applyFill="1" applyBorder="1" applyAlignment="1">
      <alignment vertical="top"/>
    </xf>
    <xf numFmtId="0" fontId="0" fillId="36" borderId="30" xfId="0" applyFill="1" applyBorder="1"/>
    <xf numFmtId="0" fontId="0" fillId="36" borderId="80" xfId="0" applyFill="1" applyBorder="1"/>
    <xf numFmtId="0" fontId="26" fillId="36" borderId="63" xfId="0" applyFont="1" applyFill="1" applyBorder="1"/>
    <xf numFmtId="0" fontId="26" fillId="36" borderId="64" xfId="0" applyFont="1" applyFill="1" applyBorder="1"/>
    <xf numFmtId="0" fontId="79" fillId="21" borderId="0" xfId="0" applyFont="1" applyFill="1" applyAlignment="1">
      <alignment vertical="top"/>
    </xf>
    <xf numFmtId="0" fontId="79" fillId="21" borderId="5" xfId="0" applyFont="1" applyFill="1" applyBorder="1" applyAlignment="1">
      <alignment vertical="top"/>
    </xf>
    <xf numFmtId="0" fontId="79" fillId="21" borderId="63" xfId="0" applyFont="1" applyFill="1" applyBorder="1" applyAlignment="1">
      <alignment vertical="top"/>
    </xf>
    <xf numFmtId="0" fontId="79" fillId="21" borderId="64" xfId="0" applyFont="1" applyFill="1" applyBorder="1" applyAlignment="1">
      <alignment vertical="top"/>
    </xf>
    <xf numFmtId="0" fontId="26" fillId="21" borderId="0" xfId="0" applyFont="1" applyFill="1" applyAlignment="1">
      <alignment vertical="top"/>
    </xf>
    <xf numFmtId="0" fontId="26" fillId="21" borderId="5" xfId="0" applyFont="1" applyFill="1" applyBorder="1" applyAlignment="1">
      <alignment vertical="top"/>
    </xf>
    <xf numFmtId="0" fontId="26" fillId="21" borderId="190" xfId="0" applyFont="1" applyFill="1" applyBorder="1" applyAlignment="1">
      <alignment vertical="top"/>
    </xf>
    <xf numFmtId="0" fontId="26" fillId="21" borderId="191" xfId="0" applyFont="1" applyFill="1" applyBorder="1" applyAlignment="1">
      <alignment vertical="top"/>
    </xf>
    <xf numFmtId="0" fontId="26" fillId="21" borderId="0" xfId="0" applyFont="1" applyFill="1"/>
    <xf numFmtId="0" fontId="26" fillId="21" borderId="5" xfId="0" applyFont="1" applyFill="1" applyBorder="1"/>
    <xf numFmtId="0" fontId="26" fillId="21" borderId="63" xfId="0" applyFont="1" applyFill="1" applyBorder="1" applyAlignment="1">
      <alignment vertical="top"/>
    </xf>
    <xf numFmtId="0" fontId="26" fillId="21" borderId="64" xfId="0" applyFont="1" applyFill="1" applyBorder="1" applyAlignment="1">
      <alignment vertical="top"/>
    </xf>
    <xf numFmtId="0" fontId="26" fillId="21" borderId="7" xfId="0" applyFont="1" applyFill="1" applyBorder="1" applyAlignment="1">
      <alignment vertical="top"/>
    </xf>
    <xf numFmtId="0" fontId="26" fillId="21" borderId="8" xfId="0" applyFont="1" applyFill="1" applyBorder="1" applyAlignment="1">
      <alignment vertical="top"/>
    </xf>
    <xf numFmtId="0" fontId="26" fillId="21" borderId="194" xfId="0" applyFont="1" applyFill="1" applyBorder="1" applyAlignment="1">
      <alignment vertical="top"/>
    </xf>
    <xf numFmtId="0" fontId="26" fillId="21" borderId="195" xfId="0" applyFont="1" applyFill="1" applyBorder="1" applyAlignment="1">
      <alignment vertical="top"/>
    </xf>
    <xf numFmtId="0" fontId="26" fillId="2" borderId="0" xfId="0" applyFont="1" applyFill="1" applyAlignment="1">
      <alignment vertical="top"/>
    </xf>
    <xf numFmtId="0" fontId="26" fillId="2" borderId="5" xfId="0" applyFont="1" applyFill="1" applyBorder="1" applyAlignment="1">
      <alignment vertical="top"/>
    </xf>
    <xf numFmtId="0" fontId="26" fillId="21" borderId="200" xfId="0" applyFont="1" applyFill="1" applyBorder="1" applyAlignment="1">
      <alignment vertical="top"/>
    </xf>
    <xf numFmtId="0" fontId="26" fillId="21" borderId="201" xfId="0" applyFont="1" applyFill="1" applyBorder="1" applyAlignment="1">
      <alignment vertical="top"/>
    </xf>
    <xf numFmtId="0" fontId="26" fillId="21" borderId="112" xfId="0" applyFont="1" applyFill="1" applyBorder="1" applyAlignment="1">
      <alignment vertical="top"/>
    </xf>
    <xf numFmtId="0" fontId="26" fillId="21" borderId="50" xfId="0" applyFont="1" applyFill="1" applyBorder="1" applyAlignment="1">
      <alignment vertical="top"/>
    </xf>
    <xf numFmtId="0" fontId="79" fillId="21" borderId="19" xfId="0" applyFont="1" applyFill="1" applyBorder="1" applyAlignment="1">
      <alignment vertical="top"/>
    </xf>
    <xf numFmtId="0" fontId="79" fillId="21" borderId="97" xfId="0" applyFont="1" applyFill="1" applyBorder="1" applyAlignment="1">
      <alignment vertical="top"/>
    </xf>
    <xf numFmtId="0" fontId="79" fillId="21" borderId="93" xfId="0" applyFont="1" applyFill="1" applyBorder="1" applyAlignment="1">
      <alignment vertical="top"/>
    </xf>
    <xf numFmtId="0" fontId="79" fillId="21" borderId="206" xfId="0" applyFont="1" applyFill="1" applyBorder="1" applyAlignment="1">
      <alignment vertical="top"/>
    </xf>
    <xf numFmtId="0" fontId="79" fillId="21" borderId="207" xfId="0" applyFont="1" applyFill="1" applyBorder="1" applyAlignment="1">
      <alignment vertical="top"/>
    </xf>
    <xf numFmtId="0" fontId="79" fillId="21" borderId="192" xfId="0" applyFont="1" applyFill="1" applyBorder="1" applyAlignment="1">
      <alignment vertical="top"/>
    </xf>
    <xf numFmtId="0" fontId="79" fillId="21" borderId="208" xfId="0" applyFont="1" applyFill="1" applyBorder="1" applyAlignment="1">
      <alignment vertical="top"/>
    </xf>
    <xf numFmtId="0" fontId="72" fillId="59" borderId="176" xfId="0" applyFont="1" applyFill="1" applyBorder="1"/>
    <xf numFmtId="0" fontId="72" fillId="59" borderId="182" xfId="0" applyFont="1" applyFill="1" applyBorder="1"/>
    <xf numFmtId="0" fontId="88" fillId="21" borderId="10" xfId="0" applyFont="1" applyFill="1" applyBorder="1" applyAlignment="1">
      <alignment vertical="top"/>
    </xf>
    <xf numFmtId="0" fontId="88" fillId="21" borderId="11" xfId="0" applyFont="1" applyFill="1" applyBorder="1" applyAlignment="1">
      <alignment vertical="top"/>
    </xf>
    <xf numFmtId="0" fontId="72" fillId="59" borderId="132" xfId="0" applyFont="1" applyFill="1" applyBorder="1"/>
    <xf numFmtId="0" fontId="89" fillId="59" borderId="133" xfId="0" applyFont="1" applyFill="1" applyBorder="1"/>
    <xf numFmtId="0" fontId="90" fillId="60" borderId="211" xfId="0" applyFont="1" applyFill="1" applyBorder="1" applyAlignment="1">
      <alignment vertical="top"/>
    </xf>
    <xf numFmtId="0" fontId="90" fillId="60" borderId="212" xfId="0" applyFont="1" applyFill="1" applyBorder="1" applyAlignment="1">
      <alignment vertical="top"/>
    </xf>
    <xf numFmtId="0" fontId="8" fillId="60" borderId="214" xfId="0" applyFont="1" applyFill="1" applyBorder="1" applyAlignment="1">
      <alignment vertical="top"/>
    </xf>
    <xf numFmtId="0" fontId="8" fillId="60" borderId="215" xfId="0" applyFont="1" applyFill="1" applyBorder="1" applyAlignment="1">
      <alignment vertical="top"/>
    </xf>
    <xf numFmtId="0" fontId="90" fillId="60" borderId="214" xfId="0" applyFont="1" applyFill="1" applyBorder="1" applyAlignment="1">
      <alignment vertical="top"/>
    </xf>
    <xf numFmtId="0" fontId="90" fillId="60" borderId="215" xfId="0" applyFont="1" applyFill="1" applyBorder="1" applyAlignment="1">
      <alignment vertical="top"/>
    </xf>
    <xf numFmtId="0" fontId="90" fillId="60" borderId="217" xfId="0" applyFont="1" applyFill="1" applyBorder="1" applyAlignment="1">
      <alignment vertical="top"/>
    </xf>
    <xf numFmtId="0" fontId="90" fillId="60" borderId="218" xfId="0" applyFont="1" applyFill="1" applyBorder="1" applyAlignment="1">
      <alignment vertical="top"/>
    </xf>
    <xf numFmtId="0" fontId="90" fillId="60" borderId="220" xfId="0" applyFont="1" applyFill="1" applyBorder="1" applyAlignment="1">
      <alignment vertical="top"/>
    </xf>
    <xf numFmtId="0" fontId="90" fillId="60" borderId="221" xfId="0" applyFont="1" applyFill="1" applyBorder="1" applyAlignment="1">
      <alignment vertical="top"/>
    </xf>
    <xf numFmtId="0" fontId="47" fillId="22" borderId="0" xfId="0" applyFont="1" applyFill="1"/>
    <xf numFmtId="0" fontId="52" fillId="22" borderId="0" xfId="0" applyFont="1" applyFill="1" applyAlignment="1">
      <alignment vertical="center"/>
    </xf>
    <xf numFmtId="0" fontId="61" fillId="3" borderId="0" xfId="0" applyFont="1" applyFill="1" applyProtection="1">
      <protection hidden="1"/>
    </xf>
    <xf numFmtId="0" fontId="47" fillId="22" borderId="0" xfId="0" applyFont="1" applyFill="1" applyAlignment="1">
      <alignment vertical="center"/>
    </xf>
    <xf numFmtId="0" fontId="59" fillId="3" borderId="0" xfId="0" applyFont="1" applyFill="1" applyBorder="1" applyAlignment="1" applyProtection="1">
      <alignment horizontal="right" indent="1"/>
    </xf>
    <xf numFmtId="0" fontId="93" fillId="0" borderId="0" xfId="0" applyFont="1"/>
    <xf numFmtId="0" fontId="99" fillId="0" borderId="108" xfId="0" applyFont="1" applyBorder="1" applyAlignment="1" applyProtection="1">
      <alignment horizontal="left" vertical="top" wrapText="1"/>
      <protection locked="0"/>
    </xf>
    <xf numFmtId="0" fontId="0" fillId="3" borderId="0" xfId="0" applyFont="1" applyFill="1" applyAlignment="1" applyProtection="1">
      <alignment horizontal="center"/>
    </xf>
    <xf numFmtId="0" fontId="61" fillId="3" borderId="0" xfId="0" applyFont="1" applyFill="1"/>
    <xf numFmtId="0" fontId="5" fillId="22" borderId="0" xfId="0" applyFont="1" applyFill="1" applyAlignment="1">
      <alignment vertical="center"/>
    </xf>
    <xf numFmtId="0" fontId="91" fillId="22" borderId="0" xfId="0" applyFont="1" applyFill="1" applyAlignment="1">
      <alignment vertical="center"/>
    </xf>
    <xf numFmtId="0" fontId="54" fillId="0" borderId="0" xfId="0" applyFont="1"/>
    <xf numFmtId="0" fontId="108" fillId="3" borderId="0" xfId="0" applyNumberFormat="1" applyFont="1" applyFill="1" applyAlignment="1">
      <alignment vertical="center"/>
    </xf>
    <xf numFmtId="0" fontId="54" fillId="3" borderId="0" xfId="0" applyFont="1" applyFill="1" applyProtection="1"/>
    <xf numFmtId="0" fontId="54" fillId="3" borderId="0" xfId="0" applyFont="1" applyFill="1"/>
    <xf numFmtId="0" fontId="107" fillId="3" borderId="0" xfId="0" applyFont="1" applyFill="1"/>
    <xf numFmtId="0" fontId="109" fillId="3" borderId="0" xfId="0" applyFont="1" applyFill="1" applyAlignment="1">
      <alignment vertical="center"/>
    </xf>
    <xf numFmtId="0" fontId="113" fillId="3" borderId="0" xfId="0" applyFont="1" applyFill="1" applyAlignment="1" applyProtection="1">
      <alignment horizontal="right" indent="1"/>
    </xf>
    <xf numFmtId="0" fontId="115" fillId="3" borderId="0" xfId="0" applyFont="1" applyFill="1" applyAlignment="1" applyProtection="1">
      <alignment horizontal="right" indent="1"/>
    </xf>
    <xf numFmtId="0" fontId="116" fillId="3" borderId="0" xfId="0" applyFont="1" applyFill="1" applyAlignment="1" applyProtection="1">
      <alignment horizontal="right" indent="1"/>
    </xf>
    <xf numFmtId="0" fontId="117" fillId="3" borderId="0" xfId="0" applyFont="1" applyFill="1" applyAlignment="1" applyProtection="1">
      <alignment horizontal="right" indent="1"/>
    </xf>
    <xf numFmtId="0" fontId="21" fillId="3" borderId="0" xfId="0" applyFont="1" applyFill="1" applyAlignment="1" applyProtection="1">
      <alignment horizontal="right" indent="1"/>
    </xf>
    <xf numFmtId="0" fontId="61" fillId="0" borderId="225" xfId="0" applyFont="1" applyBorder="1" applyAlignment="1" applyProtection="1">
      <alignment horizontal="center" vertical="center" wrapText="1"/>
    </xf>
    <xf numFmtId="0" fontId="61" fillId="0" borderId="71"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118" fillId="3" borderId="0" xfId="0" applyFont="1" applyFill="1" applyAlignment="1" applyProtection="1">
      <alignment horizontal="right" indent="1"/>
    </xf>
    <xf numFmtId="0" fontId="20" fillId="3" borderId="0" xfId="0" applyFont="1" applyFill="1" applyAlignment="1" applyProtection="1">
      <alignment horizontal="right" indent="1"/>
    </xf>
    <xf numFmtId="0" fontId="52" fillId="3" borderId="0" xfId="0" applyFont="1" applyFill="1" applyProtection="1"/>
    <xf numFmtId="0" fontId="119" fillId="3" borderId="0" xfId="0" applyFont="1" applyFill="1" applyAlignment="1" applyProtection="1">
      <alignment horizontal="right" indent="1"/>
    </xf>
    <xf numFmtId="0" fontId="54" fillId="3" borderId="0" xfId="0" applyFont="1" applyFill="1" applyBorder="1"/>
    <xf numFmtId="0" fontId="119" fillId="3" borderId="0" xfId="0" applyFont="1" applyFill="1" applyAlignment="1" applyProtection="1">
      <alignment horizontal="right" vertical="center" indent="1"/>
    </xf>
    <xf numFmtId="0" fontId="49" fillId="0" borderId="225" xfId="36" applyFont="1" applyBorder="1" applyAlignment="1">
      <alignment horizontal="center" vertical="center" wrapText="1"/>
    </xf>
    <xf numFmtId="0" fontId="49" fillId="0" borderId="71" xfId="36" applyFont="1" applyBorder="1" applyAlignment="1">
      <alignment horizontal="center" vertical="center" wrapText="1"/>
    </xf>
    <xf numFmtId="0" fontId="49" fillId="0" borderId="118" xfId="36" applyFont="1" applyBorder="1" applyAlignment="1">
      <alignment horizontal="center" vertical="center" wrapText="1"/>
    </xf>
    <xf numFmtId="0" fontId="49" fillId="0" borderId="0" xfId="36" applyFont="1" applyBorder="1" applyAlignment="1">
      <alignment horizontal="center" vertical="center" wrapText="1"/>
    </xf>
    <xf numFmtId="0" fontId="61" fillId="0" borderId="0" xfId="0" applyFont="1"/>
    <xf numFmtId="0" fontId="22" fillId="31" borderId="0" xfId="0" quotePrefix="1" applyFont="1" applyFill="1" applyBorder="1" applyAlignment="1" applyProtection="1">
      <alignment vertical="center"/>
    </xf>
    <xf numFmtId="0" fontId="10" fillId="21" borderId="4" xfId="0" applyFont="1" applyFill="1" applyBorder="1" applyAlignment="1" applyProtection="1">
      <alignment horizontal="left" indent="2"/>
      <protection locked="0"/>
    </xf>
    <xf numFmtId="0" fontId="14" fillId="15" borderId="0" xfId="0" applyFont="1" applyFill="1" applyAlignment="1" applyProtection="1">
      <alignment horizontal="left"/>
      <protection locked="0"/>
    </xf>
    <xf numFmtId="0" fontId="121" fillId="15" borderId="0" xfId="0" applyFont="1" applyFill="1" applyAlignment="1" applyProtection="1">
      <alignment horizontal="left"/>
      <protection locked="0"/>
    </xf>
    <xf numFmtId="0" fontId="121" fillId="21" borderId="0" xfId="0" applyFont="1" applyFill="1" applyAlignment="1" applyProtection="1">
      <alignment horizontal="left"/>
      <protection locked="0"/>
    </xf>
    <xf numFmtId="0" fontId="107" fillId="21" borderId="0" xfId="0" applyFont="1" applyFill="1" applyAlignment="1" applyProtection="1">
      <alignment horizontal="left"/>
      <protection locked="0"/>
    </xf>
    <xf numFmtId="0" fontId="107" fillId="21" borderId="5" xfId="0" applyFont="1" applyFill="1" applyBorder="1" applyAlignment="1" applyProtection="1">
      <alignment horizontal="left"/>
      <protection locked="0"/>
    </xf>
    <xf numFmtId="0" fontId="10" fillId="21" borderId="49" xfId="0" applyFont="1" applyFill="1" applyBorder="1" applyAlignment="1" applyProtection="1">
      <alignment horizontal="left" indent="2"/>
      <protection locked="0"/>
    </xf>
    <xf numFmtId="0" fontId="14" fillId="5" borderId="112" xfId="0" applyFont="1" applyFill="1" applyBorder="1" applyAlignment="1" applyProtection="1">
      <alignment horizontal="left"/>
      <protection locked="0"/>
    </xf>
    <xf numFmtId="0" fontId="121" fillId="21" borderId="112" xfId="0" applyFont="1" applyFill="1" applyBorder="1" applyAlignment="1" applyProtection="1">
      <alignment horizontal="left"/>
      <protection locked="0"/>
    </xf>
    <xf numFmtId="0" fontId="122" fillId="21" borderId="112" xfId="0" applyFont="1" applyFill="1" applyBorder="1" applyAlignment="1" applyProtection="1">
      <alignment horizontal="left" vertical="top"/>
      <protection locked="0"/>
    </xf>
    <xf numFmtId="0" fontId="107" fillId="21" borderId="112" xfId="0" applyFont="1" applyFill="1" applyBorder="1" applyAlignment="1" applyProtection="1">
      <alignment horizontal="left"/>
      <protection locked="0"/>
    </xf>
    <xf numFmtId="0" fontId="107" fillId="21" borderId="50" xfId="0" applyFont="1" applyFill="1" applyBorder="1" applyAlignment="1" applyProtection="1">
      <alignment horizontal="left"/>
      <protection locked="0"/>
    </xf>
    <xf numFmtId="0" fontId="14" fillId="4" borderId="0" xfId="0" applyFont="1" applyFill="1" applyAlignment="1" applyProtection="1">
      <alignment horizontal="left"/>
      <protection locked="0"/>
    </xf>
    <xf numFmtId="0" fontId="122" fillId="21" borderId="0" xfId="0" applyFont="1" applyFill="1" applyAlignment="1" applyProtection="1">
      <alignment horizontal="left" vertical="top"/>
      <protection locked="0"/>
    </xf>
    <xf numFmtId="0" fontId="123" fillId="21" borderId="0" xfId="0" applyFont="1" applyFill="1" applyAlignment="1" applyProtection="1">
      <alignment horizontal="left" wrapText="1"/>
      <protection locked="0"/>
    </xf>
    <xf numFmtId="0" fontId="123" fillId="21" borderId="5" xfId="0" applyFont="1" applyFill="1" applyBorder="1" applyAlignment="1" applyProtection="1">
      <alignment horizontal="left" wrapText="1"/>
      <protection locked="0"/>
    </xf>
    <xf numFmtId="0" fontId="10" fillId="21" borderId="4" xfId="0" applyFont="1" applyFill="1" applyBorder="1" applyAlignment="1" applyProtection="1">
      <alignment horizontal="left" vertical="center" indent="2"/>
      <protection locked="0"/>
    </xf>
    <xf numFmtId="0" fontId="121" fillId="21" borderId="0" xfId="0" applyFont="1" applyFill="1" applyAlignment="1" applyProtection="1">
      <alignment horizontal="left" vertical="center"/>
      <protection locked="0"/>
    </xf>
    <xf numFmtId="0" fontId="10" fillId="21" borderId="6" xfId="0" applyFont="1" applyFill="1" applyBorder="1" applyAlignment="1" applyProtection="1">
      <alignment horizontal="left" vertical="top" indent="2"/>
      <protection locked="0"/>
    </xf>
    <xf numFmtId="14" fontId="10" fillId="4" borderId="7" xfId="0" quotePrefix="1" applyNumberFormat="1" applyFont="1" applyFill="1" applyBorder="1" applyAlignment="1" applyProtection="1">
      <alignment horizontal="left" vertical="top"/>
      <protection locked="0"/>
    </xf>
    <xf numFmtId="0" fontId="124" fillId="21" borderId="7" xfId="0" applyFont="1" applyFill="1" applyBorder="1" applyAlignment="1" applyProtection="1">
      <alignment horizontal="left"/>
      <protection locked="0"/>
    </xf>
    <xf numFmtId="0" fontId="122" fillId="21" borderId="7" xfId="0" applyFont="1" applyFill="1" applyBorder="1" applyAlignment="1" applyProtection="1">
      <alignment horizontal="left" vertical="top"/>
      <protection locked="0"/>
    </xf>
    <xf numFmtId="0" fontId="121" fillId="21" borderId="7" xfId="0" applyFont="1" applyFill="1" applyBorder="1" applyAlignment="1" applyProtection="1">
      <alignment horizontal="left" vertical="top"/>
      <protection locked="0"/>
    </xf>
    <xf numFmtId="0" fontId="121" fillId="21" borderId="8" xfId="0" applyFont="1" applyFill="1" applyBorder="1" applyAlignment="1" applyProtection="1">
      <alignment horizontal="left" vertical="top"/>
      <protection locked="0"/>
    </xf>
    <xf numFmtId="0" fontId="10" fillId="21" borderId="115" xfId="0" applyFont="1" applyFill="1" applyBorder="1" applyAlignment="1">
      <alignment horizontal="left" indent="2"/>
    </xf>
    <xf numFmtId="0" fontId="10" fillId="4" borderId="160" xfId="0" applyFont="1" applyFill="1" applyBorder="1" applyAlignment="1" applyProtection="1">
      <alignment horizontal="center"/>
      <protection locked="0"/>
    </xf>
    <xf numFmtId="0" fontId="107" fillId="21" borderId="160" xfId="0" applyFont="1" applyFill="1" applyBorder="1"/>
    <xf numFmtId="0" fontId="107" fillId="21" borderId="116" xfId="0" applyFont="1" applyFill="1" applyBorder="1"/>
    <xf numFmtId="0" fontId="10" fillId="21" borderId="18" xfId="0" applyFont="1" applyFill="1" applyBorder="1" applyAlignment="1">
      <alignment horizontal="left" vertical="top" indent="2"/>
    </xf>
    <xf numFmtId="0" fontId="10" fillId="21" borderId="19" xfId="0" applyFont="1" applyFill="1" applyBorder="1" applyAlignment="1">
      <alignment horizontal="center" vertical="top"/>
    </xf>
    <xf numFmtId="0" fontId="121" fillId="21" borderId="19" xfId="0" quotePrefix="1" applyFont="1" applyFill="1" applyBorder="1" applyAlignment="1">
      <alignment vertical="top"/>
    </xf>
    <xf numFmtId="0" fontId="121" fillId="21" borderId="20" xfId="0" quotePrefix="1" applyFont="1" applyFill="1" applyBorder="1" applyAlignment="1">
      <alignment vertical="top"/>
    </xf>
    <xf numFmtId="0" fontId="121" fillId="21" borderId="33" xfId="0" applyFont="1" applyFill="1" applyBorder="1" applyAlignment="1">
      <alignment vertical="top"/>
    </xf>
    <xf numFmtId="0" fontId="10" fillId="21" borderId="70" xfId="0" applyFont="1" applyFill="1" applyBorder="1" applyAlignment="1">
      <alignment horizontal="left" vertical="top" indent="2"/>
    </xf>
    <xf numFmtId="0" fontId="14" fillId="21" borderId="71" xfId="0" applyFont="1" applyFill="1" applyBorder="1" applyAlignment="1">
      <alignment horizontal="center" vertical="top"/>
    </xf>
    <xf numFmtId="0" fontId="121" fillId="21" borderId="71" xfId="0" quotePrefix="1" applyFont="1" applyFill="1" applyBorder="1" applyAlignment="1">
      <alignment vertical="top"/>
    </xf>
    <xf numFmtId="0" fontId="121" fillId="21" borderId="77" xfId="0" quotePrefix="1" applyFont="1" applyFill="1" applyBorder="1" applyAlignment="1">
      <alignment vertical="top"/>
    </xf>
    <xf numFmtId="0" fontId="121" fillId="21" borderId="30" xfId="0" applyFont="1" applyFill="1" applyBorder="1" applyAlignment="1">
      <alignment vertical="top"/>
    </xf>
    <xf numFmtId="0" fontId="10" fillId="21" borderId="71" xfId="0" applyFont="1" applyFill="1" applyBorder="1" applyAlignment="1">
      <alignment horizontal="center" vertical="top"/>
    </xf>
    <xf numFmtId="0" fontId="10" fillId="21" borderId="71" xfId="0" quotePrefix="1" applyFont="1" applyFill="1" applyBorder="1" applyAlignment="1">
      <alignment horizontal="center" vertical="center"/>
    </xf>
    <xf numFmtId="0" fontId="23" fillId="21" borderId="77" xfId="0" quotePrefix="1" applyFont="1" applyFill="1" applyBorder="1" applyAlignment="1">
      <alignment horizontal="left" vertical="top" indent="4"/>
    </xf>
    <xf numFmtId="0" fontId="125" fillId="21" borderId="30" xfId="0" applyFont="1" applyFill="1" applyBorder="1" applyAlignment="1">
      <alignment vertical="top"/>
    </xf>
    <xf numFmtId="0" fontId="121" fillId="21" borderId="71" xfId="0" applyFont="1" applyFill="1" applyBorder="1" applyAlignment="1">
      <alignment vertical="top"/>
    </xf>
    <xf numFmtId="0" fontId="126" fillId="21" borderId="77" xfId="0" applyFont="1" applyFill="1" applyBorder="1" applyAlignment="1">
      <alignment horizontal="left" vertical="top" indent="3"/>
    </xf>
    <xf numFmtId="0" fontId="10" fillId="21" borderId="73" xfId="0" applyFont="1" applyFill="1" applyBorder="1" applyAlignment="1">
      <alignment horizontal="left" vertical="top" indent="2"/>
    </xf>
    <xf numFmtId="0" fontId="10" fillId="21" borderId="74" xfId="0" applyFont="1" applyFill="1" applyBorder="1" applyAlignment="1">
      <alignment horizontal="center" vertical="top"/>
    </xf>
    <xf numFmtId="0" fontId="121" fillId="21" borderId="74" xfId="0" quotePrefix="1" applyFont="1" applyFill="1" applyBorder="1" applyAlignment="1">
      <alignment vertical="top"/>
    </xf>
    <xf numFmtId="0" fontId="121" fillId="21" borderId="79" xfId="0" quotePrefix="1" applyFont="1" applyFill="1" applyBorder="1" applyAlignment="1">
      <alignment vertical="top"/>
    </xf>
    <xf numFmtId="0" fontId="121" fillId="21" borderId="32" xfId="0" applyFont="1" applyFill="1" applyBorder="1" applyAlignment="1">
      <alignment vertical="top"/>
    </xf>
    <xf numFmtId="0" fontId="127" fillId="41" borderId="171" xfId="0" applyFont="1" applyFill="1" applyBorder="1"/>
    <xf numFmtId="0" fontId="128" fillId="41" borderId="132" xfId="0" applyFont="1" applyFill="1" applyBorder="1"/>
    <xf numFmtId="0" fontId="128" fillId="41" borderId="134" xfId="0" applyFont="1" applyFill="1" applyBorder="1"/>
    <xf numFmtId="0" fontId="129" fillId="41" borderId="134" xfId="0" applyFont="1" applyFill="1" applyBorder="1"/>
    <xf numFmtId="0" fontId="10" fillId="21" borderId="67" xfId="0" applyFont="1" applyFill="1" applyBorder="1" applyAlignment="1" applyProtection="1">
      <alignment horizontal="left" vertical="center"/>
      <protection locked="0"/>
    </xf>
    <xf numFmtId="0" fontId="10" fillId="21" borderId="19" xfId="0" quotePrefix="1" applyFont="1" applyFill="1" applyBorder="1" applyAlignment="1">
      <alignment horizontal="center" vertical="center"/>
    </xf>
    <xf numFmtId="0" fontId="54" fillId="21" borderId="19" xfId="0" applyFont="1" applyFill="1" applyBorder="1" applyAlignment="1">
      <alignment vertical="center"/>
    </xf>
    <xf numFmtId="0" fontId="54" fillId="21" borderId="76" xfId="0" applyFont="1" applyFill="1" applyBorder="1" applyAlignment="1">
      <alignment vertical="center"/>
    </xf>
    <xf numFmtId="0" fontId="10" fillId="21" borderId="68" xfId="0" applyFont="1" applyFill="1" applyBorder="1" applyAlignment="1">
      <alignment horizontal="left" vertical="center"/>
    </xf>
    <xf numFmtId="0" fontId="121" fillId="21" borderId="71" xfId="0" applyFont="1" applyFill="1" applyBorder="1" applyAlignment="1">
      <alignment vertical="center"/>
    </xf>
    <xf numFmtId="0" fontId="121" fillId="21" borderId="71" xfId="0" quotePrefix="1" applyFont="1" applyFill="1" applyBorder="1" applyAlignment="1">
      <alignment vertical="center"/>
    </xf>
    <xf numFmtId="0" fontId="10" fillId="21" borderId="68" xfId="0" applyFont="1" applyFill="1" applyBorder="1" applyAlignment="1">
      <alignment horizontal="left" vertical="top" indent="1"/>
    </xf>
    <xf numFmtId="0" fontId="10" fillId="21" borderId="71" xfId="0" quotePrefix="1" applyFont="1" applyFill="1" applyBorder="1" applyAlignment="1">
      <alignment horizontal="center" vertical="top"/>
    </xf>
    <xf numFmtId="0" fontId="10" fillId="21" borderId="72" xfId="0" applyFont="1" applyFill="1" applyBorder="1" applyAlignment="1">
      <alignment horizontal="left" vertical="top" indent="1"/>
    </xf>
    <xf numFmtId="0" fontId="10" fillId="21" borderId="74" xfId="0" quotePrefix="1" applyFont="1" applyFill="1" applyBorder="1" applyAlignment="1">
      <alignment horizontal="center" vertical="top"/>
    </xf>
    <xf numFmtId="0" fontId="121" fillId="21" borderId="74" xfId="0" applyFont="1" applyFill="1" applyBorder="1" applyAlignment="1">
      <alignment vertical="top"/>
    </xf>
    <xf numFmtId="0" fontId="127" fillId="41" borderId="172" xfId="0" applyFont="1" applyFill="1" applyBorder="1"/>
    <xf numFmtId="0" fontId="128" fillId="41" borderId="173" xfId="0" applyFont="1" applyFill="1" applyBorder="1"/>
    <xf numFmtId="0" fontId="129" fillId="41" borderId="173" xfId="0" applyFont="1" applyFill="1" applyBorder="1"/>
    <xf numFmtId="0" fontId="10" fillId="21" borderId="68" xfId="0" applyFont="1" applyFill="1" applyBorder="1" applyAlignment="1">
      <alignment horizontal="left" vertical="center" indent="2"/>
    </xf>
    <xf numFmtId="0" fontId="10" fillId="21" borderId="71" xfId="0" applyFont="1" applyFill="1" applyBorder="1" applyAlignment="1">
      <alignment horizontal="center" vertical="center"/>
    </xf>
    <xf numFmtId="0" fontId="121" fillId="21" borderId="77" xfId="0" quotePrefix="1" applyFont="1" applyFill="1" applyBorder="1" applyAlignment="1">
      <alignment vertical="center"/>
    </xf>
    <xf numFmtId="0" fontId="121" fillId="21" borderId="30" xfId="0" applyFont="1" applyFill="1" applyBorder="1" applyAlignment="1">
      <alignment vertical="center"/>
    </xf>
    <xf numFmtId="0" fontId="127" fillId="41" borderId="175" xfId="0" applyFont="1" applyFill="1" applyBorder="1"/>
    <xf numFmtId="0" fontId="128" fillId="41" borderId="176" xfId="0" applyFont="1" applyFill="1" applyBorder="1"/>
    <xf numFmtId="0" fontId="54" fillId="35" borderId="1" xfId="0" applyFont="1" applyFill="1" applyBorder="1" applyAlignment="1">
      <alignment horizontal="left" indent="1"/>
    </xf>
    <xf numFmtId="0" fontId="130" fillId="9" borderId="1" xfId="0" applyFont="1" applyFill="1" applyBorder="1" applyAlignment="1">
      <alignment horizontal="center"/>
    </xf>
    <xf numFmtId="0" fontId="54" fillId="35" borderId="41" xfId="0" applyFont="1" applyFill="1" applyBorder="1" applyAlignment="1">
      <alignment horizontal="left"/>
    </xf>
    <xf numFmtId="0" fontId="54" fillId="35" borderId="42" xfId="0" applyFont="1" applyFill="1" applyBorder="1"/>
    <xf numFmtId="0" fontId="54" fillId="35" borderId="4" xfId="0" applyFont="1" applyFill="1" applyBorder="1" applyAlignment="1">
      <alignment horizontal="left" indent="1"/>
    </xf>
    <xf numFmtId="0" fontId="130" fillId="9" borderId="4" xfId="0" applyFont="1" applyFill="1" applyBorder="1" applyAlignment="1">
      <alignment horizontal="center"/>
    </xf>
    <xf numFmtId="0" fontId="54" fillId="35" borderId="4" xfId="0" applyFont="1" applyFill="1" applyBorder="1" applyAlignment="1">
      <alignment horizontal="left"/>
    </xf>
    <xf numFmtId="0" fontId="54" fillId="35" borderId="0" xfId="0" applyFont="1" applyFill="1"/>
    <xf numFmtId="0" fontId="54" fillId="35" borderId="85" xfId="0" applyFont="1" applyFill="1" applyBorder="1" applyAlignment="1">
      <alignment horizontal="left" indent="1"/>
    </xf>
    <xf numFmtId="0" fontId="54" fillId="9" borderId="85" xfId="0" quotePrefix="1" applyFont="1" applyFill="1" applyBorder="1" applyAlignment="1">
      <alignment horizontal="center"/>
    </xf>
    <xf numFmtId="0" fontId="54" fillId="35" borderId="34" xfId="0" applyFont="1" applyFill="1" applyBorder="1" applyAlignment="1">
      <alignment horizontal="left"/>
    </xf>
    <xf numFmtId="0" fontId="54" fillId="35" borderId="33" xfId="0" applyFont="1" applyFill="1" applyBorder="1"/>
    <xf numFmtId="0" fontId="54" fillId="35" borderId="35" xfId="0" applyFont="1" applyFill="1" applyBorder="1" applyAlignment="1">
      <alignment horizontal="left" indent="1"/>
    </xf>
    <xf numFmtId="0" fontId="54" fillId="9" borderId="35" xfId="0" applyFont="1" applyFill="1" applyBorder="1" applyAlignment="1">
      <alignment horizontal="center"/>
    </xf>
    <xf numFmtId="0" fontId="54" fillId="35" borderId="35" xfId="0" applyFont="1" applyFill="1" applyBorder="1" applyAlignment="1">
      <alignment horizontal="left"/>
    </xf>
    <xf numFmtId="0" fontId="54" fillId="35" borderId="30" xfId="0" applyFont="1" applyFill="1" applyBorder="1"/>
    <xf numFmtId="0" fontId="54" fillId="35" borderId="125" xfId="0" applyFont="1" applyFill="1" applyBorder="1" applyAlignment="1">
      <alignment horizontal="left" indent="1"/>
    </xf>
    <xf numFmtId="0" fontId="54" fillId="9" borderId="125" xfId="0" applyFont="1" applyFill="1" applyBorder="1" applyAlignment="1">
      <alignment horizontal="center"/>
    </xf>
    <xf numFmtId="0" fontId="54" fillId="35" borderId="86" xfId="0" applyFont="1" applyFill="1" applyBorder="1" applyAlignment="1">
      <alignment horizontal="left"/>
    </xf>
    <xf numFmtId="0" fontId="54" fillId="35" borderId="87" xfId="0" applyFont="1" applyFill="1" applyBorder="1"/>
    <xf numFmtId="0" fontId="54" fillId="9" borderId="85" xfId="0" applyFont="1" applyFill="1" applyBorder="1" applyAlignment="1">
      <alignment horizontal="center"/>
    </xf>
    <xf numFmtId="0" fontId="54" fillId="35" borderId="86" xfId="0" applyFont="1" applyFill="1" applyBorder="1" applyAlignment="1">
      <alignment horizontal="left" indent="1"/>
    </xf>
    <xf numFmtId="0" fontId="54" fillId="9" borderId="86" xfId="0" applyFont="1" applyFill="1" applyBorder="1" applyAlignment="1">
      <alignment horizontal="center"/>
    </xf>
    <xf numFmtId="0" fontId="130" fillId="9" borderId="86" xfId="0" applyFont="1" applyFill="1" applyBorder="1" applyAlignment="1">
      <alignment horizontal="center"/>
    </xf>
    <xf numFmtId="0" fontId="54" fillId="9" borderId="4" xfId="0" applyFont="1" applyFill="1" applyBorder="1" applyAlignment="1">
      <alignment horizontal="center"/>
    </xf>
    <xf numFmtId="0" fontId="54" fillId="35" borderId="45" xfId="0" applyFont="1" applyFill="1" applyBorder="1" applyAlignment="1">
      <alignment horizontal="left"/>
    </xf>
    <xf numFmtId="0" fontId="54" fillId="35" borderId="46" xfId="0" applyFont="1" applyFill="1" applyBorder="1"/>
    <xf numFmtId="0" fontId="54" fillId="35" borderId="165" xfId="0" applyFont="1" applyFill="1" applyBorder="1"/>
    <xf numFmtId="0" fontId="54" fillId="35" borderId="51" xfId="0" applyFont="1" applyFill="1" applyBorder="1" applyAlignment="1">
      <alignment horizontal="left" indent="1"/>
    </xf>
    <xf numFmtId="0" fontId="54" fillId="9" borderId="51" xfId="0" applyFont="1" applyFill="1" applyBorder="1" applyAlignment="1">
      <alignment horizontal="center"/>
    </xf>
    <xf numFmtId="0" fontId="54" fillId="35" borderId="34" xfId="0" applyFont="1" applyFill="1" applyBorder="1" applyAlignment="1">
      <alignment horizontal="left" indent="1"/>
    </xf>
    <xf numFmtId="0" fontId="54" fillId="9" borderId="34" xfId="0" applyFont="1" applyFill="1" applyBorder="1" applyAlignment="1">
      <alignment horizontal="center"/>
    </xf>
    <xf numFmtId="0" fontId="54" fillId="35" borderId="30" xfId="0" quotePrefix="1" applyFont="1" applyFill="1" applyBorder="1"/>
    <xf numFmtId="0" fontId="54" fillId="35" borderId="37" xfId="0" applyFont="1" applyFill="1" applyBorder="1" applyAlignment="1">
      <alignment horizontal="left" indent="1"/>
    </xf>
    <xf numFmtId="0" fontId="54" fillId="9" borderId="37" xfId="0" applyFont="1" applyFill="1" applyBorder="1" applyAlignment="1">
      <alignment horizontal="center"/>
    </xf>
    <xf numFmtId="0" fontId="54" fillId="35" borderId="37" xfId="0" applyFont="1" applyFill="1" applyBorder="1" applyAlignment="1">
      <alignment horizontal="left"/>
    </xf>
    <xf numFmtId="0" fontId="54" fillId="35" borderId="32" xfId="0" applyFont="1" applyFill="1" applyBorder="1"/>
    <xf numFmtId="0" fontId="14" fillId="36" borderId="67" xfId="0" applyFont="1" applyFill="1" applyBorder="1" applyAlignment="1">
      <alignment horizontal="left"/>
    </xf>
    <xf numFmtId="0" fontId="23" fillId="36" borderId="71" xfId="0" quotePrefix="1" applyFont="1" applyFill="1" applyBorder="1" applyAlignment="1">
      <alignment horizontal="center" vertical="center"/>
    </xf>
    <xf numFmtId="0" fontId="121" fillId="36" borderId="178" xfId="0" quotePrefix="1" applyFont="1" applyFill="1" applyBorder="1" applyAlignment="1">
      <alignment vertical="top"/>
    </xf>
    <xf numFmtId="0" fontId="121" fillId="36" borderId="179" xfId="0" quotePrefix="1" applyFont="1" applyFill="1" applyBorder="1" applyAlignment="1">
      <alignment vertical="top"/>
    </xf>
    <xf numFmtId="0" fontId="121" fillId="36" borderId="180" xfId="0" applyFont="1" applyFill="1" applyBorder="1" applyAlignment="1">
      <alignment vertical="top"/>
    </xf>
    <xf numFmtId="0" fontId="10" fillId="36" borderId="67" xfId="0" applyFont="1" applyFill="1" applyBorder="1" applyAlignment="1">
      <alignment horizontal="left" vertical="top" indent="4"/>
    </xf>
    <xf numFmtId="0" fontId="10" fillId="36" borderId="71" xfId="0" applyFont="1" applyFill="1" applyBorder="1" applyAlignment="1">
      <alignment horizontal="center" vertical="top"/>
    </xf>
    <xf numFmtId="0" fontId="121" fillId="36" borderId="19" xfId="0" quotePrefix="1" applyFont="1" applyFill="1" applyBorder="1" applyAlignment="1">
      <alignment vertical="center"/>
    </xf>
    <xf numFmtId="0" fontId="126" fillId="36" borderId="20" xfId="0" applyFont="1" applyFill="1" applyBorder="1" applyAlignment="1">
      <alignment horizontal="left" vertical="center"/>
    </xf>
    <xf numFmtId="0" fontId="121" fillId="36" borderId="33" xfId="0" applyFont="1" applyFill="1" applyBorder="1" applyAlignment="1">
      <alignment vertical="center"/>
    </xf>
    <xf numFmtId="0" fontId="10" fillId="36" borderId="33" xfId="0" applyFont="1" applyFill="1" applyBorder="1" applyAlignment="1">
      <alignment horizontal="center" vertical="center" wrapText="1"/>
    </xf>
    <xf numFmtId="0" fontId="126" fillId="36" borderId="77" xfId="0" applyFont="1" applyFill="1" applyBorder="1" applyAlignment="1">
      <alignment horizontal="left" vertical="center"/>
    </xf>
    <xf numFmtId="0" fontId="121" fillId="36" borderId="30" xfId="0" applyFont="1" applyFill="1" applyBorder="1" applyAlignment="1">
      <alignment vertical="center"/>
    </xf>
    <xf numFmtId="0" fontId="10" fillId="36" borderId="103" xfId="0" applyFont="1" applyFill="1" applyBorder="1" applyAlignment="1">
      <alignment horizontal="left" vertical="top" indent="4"/>
    </xf>
    <xf numFmtId="0" fontId="10" fillId="36" borderId="19" xfId="0" applyFont="1" applyFill="1" applyBorder="1" applyAlignment="1">
      <alignment horizontal="center" vertical="top"/>
    </xf>
    <xf numFmtId="0" fontId="121" fillId="36" borderId="0" xfId="0" quotePrefix="1" applyFont="1" applyFill="1" applyAlignment="1">
      <alignment vertical="top"/>
    </xf>
    <xf numFmtId="0" fontId="121" fillId="36" borderId="0" xfId="0" applyFont="1" applyFill="1" applyAlignment="1">
      <alignment vertical="top"/>
    </xf>
    <xf numFmtId="0" fontId="129" fillId="41" borderId="176" xfId="0" applyFont="1" applyFill="1" applyBorder="1"/>
    <xf numFmtId="0" fontId="14" fillId="36" borderId="67" xfId="0" applyFont="1" applyFill="1" applyBorder="1" applyAlignment="1">
      <alignment horizontal="left" vertical="top"/>
    </xf>
    <xf numFmtId="0" fontId="10" fillId="36" borderId="0" xfId="0" applyFont="1" applyFill="1" applyAlignment="1">
      <alignment horizontal="center"/>
    </xf>
    <xf numFmtId="0" fontId="121" fillId="36" borderId="19" xfId="0" quotePrefix="1" applyFont="1" applyFill="1" applyBorder="1" applyAlignment="1">
      <alignment vertical="top"/>
    </xf>
    <xf numFmtId="0" fontId="121" fillId="36" borderId="20" xfId="0" quotePrefix="1" applyFont="1" applyFill="1" applyBorder="1" applyAlignment="1">
      <alignment vertical="top"/>
    </xf>
    <xf numFmtId="0" fontId="121" fillId="36" borderId="33" xfId="0" applyFont="1" applyFill="1" applyBorder="1" applyAlignment="1">
      <alignment vertical="top"/>
    </xf>
    <xf numFmtId="0" fontId="123" fillId="36" borderId="19" xfId="0" quotePrefix="1" applyFont="1" applyFill="1" applyBorder="1" applyAlignment="1">
      <alignment horizontal="center"/>
    </xf>
    <xf numFmtId="0" fontId="121" fillId="36" borderId="183" xfId="0" quotePrefix="1" applyFont="1" applyFill="1" applyBorder="1" applyAlignment="1">
      <alignment vertical="top"/>
    </xf>
    <xf numFmtId="0" fontId="107" fillId="36" borderId="0" xfId="0" applyFont="1" applyFill="1"/>
    <xf numFmtId="0" fontId="121" fillId="36" borderId="19" xfId="0" quotePrefix="1" applyFont="1" applyFill="1" applyBorder="1" applyAlignment="1">
      <alignment horizontal="left" vertical="top"/>
    </xf>
    <xf numFmtId="0" fontId="121" fillId="36" borderId="20" xfId="0" quotePrefix="1" applyFont="1" applyFill="1" applyBorder="1" applyAlignment="1">
      <alignment horizontal="left" vertical="top"/>
    </xf>
    <xf numFmtId="0" fontId="10" fillId="36" borderId="94" xfId="0" applyFont="1" applyFill="1" applyBorder="1" applyAlignment="1">
      <alignment horizontal="left" vertical="top" indent="4"/>
    </xf>
    <xf numFmtId="0" fontId="14" fillId="36" borderId="118" xfId="0" applyFont="1" applyFill="1" applyBorder="1" applyAlignment="1">
      <alignment horizontal="center" vertical="top"/>
    </xf>
    <xf numFmtId="0" fontId="121" fillId="36" borderId="118" xfId="0" quotePrefix="1" applyFont="1" applyFill="1" applyBorder="1" applyAlignment="1">
      <alignment vertical="top"/>
    </xf>
    <xf numFmtId="0" fontId="121" fillId="36" borderId="119" xfId="0" quotePrefix="1" applyFont="1" applyFill="1" applyBorder="1" applyAlignment="1">
      <alignment vertical="top"/>
    </xf>
    <xf numFmtId="0" fontId="121" fillId="36" borderId="87" xfId="0" applyFont="1" applyFill="1" applyBorder="1" applyAlignment="1">
      <alignment vertical="top"/>
    </xf>
    <xf numFmtId="0" fontId="14" fillId="36" borderId="184" xfId="0" applyFont="1" applyFill="1" applyBorder="1" applyAlignment="1">
      <alignment horizontal="left" vertical="top"/>
    </xf>
    <xf numFmtId="0" fontId="121" fillId="36" borderId="19" xfId="0" quotePrefix="1" applyFont="1" applyFill="1" applyBorder="1" applyAlignment="1">
      <alignment horizontal="center" vertical="top"/>
    </xf>
    <xf numFmtId="0" fontId="121" fillId="36" borderId="71" xfId="0" quotePrefix="1" applyFont="1" applyFill="1" applyBorder="1" applyAlignment="1">
      <alignment horizontal="center" vertical="top"/>
    </xf>
    <xf numFmtId="0" fontId="121" fillId="36" borderId="71" xfId="0" quotePrefix="1" applyFont="1" applyFill="1" applyBorder="1" applyAlignment="1">
      <alignment vertical="top"/>
    </xf>
    <xf numFmtId="0" fontId="121" fillId="36" borderId="77" xfId="0" quotePrefix="1" applyFont="1" applyFill="1" applyBorder="1" applyAlignment="1">
      <alignment vertical="top"/>
    </xf>
    <xf numFmtId="0" fontId="121" fillId="36" borderId="30" xfId="0" applyFont="1" applyFill="1" applyBorder="1" applyAlignment="1">
      <alignment vertical="top"/>
    </xf>
    <xf numFmtId="0" fontId="10" fillId="36" borderId="4" xfId="0" applyFont="1" applyFill="1" applyBorder="1" applyAlignment="1">
      <alignment horizontal="left" vertical="top" indent="4"/>
    </xf>
    <xf numFmtId="0" fontId="10" fillId="36" borderId="77" xfId="0" quotePrefix="1" applyFont="1" applyFill="1" applyBorder="1" applyAlignment="1">
      <alignment horizontal="center" vertical="top"/>
    </xf>
    <xf numFmtId="0" fontId="107" fillId="36" borderId="51" xfId="0" applyFont="1" applyFill="1" applyBorder="1" applyAlignment="1">
      <alignment horizontal="left" indent="4"/>
    </xf>
    <xf numFmtId="0" fontId="10" fillId="36" borderId="185" xfId="0" quotePrefix="1" applyFont="1" applyFill="1" applyBorder="1" applyAlignment="1">
      <alignment horizontal="center" vertical="top"/>
    </xf>
    <xf numFmtId="0" fontId="107" fillId="36" borderId="63" xfId="0" applyFont="1" applyFill="1" applyBorder="1"/>
    <xf numFmtId="0" fontId="10" fillId="36" borderId="19" xfId="0" quotePrefix="1" applyFont="1" applyFill="1" applyBorder="1" applyAlignment="1">
      <alignment horizontal="center" vertical="top"/>
    </xf>
    <xf numFmtId="0" fontId="10" fillId="36" borderId="118" xfId="0" applyFont="1" applyFill="1" applyBorder="1" applyAlignment="1">
      <alignment horizontal="center" vertical="top"/>
    </xf>
    <xf numFmtId="0" fontId="121" fillId="36" borderId="118" xfId="0" quotePrefix="1" applyFont="1" applyFill="1" applyBorder="1" applyAlignment="1">
      <alignment horizontal="left" vertical="top"/>
    </xf>
    <xf numFmtId="0" fontId="121" fillId="36" borderId="119" xfId="0" quotePrefix="1" applyFont="1" applyFill="1" applyBorder="1" applyAlignment="1">
      <alignment horizontal="left" vertical="top"/>
    </xf>
    <xf numFmtId="0" fontId="10" fillId="21" borderId="68" xfId="0" applyFont="1" applyFill="1" applyBorder="1" applyAlignment="1">
      <alignment vertical="center"/>
    </xf>
    <xf numFmtId="0" fontId="131" fillId="21" borderId="184" xfId="0" applyFont="1" applyFill="1" applyBorder="1" applyAlignment="1">
      <alignment horizontal="left" vertical="top" indent="1"/>
    </xf>
    <xf numFmtId="0" fontId="10" fillId="21" borderId="0" xfId="0" applyFont="1" applyFill="1" applyAlignment="1">
      <alignment horizontal="center" vertical="top" wrapText="1"/>
    </xf>
    <xf numFmtId="0" fontId="121" fillId="21" borderId="178" xfId="0" quotePrefix="1" applyFont="1" applyFill="1" applyBorder="1" applyAlignment="1">
      <alignment horizontal="left" vertical="top" indent="1"/>
    </xf>
    <xf numFmtId="0" fontId="121" fillId="21" borderId="0" xfId="0" applyFont="1" applyFill="1" applyAlignment="1">
      <alignment vertical="top"/>
    </xf>
    <xf numFmtId="0" fontId="121" fillId="21" borderId="178" xfId="0" quotePrefix="1" applyFont="1" applyFill="1" applyBorder="1" applyAlignment="1">
      <alignment horizontal="left" vertical="top"/>
    </xf>
    <xf numFmtId="0" fontId="131" fillId="21" borderId="184" xfId="0" applyFont="1" applyFill="1" applyBorder="1" applyAlignment="1">
      <alignment horizontal="left" vertical="top" indent="2"/>
    </xf>
    <xf numFmtId="0" fontId="121" fillId="21" borderId="183" xfId="0" quotePrefix="1" applyFont="1" applyFill="1" applyBorder="1" applyAlignment="1">
      <alignment horizontal="left" vertical="top"/>
    </xf>
    <xf numFmtId="0" fontId="14" fillId="21" borderId="19" xfId="0" quotePrefix="1" applyFont="1" applyFill="1" applyBorder="1" applyAlignment="1">
      <alignment horizontal="center" wrapText="1"/>
    </xf>
    <xf numFmtId="0" fontId="132" fillId="21" borderId="184" xfId="0" applyFont="1" applyFill="1" applyBorder="1" applyAlignment="1">
      <alignment horizontal="left" vertical="top" indent="2"/>
    </xf>
    <xf numFmtId="0" fontId="132" fillId="21" borderId="103" xfId="0" applyFont="1" applyFill="1" applyBorder="1" applyAlignment="1">
      <alignment horizontal="left" vertical="top" indent="2"/>
    </xf>
    <xf numFmtId="0" fontId="14" fillId="21" borderId="185" xfId="0" quotePrefix="1" applyFont="1" applyFill="1" applyBorder="1" applyAlignment="1">
      <alignment horizontal="center" wrapText="1"/>
    </xf>
    <xf numFmtId="0" fontId="121" fillId="21" borderId="185" xfId="0" quotePrefix="1" applyFont="1" applyFill="1" applyBorder="1" applyAlignment="1">
      <alignment horizontal="left" vertical="top" indent="1"/>
    </xf>
    <xf numFmtId="0" fontId="121" fillId="21" borderId="186" xfId="0" quotePrefix="1" applyFont="1" applyFill="1" applyBorder="1" applyAlignment="1">
      <alignment horizontal="left" vertical="top"/>
    </xf>
    <xf numFmtId="0" fontId="121" fillId="21" borderId="63" xfId="0" applyFont="1" applyFill="1" applyBorder="1" applyAlignment="1">
      <alignment vertical="top"/>
    </xf>
    <xf numFmtId="0" fontId="132" fillId="21" borderId="184" xfId="0" applyFont="1" applyFill="1" applyBorder="1" applyAlignment="1">
      <alignment horizontal="left" vertical="top" indent="1"/>
    </xf>
    <xf numFmtId="0" fontId="10" fillId="21" borderId="178" xfId="0" applyFont="1" applyFill="1" applyBorder="1" applyAlignment="1">
      <alignment horizontal="center" vertical="top"/>
    </xf>
    <xf numFmtId="0" fontId="121" fillId="21" borderId="178" xfId="0" quotePrefix="1" applyFont="1" applyFill="1" applyBorder="1" applyAlignment="1">
      <alignment vertical="top"/>
    </xf>
    <xf numFmtId="0" fontId="107" fillId="21" borderId="0" xfId="0" applyFont="1" applyFill="1" applyAlignment="1">
      <alignment vertical="top"/>
    </xf>
    <xf numFmtId="0" fontId="133" fillId="21" borderId="178" xfId="0" applyFont="1" applyFill="1" applyBorder="1" applyAlignment="1">
      <alignment horizontal="center" vertical="top" wrapText="1"/>
    </xf>
    <xf numFmtId="0" fontId="133" fillId="21" borderId="178" xfId="0" quotePrefix="1" applyFont="1" applyFill="1" applyBorder="1" applyAlignment="1">
      <alignment horizontal="left" vertical="top" indent="1"/>
    </xf>
    <xf numFmtId="0" fontId="135" fillId="21" borderId="183" xfId="0" quotePrefix="1" applyFont="1" applyFill="1" applyBorder="1" applyAlignment="1">
      <alignment horizontal="left" vertical="top" indent="2"/>
    </xf>
    <xf numFmtId="0" fontId="136" fillId="21" borderId="0" xfId="0" applyFont="1" applyFill="1" applyAlignment="1">
      <alignment vertical="top"/>
    </xf>
    <xf numFmtId="0" fontId="133" fillId="21" borderId="183" xfId="0" quotePrefix="1" applyFont="1" applyFill="1" applyBorder="1" applyAlignment="1">
      <alignment horizontal="left" vertical="top"/>
    </xf>
    <xf numFmtId="0" fontId="132" fillId="21" borderId="184" xfId="0" applyFont="1" applyFill="1" applyBorder="1" applyAlignment="1">
      <alignment horizontal="left" vertical="top" indent="4"/>
    </xf>
    <xf numFmtId="14" fontId="10" fillId="21" borderId="178" xfId="0" quotePrefix="1" applyNumberFormat="1" applyFont="1" applyFill="1" applyBorder="1" applyAlignment="1">
      <alignment horizontal="center" vertical="top" wrapText="1"/>
    </xf>
    <xf numFmtId="0" fontId="121" fillId="21" borderId="183" xfId="0" quotePrefix="1" applyFont="1" applyFill="1" applyBorder="1" applyAlignment="1">
      <alignment horizontal="center" vertical="center"/>
    </xf>
    <xf numFmtId="0" fontId="121" fillId="21" borderId="183" xfId="0" quotePrefix="1" applyFont="1" applyFill="1" applyBorder="1" applyAlignment="1">
      <alignment vertical="top"/>
    </xf>
    <xf numFmtId="0" fontId="132" fillId="21" borderId="187" xfId="0" applyFont="1" applyFill="1" applyBorder="1" applyAlignment="1">
      <alignment horizontal="left" vertical="top" indent="2"/>
    </xf>
    <xf numFmtId="0" fontId="14" fillId="21" borderId="188" xfId="0" quotePrefix="1" applyFont="1" applyFill="1" applyBorder="1" applyAlignment="1">
      <alignment horizontal="center" vertical="top"/>
    </xf>
    <xf numFmtId="0" fontId="121" fillId="21" borderId="188" xfId="0" quotePrefix="1" applyFont="1" applyFill="1" applyBorder="1" applyAlignment="1">
      <alignment vertical="top"/>
    </xf>
    <xf numFmtId="0" fontId="121" fillId="21" borderId="189" xfId="0" quotePrefix="1" applyFont="1" applyFill="1" applyBorder="1" applyAlignment="1">
      <alignment horizontal="left" vertical="top"/>
    </xf>
    <xf numFmtId="0" fontId="107" fillId="21" borderId="190" xfId="0" applyFont="1" applyFill="1" applyBorder="1" applyAlignment="1">
      <alignment vertical="top"/>
    </xf>
    <xf numFmtId="0" fontId="131" fillId="21" borderId="184" xfId="0" applyFont="1" applyFill="1" applyBorder="1" applyAlignment="1">
      <alignment horizontal="left"/>
    </xf>
    <xf numFmtId="0" fontId="11" fillId="21" borderId="178" xfId="0" quotePrefix="1" applyFont="1" applyFill="1" applyBorder="1" applyAlignment="1">
      <alignment horizontal="left"/>
    </xf>
    <xf numFmtId="0" fontId="121" fillId="21" borderId="178" xfId="0" quotePrefix="1" applyFont="1" applyFill="1" applyBorder="1"/>
    <xf numFmtId="0" fontId="121" fillId="21" borderId="183" xfId="0" quotePrefix="1" applyFont="1" applyFill="1" applyBorder="1" applyAlignment="1">
      <alignment horizontal="left"/>
    </xf>
    <xf numFmtId="0" fontId="107" fillId="21" borderId="0" xfId="0" applyFont="1" applyFill="1"/>
    <xf numFmtId="0" fontId="14" fillId="21" borderId="178" xfId="0" quotePrefix="1" applyFont="1" applyFill="1" applyBorder="1" applyAlignment="1">
      <alignment horizontal="center" vertical="top"/>
    </xf>
    <xf numFmtId="0" fontId="10" fillId="21" borderId="185" xfId="0" quotePrefix="1" applyFont="1" applyFill="1" applyBorder="1" applyAlignment="1">
      <alignment horizontal="center" vertical="top"/>
    </xf>
    <xf numFmtId="0" fontId="121" fillId="21" borderId="185" xfId="0" quotePrefix="1" applyFont="1" applyFill="1" applyBorder="1" applyAlignment="1">
      <alignment vertical="top"/>
    </xf>
    <xf numFmtId="0" fontId="121" fillId="21" borderId="119" xfId="0" quotePrefix="1" applyFont="1" applyFill="1" applyBorder="1" applyAlignment="1">
      <alignment horizontal="left" vertical="top"/>
    </xf>
    <xf numFmtId="0" fontId="107" fillId="21" borderId="63" xfId="0" applyFont="1" applyFill="1" applyBorder="1" applyAlignment="1">
      <alignment vertical="top"/>
    </xf>
    <xf numFmtId="0" fontId="10" fillId="21" borderId="178" xfId="0" quotePrefix="1" applyFont="1" applyFill="1" applyBorder="1" applyAlignment="1">
      <alignment horizontal="center" vertical="top"/>
    </xf>
    <xf numFmtId="0" fontId="133" fillId="21" borderId="178" xfId="0" quotePrefix="1" applyFont="1" applyFill="1" applyBorder="1" applyAlignment="1">
      <alignment horizontal="left" vertical="top" indent="3"/>
    </xf>
    <xf numFmtId="0" fontId="132" fillId="21" borderId="104" xfId="0" applyFont="1" applyFill="1" applyBorder="1" applyAlignment="1">
      <alignment horizontal="left" vertical="top" indent="2"/>
    </xf>
    <xf numFmtId="0" fontId="10" fillId="21" borderId="192" xfId="0" quotePrefix="1" applyFont="1" applyFill="1" applyBorder="1" applyAlignment="1">
      <alignment horizontal="center" vertical="top"/>
    </xf>
    <xf numFmtId="0" fontId="121" fillId="21" borderId="192" xfId="0" quotePrefix="1" applyFont="1" applyFill="1" applyBorder="1" applyAlignment="1">
      <alignment vertical="top"/>
    </xf>
    <xf numFmtId="0" fontId="121" fillId="21" borderId="192" xfId="0" quotePrefix="1" applyFont="1" applyFill="1" applyBorder="1" applyAlignment="1">
      <alignment horizontal="left" vertical="top"/>
    </xf>
    <xf numFmtId="0" fontId="107" fillId="21" borderId="7" xfId="0" applyFont="1" applyFill="1" applyBorder="1" applyAlignment="1">
      <alignment vertical="top"/>
    </xf>
    <xf numFmtId="0" fontId="131" fillId="21" borderId="193" xfId="0" applyFont="1" applyFill="1" applyBorder="1" applyAlignment="1">
      <alignment horizontal="left" vertical="top" indent="1"/>
    </xf>
    <xf numFmtId="0" fontId="107" fillId="21" borderId="194" xfId="0" applyFont="1" applyFill="1" applyBorder="1" applyAlignment="1">
      <alignment vertical="top"/>
    </xf>
    <xf numFmtId="0" fontId="126" fillId="21" borderId="183" xfId="0" applyFont="1" applyFill="1" applyBorder="1" applyAlignment="1">
      <alignment horizontal="left" vertical="top" indent="3"/>
    </xf>
    <xf numFmtId="0" fontId="121" fillId="21" borderId="183" xfId="0" quotePrefix="1" applyFont="1" applyFill="1" applyBorder="1" applyAlignment="1">
      <alignment horizontal="center" vertical="top"/>
    </xf>
    <xf numFmtId="0" fontId="121" fillId="21" borderId="196" xfId="0" quotePrefix="1" applyFont="1" applyFill="1" applyBorder="1" applyAlignment="1">
      <alignment horizontal="center" vertical="top"/>
    </xf>
    <xf numFmtId="0" fontId="121" fillId="21" borderId="196" xfId="0" quotePrefix="1" applyFont="1" applyFill="1" applyBorder="1" applyAlignment="1">
      <alignment horizontal="left" vertical="top"/>
    </xf>
    <xf numFmtId="0" fontId="121" fillId="21" borderId="7" xfId="0" quotePrefix="1" applyFont="1" applyFill="1" applyBorder="1" applyAlignment="1">
      <alignment horizontal="left" vertical="top" indent="1"/>
    </xf>
    <xf numFmtId="0" fontId="121" fillId="21" borderId="0" xfId="0" quotePrefix="1" applyFont="1" applyFill="1" applyAlignment="1">
      <alignment horizontal="left" vertical="top" indent="1"/>
    </xf>
    <xf numFmtId="0" fontId="137" fillId="21" borderId="183" xfId="0" quotePrefix="1" applyFont="1" applyFill="1" applyBorder="1" applyAlignment="1">
      <alignment vertical="top"/>
    </xf>
    <xf numFmtId="0" fontId="132" fillId="2" borderId="4" xfId="0" applyFont="1" applyFill="1" applyBorder="1" applyAlignment="1">
      <alignment horizontal="left" vertical="top" indent="2"/>
    </xf>
    <xf numFmtId="0" fontId="10" fillId="2" borderId="0" xfId="0" quotePrefix="1" applyFont="1" applyFill="1" applyAlignment="1">
      <alignment horizontal="center" vertical="top"/>
    </xf>
    <xf numFmtId="0" fontId="121" fillId="2" borderId="0" xfId="0" quotePrefix="1" applyFont="1" applyFill="1" applyAlignment="1">
      <alignment vertical="top"/>
    </xf>
    <xf numFmtId="0" fontId="137" fillId="2" borderId="0" xfId="0" quotePrefix="1" applyFont="1" applyFill="1" applyAlignment="1">
      <alignment vertical="top"/>
    </xf>
    <xf numFmtId="0" fontId="107" fillId="2" borderId="0" xfId="0" applyFont="1" applyFill="1" applyAlignment="1">
      <alignment vertical="top"/>
    </xf>
    <xf numFmtId="0" fontId="10" fillId="21" borderId="197" xfId="0" applyFont="1" applyFill="1" applyBorder="1" applyAlignment="1">
      <alignment vertical="top"/>
    </xf>
    <xf numFmtId="0" fontId="10" fillId="21" borderId="198" xfId="0" applyFont="1" applyFill="1" applyBorder="1" applyAlignment="1">
      <alignment horizontal="center" vertical="top"/>
    </xf>
    <xf numFmtId="0" fontId="121" fillId="21" borderId="198" xfId="0" quotePrefix="1" applyFont="1" applyFill="1" applyBorder="1" applyAlignment="1">
      <alignment horizontal="left" vertical="top"/>
    </xf>
    <xf numFmtId="0" fontId="107" fillId="21" borderId="199" xfId="0" applyFont="1" applyFill="1" applyBorder="1" applyAlignment="1">
      <alignment vertical="top"/>
    </xf>
    <xf numFmtId="0" fontId="107" fillId="21" borderId="200" xfId="0" applyFont="1" applyFill="1" applyBorder="1" applyAlignment="1">
      <alignment vertical="top"/>
    </xf>
    <xf numFmtId="0" fontId="10" fillId="21" borderId="202" xfId="0" applyFont="1" applyFill="1" applyBorder="1" applyAlignment="1">
      <alignment vertical="top"/>
    </xf>
    <xf numFmtId="0" fontId="10" fillId="21" borderId="203" xfId="0" quotePrefix="1" applyFont="1" applyFill="1" applyBorder="1" applyAlignment="1">
      <alignment horizontal="center" vertical="top"/>
    </xf>
    <xf numFmtId="0" fontId="121" fillId="21" borderId="203" xfId="0" quotePrefix="1" applyFont="1" applyFill="1" applyBorder="1" applyAlignment="1">
      <alignment horizontal="left" vertical="top"/>
    </xf>
    <xf numFmtId="0" fontId="121" fillId="21" borderId="204" xfId="0" quotePrefix="1" applyFont="1" applyFill="1" applyBorder="1" applyAlignment="1">
      <alignment vertical="top"/>
    </xf>
    <xf numFmtId="0" fontId="107" fillId="21" borderId="112" xfId="0" applyFont="1" applyFill="1" applyBorder="1" applyAlignment="1">
      <alignment vertical="top"/>
    </xf>
    <xf numFmtId="0" fontId="10" fillId="21" borderId="67" xfId="0" applyFont="1" applyFill="1" applyBorder="1" applyAlignment="1">
      <alignment horizontal="left" vertical="top" indent="2"/>
    </xf>
    <xf numFmtId="0" fontId="121" fillId="21" borderId="19" xfId="0" applyFont="1" applyFill="1" applyBorder="1" applyAlignment="1">
      <alignment vertical="top"/>
    </xf>
    <xf numFmtId="0" fontId="10" fillId="21" borderId="68" xfId="0" applyFont="1" applyFill="1" applyBorder="1" applyAlignment="1">
      <alignment horizontal="left" vertical="top" indent="2"/>
    </xf>
    <xf numFmtId="0" fontId="10" fillId="21" borderId="205" xfId="0" applyFont="1" applyFill="1" applyBorder="1" applyAlignment="1">
      <alignment horizontal="left" vertical="top" indent="2"/>
    </xf>
    <xf numFmtId="0" fontId="10" fillId="21" borderId="206" xfId="0" applyFont="1" applyFill="1" applyBorder="1" applyAlignment="1">
      <alignment horizontal="center" vertical="top"/>
    </xf>
    <xf numFmtId="0" fontId="121" fillId="21" borderId="206" xfId="0" quotePrefix="1" applyFont="1" applyFill="1" applyBorder="1" applyAlignment="1">
      <alignment vertical="top"/>
    </xf>
    <xf numFmtId="0" fontId="121" fillId="21" borderId="206" xfId="0" applyFont="1" applyFill="1" applyBorder="1" applyAlignment="1">
      <alignment vertical="top"/>
    </xf>
    <xf numFmtId="0" fontId="10" fillId="21" borderId="104" xfId="0" applyFont="1" applyFill="1" applyBorder="1" applyAlignment="1">
      <alignment horizontal="left" vertical="top" indent="2"/>
    </xf>
    <xf numFmtId="0" fontId="10" fillId="21" borderId="192" xfId="0" applyFont="1" applyFill="1" applyBorder="1" applyAlignment="1">
      <alignment horizontal="center" vertical="top"/>
    </xf>
    <xf numFmtId="0" fontId="121" fillId="21" borderId="192" xfId="0" applyFont="1" applyFill="1" applyBorder="1" applyAlignment="1">
      <alignment vertical="top"/>
    </xf>
    <xf numFmtId="0" fontId="127" fillId="59" borderId="175" xfId="0" applyFont="1" applyFill="1" applyBorder="1"/>
    <xf numFmtId="0" fontId="128" fillId="59" borderId="176" xfId="0" applyFont="1" applyFill="1" applyBorder="1"/>
    <xf numFmtId="0" fontId="129" fillId="59" borderId="176" xfId="0" applyFont="1" applyFill="1" applyBorder="1"/>
    <xf numFmtId="0" fontId="10" fillId="21" borderId="115" xfId="0" applyFont="1" applyFill="1" applyBorder="1" applyAlignment="1">
      <alignment vertical="top"/>
    </xf>
    <xf numFmtId="0" fontId="107" fillId="21" borderId="160" xfId="0" quotePrefix="1" applyFont="1" applyFill="1" applyBorder="1" applyAlignment="1">
      <alignment horizontal="center" vertical="center"/>
    </xf>
    <xf numFmtId="0" fontId="121" fillId="21" borderId="160" xfId="0" quotePrefix="1" applyFont="1" applyFill="1" applyBorder="1" applyAlignment="1">
      <alignment vertical="top"/>
    </xf>
    <xf numFmtId="0" fontId="23" fillId="21" borderId="209" xfId="0" quotePrefix="1" applyFont="1" applyFill="1" applyBorder="1" applyAlignment="1">
      <alignment vertical="top"/>
    </xf>
    <xf numFmtId="0" fontId="125" fillId="21" borderId="10" xfId="0" applyFont="1" applyFill="1" applyBorder="1" applyAlignment="1">
      <alignment vertical="top"/>
    </xf>
    <xf numFmtId="0" fontId="10" fillId="21" borderId="68" xfId="0" applyFont="1" applyFill="1" applyBorder="1" applyAlignment="1">
      <alignment vertical="top"/>
    </xf>
    <xf numFmtId="0" fontId="107" fillId="21" borderId="71" xfId="0" quotePrefix="1" applyFont="1" applyFill="1" applyBorder="1" applyAlignment="1">
      <alignment horizontal="center" vertical="center"/>
    </xf>
    <xf numFmtId="0" fontId="125" fillId="21" borderId="77" xfId="0" quotePrefix="1" applyFont="1" applyFill="1" applyBorder="1" applyAlignment="1">
      <alignment vertical="top"/>
    </xf>
    <xf numFmtId="0" fontId="127" fillId="59" borderId="131" xfId="0" applyFont="1" applyFill="1" applyBorder="1"/>
    <xf numFmtId="0" fontId="128" fillId="59" borderId="132" xfId="0" applyFont="1" applyFill="1" applyBorder="1"/>
    <xf numFmtId="0" fontId="129" fillId="59" borderId="132" xfId="0" applyFont="1" applyFill="1" applyBorder="1"/>
    <xf numFmtId="0" fontId="10" fillId="60" borderId="210" xfId="0" applyFont="1" applyFill="1" applyBorder="1" applyAlignment="1">
      <alignment vertical="top"/>
    </xf>
    <xf numFmtId="0" fontId="138" fillId="60" borderId="211" xfId="0" quotePrefix="1" applyFont="1" applyFill="1" applyBorder="1" applyAlignment="1">
      <alignment vertical="top"/>
    </xf>
    <xf numFmtId="0" fontId="139" fillId="60" borderId="211" xfId="0" quotePrefix="1" applyFont="1" applyFill="1" applyBorder="1" applyAlignment="1">
      <alignment vertical="top"/>
    </xf>
    <xf numFmtId="0" fontId="139" fillId="60" borderId="211" xfId="0" applyFont="1" applyFill="1" applyBorder="1" applyAlignment="1">
      <alignment vertical="top"/>
    </xf>
    <xf numFmtId="0" fontId="10" fillId="60" borderId="213" xfId="0" applyFont="1" applyFill="1" applyBorder="1" applyAlignment="1">
      <alignment horizontal="left" vertical="top" indent="2"/>
    </xf>
    <xf numFmtId="0" fontId="14" fillId="60" borderId="214" xfId="0" applyFont="1" applyFill="1" applyBorder="1" applyAlignment="1">
      <alignment horizontal="center" vertical="top"/>
    </xf>
    <xf numFmtId="0" fontId="14" fillId="60" borderId="214" xfId="0" quotePrefix="1" applyFont="1" applyFill="1" applyBorder="1" applyAlignment="1">
      <alignment vertical="top"/>
    </xf>
    <xf numFmtId="0" fontId="10" fillId="60" borderId="214" xfId="0" quotePrefix="1" applyFont="1" applyFill="1" applyBorder="1" applyAlignment="1">
      <alignment vertical="top"/>
    </xf>
    <xf numFmtId="0" fontId="10" fillId="60" borderId="214" xfId="0" applyFont="1" applyFill="1" applyBorder="1" applyAlignment="1">
      <alignment vertical="top"/>
    </xf>
    <xf numFmtId="0" fontId="10" fillId="60" borderId="214" xfId="0" applyFont="1" applyFill="1" applyBorder="1" applyAlignment="1">
      <alignment horizontal="center" vertical="top"/>
    </xf>
    <xf numFmtId="0" fontId="138" fillId="60" borderId="214" xfId="0" quotePrefix="1" applyFont="1" applyFill="1" applyBorder="1" applyAlignment="1">
      <alignment vertical="top"/>
    </xf>
    <xf numFmtId="0" fontId="139" fillId="60" borderId="214" xfId="0" quotePrefix="1" applyFont="1" applyFill="1" applyBorder="1" applyAlignment="1">
      <alignment vertical="top"/>
    </xf>
    <xf numFmtId="0" fontId="139" fillId="60" borderId="214" xfId="0" applyFont="1" applyFill="1" applyBorder="1" applyAlignment="1">
      <alignment vertical="top"/>
    </xf>
    <xf numFmtId="0" fontId="10" fillId="60" borderId="216" xfId="0" applyFont="1" applyFill="1" applyBorder="1" applyAlignment="1">
      <alignment horizontal="left" vertical="top" indent="2"/>
    </xf>
    <xf numFmtId="0" fontId="10" fillId="60" borderId="217" xfId="0" applyFont="1" applyFill="1" applyBorder="1" applyAlignment="1">
      <alignment horizontal="center" vertical="top"/>
    </xf>
    <xf numFmtId="0" fontId="138" fillId="60" borderId="217" xfId="0" quotePrefix="1" applyFont="1" applyFill="1" applyBorder="1" applyAlignment="1">
      <alignment vertical="top"/>
    </xf>
    <xf numFmtId="0" fontId="139" fillId="60" borderId="217" xfId="0" quotePrefix="1" applyFont="1" applyFill="1" applyBorder="1" applyAlignment="1">
      <alignment vertical="top"/>
    </xf>
    <xf numFmtId="0" fontId="139" fillId="60" borderId="217" xfId="0" applyFont="1" applyFill="1" applyBorder="1" applyAlignment="1">
      <alignment vertical="top"/>
    </xf>
    <xf numFmtId="0" fontId="10" fillId="60" borderId="219" xfId="0" applyFont="1" applyFill="1" applyBorder="1" applyAlignment="1">
      <alignment horizontal="left" vertical="top" indent="2"/>
    </xf>
    <xf numFmtId="0" fontId="10" fillId="60" borderId="220" xfId="0" applyFont="1" applyFill="1" applyBorder="1" applyAlignment="1">
      <alignment horizontal="center" vertical="top"/>
    </xf>
    <xf numFmtId="0" fontId="138" fillId="60" borderId="220" xfId="0" quotePrefix="1" applyFont="1" applyFill="1" applyBorder="1" applyAlignment="1">
      <alignment vertical="top"/>
    </xf>
    <xf numFmtId="0" fontId="139" fillId="60" borderId="220" xfId="0" quotePrefix="1" applyFont="1" applyFill="1" applyBorder="1" applyAlignment="1">
      <alignment vertical="top"/>
    </xf>
    <xf numFmtId="0" fontId="139" fillId="60" borderId="220" xfId="0" applyFont="1" applyFill="1" applyBorder="1" applyAlignment="1">
      <alignment vertical="top"/>
    </xf>
    <xf numFmtId="0" fontId="0" fillId="33" borderId="7" xfId="0" quotePrefix="1" applyFill="1" applyBorder="1" applyAlignment="1">
      <alignment horizontal="left" vertical="top" wrapText="1"/>
    </xf>
    <xf numFmtId="0" fontId="0" fillId="33" borderId="7" xfId="0" applyFill="1" applyBorder="1" applyAlignment="1">
      <alignment horizontal="left" vertical="top" wrapText="1"/>
    </xf>
    <xf numFmtId="0" fontId="0" fillId="33" borderId="7" xfId="0" quotePrefix="1" applyFont="1" applyFill="1" applyBorder="1" applyAlignment="1">
      <alignment horizontal="left" vertical="top" wrapText="1"/>
    </xf>
    <xf numFmtId="49" fontId="0" fillId="33" borderId="7" xfId="0" quotePrefix="1" applyNumberFormat="1" applyFill="1" applyBorder="1" applyAlignment="1">
      <alignment horizontal="left" vertical="top" wrapText="1"/>
    </xf>
    <xf numFmtId="0" fontId="0" fillId="33" borderId="8" xfId="0" applyFill="1" applyBorder="1" applyAlignment="1">
      <alignment horizontal="left" vertical="top" wrapText="1"/>
    </xf>
    <xf numFmtId="0" fontId="8" fillId="0" borderId="0" xfId="0" applyFont="1" applyAlignment="1">
      <alignment horizontal="left" wrapText="1"/>
    </xf>
    <xf numFmtId="0" fontId="43" fillId="35" borderId="2" xfId="0" applyFont="1" applyFill="1" applyBorder="1" applyAlignment="1">
      <alignment horizontal="center" wrapText="1"/>
    </xf>
    <xf numFmtId="0" fontId="43" fillId="36" borderId="2" xfId="0" applyFont="1" applyFill="1" applyBorder="1" applyAlignment="1">
      <alignment horizontal="center" wrapText="1"/>
    </xf>
    <xf numFmtId="0" fontId="43" fillId="31" borderId="2" xfId="0" applyFont="1" applyFill="1" applyBorder="1" applyAlignment="1">
      <alignment horizontal="center" wrapText="1"/>
    </xf>
    <xf numFmtId="0" fontId="45" fillId="30" borderId="2" xfId="0" applyFont="1" applyFill="1" applyBorder="1" applyAlignment="1">
      <alignment horizontal="center" wrapText="1"/>
    </xf>
    <xf numFmtId="0" fontId="45" fillId="34" borderId="2" xfId="0" applyFont="1" applyFill="1" applyBorder="1" applyAlignment="1">
      <alignment horizontal="center" wrapText="1"/>
    </xf>
    <xf numFmtId="0" fontId="45" fillId="20" borderId="2" xfId="0" applyFont="1" applyFill="1" applyBorder="1" applyAlignment="1">
      <alignment horizontal="center" wrapText="1"/>
    </xf>
    <xf numFmtId="0" fontId="45" fillId="20" borderId="1" xfId="0" applyFont="1" applyFill="1" applyBorder="1" applyAlignment="1">
      <alignment horizontal="center" wrapText="1"/>
    </xf>
    <xf numFmtId="0" fontId="45" fillId="20" borderId="26" xfId="0" applyFont="1" applyFill="1" applyBorder="1" applyAlignment="1">
      <alignment horizontal="center" wrapText="1"/>
    </xf>
    <xf numFmtId="0" fontId="43" fillId="22" borderId="0" xfId="0" applyFont="1" applyFill="1" applyAlignment="1">
      <alignment vertical="center"/>
    </xf>
    <xf numFmtId="0" fontId="140" fillId="3" borderId="0" xfId="0" applyFont="1" applyFill="1" applyAlignment="1" applyProtection="1">
      <alignment horizontal="right" indent="1"/>
    </xf>
    <xf numFmtId="0" fontId="141" fillId="3" borderId="0" xfId="0" applyFont="1" applyFill="1" applyAlignment="1" applyProtection="1">
      <alignment horizontal="right" indent="1"/>
    </xf>
    <xf numFmtId="0" fontId="142" fillId="3" borderId="0" xfId="0" applyFont="1" applyFill="1" applyAlignment="1" applyProtection="1">
      <alignment horizontal="right" indent="1"/>
    </xf>
    <xf numFmtId="0" fontId="93" fillId="3" borderId="0" xfId="0" applyFont="1" applyFill="1"/>
    <xf numFmtId="0" fontId="93" fillId="3" borderId="0" xfId="0" applyFont="1" applyFill="1" applyProtection="1"/>
    <xf numFmtId="0" fontId="93" fillId="3" borderId="0" xfId="0" applyFont="1" applyFill="1" applyAlignment="1" applyProtection="1">
      <alignment vertical="center"/>
    </xf>
    <xf numFmtId="0" fontId="93" fillId="0" borderId="0" xfId="0" applyFont="1" applyProtection="1"/>
    <xf numFmtId="0" fontId="44" fillId="3" borderId="0" xfId="0" applyFont="1" applyFill="1" applyBorder="1" applyAlignment="1">
      <alignment horizontal="center" vertical="center"/>
    </xf>
    <xf numFmtId="0" fontId="3" fillId="2" borderId="0" xfId="4" applyFont="1">
      <alignment vertical="center"/>
      <protection locked="0"/>
    </xf>
    <xf numFmtId="0" fontId="47" fillId="3" borderId="0" xfId="0" applyFont="1" applyFill="1" applyAlignment="1">
      <alignment vertical="center"/>
    </xf>
    <xf numFmtId="0" fontId="47" fillId="2" borderId="0" xfId="0" applyFont="1" applyFill="1"/>
    <xf numFmtId="0" fontId="0" fillId="2" borderId="0" xfId="0" applyFont="1" applyFill="1"/>
    <xf numFmtId="0" fontId="0" fillId="2" borderId="0" xfId="0" applyFont="1" applyFill="1" applyProtection="1"/>
    <xf numFmtId="0" fontId="54" fillId="73" borderId="0" xfId="0" applyFont="1" applyFill="1"/>
    <xf numFmtId="0" fontId="54" fillId="73" borderId="0" xfId="0" applyFont="1" applyFill="1" applyProtection="1"/>
    <xf numFmtId="169" fontId="146" fillId="74" borderId="0" xfId="32" applyNumberFormat="1" applyFont="1" applyFill="1" applyBorder="1" applyAlignment="1">
      <alignment horizontal="right"/>
    </xf>
    <xf numFmtId="169" fontId="61" fillId="74" borderId="0" xfId="32" applyNumberFormat="1" applyFont="1" applyFill="1" applyBorder="1" applyAlignment="1">
      <alignment horizontal="center"/>
    </xf>
    <xf numFmtId="0" fontId="0" fillId="3" borderId="0" xfId="0" applyFont="1" applyFill="1" applyBorder="1"/>
    <xf numFmtId="0" fontId="147" fillId="3" borderId="0" xfId="0" applyFont="1" applyFill="1" applyAlignment="1">
      <alignment horizontal="right" vertical="center"/>
    </xf>
    <xf numFmtId="0" fontId="44" fillId="3" borderId="0" xfId="0" applyFont="1" applyFill="1"/>
    <xf numFmtId="0" fontId="61" fillId="3" borderId="0" xfId="0" applyFont="1" applyFill="1" applyProtection="1"/>
    <xf numFmtId="0" fontId="96" fillId="73" borderId="0" xfId="7" applyFont="1" applyFill="1">
      <alignment vertical="center"/>
    </xf>
    <xf numFmtId="0" fontId="5" fillId="22" borderId="0" xfId="0" applyFont="1" applyFill="1"/>
    <xf numFmtId="0" fontId="40" fillId="73" borderId="0" xfId="7" applyFont="1" applyFill="1">
      <alignment vertical="center"/>
    </xf>
    <xf numFmtId="0" fontId="37" fillId="16" borderId="2" xfId="0" applyFont="1" applyFill="1" applyBorder="1" applyAlignment="1">
      <alignment vertical="center"/>
    </xf>
    <xf numFmtId="0" fontId="37" fillId="16" borderId="0" xfId="0" applyFont="1" applyFill="1" applyAlignment="1">
      <alignment vertical="center"/>
    </xf>
    <xf numFmtId="0" fontId="37" fillId="16" borderId="0" xfId="0" applyFont="1" applyFill="1" applyAlignment="1">
      <alignment horizontal="left" vertical="center"/>
    </xf>
    <xf numFmtId="0" fontId="37" fillId="12" borderId="0" xfId="3" applyFont="1" applyAlignment="1">
      <alignment horizontal="right" vertical="center"/>
      <protection locked="0"/>
    </xf>
    <xf numFmtId="0" fontId="37" fillId="12" borderId="0" xfId="3" applyFont="1">
      <alignment horizontal="left" vertical="center"/>
      <protection locked="0"/>
    </xf>
    <xf numFmtId="0" fontId="49" fillId="0" borderId="230" xfId="10" applyFont="1" applyBorder="1">
      <alignment horizontal="left" vertical="center" indent="1"/>
    </xf>
    <xf numFmtId="0" fontId="49" fillId="0" borderId="231" xfId="0" applyFont="1" applyBorder="1" applyAlignment="1" applyProtection="1">
      <alignment horizontal="center" vertical="center"/>
    </xf>
    <xf numFmtId="168" fontId="61" fillId="74" borderId="231" xfId="0" applyNumberFormat="1" applyFont="1" applyFill="1" applyBorder="1"/>
    <xf numFmtId="168" fontId="61" fillId="4" borderId="231" xfId="5" applyFont="1" applyFill="1" applyBorder="1">
      <alignment horizontal="right" indent="2"/>
      <protection locked="0"/>
    </xf>
    <xf numFmtId="168" fontId="61" fillId="3" borderId="243" xfId="5" applyFont="1" applyFill="1" applyBorder="1">
      <alignment horizontal="right" indent="2"/>
      <protection locked="0"/>
    </xf>
    <xf numFmtId="0" fontId="49" fillId="0" borderId="232" xfId="10" applyFont="1" applyBorder="1">
      <alignment horizontal="left" vertical="center" indent="1"/>
    </xf>
    <xf numFmtId="0" fontId="49" fillId="0" borderId="223" xfId="0" applyFont="1" applyBorder="1" applyAlignment="1" applyProtection="1">
      <alignment horizontal="center" vertical="center"/>
    </xf>
    <xf numFmtId="168" fontId="61" fillId="74" borderId="223" xfId="0" applyNumberFormat="1" applyFont="1" applyFill="1" applyBorder="1"/>
    <xf numFmtId="168" fontId="61" fillId="4" borderId="223" xfId="5" applyFont="1" applyFill="1" applyBorder="1">
      <alignment horizontal="right" indent="2"/>
      <protection locked="0"/>
    </xf>
    <xf numFmtId="168" fontId="61" fillId="3" borderId="233" xfId="5" applyFont="1" applyFill="1" applyBorder="1">
      <alignment horizontal="right" indent="2"/>
      <protection locked="0"/>
    </xf>
    <xf numFmtId="168" fontId="61" fillId="17" borderId="223" xfId="5" applyFont="1" applyFill="1" applyBorder="1">
      <alignment horizontal="right" indent="2"/>
      <protection locked="0"/>
    </xf>
    <xf numFmtId="168" fontId="61" fillId="68" borderId="233" xfId="5" applyFont="1" applyFill="1" applyBorder="1">
      <alignment horizontal="right" indent="2"/>
      <protection locked="0"/>
    </xf>
    <xf numFmtId="168" fontId="61" fillId="4" borderId="233" xfId="5" applyFont="1" applyFill="1" applyBorder="1">
      <alignment horizontal="right" indent="2"/>
      <protection locked="0"/>
    </xf>
    <xf numFmtId="0" fontId="49" fillId="0" borderId="234" xfId="10" applyFont="1" applyBorder="1">
      <alignment horizontal="left" vertical="center" indent="1"/>
    </xf>
    <xf numFmtId="0" fontId="49" fillId="0" borderId="235" xfId="0" applyFont="1" applyBorder="1" applyAlignment="1" applyProtection="1">
      <alignment horizontal="center" vertical="center"/>
    </xf>
    <xf numFmtId="168" fontId="61" fillId="74" borderId="235" xfId="0" applyNumberFormat="1" applyFont="1" applyFill="1" applyBorder="1"/>
    <xf numFmtId="168" fontId="61" fillId="4" borderId="235" xfId="5" applyFont="1" applyFill="1" applyBorder="1">
      <alignment horizontal="right" indent="2"/>
      <protection locked="0"/>
    </xf>
    <xf numFmtId="168" fontId="61" fillId="4" borderId="236" xfId="5" applyFont="1" applyFill="1" applyBorder="1">
      <alignment horizontal="right" indent="2"/>
      <protection locked="0"/>
    </xf>
    <xf numFmtId="0" fontId="59" fillId="3" borderId="0" xfId="0" applyFont="1" applyFill="1" applyProtection="1"/>
    <xf numFmtId="168" fontId="61" fillId="74" borderId="0" xfId="0" applyNumberFormat="1" applyFont="1" applyFill="1" applyBorder="1"/>
    <xf numFmtId="169" fontId="44" fillId="74" borderId="0" xfId="32" applyNumberFormat="1" applyFont="1" applyFill="1" applyBorder="1"/>
    <xf numFmtId="0" fontId="3" fillId="2" borderId="0" xfId="4" applyFont="1" applyFill="1">
      <alignment vertical="center"/>
      <protection locked="0"/>
    </xf>
    <xf numFmtId="0" fontId="150" fillId="16" borderId="2" xfId="0" applyFont="1" applyFill="1" applyBorder="1" applyAlignment="1">
      <alignment vertical="center"/>
    </xf>
    <xf numFmtId="0" fontId="150" fillId="16" borderId="0" xfId="0" applyFont="1" applyFill="1" applyAlignment="1">
      <alignment horizontal="left" vertical="center"/>
    </xf>
    <xf numFmtId="0" fontId="150" fillId="16" borderId="0" xfId="0" applyFont="1" applyFill="1" applyAlignment="1">
      <alignment vertical="center"/>
    </xf>
    <xf numFmtId="0" fontId="150" fillId="12" borderId="0" xfId="3" applyFont="1">
      <alignment horizontal="left" vertical="center"/>
      <protection locked="0"/>
    </xf>
    <xf numFmtId="0" fontId="52" fillId="3" borderId="0" xfId="0" applyFont="1" applyFill="1"/>
    <xf numFmtId="0" fontId="0" fillId="3" borderId="0" xfId="0" applyFont="1" applyFill="1" applyAlignment="1">
      <alignment vertical="center"/>
    </xf>
    <xf numFmtId="168" fontId="61" fillId="74" borderId="223" xfId="5" quotePrefix="1" applyFont="1" applyFill="1" applyBorder="1" applyProtection="1">
      <alignment horizontal="right" indent="2"/>
    </xf>
    <xf numFmtId="168" fontId="61" fillId="3" borderId="233" xfId="5" quotePrefix="1" applyFont="1" applyFill="1" applyBorder="1">
      <alignment horizontal="right" indent="2"/>
      <protection locked="0"/>
    </xf>
    <xf numFmtId="168" fontId="61" fillId="74" borderId="233" xfId="5" quotePrefix="1" applyFont="1" applyFill="1" applyBorder="1" applyProtection="1">
      <alignment horizontal="right" indent="2"/>
    </xf>
    <xf numFmtId="168" fontId="61" fillId="17" borderId="235" xfId="5" applyFont="1" applyFill="1" applyBorder="1">
      <alignment horizontal="right" indent="2"/>
      <protection locked="0"/>
    </xf>
    <xf numFmtId="168" fontId="61" fillId="68" borderId="236" xfId="5" applyFont="1" applyFill="1" applyBorder="1">
      <alignment horizontal="right" indent="2"/>
      <protection locked="0"/>
    </xf>
    <xf numFmtId="0" fontId="148" fillId="66" borderId="23" xfId="0" applyFont="1" applyFill="1" applyBorder="1" applyAlignment="1">
      <alignment horizontal="center" vertical="center" wrapText="1"/>
    </xf>
    <xf numFmtId="0" fontId="148" fillId="66" borderId="245" xfId="0" applyFont="1" applyFill="1" applyBorder="1" applyAlignment="1">
      <alignment horizontal="center" vertical="center" wrapText="1"/>
    </xf>
    <xf numFmtId="168" fontId="61" fillId="3" borderId="0" xfId="5" applyFont="1" applyFill="1" applyBorder="1">
      <alignment horizontal="right" indent="2"/>
      <protection locked="0"/>
    </xf>
    <xf numFmtId="168" fontId="61" fillId="68" borderId="0" xfId="5" applyFont="1" applyFill="1" applyBorder="1">
      <alignment horizontal="right" indent="2"/>
      <protection locked="0"/>
    </xf>
    <xf numFmtId="168" fontId="61" fillId="3" borderId="0" xfId="5" quotePrefix="1" applyFont="1" applyFill="1" applyBorder="1">
      <alignment horizontal="right" indent="2"/>
      <protection locked="0"/>
    </xf>
    <xf numFmtId="0" fontId="37" fillId="3" borderId="0" xfId="3" applyFont="1" applyFill="1">
      <alignment horizontal="left" vertical="center"/>
      <protection locked="0"/>
    </xf>
    <xf numFmtId="0" fontId="148" fillId="3" borderId="0" xfId="0" applyFont="1" applyFill="1" applyBorder="1" applyAlignment="1">
      <alignment horizontal="center" vertical="center" wrapText="1"/>
    </xf>
    <xf numFmtId="169" fontId="44" fillId="3" borderId="0" xfId="32" applyNumberFormat="1" applyFont="1" applyFill="1" applyBorder="1"/>
    <xf numFmtId="168" fontId="61" fillId="3" borderId="0" xfId="5" quotePrefix="1" applyFont="1" applyFill="1" applyBorder="1" applyProtection="1">
      <alignment horizontal="right" indent="2"/>
    </xf>
    <xf numFmtId="168" fontId="61" fillId="74" borderId="247" xfId="0" applyNumberFormat="1" applyFont="1" applyFill="1" applyBorder="1"/>
    <xf numFmtId="168" fontId="61" fillId="4" borderId="247" xfId="5" applyFont="1" applyFill="1" applyBorder="1">
      <alignment horizontal="right" indent="2"/>
      <protection locked="0"/>
    </xf>
    <xf numFmtId="168" fontId="61" fillId="3" borderId="246" xfId="5" applyFont="1" applyFill="1" applyBorder="1">
      <alignment horizontal="right" indent="2"/>
      <protection locked="0"/>
    </xf>
    <xf numFmtId="0" fontId="148" fillId="66" borderId="63" xfId="0" applyFont="1" applyFill="1" applyBorder="1" applyAlignment="1">
      <alignment horizontal="center" vertical="center" wrapText="1"/>
    </xf>
    <xf numFmtId="0" fontId="0" fillId="3" borderId="0" xfId="0" applyFont="1" applyFill="1" applyAlignment="1" applyProtection="1">
      <alignment horizontal="left"/>
    </xf>
    <xf numFmtId="0" fontId="103" fillId="16" borderId="0" xfId="0" applyFont="1" applyFill="1" applyAlignment="1" applyProtection="1">
      <alignment vertical="center"/>
    </xf>
    <xf numFmtId="0" fontId="61" fillId="2" borderId="0" xfId="0" applyFont="1" applyFill="1" applyAlignment="1" applyProtection="1">
      <alignment vertical="center"/>
    </xf>
    <xf numFmtId="0" fontId="61" fillId="3" borderId="0" xfId="0" applyFont="1" applyFill="1" applyAlignment="1" applyProtection="1">
      <alignment vertical="center"/>
      <protection hidden="1"/>
    </xf>
    <xf numFmtId="0" fontId="103" fillId="16" borderId="0" xfId="0" applyFont="1" applyFill="1" applyAlignment="1" applyProtection="1">
      <alignment horizontal="left" vertical="center"/>
    </xf>
    <xf numFmtId="0" fontId="152" fillId="2" borderId="0" xfId="0" applyFont="1" applyFill="1" applyAlignment="1" applyProtection="1">
      <alignment vertical="center"/>
    </xf>
    <xf numFmtId="0" fontId="0" fillId="73" borderId="0" xfId="7" applyFont="1" applyFill="1">
      <alignment vertical="center"/>
    </xf>
    <xf numFmtId="0" fontId="54" fillId="73" borderId="0" xfId="0" applyFont="1" applyFill="1" applyProtection="1">
      <protection hidden="1"/>
    </xf>
    <xf numFmtId="0" fontId="54" fillId="3" borderId="0" xfId="0" applyFont="1" applyFill="1" applyProtection="1">
      <protection hidden="1"/>
    </xf>
    <xf numFmtId="0" fontId="148" fillId="66" borderId="0" xfId="0" applyFont="1" applyFill="1" applyAlignment="1">
      <alignment horizontal="centerContinuous" vertical="center"/>
    </xf>
    <xf numFmtId="0" fontId="61" fillId="3" borderId="242" xfId="0" applyFont="1" applyFill="1" applyBorder="1" applyAlignment="1" applyProtection="1">
      <alignment horizontal="center" vertical="center"/>
      <protection hidden="1"/>
    </xf>
    <xf numFmtId="0" fontId="0" fillId="3" borderId="0" xfId="0" applyFont="1" applyFill="1" applyProtection="1">
      <protection hidden="1"/>
    </xf>
    <xf numFmtId="0" fontId="22" fillId="3" borderId="0" xfId="0" applyFont="1" applyFill="1" applyAlignment="1" applyProtection="1">
      <alignment horizontal="center" vertical="center" wrapText="1"/>
    </xf>
    <xf numFmtId="0" fontId="148" fillId="69" borderId="0" xfId="25" applyFont="1">
      <alignment horizontal="center" vertical="center" wrapText="1"/>
    </xf>
    <xf numFmtId="0" fontId="37" fillId="12" borderId="0" xfId="3" applyFont="1" applyProtection="1">
      <alignment horizontal="left" vertical="center"/>
    </xf>
    <xf numFmtId="0" fontId="148" fillId="66" borderId="0" xfId="0" applyFont="1" applyFill="1" applyAlignment="1">
      <alignment horizontal="centerContinuous" vertical="center" wrapText="1"/>
    </xf>
    <xf numFmtId="172" fontId="40" fillId="24" borderId="225" xfId="11" applyNumberFormat="1" applyFont="1" applyBorder="1">
      <alignment horizontal="right"/>
      <protection locked="0"/>
    </xf>
    <xf numFmtId="49" fontId="49" fillId="4" borderId="225" xfId="9" applyFont="1" applyBorder="1" applyAlignment="1">
      <alignment horizontal="center" vertical="center"/>
      <protection locked="0"/>
    </xf>
    <xf numFmtId="172" fontId="40" fillId="24" borderId="71" xfId="11" applyNumberFormat="1" applyFont="1" applyBorder="1">
      <alignment horizontal="right"/>
      <protection locked="0"/>
    </xf>
    <xf numFmtId="49" fontId="49" fillId="4" borderId="71" xfId="9" applyFont="1" applyBorder="1" applyAlignment="1">
      <alignment horizontal="center" vertical="center"/>
      <protection locked="0"/>
    </xf>
    <xf numFmtId="173" fontId="40" fillId="24" borderId="69" xfId="11" applyNumberFormat="1" applyFont="1" applyBorder="1">
      <alignment horizontal="right"/>
      <protection locked="0"/>
    </xf>
    <xf numFmtId="172" fontId="40" fillId="24" borderId="118" xfId="11" applyNumberFormat="1" applyFont="1" applyBorder="1">
      <alignment horizontal="right"/>
      <protection locked="0"/>
    </xf>
    <xf numFmtId="49" fontId="49" fillId="4" borderId="118" xfId="9" applyFont="1" applyBorder="1" applyAlignment="1">
      <alignment horizontal="center" vertical="center"/>
      <protection locked="0"/>
    </xf>
    <xf numFmtId="173" fontId="40" fillId="24" borderId="222" xfId="11" applyNumberFormat="1" applyFont="1" applyBorder="1">
      <alignment horizontal="right"/>
      <protection locked="0"/>
    </xf>
    <xf numFmtId="0" fontId="97" fillId="0" borderId="0" xfId="0" applyFont="1" applyProtection="1"/>
    <xf numFmtId="0" fontId="95" fillId="28" borderId="0" xfId="31" applyFont="1">
      <alignment horizontal="right" indent="1" shrinkToFit="1"/>
    </xf>
    <xf numFmtId="0" fontId="0" fillId="3" borderId="0" xfId="0" applyFont="1" applyFill="1" applyBorder="1" applyProtection="1"/>
    <xf numFmtId="0" fontId="49" fillId="28" borderId="225" xfId="0" applyFont="1" applyFill="1" applyBorder="1" applyAlignment="1">
      <alignment horizontal="center" vertical="center"/>
    </xf>
    <xf numFmtId="0" fontId="49" fillId="28" borderId="71" xfId="0" applyFont="1" applyFill="1" applyBorder="1" applyAlignment="1">
      <alignment horizontal="center" vertical="center"/>
    </xf>
    <xf numFmtId="0" fontId="49" fillId="28" borderId="118" xfId="0" applyFont="1" applyFill="1" applyBorder="1" applyAlignment="1">
      <alignment horizontal="center" vertical="center"/>
    </xf>
    <xf numFmtId="0" fontId="49" fillId="28" borderId="0" xfId="0" applyFont="1" applyFill="1" applyBorder="1" applyAlignment="1">
      <alignment horizontal="center" vertical="center"/>
    </xf>
    <xf numFmtId="0" fontId="49" fillId="28" borderId="203" xfId="0" applyFont="1" applyFill="1" applyBorder="1" applyAlignment="1">
      <alignment horizontal="center" vertical="center"/>
    </xf>
    <xf numFmtId="0" fontId="49" fillId="0" borderId="227" xfId="36" applyFont="1" applyBorder="1">
      <alignment horizontal="left" vertical="center" wrapText="1" indent="1"/>
    </xf>
    <xf numFmtId="0" fontId="49" fillId="0" borderId="99" xfId="36" applyFont="1" applyBorder="1">
      <alignment horizontal="left" vertical="center" wrapText="1" indent="1"/>
    </xf>
    <xf numFmtId="0" fontId="49" fillId="0" borderId="99" xfId="36" applyFont="1" applyBorder="1" applyAlignment="1">
      <alignment horizontal="left" vertical="center" wrapText="1" indent="2"/>
    </xf>
    <xf numFmtId="0" fontId="0" fillId="29" borderId="0" xfId="0" applyFont="1" applyFill="1" applyProtection="1"/>
    <xf numFmtId="0" fontId="0" fillId="3" borderId="0" xfId="0" applyFont="1" applyFill="1" applyAlignment="1" applyProtection="1">
      <alignment horizontal="right" indent="1"/>
    </xf>
    <xf numFmtId="171" fontId="0" fillId="3" borderId="0" xfId="0" applyNumberFormat="1" applyFont="1" applyFill="1" applyProtection="1"/>
    <xf numFmtId="0" fontId="49" fillId="0" borderId="98" xfId="36" applyFont="1" applyBorder="1">
      <alignment horizontal="left" vertical="center" wrapText="1" indent="1"/>
    </xf>
    <xf numFmtId="0" fontId="0" fillId="3" borderId="0" xfId="0" applyFont="1" applyFill="1" applyAlignment="1">
      <alignment horizontal="right" indent="1"/>
    </xf>
    <xf numFmtId="0" fontId="0" fillId="3" borderId="0" xfId="0" applyFont="1" applyFill="1" applyAlignment="1" applyProtection="1">
      <alignment horizontal="left" vertical="top" wrapText="1"/>
    </xf>
    <xf numFmtId="170" fontId="0" fillId="3" borderId="0" xfId="0" applyNumberFormat="1" applyFont="1" applyFill="1" applyAlignment="1" applyProtection="1">
      <alignment horizontal="right" indent="1"/>
    </xf>
    <xf numFmtId="0" fontId="0" fillId="3" borderId="0" xfId="0" applyFont="1" applyFill="1" applyAlignment="1" applyProtection="1">
      <alignment horizontal="center" vertical="top" wrapText="1"/>
    </xf>
    <xf numFmtId="0" fontId="0" fillId="3" borderId="0" xfId="0" applyFont="1" applyFill="1" applyAlignment="1" applyProtection="1">
      <alignment horizontal="right" vertical="top" indent="1"/>
    </xf>
    <xf numFmtId="0" fontId="0" fillId="3" borderId="0" xfId="0" applyFont="1" applyFill="1" applyAlignment="1">
      <alignment horizontal="center"/>
    </xf>
    <xf numFmtId="0" fontId="49" fillId="0" borderId="105" xfId="0" applyFont="1" applyBorder="1" applyAlignment="1" applyProtection="1">
      <alignment horizontal="left" vertical="top" wrapText="1"/>
      <protection locked="0"/>
    </xf>
    <xf numFmtId="0" fontId="49" fillId="0" borderId="106" xfId="0" applyFont="1" applyBorder="1" applyAlignment="1" applyProtection="1">
      <alignment horizontal="left" vertical="top" wrapText="1"/>
      <protection locked="0"/>
    </xf>
    <xf numFmtId="0" fontId="49" fillId="0" borderId="121" xfId="0" applyFont="1" applyBorder="1" applyAlignment="1" applyProtection="1">
      <alignment horizontal="left" vertical="top" wrapText="1"/>
      <protection locked="0"/>
    </xf>
    <xf numFmtId="0" fontId="49" fillId="0" borderId="107" xfId="0" applyFont="1" applyBorder="1" applyAlignment="1" applyProtection="1">
      <alignment horizontal="left" vertical="top" wrapText="1"/>
      <protection locked="0"/>
    </xf>
    <xf numFmtId="0" fontId="49" fillId="0" borderId="108" xfId="0" applyFont="1" applyBorder="1" applyAlignment="1" applyProtection="1">
      <alignment horizontal="left" vertical="top" wrapText="1"/>
      <protection locked="0"/>
    </xf>
    <xf numFmtId="0" fontId="61" fillId="0" borderId="122" xfId="0" applyFont="1" applyBorder="1" applyAlignment="1" applyProtection="1">
      <alignment horizontal="left" vertical="top" wrapText="1"/>
      <protection locked="0"/>
    </xf>
    <xf numFmtId="0" fontId="0" fillId="0" borderId="108" xfId="0" applyFont="1" applyBorder="1" applyAlignment="1" applyProtection="1">
      <alignment horizontal="left" vertical="top" wrapText="1"/>
      <protection locked="0"/>
    </xf>
    <xf numFmtId="0" fontId="49" fillId="0" borderId="122" xfId="0" applyFont="1" applyBorder="1" applyAlignment="1" applyProtection="1">
      <alignment horizontal="left" vertical="top" wrapText="1"/>
      <protection locked="0"/>
    </xf>
    <xf numFmtId="0" fontId="0" fillId="0" borderId="122" xfId="0" applyFont="1" applyBorder="1" applyAlignment="1" applyProtection="1">
      <alignment horizontal="left" vertical="top" wrapText="1"/>
      <protection locked="0"/>
    </xf>
    <xf numFmtId="0" fontId="49" fillId="0" borderId="109" xfId="0" applyFont="1" applyBorder="1" applyAlignment="1" applyProtection="1">
      <alignment horizontal="left" vertical="top" wrapText="1"/>
      <protection locked="0"/>
    </xf>
    <xf numFmtId="0" fontId="49" fillId="0" borderId="110" xfId="0" applyFont="1" applyBorder="1" applyAlignment="1" applyProtection="1">
      <alignment horizontal="left" vertical="top" wrapText="1"/>
      <protection locked="0"/>
    </xf>
    <xf numFmtId="0" fontId="49" fillId="0" borderId="123" xfId="0" applyFont="1" applyBorder="1" applyAlignment="1" applyProtection="1">
      <alignment horizontal="left" vertical="top" wrapText="1"/>
      <protection locked="0"/>
    </xf>
    <xf numFmtId="49" fontId="120" fillId="3" borderId="0" xfId="21" applyFont="1" applyFill="1">
      <alignment vertical="center"/>
    </xf>
    <xf numFmtId="0" fontId="30" fillId="3" borderId="0" xfId="0" applyFont="1" applyFill="1"/>
    <xf numFmtId="0" fontId="37" fillId="3" borderId="0" xfId="0" applyFont="1" applyFill="1" applyAlignment="1" applyProtection="1">
      <alignment horizontal="left"/>
    </xf>
    <xf numFmtId="0" fontId="153" fillId="3" borderId="0" xfId="0" applyFont="1" applyFill="1" applyProtection="1"/>
    <xf numFmtId="0" fontId="0" fillId="3" borderId="0" xfId="0" applyFont="1" applyFill="1" applyAlignment="1">
      <alignment vertical="center" wrapText="1"/>
    </xf>
    <xf numFmtId="0" fontId="113" fillId="3" borderId="0" xfId="0" applyFont="1" applyFill="1" applyProtection="1"/>
    <xf numFmtId="0" fontId="112" fillId="3" borderId="0" xfId="0" applyFont="1" applyFill="1"/>
    <xf numFmtId="0" fontId="61" fillId="3" borderId="0" xfId="0" applyFont="1" applyFill="1" applyBorder="1" applyAlignment="1">
      <alignment horizontal="center"/>
    </xf>
    <xf numFmtId="0" fontId="61" fillId="3" borderId="0" xfId="0" applyFont="1" applyFill="1" applyBorder="1"/>
    <xf numFmtId="49" fontId="51" fillId="3" borderId="0" xfId="20" applyFont="1" applyFill="1" applyBorder="1"/>
    <xf numFmtId="0" fontId="148" fillId="69" borderId="0" xfId="25" applyNumberFormat="1" applyFont="1" applyAlignment="1">
      <alignment horizontal="center" vertical="center" wrapText="1"/>
    </xf>
    <xf numFmtId="0" fontId="49" fillId="3" borderId="231" xfId="0" applyFont="1" applyFill="1" applyBorder="1" applyAlignment="1" applyProtection="1">
      <alignment horizontal="center" wrapText="1"/>
    </xf>
    <xf numFmtId="168" fontId="61" fillId="17" borderId="231" xfId="5" applyFont="1" applyFill="1" applyBorder="1">
      <alignment horizontal="right" indent="2"/>
      <protection locked="0"/>
    </xf>
    <xf numFmtId="168" fontId="61" fillId="17" borderId="243" xfId="5" applyFont="1" applyFill="1" applyBorder="1">
      <alignment horizontal="right" indent="2"/>
      <protection locked="0"/>
    </xf>
    <xf numFmtId="0" fontId="148" fillId="66" borderId="0" xfId="0" applyFont="1" applyFill="1" applyAlignment="1">
      <alignment horizontal="center" vertical="center" wrapText="1"/>
    </xf>
    <xf numFmtId="0" fontId="0" fillId="73" borderId="0" xfId="0" applyFont="1" applyFill="1"/>
    <xf numFmtId="0" fontId="0" fillId="73" borderId="0" xfId="0" applyFont="1" applyFill="1" applyProtection="1"/>
    <xf numFmtId="0" fontId="37" fillId="3" borderId="0" xfId="0" applyFont="1" applyFill="1" applyAlignment="1">
      <alignment vertical="center"/>
    </xf>
    <xf numFmtId="0" fontId="46" fillId="3" borderId="0" xfId="0" applyFont="1" applyFill="1" applyAlignment="1">
      <alignment vertical="center"/>
    </xf>
    <xf numFmtId="0" fontId="49" fillId="3" borderId="0" xfId="0" applyFont="1" applyFill="1" applyAlignment="1">
      <alignment vertical="center"/>
    </xf>
    <xf numFmtId="0" fontId="148" fillId="66" borderId="65" xfId="0" applyFont="1" applyFill="1" applyBorder="1" applyAlignment="1">
      <alignment horizontal="center" vertical="center" wrapText="1"/>
    </xf>
    <xf numFmtId="0" fontId="49" fillId="3" borderId="0" xfId="0" applyFont="1" applyFill="1" applyAlignment="1">
      <alignment horizontal="center" vertical="center"/>
    </xf>
    <xf numFmtId="0" fontId="5" fillId="3" borderId="0" xfId="0" applyFont="1" applyFill="1"/>
    <xf numFmtId="0" fontId="61" fillId="4" borderId="223" xfId="0" applyFont="1" applyFill="1" applyBorder="1" applyAlignment="1">
      <alignment vertical="top" wrapText="1"/>
    </xf>
    <xf numFmtId="168" fontId="61" fillId="7" borderId="0" xfId="5" applyFont="1" applyFill="1" applyBorder="1">
      <alignment horizontal="right" indent="2"/>
      <protection locked="0"/>
    </xf>
    <xf numFmtId="0" fontId="150" fillId="12" borderId="0" xfId="3" applyFont="1" applyProtection="1">
      <alignment horizontal="left" vertical="center"/>
    </xf>
    <xf numFmtId="0" fontId="47" fillId="3" borderId="0" xfId="0" applyFont="1" applyFill="1" applyProtection="1"/>
    <xf numFmtId="0" fontId="49" fillId="3" borderId="0" xfId="0" applyFont="1" applyFill="1" applyProtection="1"/>
    <xf numFmtId="168" fontId="61" fillId="4" borderId="113" xfId="5" applyFont="1" applyFill="1" applyBorder="1">
      <alignment horizontal="right" indent="2"/>
      <protection locked="0"/>
    </xf>
    <xf numFmtId="168" fontId="61" fillId="4" borderId="69" xfId="5" applyFont="1" applyFill="1" applyBorder="1">
      <alignment horizontal="right" indent="2"/>
      <protection locked="0"/>
    </xf>
    <xf numFmtId="168" fontId="61" fillId="4" borderId="222" xfId="5" applyFont="1" applyFill="1" applyBorder="1">
      <alignment horizontal="right" indent="2"/>
      <protection locked="0"/>
    </xf>
    <xf numFmtId="0" fontId="22" fillId="3" borderId="0" xfId="7" applyFont="1" applyFill="1">
      <alignment vertical="center"/>
    </xf>
    <xf numFmtId="49" fontId="98" fillId="3" borderId="0" xfId="34" applyFont="1" applyFill="1" applyBorder="1" applyAlignment="1">
      <alignment horizontal="centerContinuous" vertical="center" wrapText="1"/>
    </xf>
    <xf numFmtId="49" fontId="49" fillId="3" borderId="259" xfId="9" applyFont="1" applyFill="1" applyBorder="1" applyAlignment="1" applyProtection="1">
      <alignment horizontal="left" vertical="center" indent="1"/>
    </xf>
    <xf numFmtId="49" fontId="49" fillId="3" borderId="260" xfId="9" applyFont="1" applyFill="1" applyBorder="1" applyAlignment="1" applyProtection="1">
      <alignment horizontal="left" vertical="center" indent="1"/>
    </xf>
    <xf numFmtId="49" fontId="49" fillId="3" borderId="261" xfId="9" applyFont="1" applyFill="1" applyBorder="1" applyAlignment="1" applyProtection="1">
      <alignment horizontal="left" vertical="center" indent="1"/>
    </xf>
    <xf numFmtId="0" fontId="49" fillId="3" borderId="0" xfId="0" applyFont="1" applyFill="1" applyAlignment="1" applyProtection="1">
      <alignment horizontal="center" wrapText="1"/>
    </xf>
    <xf numFmtId="0" fontId="49" fillId="3" borderId="0" xfId="0" applyFont="1" applyFill="1" applyAlignment="1" applyProtection="1">
      <alignment vertical="center"/>
    </xf>
    <xf numFmtId="0" fontId="97" fillId="3" borderId="0" xfId="0" applyFont="1" applyFill="1" applyProtection="1"/>
    <xf numFmtId="0" fontId="150" fillId="2" borderId="0" xfId="0" applyFont="1" applyFill="1" applyAlignment="1" applyProtection="1">
      <alignment horizontal="left" vertical="center" wrapText="1"/>
    </xf>
    <xf numFmtId="0" fontId="49" fillId="0" borderId="227" xfId="0" applyFont="1" applyBorder="1" applyAlignment="1" applyProtection="1">
      <alignment wrapText="1"/>
    </xf>
    <xf numFmtId="0" fontId="49" fillId="28" borderId="225" xfId="0" applyFont="1" applyFill="1" applyBorder="1" applyAlignment="1">
      <alignment horizontal="center"/>
    </xf>
    <xf numFmtId="0" fontId="49" fillId="0" borderId="99" xfId="0" applyFont="1" applyBorder="1" applyAlignment="1" applyProtection="1">
      <alignment wrapText="1"/>
    </xf>
    <xf numFmtId="0" fontId="49" fillId="28" borderId="71" xfId="0" applyFont="1" applyFill="1" applyBorder="1" applyAlignment="1">
      <alignment horizontal="center"/>
    </xf>
    <xf numFmtId="168" fontId="61" fillId="7" borderId="71" xfId="5" applyFont="1" applyFill="1" applyBorder="1">
      <alignment horizontal="right" indent="2"/>
      <protection locked="0"/>
    </xf>
    <xf numFmtId="168" fontId="61" fillId="4" borderId="71" xfId="5" applyFont="1" applyFill="1" applyBorder="1">
      <alignment horizontal="right" indent="2"/>
      <protection locked="0"/>
    </xf>
    <xf numFmtId="0" fontId="49" fillId="28" borderId="118" xfId="0" applyFont="1" applyFill="1" applyBorder="1" applyAlignment="1">
      <alignment horizontal="center"/>
    </xf>
    <xf numFmtId="168" fontId="61" fillId="4" borderId="118" xfId="5" applyFont="1" applyFill="1" applyBorder="1">
      <alignment horizontal="right" indent="2"/>
      <protection locked="0"/>
    </xf>
    <xf numFmtId="168" fontId="49" fillId="24" borderId="113" xfId="11" applyFont="1" applyBorder="1">
      <alignment horizontal="right"/>
      <protection locked="0"/>
    </xf>
    <xf numFmtId="168" fontId="49" fillId="24" borderId="69" xfId="11" applyFont="1" applyBorder="1">
      <alignment horizontal="right"/>
      <protection locked="0"/>
    </xf>
    <xf numFmtId="168" fontId="49" fillId="24" borderId="222" xfId="11" applyFont="1" applyBorder="1">
      <alignment horizontal="right"/>
      <protection locked="0"/>
    </xf>
    <xf numFmtId="0" fontId="49" fillId="0" borderId="227" xfId="10" applyFont="1" applyBorder="1">
      <alignment horizontal="left" vertical="center" indent="1"/>
    </xf>
    <xf numFmtId="0" fontId="49" fillId="0" borderId="99" xfId="10" applyFont="1" applyBorder="1">
      <alignment horizontal="left" vertical="center" indent="1"/>
    </xf>
    <xf numFmtId="0" fontId="49" fillId="0" borderId="98" xfId="10" applyFont="1" applyBorder="1">
      <alignment horizontal="left" vertical="center" indent="1"/>
    </xf>
    <xf numFmtId="0" fontId="0" fillId="3" borderId="0" xfId="7" applyFont="1" applyFill="1">
      <alignment vertical="center"/>
    </xf>
    <xf numFmtId="0" fontId="1" fillId="73" borderId="0" xfId="7" applyFont="1" applyFill="1">
      <alignment vertical="center"/>
    </xf>
    <xf numFmtId="0" fontId="146" fillId="3" borderId="0" xfId="0" applyFont="1" applyFill="1" applyAlignment="1" applyProtection="1">
      <alignment horizontal="right"/>
    </xf>
    <xf numFmtId="0" fontId="61" fillId="3" borderId="0" xfId="0" applyFont="1" applyFill="1" applyAlignment="1" applyProtection="1">
      <alignment vertical="center"/>
    </xf>
    <xf numFmtId="0" fontId="61" fillId="3" borderId="0" xfId="0" applyFont="1" applyFill="1" applyAlignment="1" applyProtection="1">
      <alignment horizontal="center" vertical="center"/>
    </xf>
    <xf numFmtId="49" fontId="51" fillId="75" borderId="0" xfId="34" applyFont="1" applyFill="1" applyBorder="1" applyAlignment="1">
      <alignment horizontal="left" vertical="center" wrapText="1"/>
    </xf>
    <xf numFmtId="0" fontId="49" fillId="75" borderId="0" xfId="0" applyFont="1" applyFill="1" applyAlignment="1" applyProtection="1">
      <alignment vertical="center" wrapText="1"/>
    </xf>
    <xf numFmtId="0" fontId="49" fillId="75" borderId="0" xfId="0" applyFont="1" applyFill="1"/>
    <xf numFmtId="168" fontId="61" fillId="7" borderId="69" xfId="5" applyFont="1" applyFill="1" applyBorder="1">
      <alignment horizontal="right" indent="2"/>
      <protection locked="0"/>
    </xf>
    <xf numFmtId="0" fontId="49" fillId="4" borderId="99" xfId="0" applyFont="1" applyFill="1" applyBorder="1" applyAlignment="1" applyProtection="1">
      <alignment horizontal="left" wrapText="1" indent="1"/>
    </xf>
    <xf numFmtId="0" fontId="49" fillId="4" borderId="98" xfId="0" applyFont="1" applyFill="1" applyBorder="1" applyAlignment="1" applyProtection="1">
      <alignment horizontal="left" wrapText="1" indent="1"/>
    </xf>
    <xf numFmtId="0" fontId="39" fillId="2" borderId="0" xfId="37" applyFont="1">
      <alignment vertical="center"/>
      <protection locked="0"/>
    </xf>
    <xf numFmtId="0" fontId="0" fillId="3" borderId="0" xfId="0" applyFill="1" applyAlignment="1">
      <alignment horizontal="center"/>
    </xf>
    <xf numFmtId="0" fontId="30" fillId="3" borderId="0" xfId="0" applyFont="1" applyFill="1" applyAlignment="1">
      <alignment vertical="center"/>
    </xf>
    <xf numFmtId="0" fontId="0" fillId="3" borderId="0" xfId="0" quotePrefix="1" applyFill="1"/>
    <xf numFmtId="0" fontId="39" fillId="3" borderId="0" xfId="4" applyFont="1" applyFill="1">
      <alignment vertical="center"/>
      <protection locked="0"/>
    </xf>
    <xf numFmtId="0" fontId="61" fillId="0" borderId="118" xfId="0" applyFont="1" applyBorder="1" applyAlignment="1" applyProtection="1">
      <alignment horizontal="center" vertical="center"/>
    </xf>
    <xf numFmtId="0" fontId="40" fillId="3" borderId="0" xfId="0" applyFont="1" applyFill="1" applyAlignment="1">
      <alignment vertical="center"/>
    </xf>
    <xf numFmtId="170" fontId="61" fillId="0" borderId="227" xfId="8" applyNumberFormat="1" applyFont="1" applyFill="1" applyBorder="1" applyAlignment="1">
      <alignment horizontal="left" vertical="center" wrapText="1" indent="1"/>
    </xf>
    <xf numFmtId="0" fontId="49" fillId="3" borderId="225" xfId="0" applyFont="1" applyFill="1" applyBorder="1" applyAlignment="1" applyProtection="1">
      <alignment horizontal="center" vertical="center"/>
    </xf>
    <xf numFmtId="174" fontId="61" fillId="4" borderId="113" xfId="12" applyFont="1" applyFill="1" applyBorder="1" applyAlignment="1">
      <alignment horizontal="right" vertical="center"/>
      <protection locked="0"/>
    </xf>
    <xf numFmtId="170" fontId="61" fillId="0" borderId="99" xfId="8" applyNumberFormat="1" applyFont="1" applyFill="1" applyBorder="1" applyAlignment="1">
      <alignment horizontal="left" vertical="center" wrapText="1" indent="1"/>
    </xf>
    <xf numFmtId="0" fontId="49" fillId="3" borderId="71" xfId="0" applyFont="1" applyFill="1" applyBorder="1" applyAlignment="1" applyProtection="1">
      <alignment horizontal="center" vertical="center"/>
    </xf>
    <xf numFmtId="174" fontId="61" fillId="4" borderId="69" xfId="12" applyFont="1" applyFill="1" applyBorder="1" applyAlignment="1">
      <alignment horizontal="right" vertical="center"/>
      <protection locked="0"/>
    </xf>
    <xf numFmtId="170" fontId="61" fillId="0" borderId="98" xfId="8" applyNumberFormat="1" applyFont="1" applyFill="1" applyBorder="1" applyAlignment="1">
      <alignment horizontal="left" vertical="center" wrapText="1" indent="1"/>
    </xf>
    <xf numFmtId="0" fontId="49" fillId="3" borderId="118" xfId="0" applyFont="1" applyFill="1" applyBorder="1" applyAlignment="1" applyProtection="1">
      <alignment horizontal="center" vertical="center"/>
    </xf>
    <xf numFmtId="174" fontId="61" fillId="4" borderId="222" xfId="12" applyFont="1" applyFill="1" applyBorder="1" applyAlignment="1">
      <alignment horizontal="right" vertical="center"/>
      <protection locked="0"/>
    </xf>
    <xf numFmtId="0" fontId="61" fillId="3" borderId="0" xfId="0" applyFont="1" applyFill="1" applyAlignment="1">
      <alignment vertical="center"/>
    </xf>
    <xf numFmtId="0" fontId="161" fillId="3" borderId="0" xfId="0" applyFont="1" applyFill="1" applyAlignment="1">
      <alignment horizontal="right" vertical="center"/>
    </xf>
    <xf numFmtId="0" fontId="61" fillId="3" borderId="0" xfId="0" applyFont="1" applyFill="1" applyAlignment="1">
      <alignment horizontal="center" vertical="center"/>
    </xf>
    <xf numFmtId="0" fontId="44" fillId="3" borderId="0" xfId="0" applyFont="1" applyFill="1" applyAlignment="1">
      <alignment vertical="center"/>
    </xf>
    <xf numFmtId="0" fontId="161" fillId="3" borderId="0" xfId="0" applyFont="1" applyFill="1" applyAlignment="1">
      <alignment horizontal="right"/>
    </xf>
    <xf numFmtId="0" fontId="59" fillId="3" borderId="0" xfId="0" applyFont="1" applyFill="1"/>
    <xf numFmtId="0" fontId="44" fillId="3" borderId="0" xfId="0" applyNumberFormat="1" applyFont="1" applyFill="1" applyAlignment="1">
      <alignment vertical="center"/>
    </xf>
    <xf numFmtId="0" fontId="59" fillId="77" borderId="0" xfId="0" applyFont="1" applyFill="1"/>
    <xf numFmtId="0" fontId="44" fillId="77" borderId="0" xfId="0" applyNumberFormat="1" applyFont="1" applyFill="1" applyAlignment="1">
      <alignment vertical="center"/>
    </xf>
    <xf numFmtId="0" fontId="61" fillId="77" borderId="0" xfId="0" applyFont="1" applyFill="1"/>
    <xf numFmtId="0" fontId="44" fillId="0" borderId="0" xfId="0" applyNumberFormat="1" applyFont="1" applyAlignment="1">
      <alignment vertical="center"/>
    </xf>
    <xf numFmtId="0" fontId="49" fillId="3" borderId="249" xfId="0" applyFont="1" applyFill="1" applyBorder="1" applyAlignment="1">
      <alignment horizontal="center"/>
    </xf>
    <xf numFmtId="0" fontId="49" fillId="3" borderId="241" xfId="0" applyFont="1" applyFill="1" applyBorder="1" applyAlignment="1">
      <alignment horizontal="center"/>
    </xf>
    <xf numFmtId="0" fontId="49" fillId="3" borderId="254" xfId="0" applyFont="1" applyFill="1" applyBorder="1" applyAlignment="1">
      <alignment horizontal="center"/>
    </xf>
    <xf numFmtId="0" fontId="61" fillId="4" borderId="248" xfId="0" applyFont="1" applyFill="1" applyBorder="1"/>
    <xf numFmtId="0" fontId="61" fillId="4" borderId="251" xfId="0" applyFont="1" applyFill="1" applyBorder="1"/>
    <xf numFmtId="0" fontId="61" fillId="4" borderId="253" xfId="0" applyFont="1" applyFill="1" applyBorder="1"/>
    <xf numFmtId="0" fontId="61" fillId="4" borderId="250" xfId="0" applyFont="1" applyFill="1" applyBorder="1"/>
    <xf numFmtId="0" fontId="61" fillId="4" borderId="252" xfId="0" applyFont="1" applyFill="1" applyBorder="1"/>
    <xf numFmtId="0" fontId="61" fillId="4" borderId="255" xfId="0" applyFont="1" applyFill="1" applyBorder="1"/>
    <xf numFmtId="164" fontId="61" fillId="67" borderId="0" xfId="48" applyFont="1" applyFill="1" applyBorder="1" applyAlignment="1">
      <alignment vertical="center"/>
    </xf>
    <xf numFmtId="164" fontId="61" fillId="67" borderId="250" xfId="48" applyFont="1" applyFill="1" applyBorder="1"/>
    <xf numFmtId="164" fontId="61" fillId="67" borderId="252" xfId="48" applyFont="1" applyFill="1" applyBorder="1"/>
    <xf numFmtId="164" fontId="61" fillId="67" borderId="255" xfId="48" applyFont="1" applyFill="1" applyBorder="1"/>
    <xf numFmtId="0" fontId="0" fillId="3" borderId="0" xfId="0" applyFont="1" applyFill="1" applyAlignment="1">
      <alignment horizontal="right"/>
    </xf>
    <xf numFmtId="0" fontId="61" fillId="3" borderId="0" xfId="0" applyFont="1" applyFill="1" applyAlignment="1">
      <alignment horizontal="right"/>
    </xf>
    <xf numFmtId="0" fontId="162" fillId="3" borderId="0" xfId="0" applyFont="1" applyFill="1" applyAlignment="1">
      <alignment horizontal="right" vertical="center" wrapText="1"/>
    </xf>
    <xf numFmtId="0" fontId="49" fillId="0" borderId="248" xfId="10" applyFont="1" applyBorder="1">
      <alignment horizontal="left" vertical="center" indent="1"/>
    </xf>
    <xf numFmtId="0" fontId="49" fillId="28" borderId="249" xfId="0" applyFont="1" applyFill="1" applyBorder="1" applyAlignment="1">
      <alignment horizontal="center" vertical="center"/>
    </xf>
    <xf numFmtId="168" fontId="49" fillId="24" borderId="249" xfId="11" applyFont="1" applyBorder="1">
      <alignment horizontal="right"/>
      <protection locked="0"/>
    </xf>
    <xf numFmtId="168" fontId="49" fillId="24" borderId="250" xfId="11" applyFont="1" applyBorder="1">
      <alignment horizontal="right"/>
      <protection locked="0"/>
    </xf>
    <xf numFmtId="0" fontId="49" fillId="0" borderId="251" xfId="10" applyFont="1" applyBorder="1">
      <alignment horizontal="left" vertical="center" indent="1"/>
    </xf>
    <xf numFmtId="0" fontId="49" fillId="28" borderId="241" xfId="0" applyFont="1" applyFill="1" applyBorder="1" applyAlignment="1">
      <alignment horizontal="center" vertical="center"/>
    </xf>
    <xf numFmtId="168" fontId="49" fillId="24" borderId="241" xfId="11" applyFont="1" applyBorder="1">
      <alignment horizontal="right"/>
      <protection locked="0"/>
    </xf>
    <xf numFmtId="168" fontId="49" fillId="24" borderId="252" xfId="11" applyFont="1" applyBorder="1">
      <alignment horizontal="right"/>
      <protection locked="0"/>
    </xf>
    <xf numFmtId="0" fontId="49" fillId="28" borderId="254" xfId="0" applyFont="1" applyFill="1" applyBorder="1" applyAlignment="1">
      <alignment horizontal="center" vertical="center"/>
    </xf>
    <xf numFmtId="168" fontId="49" fillId="24" borderId="254" xfId="11" applyFont="1" applyBorder="1">
      <alignment horizontal="right"/>
      <protection locked="0"/>
    </xf>
    <xf numFmtId="168" fontId="49" fillId="24" borderId="255" xfId="11" applyFont="1" applyBorder="1">
      <alignment horizontal="right"/>
      <protection locked="0"/>
    </xf>
    <xf numFmtId="165" fontId="154" fillId="2" borderId="0" xfId="46" applyNumberFormat="1" applyFont="1" applyFill="1" applyAlignment="1">
      <alignment vertical="center"/>
    </xf>
    <xf numFmtId="0" fontId="150" fillId="2" borderId="0" xfId="0" applyFont="1" applyFill="1" applyAlignment="1" applyProtection="1">
      <alignment vertical="center"/>
    </xf>
    <xf numFmtId="0" fontId="150" fillId="2" borderId="0" xfId="0" applyFont="1" applyFill="1" applyAlignment="1" applyProtection="1">
      <alignment horizontal="left" vertical="center"/>
    </xf>
    <xf numFmtId="0" fontId="144" fillId="26" borderId="0" xfId="0" applyFont="1" applyFill="1"/>
    <xf numFmtId="0" fontId="144" fillId="27" borderId="0" xfId="13" applyFont="1" applyAlignment="1">
      <alignment horizontal="left" vertical="center"/>
    </xf>
    <xf numFmtId="0" fontId="144" fillId="27" borderId="0" xfId="13" applyFont="1" applyAlignment="1"/>
    <xf numFmtId="0" fontId="150" fillId="16" borderId="0" xfId="0" applyFont="1" applyFill="1" applyAlignment="1" applyProtection="1">
      <alignment vertical="center"/>
    </xf>
    <xf numFmtId="0" fontId="39" fillId="16" borderId="0" xfId="0" applyFont="1" applyFill="1" applyAlignment="1" applyProtection="1">
      <alignment vertical="center"/>
    </xf>
    <xf numFmtId="0" fontId="150" fillId="16" borderId="0" xfId="0" applyFont="1" applyFill="1" applyAlignment="1" applyProtection="1">
      <alignment horizontal="center" vertical="center"/>
    </xf>
    <xf numFmtId="0" fontId="30" fillId="2" borderId="0" xfId="0" applyFont="1" applyFill="1" applyAlignment="1" applyProtection="1">
      <alignment vertical="center"/>
    </xf>
    <xf numFmtId="0" fontId="30" fillId="3" borderId="0" xfId="0" applyFont="1" applyFill="1" applyAlignment="1" applyProtection="1">
      <alignment vertical="center"/>
    </xf>
    <xf numFmtId="0" fontId="150" fillId="16" borderId="0" xfId="0" applyFont="1" applyFill="1" applyAlignment="1" applyProtection="1">
      <alignment horizontal="left" vertical="center"/>
    </xf>
    <xf numFmtId="0" fontId="150" fillId="2" borderId="0" xfId="0" applyFont="1" applyFill="1" applyAlignment="1" applyProtection="1">
      <alignment horizontal="center" vertical="center" wrapText="1"/>
    </xf>
    <xf numFmtId="0" fontId="150" fillId="2" borderId="0" xfId="0" applyFont="1" applyFill="1" applyAlignment="1" applyProtection="1">
      <alignment vertical="center" wrapText="1"/>
    </xf>
    <xf numFmtId="0" fontId="150" fillId="12" borderId="0" xfId="14" applyFont="1" applyProtection="1">
      <alignment horizontal="left" vertical="center"/>
    </xf>
    <xf numFmtId="0" fontId="150" fillId="12" borderId="0" xfId="3" applyFont="1" applyAlignment="1" applyProtection="1">
      <alignment horizontal="center" vertical="center"/>
    </xf>
    <xf numFmtId="0" fontId="150" fillId="12" borderId="0" xfId="3" applyFont="1" applyAlignment="1">
      <alignment horizontal="right" vertical="center"/>
      <protection locked="0"/>
    </xf>
    <xf numFmtId="0" fontId="150" fillId="16" borderId="0" xfId="0" applyFont="1" applyFill="1" applyBorder="1" applyAlignment="1">
      <alignment vertical="center"/>
    </xf>
    <xf numFmtId="0" fontId="164" fillId="16" borderId="2" xfId="0" applyFont="1" applyFill="1" applyBorder="1" applyAlignment="1">
      <alignment vertical="center"/>
    </xf>
    <xf numFmtId="0" fontId="30" fillId="2" borderId="0" xfId="0" applyFont="1" applyFill="1" applyProtection="1"/>
    <xf numFmtId="0" fontId="164" fillId="16" borderId="0" xfId="0" applyFont="1" applyFill="1" applyAlignment="1">
      <alignment horizontal="left" vertical="center"/>
    </xf>
    <xf numFmtId="0" fontId="164" fillId="16" borderId="0" xfId="0" applyFont="1" applyFill="1" applyAlignment="1">
      <alignment vertical="center"/>
    </xf>
    <xf numFmtId="0" fontId="47" fillId="2" borderId="0" xfId="0" applyFont="1" applyFill="1" applyAlignment="1" applyProtection="1">
      <alignment vertical="center" wrapText="1"/>
    </xf>
    <xf numFmtId="0" fontId="30" fillId="3" borderId="0" xfId="0" applyFont="1" applyFill="1" applyProtection="1"/>
    <xf numFmtId="0" fontId="150" fillId="12" borderId="0" xfId="0" applyFont="1" applyFill="1" applyAlignment="1" applyProtection="1">
      <alignment horizontal="left" vertical="center"/>
    </xf>
    <xf numFmtId="0" fontId="163" fillId="12" borderId="0" xfId="0" applyFont="1" applyFill="1" applyAlignment="1" applyProtection="1">
      <alignment vertical="center"/>
    </xf>
    <xf numFmtId="0" fontId="165" fillId="3" borderId="0" xfId="0" applyFont="1" applyFill="1" applyAlignment="1" applyProtection="1">
      <alignment horizontal="right" indent="1"/>
    </xf>
    <xf numFmtId="0" fontId="30" fillId="29" borderId="0" xfId="0" applyFont="1" applyFill="1" applyProtection="1"/>
    <xf numFmtId="0" fontId="144" fillId="27" borderId="0" xfId="13" applyNumberFormat="1" applyFont="1" applyAlignment="1">
      <alignment horizontal="left" vertical="center"/>
    </xf>
    <xf numFmtId="0" fontId="5" fillId="22" borderId="0" xfId="0" applyFont="1" applyFill="1" applyBorder="1" applyAlignment="1">
      <alignment vertical="center"/>
    </xf>
    <xf numFmtId="0" fontId="40" fillId="3" borderId="0" xfId="0" applyFont="1" applyFill="1" applyAlignment="1">
      <alignment vertical="center" wrapText="1"/>
    </xf>
    <xf numFmtId="0" fontId="40" fillId="3" borderId="0" xfId="0" applyFont="1" applyFill="1" applyAlignment="1" applyProtection="1">
      <alignment vertical="center" wrapText="1"/>
    </xf>
    <xf numFmtId="0" fontId="61" fillId="0" borderId="225" xfId="0" applyFont="1" applyBorder="1" applyAlignment="1" applyProtection="1">
      <alignment horizontal="center" vertical="center"/>
    </xf>
    <xf numFmtId="0" fontId="61" fillId="0" borderId="99" xfId="0" applyFont="1" applyBorder="1" applyAlignment="1" applyProtection="1">
      <alignment horizontal="left" vertical="center" indent="1"/>
    </xf>
    <xf numFmtId="0" fontId="61" fillId="0" borderId="71" xfId="0" applyFont="1" applyBorder="1" applyAlignment="1" applyProtection="1">
      <alignment horizontal="center" vertical="center"/>
    </xf>
    <xf numFmtId="168" fontId="61" fillId="4" borderId="241" xfId="43" applyFont="1" applyFill="1" applyBorder="1">
      <alignment horizontal="right" indent="2"/>
      <protection locked="0"/>
    </xf>
    <xf numFmtId="0" fontId="5" fillId="22" borderId="0" xfId="0" applyFont="1" applyFill="1" applyAlignment="1">
      <alignment horizontal="center"/>
    </xf>
    <xf numFmtId="0" fontId="49" fillId="3" borderId="69" xfId="0" applyFont="1" applyFill="1" applyBorder="1" applyAlignment="1" applyProtection="1">
      <alignment horizontal="center" wrapText="1"/>
    </xf>
    <xf numFmtId="168" fontId="49" fillId="24" borderId="70" xfId="11" applyFont="1" applyBorder="1">
      <alignment horizontal="right"/>
      <protection locked="0"/>
    </xf>
    <xf numFmtId="168" fontId="49" fillId="24" borderId="71" xfId="11" applyFont="1" applyBorder="1">
      <alignment horizontal="right"/>
      <protection locked="0"/>
    </xf>
    <xf numFmtId="168" fontId="49" fillId="24" borderId="118" xfId="11" applyFont="1" applyBorder="1">
      <alignment horizontal="right"/>
      <protection locked="0"/>
    </xf>
    <xf numFmtId="0" fontId="61" fillId="3" borderId="0" xfId="0" applyFont="1" applyFill="1" applyAlignment="1" applyProtection="1">
      <alignment horizontal="center"/>
    </xf>
    <xf numFmtId="0" fontId="40" fillId="3" borderId="0" xfId="0" applyFont="1" applyFill="1" applyAlignment="1" applyProtection="1">
      <alignment horizontal="left" vertical="center"/>
    </xf>
    <xf numFmtId="49" fontId="51" fillId="0" borderId="0" xfId="20" applyFont="1" applyBorder="1"/>
    <xf numFmtId="0" fontId="61" fillId="3" borderId="0" xfId="0" applyFont="1" applyFill="1" applyAlignment="1">
      <alignment horizontal="center"/>
    </xf>
    <xf numFmtId="0" fontId="169" fillId="3" borderId="0" xfId="0" applyFont="1" applyFill="1" applyAlignment="1">
      <alignment horizontal="right" vertical="center"/>
    </xf>
    <xf numFmtId="0" fontId="162" fillId="3" borderId="0" xfId="0" applyFont="1" applyFill="1" applyAlignment="1">
      <alignment horizontal="center" vertical="center" wrapText="1"/>
    </xf>
    <xf numFmtId="0" fontId="3" fillId="2" borderId="0" xfId="0" applyFont="1" applyFill="1"/>
    <xf numFmtId="168" fontId="49" fillId="24" borderId="225" xfId="11" applyFont="1" applyBorder="1">
      <alignment horizontal="right"/>
      <protection locked="0"/>
    </xf>
    <xf numFmtId="0" fontId="49" fillId="3" borderId="227" xfId="10" applyFont="1" applyFill="1" applyBorder="1">
      <alignment horizontal="left" vertical="center" indent="1"/>
    </xf>
    <xf numFmtId="0" fontId="3" fillId="2" borderId="0" xfId="0" applyNumberFormat="1" applyFont="1" applyFill="1" applyAlignment="1"/>
    <xf numFmtId="0" fontId="6" fillId="2" borderId="0" xfId="0" applyFont="1" applyFill="1"/>
    <xf numFmtId="0" fontId="3" fillId="2" borderId="0" xfId="0" applyFont="1" applyFill="1" applyProtection="1">
      <protection locked="0"/>
    </xf>
    <xf numFmtId="0" fontId="28" fillId="2" borderId="0" xfId="0" applyFont="1" applyFill="1"/>
    <xf numFmtId="0" fontId="3" fillId="3" borderId="0" xfId="0" applyFont="1" applyFill="1" applyAlignment="1" applyProtection="1">
      <alignment horizontal="right" indent="1"/>
    </xf>
    <xf numFmtId="0" fontId="5" fillId="3" borderId="0" xfId="0" applyFont="1" applyFill="1" applyProtection="1"/>
    <xf numFmtId="0" fontId="166" fillId="3" borderId="0" xfId="0" applyFont="1" applyFill="1" applyAlignment="1" applyProtection="1">
      <alignment horizontal="center" vertical="center"/>
    </xf>
    <xf numFmtId="0" fontId="151" fillId="3" borderId="0" xfId="0" applyFont="1" applyFill="1"/>
    <xf numFmtId="0" fontId="148" fillId="69" borderId="57" xfId="25" applyNumberFormat="1" applyFont="1" applyBorder="1" applyAlignment="1">
      <alignment horizontal="center" vertical="center" wrapText="1"/>
    </xf>
    <xf numFmtId="0" fontId="148" fillId="69" borderId="48" xfId="25" applyNumberFormat="1" applyFont="1" applyBorder="1" applyAlignment="1">
      <alignment horizontal="center" vertical="center" wrapText="1"/>
    </xf>
    <xf numFmtId="0" fontId="49" fillId="3" borderId="249" xfId="0" applyFont="1" applyFill="1" applyBorder="1" applyAlignment="1">
      <alignment horizontal="center" vertical="center"/>
    </xf>
    <xf numFmtId="0" fontId="49" fillId="3" borderId="241" xfId="0" applyFont="1" applyFill="1" applyBorder="1" applyAlignment="1">
      <alignment horizontal="center" vertical="center"/>
    </xf>
    <xf numFmtId="0" fontId="167" fillId="3" borderId="241" xfId="0" applyFont="1" applyFill="1" applyBorder="1" applyAlignment="1">
      <alignment horizontal="center" vertical="center"/>
    </xf>
    <xf numFmtId="0" fontId="49" fillId="0" borderId="253" xfId="10" applyFont="1" applyBorder="1">
      <alignment horizontal="left" vertical="center" indent="1"/>
    </xf>
    <xf numFmtId="0" fontId="49" fillId="3" borderId="254" xfId="0" applyFont="1" applyFill="1" applyBorder="1" applyAlignment="1">
      <alignment horizontal="center" vertical="center"/>
    </xf>
    <xf numFmtId="0" fontId="3" fillId="2" borderId="52" xfId="4" applyFont="1" applyBorder="1">
      <alignment vertical="center"/>
      <protection locked="0"/>
    </xf>
    <xf numFmtId="0" fontId="3" fillId="2" borderId="112" xfId="4" applyFont="1" applyBorder="1">
      <alignment vertical="center"/>
      <protection locked="0"/>
    </xf>
    <xf numFmtId="0" fontId="3" fillId="2" borderId="82" xfId="4" applyFont="1" applyBorder="1">
      <alignment vertical="center"/>
      <protection locked="0"/>
    </xf>
    <xf numFmtId="49" fontId="51" fillId="3" borderId="63" xfId="20" applyFont="1" applyFill="1"/>
    <xf numFmtId="0" fontId="148" fillId="66" borderId="0" xfId="0" applyNumberFormat="1" applyFont="1" applyFill="1" applyBorder="1" applyAlignment="1">
      <alignment horizontal="centerContinuous" vertical="center" wrapText="1"/>
    </xf>
    <xf numFmtId="0" fontId="6" fillId="3" borderId="0" xfId="0" applyFont="1" applyFill="1"/>
    <xf numFmtId="0" fontId="49" fillId="3" borderId="0" xfId="40" applyFont="1" applyFill="1" applyAlignment="1">
      <alignment vertical="center" wrapText="1"/>
    </xf>
    <xf numFmtId="0" fontId="49" fillId="76" borderId="241" xfId="41" applyFont="1" applyFill="1" applyBorder="1" applyAlignment="1">
      <alignment horizontal="left" vertical="center" indent="2"/>
    </xf>
    <xf numFmtId="0" fontId="49" fillId="3" borderId="0" xfId="44" applyFont="1" applyFill="1"/>
    <xf numFmtId="170" fontId="48" fillId="3" borderId="0" xfId="40" applyNumberFormat="1" applyFont="1" applyFill="1" applyAlignment="1">
      <alignment horizontal="center"/>
    </xf>
    <xf numFmtId="0" fontId="168" fillId="26" borderId="0" xfId="39" applyFont="1" applyBorder="1" applyProtection="1">
      <alignment vertical="center"/>
    </xf>
    <xf numFmtId="0" fontId="3" fillId="2" borderId="0" xfId="45" applyFont="1" applyFill="1" applyBorder="1" applyProtection="1">
      <protection locked="0"/>
    </xf>
    <xf numFmtId="0" fontId="3" fillId="2" borderId="0" xfId="45" applyFont="1" applyFill="1" applyBorder="1"/>
    <xf numFmtId="0" fontId="49" fillId="76" borderId="248" xfId="41" applyFont="1" applyFill="1" applyBorder="1" applyAlignment="1">
      <alignment vertical="center" wrapText="1"/>
    </xf>
    <xf numFmtId="0" fontId="49" fillId="76" borderId="249" xfId="41" applyFont="1" applyFill="1" applyBorder="1" applyAlignment="1">
      <alignment horizontal="left" vertical="center" indent="2"/>
    </xf>
    <xf numFmtId="168" fontId="61" fillId="4" borderId="249" xfId="43" applyFont="1" applyFill="1" applyBorder="1">
      <alignment horizontal="right" indent="2"/>
      <protection locked="0"/>
    </xf>
    <xf numFmtId="0" fontId="49" fillId="76" borderId="253" xfId="41" applyFont="1" applyFill="1" applyBorder="1" applyAlignment="1">
      <alignment vertical="center" wrapText="1"/>
    </xf>
    <xf numFmtId="0" fontId="49" fillId="76" borderId="254" xfId="41" applyFont="1" applyFill="1" applyBorder="1" applyAlignment="1">
      <alignment horizontal="left" vertical="center" indent="2"/>
    </xf>
    <xf numFmtId="168" fontId="61" fillId="4" borderId="250" xfId="43" applyFont="1" applyFill="1" applyBorder="1">
      <alignment horizontal="right" indent="2"/>
      <protection locked="0"/>
    </xf>
    <xf numFmtId="0" fontId="49" fillId="76" borderId="251" xfId="41" applyFont="1" applyFill="1" applyBorder="1" applyAlignment="1">
      <alignment horizontal="left" vertical="center" wrapText="1" indent="1"/>
    </xf>
    <xf numFmtId="0" fontId="51" fillId="76" borderId="248" xfId="41" applyFont="1" applyFill="1" applyBorder="1" applyAlignment="1">
      <alignment vertical="center" wrapText="1"/>
    </xf>
    <xf numFmtId="168" fontId="61" fillId="4" borderId="252" xfId="43" applyFont="1" applyFill="1" applyBorder="1">
      <alignment horizontal="right" indent="2"/>
      <protection locked="0"/>
    </xf>
    <xf numFmtId="168" fontId="61" fillId="7" borderId="249" xfId="0" applyNumberFormat="1" applyFont="1" applyFill="1" applyBorder="1"/>
    <xf numFmtId="168" fontId="61" fillId="7" borderId="250" xfId="0" applyNumberFormat="1" applyFont="1" applyFill="1" applyBorder="1"/>
    <xf numFmtId="0" fontId="148" fillId="66" borderId="52" xfId="0" applyNumberFormat="1" applyFont="1" applyFill="1" applyBorder="1" applyAlignment="1">
      <alignment horizontal="center" vertical="center" wrapText="1"/>
    </xf>
    <xf numFmtId="0" fontId="148" fillId="66" borderId="112" xfId="0" applyNumberFormat="1" applyFont="1" applyFill="1" applyBorder="1" applyAlignment="1">
      <alignment horizontal="center" vertical="center" wrapText="1"/>
    </xf>
    <xf numFmtId="165" fontId="152" fillId="66" borderId="112" xfId="33" applyNumberFormat="1" applyFont="1" applyFill="1" applyBorder="1" applyAlignment="1">
      <alignment horizontal="center" vertical="center" wrapText="1"/>
    </xf>
    <xf numFmtId="165" fontId="152" fillId="66" borderId="82" xfId="33" applyNumberFormat="1" applyFont="1" applyFill="1" applyBorder="1" applyAlignment="1">
      <alignment horizontal="center" vertical="center" wrapText="1"/>
    </xf>
    <xf numFmtId="0" fontId="105" fillId="3" borderId="0" xfId="0" applyFont="1" applyFill="1"/>
    <xf numFmtId="0" fontId="49" fillId="3" borderId="113" xfId="0" applyFont="1" applyFill="1" applyBorder="1" applyAlignment="1" applyProtection="1">
      <alignment horizontal="center" wrapText="1"/>
    </xf>
    <xf numFmtId="0" fontId="51" fillId="18" borderId="262" xfId="0" applyFont="1" applyFill="1" applyBorder="1" applyAlignment="1" applyProtection="1">
      <alignment horizontal="center" vertical="center"/>
    </xf>
    <xf numFmtId="0" fontId="51" fillId="18" borderId="256" xfId="0" applyFont="1" applyFill="1" applyBorder="1" applyAlignment="1" applyProtection="1">
      <alignment horizontal="center" vertical="center"/>
    </xf>
    <xf numFmtId="0" fontId="51" fillId="18" borderId="263" xfId="0" applyFont="1" applyFill="1" applyBorder="1" applyAlignment="1" applyProtection="1">
      <alignment horizontal="center" vertical="center"/>
    </xf>
    <xf numFmtId="0" fontId="51" fillId="66" borderId="257" xfId="0" applyFont="1" applyFill="1" applyBorder="1" applyAlignment="1" applyProtection="1">
      <alignment horizontal="center" vertical="center"/>
    </xf>
    <xf numFmtId="0" fontId="51" fillId="66" borderId="262" xfId="0" applyFont="1" applyFill="1" applyBorder="1" applyAlignment="1" applyProtection="1">
      <alignment horizontal="center" vertical="center"/>
    </xf>
    <xf numFmtId="0" fontId="51" fillId="66" borderId="256" xfId="0" applyFont="1" applyFill="1" applyBorder="1" applyAlignment="1" applyProtection="1">
      <alignment horizontal="center" vertical="center"/>
    </xf>
    <xf numFmtId="0" fontId="0" fillId="3" borderId="0" xfId="0" applyFont="1" applyFill="1" applyAlignment="1"/>
    <xf numFmtId="0" fontId="148" fillId="3" borderId="0" xfId="0" applyFont="1" applyFill="1" applyAlignment="1"/>
    <xf numFmtId="0" fontId="59" fillId="3" borderId="0" xfId="0" applyFont="1" applyFill="1" applyAlignment="1">
      <alignment horizontal="center" vertical="center"/>
    </xf>
    <xf numFmtId="0" fontId="59" fillId="3" borderId="0" xfId="0" applyFont="1" applyFill="1" applyAlignment="1">
      <alignment horizontal="left" vertical="center" indent="1"/>
    </xf>
    <xf numFmtId="0" fontId="148" fillId="3" borderId="0" xfId="0" applyFont="1" applyFill="1"/>
    <xf numFmtId="0" fontId="44" fillId="3" borderId="0" xfId="0" applyFont="1" applyFill="1" applyBorder="1" applyAlignment="1">
      <alignment horizontal="center"/>
    </xf>
    <xf numFmtId="0" fontId="49" fillId="3" borderId="0" xfId="7" applyFont="1" applyFill="1" applyBorder="1">
      <alignment vertical="center"/>
    </xf>
    <xf numFmtId="0" fontId="148" fillId="66" borderId="82" xfId="0" applyNumberFormat="1" applyFont="1" applyFill="1" applyBorder="1" applyAlignment="1">
      <alignment horizontal="center" vertical="center" wrapText="1"/>
    </xf>
    <xf numFmtId="0" fontId="39" fillId="3" borderId="0" xfId="0" applyFont="1" applyFill="1"/>
    <xf numFmtId="0" fontId="6" fillId="3" borderId="0" xfId="0" applyFont="1" applyFill="1" applyAlignment="1">
      <alignment horizontal="left" vertical="center" indent="1"/>
    </xf>
    <xf numFmtId="0" fontId="49" fillId="76" borderId="0" xfId="0" applyFont="1" applyFill="1" applyBorder="1" applyAlignment="1">
      <alignment horizontal="center" vertical="center"/>
    </xf>
    <xf numFmtId="0" fontId="49" fillId="3" borderId="248" xfId="10" applyFont="1" applyFill="1" applyBorder="1">
      <alignment horizontal="left" vertical="center" indent="1"/>
    </xf>
    <xf numFmtId="0" fontId="6" fillId="3" borderId="0" xfId="0" applyFont="1" applyFill="1" applyAlignment="1">
      <alignment horizontal="center" vertical="center"/>
    </xf>
    <xf numFmtId="0" fontId="104" fillId="3" borderId="0" xfId="10" applyFont="1" applyFill="1" applyBorder="1" applyAlignment="1">
      <alignment horizontal="left" vertical="center" indent="3"/>
    </xf>
    <xf numFmtId="0" fontId="40" fillId="76" borderId="0" xfId="0" applyFont="1" applyFill="1" applyBorder="1" applyAlignment="1">
      <alignment horizontal="center" vertical="center"/>
    </xf>
    <xf numFmtId="0" fontId="49" fillId="0" borderId="237" xfId="10" applyFont="1" applyBorder="1">
      <alignment horizontal="left" vertical="center" indent="1"/>
    </xf>
    <xf numFmtId="0" fontId="49" fillId="0" borderId="239" xfId="10" applyFont="1" applyBorder="1">
      <alignment horizontal="left" vertical="center" indent="1"/>
    </xf>
    <xf numFmtId="0" fontId="49" fillId="0" borderId="52" xfId="10" applyFont="1" applyBorder="1">
      <alignment horizontal="left" vertical="center" indent="1"/>
    </xf>
    <xf numFmtId="168" fontId="49" fillId="24" borderId="228" xfId="11" applyFont="1" applyBorder="1">
      <alignment horizontal="right"/>
      <protection locked="0"/>
    </xf>
    <xf numFmtId="0" fontId="148" fillId="66" borderId="0" xfId="0" applyNumberFormat="1" applyFont="1" applyFill="1" applyAlignment="1">
      <alignment horizontal="center" vertical="center" wrapText="1"/>
    </xf>
    <xf numFmtId="0" fontId="92" fillId="62" borderId="223" xfId="0" applyFont="1" applyFill="1" applyBorder="1" applyAlignment="1">
      <alignment horizontal="left" vertical="center" indent="1"/>
    </xf>
    <xf numFmtId="0" fontId="92" fillId="39" borderId="223" xfId="0" applyFont="1" applyFill="1" applyBorder="1" applyAlignment="1">
      <alignment horizontal="left" vertical="center" indent="1"/>
    </xf>
    <xf numFmtId="0" fontId="92" fillId="40" borderId="223" xfId="0" applyFont="1" applyFill="1" applyBorder="1" applyAlignment="1">
      <alignment horizontal="left" vertical="center" indent="1"/>
    </xf>
    <xf numFmtId="165" fontId="3" fillId="2" borderId="0" xfId="46" applyNumberFormat="1" applyFont="1" applyFill="1" applyAlignment="1">
      <alignment vertical="center"/>
    </xf>
    <xf numFmtId="0" fontId="6" fillId="2" borderId="0" xfId="38" applyFont="1" applyFill="1" applyAlignment="1">
      <alignment vertical="center" wrapText="1"/>
    </xf>
    <xf numFmtId="0" fontId="61" fillId="3" borderId="0" xfId="0" applyFont="1" applyFill="1" applyAlignment="1"/>
    <xf numFmtId="0" fontId="161" fillId="3" borderId="46" xfId="0" applyFont="1" applyFill="1" applyBorder="1" applyAlignment="1">
      <alignment horizontal="right"/>
    </xf>
    <xf numFmtId="0" fontId="49" fillId="76" borderId="46" xfId="0" applyFont="1" applyFill="1" applyBorder="1" applyAlignment="1">
      <alignment horizontal="center" vertical="center"/>
    </xf>
    <xf numFmtId="49" fontId="170" fillId="3" borderId="0" xfId="20" applyFont="1" applyFill="1" applyBorder="1" applyAlignment="1">
      <alignment horizontal="right"/>
    </xf>
    <xf numFmtId="0" fontId="49" fillId="3" borderId="0" xfId="7" applyFont="1" applyFill="1">
      <alignment vertical="center"/>
    </xf>
    <xf numFmtId="0" fontId="61" fillId="3" borderId="0" xfId="0" applyFont="1" applyFill="1" applyAlignment="1">
      <alignment horizontal="left"/>
    </xf>
    <xf numFmtId="0" fontId="44" fillId="3" borderId="0" xfId="0" applyNumberFormat="1" applyFont="1" applyFill="1" applyAlignment="1"/>
    <xf numFmtId="0" fontId="49" fillId="4" borderId="248" xfId="10" applyFont="1" applyFill="1" applyBorder="1">
      <alignment horizontal="left" vertical="center" indent="1"/>
    </xf>
    <xf numFmtId="0" fontId="49" fillId="4" borderId="251" xfId="10" applyFont="1" applyFill="1" applyBorder="1">
      <alignment horizontal="left" vertical="center" indent="1"/>
    </xf>
    <xf numFmtId="0" fontId="49" fillId="4" borderId="253" xfId="10" applyFont="1" applyFill="1" applyBorder="1">
      <alignment horizontal="left" vertical="center" indent="1"/>
    </xf>
    <xf numFmtId="0" fontId="144" fillId="76" borderId="0" xfId="0" applyFont="1" applyFill="1"/>
    <xf numFmtId="0" fontId="144" fillId="76" borderId="0" xfId="13" applyFont="1" applyFill="1" applyAlignment="1"/>
    <xf numFmtId="0" fontId="49" fillId="0" borderId="238" xfId="10" applyFont="1" applyBorder="1">
      <alignment horizontal="left" vertical="center" indent="1"/>
    </xf>
    <xf numFmtId="168" fontId="49" fillId="46" borderId="69" xfId="11" applyFont="1" applyFill="1" applyBorder="1">
      <alignment horizontal="right"/>
      <protection locked="0"/>
    </xf>
    <xf numFmtId="0" fontId="159" fillId="0" borderId="238" xfId="10" applyFont="1" applyBorder="1" applyAlignment="1">
      <alignment horizontal="left" vertical="center" indent="3"/>
    </xf>
    <xf numFmtId="0" fontId="49" fillId="0" borderId="237" xfId="10" applyFont="1" applyBorder="1" applyAlignment="1">
      <alignment horizontal="left" vertical="center" indent="1"/>
    </xf>
    <xf numFmtId="0" fontId="49" fillId="0" borderId="238" xfId="10" applyFont="1" applyBorder="1" applyAlignment="1">
      <alignment horizontal="left" vertical="center" indent="1"/>
    </xf>
    <xf numFmtId="0" fontId="49" fillId="28" borderId="112" xfId="0" applyFont="1" applyFill="1" applyBorder="1" applyAlignment="1">
      <alignment horizontal="center" vertical="center"/>
    </xf>
    <xf numFmtId="168" fontId="49" fillId="46" borderId="113" xfId="11" applyFont="1" applyFill="1" applyBorder="1">
      <alignment horizontal="right"/>
      <protection locked="0"/>
    </xf>
    <xf numFmtId="168" fontId="49" fillId="46" borderId="222" xfId="11" applyFont="1" applyFill="1" applyBorder="1">
      <alignment horizontal="right"/>
      <protection locked="0"/>
    </xf>
    <xf numFmtId="0" fontId="159" fillId="3" borderId="0" xfId="10" applyFont="1" applyFill="1" applyBorder="1" applyAlignment="1">
      <alignment horizontal="left" vertical="center" indent="3"/>
    </xf>
    <xf numFmtId="168" fontId="49" fillId="46" borderId="252" xfId="11" applyFont="1" applyFill="1" applyBorder="1">
      <alignment horizontal="right"/>
      <protection locked="0"/>
    </xf>
    <xf numFmtId="0" fontId="159" fillId="0" borderId="251" xfId="10" applyFont="1" applyBorder="1" applyAlignment="1">
      <alignment horizontal="left" vertical="center" indent="3"/>
    </xf>
    <xf numFmtId="169" fontId="155" fillId="3" borderId="0" xfId="24" applyNumberFormat="1" applyFont="1" applyFill="1" applyBorder="1" applyAlignment="1">
      <alignment horizontal="right" vertical="center"/>
      <protection locked="0"/>
    </xf>
    <xf numFmtId="169" fontId="156" fillId="7" borderId="0" xfId="24" applyFont="1" applyFill="1" applyBorder="1">
      <alignment horizontal="right" vertical="center"/>
      <protection locked="0"/>
    </xf>
    <xf numFmtId="0" fontId="49" fillId="3" borderId="0" xfId="10" applyFont="1" applyFill="1" applyBorder="1">
      <alignment horizontal="left" vertical="center" indent="1"/>
    </xf>
    <xf numFmtId="49" fontId="51" fillId="3" borderId="63" xfId="20" applyFont="1" applyFill="1" applyBorder="1"/>
    <xf numFmtId="0" fontId="44" fillId="3" borderId="63" xfId="0" applyFont="1" applyFill="1" applyBorder="1"/>
    <xf numFmtId="49" fontId="51" fillId="3" borderId="0" xfId="20" applyNumberFormat="1" applyFont="1" applyFill="1" applyBorder="1" applyAlignment="1"/>
    <xf numFmtId="169" fontId="156" fillId="7" borderId="82" xfId="24" applyFont="1" applyFill="1" applyBorder="1">
      <alignment horizontal="right" vertical="center"/>
      <protection locked="0"/>
    </xf>
    <xf numFmtId="0" fontId="61" fillId="3" borderId="0" xfId="0" applyFont="1" applyFill="1" applyAlignment="1">
      <alignment horizontal="right" wrapText="1"/>
    </xf>
    <xf numFmtId="0" fontId="51" fillId="3" borderId="0" xfId="7" applyNumberFormat="1" applyFont="1" applyFill="1" applyAlignment="1">
      <alignment vertical="center"/>
    </xf>
    <xf numFmtId="49" fontId="51" fillId="0" borderId="227" xfId="20" applyFont="1" applyBorder="1" applyProtection="1"/>
    <xf numFmtId="0" fontId="44" fillId="0" borderId="99" xfId="0" applyFont="1" applyBorder="1" applyAlignment="1" applyProtection="1">
      <alignment horizontal="left" vertical="center" indent="1"/>
    </xf>
    <xf numFmtId="170" fontId="61" fillId="0" borderId="69" xfId="0" applyNumberFormat="1" applyFont="1" applyBorder="1" applyProtection="1"/>
    <xf numFmtId="0" fontId="61" fillId="0" borderId="99" xfId="0" applyFont="1" applyBorder="1" applyAlignment="1" applyProtection="1">
      <alignment horizontal="left" vertical="center" indent="2"/>
    </xf>
    <xf numFmtId="0" fontId="44" fillId="0" borderId="98" xfId="0" applyFont="1" applyBorder="1" applyAlignment="1" applyProtection="1">
      <alignment vertical="center"/>
    </xf>
    <xf numFmtId="168" fontId="49" fillId="4" borderId="113" xfId="15" applyFont="1" applyBorder="1">
      <alignment horizontal="right"/>
      <protection locked="0"/>
    </xf>
    <xf numFmtId="168" fontId="49" fillId="4" borderId="69" xfId="15" applyFont="1" applyBorder="1">
      <alignment horizontal="right"/>
      <protection locked="0"/>
    </xf>
    <xf numFmtId="168" fontId="49" fillId="4" borderId="222" xfId="15" applyFont="1" applyBorder="1">
      <alignment horizontal="right"/>
      <protection locked="0"/>
    </xf>
    <xf numFmtId="0" fontId="61" fillId="3" borderId="0" xfId="0" applyFont="1" applyFill="1" applyBorder="1" applyProtection="1"/>
    <xf numFmtId="174" fontId="49" fillId="4" borderId="113" xfId="17" applyFont="1" applyBorder="1">
      <alignment horizontal="right"/>
      <protection locked="0"/>
    </xf>
    <xf numFmtId="174" fontId="49" fillId="4" borderId="69" xfId="17" applyFont="1" applyBorder="1">
      <alignment horizontal="right"/>
      <protection locked="0"/>
    </xf>
    <xf numFmtId="174" fontId="49" fillId="4" borderId="222" xfId="17" applyFont="1" applyBorder="1">
      <alignment horizontal="right"/>
      <protection locked="0"/>
    </xf>
    <xf numFmtId="0" fontId="61" fillId="3" borderId="227" xfId="0" applyFont="1" applyFill="1" applyBorder="1" applyAlignment="1" applyProtection="1">
      <alignment horizontal="left" vertical="center" wrapText="1" indent="1"/>
    </xf>
    <xf numFmtId="0" fontId="61" fillId="3" borderId="99" xfId="0" applyFont="1" applyFill="1" applyBorder="1" applyAlignment="1" applyProtection="1">
      <alignment horizontal="left" vertical="center" wrapText="1" indent="2"/>
    </xf>
    <xf numFmtId="0" fontId="61" fillId="3" borderId="98" xfId="0" applyFont="1" applyFill="1" applyBorder="1" applyAlignment="1" applyProtection="1">
      <alignment horizontal="left" vertical="center" wrapText="1" indent="1"/>
    </xf>
    <xf numFmtId="0" fontId="114" fillId="3" borderId="0" xfId="0" applyFont="1" applyFill="1"/>
    <xf numFmtId="169" fontId="156" fillId="7" borderId="222" xfId="24" applyFont="1" applyFill="1" applyBorder="1">
      <alignment horizontal="right" vertical="center"/>
      <protection locked="0"/>
    </xf>
    <xf numFmtId="49" fontId="160" fillId="3" borderId="0" xfId="21" applyFont="1" applyFill="1">
      <alignment vertical="center"/>
    </xf>
    <xf numFmtId="0" fontId="171" fillId="3" borderId="0" xfId="0" applyFont="1" applyFill="1" applyAlignment="1" applyProtection="1">
      <alignment horizontal="right" indent="1"/>
    </xf>
    <xf numFmtId="0" fontId="15" fillId="39" borderId="223" xfId="0" applyFont="1" applyFill="1" applyBorder="1" applyAlignment="1">
      <alignment vertical="center"/>
    </xf>
    <xf numFmtId="0" fontId="15" fillId="63" borderId="223" xfId="0" applyFont="1" applyFill="1" applyBorder="1" applyAlignment="1">
      <alignment vertical="center"/>
    </xf>
    <xf numFmtId="0" fontId="4" fillId="3" borderId="0" xfId="0" applyFont="1" applyFill="1"/>
    <xf numFmtId="168" fontId="49" fillId="24" borderId="71" xfId="11" applyFont="1" applyBorder="1" applyAlignment="1">
      <alignment horizontal="left"/>
      <protection locked="0"/>
    </xf>
    <xf numFmtId="168" fontId="49" fillId="24" borderId="227" xfId="11" applyFont="1" applyBorder="1" applyAlignment="1">
      <alignment horizontal="left"/>
      <protection locked="0"/>
    </xf>
    <xf numFmtId="168" fontId="49" fillId="24" borderId="225" xfId="11" applyFont="1" applyBorder="1" applyAlignment="1">
      <alignment horizontal="left"/>
      <protection locked="0"/>
    </xf>
    <xf numFmtId="168" fontId="49" fillId="24" borderId="99" xfId="11" applyFont="1" applyBorder="1" applyAlignment="1">
      <alignment horizontal="left"/>
      <protection locked="0"/>
    </xf>
    <xf numFmtId="168" fontId="49" fillId="24" borderId="98" xfId="11" applyFont="1" applyBorder="1" applyAlignment="1">
      <alignment horizontal="left"/>
      <protection locked="0"/>
    </xf>
    <xf numFmtId="168" fontId="49" fillId="24" borderId="118" xfId="11" applyFont="1" applyBorder="1" applyAlignment="1">
      <alignment horizontal="left"/>
      <protection locked="0"/>
    </xf>
    <xf numFmtId="0" fontId="148" fillId="69" borderId="52" xfId="25" applyFont="1" applyBorder="1">
      <alignment horizontal="center" vertical="center" wrapText="1"/>
    </xf>
    <xf numFmtId="0" fontId="148" fillId="69" borderId="112" xfId="25" applyFont="1" applyBorder="1">
      <alignment horizontal="center" vertical="center" wrapText="1"/>
    </xf>
    <xf numFmtId="0" fontId="148" fillId="69" borderId="82" xfId="25" applyFont="1" applyBorder="1">
      <alignment horizontal="center" vertical="center" wrapText="1"/>
    </xf>
    <xf numFmtId="0" fontId="0" fillId="3" borderId="0" xfId="0" applyFont="1" applyFill="1" applyAlignment="1" applyProtection="1">
      <alignment horizontal="right" wrapText="1" indent="1"/>
    </xf>
    <xf numFmtId="0" fontId="3" fillId="2" borderId="0" xfId="37" applyFont="1">
      <alignment vertical="center"/>
      <protection locked="0"/>
    </xf>
    <xf numFmtId="169" fontId="157" fillId="67" borderId="69" xfId="6" applyFont="1" applyFill="1" applyBorder="1">
      <alignment horizontal="right" vertical="center"/>
      <protection locked="0"/>
    </xf>
    <xf numFmtId="0" fontId="49" fillId="4" borderId="99" xfId="36" applyFont="1" applyFill="1" applyBorder="1" applyAlignment="1">
      <alignment horizontal="left" vertical="center" wrapText="1" indent="2"/>
    </xf>
    <xf numFmtId="49" fontId="44" fillId="4" borderId="0" xfId="16" applyFont="1" applyFill="1" applyBorder="1" applyAlignment="1">
      <protection locked="0"/>
    </xf>
    <xf numFmtId="0" fontId="61" fillId="0" borderId="99" xfId="0" applyFont="1" applyBorder="1" applyAlignment="1" applyProtection="1">
      <alignment horizontal="left" vertical="center" indent="3"/>
    </xf>
    <xf numFmtId="168" fontId="49" fillId="74" borderId="113" xfId="15" applyFont="1" applyFill="1" applyBorder="1">
      <alignment horizontal="right"/>
      <protection locked="0"/>
    </xf>
    <xf numFmtId="168" fontId="49" fillId="74" borderId="69" xfId="15" applyFont="1" applyFill="1" applyBorder="1">
      <alignment horizontal="right"/>
      <protection locked="0"/>
    </xf>
    <xf numFmtId="168" fontId="49" fillId="74" borderId="222" xfId="15" applyFont="1" applyFill="1" applyBorder="1">
      <alignment horizontal="right"/>
      <protection locked="0"/>
    </xf>
    <xf numFmtId="49" fontId="51" fillId="3" borderId="0" xfId="20" applyFont="1" applyFill="1" applyBorder="1" applyProtection="1">
      <protection locked="0"/>
    </xf>
    <xf numFmtId="49" fontId="51" fillId="3" borderId="227" xfId="20" applyFont="1" applyFill="1" applyBorder="1" applyProtection="1"/>
    <xf numFmtId="0" fontId="61" fillId="3" borderId="225" xfId="0" applyFont="1" applyFill="1" applyBorder="1" applyAlignment="1" applyProtection="1">
      <alignment horizontal="center" vertical="center"/>
    </xf>
    <xf numFmtId="0" fontId="61" fillId="3" borderId="99" xfId="0" applyFont="1" applyFill="1" applyBorder="1" applyAlignment="1" applyProtection="1">
      <alignment horizontal="left" vertical="center" indent="1"/>
    </xf>
    <xf numFmtId="0" fontId="44" fillId="3" borderId="71" xfId="0" applyFont="1" applyFill="1" applyBorder="1" applyAlignment="1" applyProtection="1">
      <alignment horizontal="center" vertical="center"/>
    </xf>
    <xf numFmtId="0" fontId="61" fillId="3" borderId="99" xfId="0" applyFont="1" applyFill="1" applyBorder="1" applyAlignment="1" applyProtection="1">
      <alignment horizontal="left" vertical="center" indent="3"/>
    </xf>
    <xf numFmtId="0" fontId="61" fillId="3" borderId="71" xfId="0" applyFont="1" applyFill="1" applyBorder="1" applyAlignment="1" applyProtection="1">
      <alignment horizontal="center" vertical="center"/>
    </xf>
    <xf numFmtId="0" fontId="44" fillId="3" borderId="98" xfId="0" applyFont="1" applyFill="1" applyBorder="1" applyAlignment="1" applyProtection="1">
      <alignment vertical="center"/>
    </xf>
    <xf numFmtId="0" fontId="61" fillId="3" borderId="118" xfId="0" applyFont="1" applyFill="1" applyBorder="1" applyAlignment="1" applyProtection="1">
      <alignment horizontal="center" vertical="center"/>
    </xf>
    <xf numFmtId="49" fontId="44" fillId="3" borderId="0" xfId="16" applyFont="1" applyFill="1" applyBorder="1" applyAlignment="1">
      <alignment vertical="top"/>
      <protection locked="0"/>
    </xf>
    <xf numFmtId="0" fontId="3" fillId="2" borderId="0" xfId="37" applyFont="1" applyBorder="1" applyProtection="1">
      <alignment vertical="center"/>
    </xf>
    <xf numFmtId="168" fontId="49" fillId="4" borderId="71" xfId="15" applyFont="1" applyBorder="1">
      <alignment horizontal="right"/>
      <protection locked="0"/>
    </xf>
    <xf numFmtId="168" fontId="49" fillId="4" borderId="225" xfId="15" applyFont="1" applyBorder="1">
      <alignment horizontal="right"/>
      <protection locked="0"/>
    </xf>
    <xf numFmtId="0" fontId="49" fillId="3" borderId="0" xfId="36" applyFont="1" applyFill="1" applyBorder="1">
      <alignment horizontal="left" vertical="center" wrapText="1" indent="1"/>
    </xf>
    <xf numFmtId="0" fontId="61" fillId="3" borderId="0" xfId="0" applyFont="1" applyFill="1" applyBorder="1" applyAlignment="1" applyProtection="1">
      <alignment horizontal="center" vertical="center" wrapText="1"/>
    </xf>
    <xf numFmtId="168" fontId="49" fillId="4" borderId="118" xfId="15" applyFont="1" applyBorder="1">
      <alignment horizontal="right"/>
      <protection locked="0"/>
    </xf>
    <xf numFmtId="0" fontId="4" fillId="3" borderId="0" xfId="0" applyFont="1" applyFill="1" applyAlignment="1">
      <alignment vertical="center"/>
    </xf>
    <xf numFmtId="49" fontId="51" fillId="0" borderId="0" xfId="20" applyFont="1" applyBorder="1" applyProtection="1"/>
    <xf numFmtId="0" fontId="49" fillId="0" borderId="227" xfId="10" applyFont="1" applyBorder="1" applyAlignment="1">
      <alignment horizontal="left" vertical="center" wrapText="1" indent="4"/>
    </xf>
    <xf numFmtId="0" fontId="49" fillId="0" borderId="99" xfId="10" applyFont="1" applyBorder="1" applyAlignment="1">
      <alignment horizontal="left" vertical="center" wrapText="1" indent="4"/>
    </xf>
    <xf numFmtId="0" fontId="49" fillId="0" borderId="98" xfId="10" applyFont="1" applyBorder="1" applyAlignment="1">
      <alignment horizontal="left" vertical="center" wrapText="1" indent="4"/>
    </xf>
    <xf numFmtId="0" fontId="118" fillId="3" borderId="0" xfId="0" applyFont="1" applyFill="1" applyProtection="1"/>
    <xf numFmtId="0" fontId="172" fillId="7" borderId="0" xfId="0" applyFont="1" applyFill="1" applyBorder="1" applyAlignment="1">
      <alignment horizontal="left" vertical="center"/>
    </xf>
    <xf numFmtId="49" fontId="51" fillId="3" borderId="0" xfId="20" applyFont="1" applyFill="1" applyBorder="1" applyProtection="1"/>
    <xf numFmtId="0" fontId="171" fillId="3" borderId="0" xfId="0" applyFont="1" applyFill="1" applyBorder="1" applyAlignment="1" applyProtection="1">
      <alignment horizontal="right" indent="1"/>
    </xf>
    <xf numFmtId="0" fontId="61" fillId="3" borderId="0" xfId="0" applyFont="1" applyFill="1" applyBorder="1" applyAlignment="1" applyProtection="1">
      <alignment horizontal="right" indent="1"/>
    </xf>
    <xf numFmtId="0" fontId="49" fillId="0" borderId="227" xfId="10" applyFont="1" applyBorder="1" applyAlignment="1">
      <alignment horizontal="left" vertical="center" wrapText="1" indent="1"/>
    </xf>
    <xf numFmtId="0" fontId="49" fillId="0" borderId="99" xfId="10" applyFont="1" applyBorder="1" applyAlignment="1">
      <alignment horizontal="left" vertical="center" wrapText="1" indent="1"/>
    </xf>
    <xf numFmtId="0" fontId="1" fillId="3" borderId="0" xfId="0" applyFont="1" applyFill="1" applyAlignment="1">
      <alignment vertical="center"/>
    </xf>
    <xf numFmtId="0" fontId="1" fillId="29" borderId="0" xfId="0" applyFont="1" applyFill="1" applyAlignment="1">
      <alignment vertical="center"/>
    </xf>
    <xf numFmtId="164" fontId="49" fillId="3" borderId="118" xfId="49" applyFont="1" applyFill="1" applyBorder="1" applyAlignment="1" applyProtection="1">
      <alignment horizontal="center" vertical="center"/>
    </xf>
    <xf numFmtId="164" fontId="49" fillId="3" borderId="222" xfId="49" applyFont="1" applyFill="1" applyBorder="1" applyAlignment="1" applyProtection="1">
      <alignment horizontal="center" vertical="center"/>
    </xf>
    <xf numFmtId="0" fontId="61" fillId="0" borderId="225" xfId="0" applyFont="1" applyBorder="1" applyAlignment="1">
      <alignment horizontal="center" vertical="top" wrapText="1"/>
    </xf>
    <xf numFmtId="0" fontId="61" fillId="0" borderId="99" xfId="0" applyFont="1" applyBorder="1" applyAlignment="1">
      <alignment horizontal="left" vertical="top" wrapText="1" indent="1"/>
    </xf>
    <xf numFmtId="0" fontId="61" fillId="0" borderId="71" xfId="0" applyFont="1" applyBorder="1" applyAlignment="1">
      <alignment horizontal="center" vertical="top" wrapText="1"/>
    </xf>
    <xf numFmtId="0" fontId="173" fillId="3" borderId="99" xfId="50" applyFont="1" applyFill="1" applyBorder="1" applyAlignment="1">
      <alignment vertical="top"/>
    </xf>
    <xf numFmtId="0" fontId="61" fillId="3" borderId="71" xfId="0" applyFont="1" applyFill="1" applyBorder="1" applyAlignment="1">
      <alignment horizontal="center" vertical="top" wrapText="1"/>
    </xf>
    <xf numFmtId="0" fontId="173" fillId="3" borderId="98" xfId="50" applyFont="1" applyFill="1" applyBorder="1" applyAlignment="1">
      <alignment vertical="top"/>
    </xf>
    <xf numFmtId="0" fontId="61" fillId="3" borderId="118" xfId="0" applyFont="1" applyFill="1" applyBorder="1" applyAlignment="1">
      <alignment horizontal="center" vertical="top" wrapText="1"/>
    </xf>
    <xf numFmtId="0" fontId="61" fillId="0" borderId="227" xfId="0" quotePrefix="1" applyFont="1" applyBorder="1" applyAlignment="1">
      <alignment horizontal="left" vertical="top" wrapText="1"/>
    </xf>
    <xf numFmtId="0" fontId="61" fillId="0" borderId="99" xfId="0" applyFont="1" applyBorder="1" applyAlignment="1">
      <alignment horizontal="left" vertical="top" wrapText="1"/>
    </xf>
    <xf numFmtId="0" fontId="61" fillId="0" borderId="118" xfId="0" applyFont="1" applyBorder="1" applyAlignment="1">
      <alignment horizontal="center" vertical="top" wrapText="1"/>
    </xf>
    <xf numFmtId="172" fontId="49" fillId="7" borderId="69" xfId="15" applyNumberFormat="1" applyFont="1" applyFill="1" applyBorder="1">
      <alignment horizontal="right"/>
      <protection locked="0"/>
    </xf>
    <xf numFmtId="0" fontId="3" fillId="2" borderId="0" xfId="37" applyFont="1" applyBorder="1" applyAlignment="1" applyProtection="1">
      <alignment horizontal="left" vertical="center"/>
    </xf>
    <xf numFmtId="0" fontId="61" fillId="0" borderId="227" xfId="0" applyFont="1" applyBorder="1" applyAlignment="1">
      <alignment horizontal="left" vertical="top" wrapText="1" indent="1"/>
    </xf>
    <xf numFmtId="10" fontId="49" fillId="46" borderId="113" xfId="18" applyFont="1" applyFill="1" applyBorder="1">
      <alignment horizontal="right"/>
      <protection locked="0"/>
    </xf>
    <xf numFmtId="0" fontId="61" fillId="0" borderId="98" xfId="0" applyFont="1" applyBorder="1" applyAlignment="1">
      <alignment horizontal="left" vertical="top" wrapText="1" indent="1"/>
    </xf>
    <xf numFmtId="0" fontId="156" fillId="3" borderId="0" xfId="0" applyNumberFormat="1" applyFont="1" applyFill="1" applyBorder="1" applyAlignment="1">
      <alignment horizontal="left" vertical="center"/>
    </xf>
    <xf numFmtId="0" fontId="49" fillId="3" borderId="0" xfId="36" applyFont="1" applyFill="1" applyBorder="1" applyAlignment="1">
      <alignment horizontal="center" vertical="center" wrapText="1"/>
    </xf>
    <xf numFmtId="0" fontId="22" fillId="3" borderId="0" xfId="36" applyFont="1" applyFill="1" applyBorder="1">
      <alignment horizontal="left" vertical="center" wrapText="1" indent="1"/>
    </xf>
    <xf numFmtId="0" fontId="0" fillId="3" borderId="0" xfId="0" applyFont="1" applyFill="1" applyBorder="1" applyAlignment="1">
      <alignment horizontal="left" vertical="top" wrapText="1" indent="1"/>
    </xf>
    <xf numFmtId="0" fontId="0" fillId="3" borderId="0" xfId="0" applyFont="1" applyFill="1" applyBorder="1" applyAlignment="1">
      <alignment horizontal="center" vertical="top" wrapText="1"/>
    </xf>
    <xf numFmtId="168" fontId="49" fillId="4" borderId="99" xfId="15" applyFont="1" applyBorder="1">
      <alignment horizontal="right"/>
      <protection locked="0"/>
    </xf>
    <xf numFmtId="0" fontId="61" fillId="3" borderId="99" xfId="0" applyFont="1" applyFill="1" applyBorder="1" applyAlignment="1">
      <alignment horizontal="left" vertical="top" wrapText="1" indent="1"/>
    </xf>
    <xf numFmtId="0" fontId="61" fillId="3" borderId="227" xfId="0" applyFont="1" applyFill="1" applyBorder="1" applyAlignment="1">
      <alignment horizontal="left" vertical="top" wrapText="1" indent="1"/>
    </xf>
    <xf numFmtId="0" fontId="61" fillId="3" borderId="225" xfId="0" applyFont="1" applyFill="1" applyBorder="1" applyAlignment="1">
      <alignment horizontal="center" vertical="top" wrapText="1"/>
    </xf>
    <xf numFmtId="0" fontId="61" fillId="3" borderId="229" xfId="0" applyFont="1" applyFill="1" applyBorder="1" applyAlignment="1">
      <alignment horizontal="left" vertical="top" wrapText="1" indent="1"/>
    </xf>
    <xf numFmtId="0" fontId="61" fillId="3" borderId="203" xfId="0" applyFont="1" applyFill="1" applyBorder="1" applyAlignment="1">
      <alignment horizontal="center" vertical="top" wrapText="1"/>
    </xf>
    <xf numFmtId="168" fontId="49" fillId="4" borderId="228" xfId="15" applyFont="1" applyBorder="1">
      <alignment horizontal="right"/>
      <protection locked="0"/>
    </xf>
    <xf numFmtId="0" fontId="61" fillId="3" borderId="98" xfId="0" applyFont="1" applyFill="1" applyBorder="1" applyAlignment="1">
      <alignment horizontal="left" vertical="top" wrapText="1" indent="1"/>
    </xf>
    <xf numFmtId="0" fontId="3" fillId="2" borderId="0" xfId="37" applyFont="1" applyBorder="1" applyAlignment="1">
      <alignment horizontal="left" vertical="center"/>
      <protection locked="0"/>
    </xf>
    <xf numFmtId="0" fontId="49" fillId="3" borderId="203" xfId="36" applyFont="1" applyFill="1" applyBorder="1" applyAlignment="1">
      <alignment horizontal="center" vertical="center" wrapText="1"/>
    </xf>
    <xf numFmtId="0" fontId="49" fillId="3" borderId="229" xfId="36" applyFont="1" applyFill="1" applyBorder="1">
      <alignment horizontal="left" vertical="center" wrapText="1" indent="1"/>
    </xf>
    <xf numFmtId="10" fontId="49" fillId="24" borderId="228" xfId="18" applyFont="1" applyBorder="1">
      <alignment horizontal="right"/>
      <protection locked="0"/>
    </xf>
    <xf numFmtId="0" fontId="174" fillId="3" borderId="0" xfId="0" applyFont="1" applyFill="1" applyAlignment="1" applyProtection="1">
      <alignment horizontal="right" vertical="center" indent="1"/>
    </xf>
    <xf numFmtId="0" fontId="156" fillId="3" borderId="229" xfId="0" applyNumberFormat="1" applyFont="1" applyFill="1" applyBorder="1" applyAlignment="1">
      <alignment horizontal="left" vertical="center"/>
    </xf>
    <xf numFmtId="0" fontId="61" fillId="3" borderId="203" xfId="0" applyFont="1" applyFill="1" applyBorder="1" applyProtection="1"/>
    <xf numFmtId="168" fontId="49" fillId="7" borderId="228" xfId="15" applyFont="1" applyFill="1" applyBorder="1">
      <alignment horizontal="right"/>
      <protection locked="0"/>
    </xf>
    <xf numFmtId="0" fontId="59" fillId="3" borderId="0" xfId="0" applyFont="1" applyFill="1" applyAlignment="1">
      <alignment horizontal="right" indent="1"/>
    </xf>
    <xf numFmtId="0" fontId="6" fillId="3" borderId="0" xfId="0" applyFont="1" applyFill="1" applyBorder="1" applyAlignment="1" applyProtection="1">
      <alignment horizontal="right" indent="1"/>
    </xf>
    <xf numFmtId="0" fontId="3" fillId="2" borderId="0" xfId="0" applyFont="1" applyFill="1" applyBorder="1" applyAlignment="1">
      <alignment horizontal="left" vertical="center"/>
    </xf>
    <xf numFmtId="0" fontId="21" fillId="3" borderId="0" xfId="0" applyFont="1" applyFill="1" applyBorder="1" applyAlignment="1" applyProtection="1">
      <alignment horizontal="right" indent="1"/>
    </xf>
    <xf numFmtId="0" fontId="148" fillId="69" borderId="0" xfId="25" applyNumberFormat="1" applyFont="1">
      <alignment horizontal="center" vertical="center" wrapText="1"/>
    </xf>
    <xf numFmtId="168" fontId="49" fillId="4" borderId="227" xfId="15" applyFont="1" applyBorder="1">
      <alignment horizontal="right"/>
      <protection locked="0"/>
    </xf>
    <xf numFmtId="168" fontId="49" fillId="4" borderId="98" xfId="15" applyFont="1" applyBorder="1">
      <alignment horizontal="right"/>
      <protection locked="0"/>
    </xf>
    <xf numFmtId="0" fontId="4" fillId="3" borderId="0" xfId="0" applyFont="1" applyFill="1" applyAlignment="1">
      <alignment horizontal="left" vertical="center" indent="1"/>
    </xf>
    <xf numFmtId="0" fontId="143" fillId="11" borderId="0" xfId="0" applyFont="1" applyFill="1" applyBorder="1" applyAlignment="1">
      <alignment horizontal="right" vertical="center" indent="2"/>
    </xf>
    <xf numFmtId="0" fontId="177" fillId="11" borderId="0" xfId="0" quotePrefix="1" applyFont="1" applyFill="1" applyBorder="1" applyAlignment="1" applyProtection="1">
      <alignment vertical="center"/>
    </xf>
    <xf numFmtId="0" fontId="18" fillId="3" borderId="5" xfId="0" applyFont="1" applyFill="1" applyBorder="1"/>
    <xf numFmtId="0" fontId="18" fillId="3" borderId="5" xfId="0" applyFont="1" applyFill="1" applyBorder="1" applyAlignment="1">
      <alignment vertical="center"/>
    </xf>
    <xf numFmtId="0" fontId="19" fillId="3" borderId="5" xfId="0" applyFont="1" applyFill="1" applyBorder="1" applyAlignment="1">
      <alignment vertical="center"/>
    </xf>
    <xf numFmtId="0" fontId="0" fillId="3" borderId="5" xfId="0" applyFont="1" applyFill="1" applyBorder="1"/>
    <xf numFmtId="0" fontId="176" fillId="3" borderId="5" xfId="0" applyFont="1" applyFill="1" applyBorder="1" applyAlignment="1">
      <alignment vertical="center"/>
    </xf>
    <xf numFmtId="0" fontId="18" fillId="3" borderId="8" xfId="0" applyFont="1" applyFill="1" applyBorder="1" applyAlignment="1">
      <alignment vertical="center"/>
    </xf>
    <xf numFmtId="0" fontId="18" fillId="3" borderId="4" xfId="0" applyFont="1" applyFill="1" applyBorder="1"/>
    <xf numFmtId="0" fontId="18" fillId="3" borderId="4" xfId="0" applyFont="1" applyFill="1" applyBorder="1" applyAlignment="1">
      <alignment vertical="center"/>
    </xf>
    <xf numFmtId="0" fontId="19" fillId="3" borderId="4" xfId="0" applyFont="1" applyFill="1" applyBorder="1" applyAlignment="1">
      <alignment vertical="center"/>
    </xf>
    <xf numFmtId="0" fontId="0" fillId="3" borderId="4" xfId="0" applyFont="1" applyFill="1" applyBorder="1"/>
    <xf numFmtId="0" fontId="176" fillId="3" borderId="4" xfId="0" applyFont="1" applyFill="1" applyBorder="1" applyAlignment="1">
      <alignment vertical="center"/>
    </xf>
    <xf numFmtId="0" fontId="18" fillId="3" borderId="6" xfId="0" applyFont="1" applyFill="1" applyBorder="1" applyAlignment="1">
      <alignment vertical="center"/>
    </xf>
    <xf numFmtId="0" fontId="5" fillId="74" borderId="0" xfId="0" applyFont="1" applyFill="1" applyBorder="1" applyAlignment="1">
      <alignment horizontal="right" vertical="center" indent="2"/>
    </xf>
    <xf numFmtId="0" fontId="21" fillId="10" borderId="0" xfId="0" applyFont="1" applyFill="1" applyBorder="1" applyAlignment="1">
      <alignment horizontal="right" vertical="center" indent="2"/>
    </xf>
    <xf numFmtId="0" fontId="21" fillId="79" borderId="0" xfId="0" applyFont="1" applyFill="1" applyBorder="1" applyAlignment="1">
      <alignment horizontal="right" vertical="center" indent="2"/>
    </xf>
    <xf numFmtId="0" fontId="177" fillId="11" borderId="0" xfId="0" applyFont="1" applyFill="1" applyBorder="1" applyAlignment="1">
      <alignment horizontal="right" vertical="center" indent="2"/>
    </xf>
    <xf numFmtId="0" fontId="22" fillId="71" borderId="0" xfId="0" applyFont="1" applyFill="1" applyBorder="1" applyAlignment="1">
      <alignment horizontal="right" vertical="center" indent="2"/>
    </xf>
    <xf numFmtId="0" fontId="22" fillId="80" borderId="0" xfId="0" applyFont="1" applyFill="1" applyBorder="1" applyAlignment="1">
      <alignment horizontal="right" vertical="center" indent="2"/>
    </xf>
    <xf numFmtId="0" fontId="18" fillId="3" borderId="7" xfId="0" applyFont="1" applyFill="1" applyBorder="1" applyAlignment="1">
      <alignment vertical="center"/>
    </xf>
    <xf numFmtId="0" fontId="15" fillId="64" borderId="264" xfId="0" applyFont="1" applyFill="1" applyBorder="1" applyAlignment="1">
      <alignment vertical="center"/>
    </xf>
    <xf numFmtId="0" fontId="92" fillId="65" borderId="264" xfId="0" applyFont="1" applyFill="1" applyBorder="1" applyAlignment="1">
      <alignment horizontal="left" vertical="center" wrapText="1" indent="1"/>
    </xf>
    <xf numFmtId="49" fontId="49" fillId="74" borderId="99" xfId="9" applyNumberFormat="1" applyFont="1" applyFill="1" applyBorder="1" applyAlignment="1">
      <alignment horizontal="left" vertical="center" indent="1"/>
      <protection locked="0"/>
    </xf>
    <xf numFmtId="49" fontId="49" fillId="74" borderId="98" xfId="9" applyNumberFormat="1" applyFont="1" applyFill="1" applyBorder="1" applyAlignment="1">
      <alignment horizontal="left" vertical="center" indent="1"/>
      <protection locked="0"/>
    </xf>
    <xf numFmtId="0" fontId="0" fillId="3" borderId="0" xfId="0" applyFill="1" applyBorder="1"/>
    <xf numFmtId="0" fontId="61" fillId="3" borderId="227" xfId="0" applyFont="1" applyFill="1" applyBorder="1"/>
    <xf numFmtId="0" fontId="61" fillId="3" borderId="99" xfId="0" applyFont="1" applyFill="1" applyBorder="1"/>
    <xf numFmtId="0" fontId="61" fillId="3" borderId="71" xfId="0" applyFont="1" applyFill="1" applyBorder="1"/>
    <xf numFmtId="0" fontId="61" fillId="3" borderId="98" xfId="0" applyFont="1" applyFill="1" applyBorder="1"/>
    <xf numFmtId="0" fontId="61" fillId="3" borderId="118" xfId="0" applyFont="1" applyFill="1" applyBorder="1"/>
    <xf numFmtId="2" fontId="61" fillId="0" borderId="71" xfId="0" applyNumberFormat="1" applyFont="1" applyBorder="1" applyAlignment="1">
      <alignment horizontal="right" vertical="top" wrapText="1"/>
    </xf>
    <xf numFmtId="2" fontId="61" fillId="3" borderId="71" xfId="0" applyNumberFormat="1" applyFont="1" applyFill="1" applyBorder="1" applyAlignment="1">
      <alignment horizontal="right"/>
    </xf>
    <xf numFmtId="2" fontId="61" fillId="0" borderId="225" xfId="0" applyNumberFormat="1" applyFont="1" applyBorder="1" applyAlignment="1">
      <alignment horizontal="right" vertical="top" wrapText="1"/>
    </xf>
    <xf numFmtId="2" fontId="61" fillId="0" borderId="118" xfId="0" applyNumberFormat="1" applyFont="1" applyBorder="1" applyAlignment="1">
      <alignment horizontal="right" vertical="top" wrapText="1"/>
    </xf>
    <xf numFmtId="2" fontId="61" fillId="3" borderId="118" xfId="0" applyNumberFormat="1" applyFont="1" applyFill="1" applyBorder="1" applyAlignment="1">
      <alignment horizontal="right"/>
    </xf>
    <xf numFmtId="165" fontId="103" fillId="78" borderId="62" xfId="46" applyNumberFormat="1" applyFont="1" applyFill="1" applyBorder="1" applyAlignment="1">
      <alignment horizontal="center" vertical="center" wrapText="1"/>
    </xf>
    <xf numFmtId="164" fontId="49" fillId="3" borderId="71" xfId="49" applyFont="1" applyFill="1" applyBorder="1" applyAlignment="1" applyProtection="1">
      <alignment horizontal="center" vertical="center"/>
    </xf>
    <xf numFmtId="164" fontId="49" fillId="3" borderId="69" xfId="49" applyFont="1" applyFill="1" applyBorder="1" applyAlignment="1" applyProtection="1">
      <alignment horizontal="center" vertical="center"/>
    </xf>
    <xf numFmtId="0" fontId="44" fillId="3" borderId="227" xfId="0" applyFont="1" applyFill="1" applyBorder="1" applyAlignment="1">
      <alignment horizontal="right" vertical="center"/>
    </xf>
    <xf numFmtId="0" fontId="44" fillId="3" borderId="225" xfId="0" applyFont="1" applyFill="1" applyBorder="1" applyAlignment="1">
      <alignment horizontal="center" vertical="center"/>
    </xf>
    <xf numFmtId="0" fontId="44" fillId="3" borderId="113" xfId="0" applyFont="1" applyFill="1" applyBorder="1" applyAlignment="1">
      <alignment horizontal="center" vertical="center"/>
    </xf>
    <xf numFmtId="0" fontId="49" fillId="3" borderId="99" xfId="0" applyFont="1" applyFill="1" applyBorder="1" applyAlignment="1">
      <alignment horizontal="right" vertical="center" wrapText="1"/>
    </xf>
    <xf numFmtId="0" fontId="49" fillId="3" borderId="98" xfId="0" applyFont="1" applyFill="1" applyBorder="1" applyAlignment="1">
      <alignment horizontal="right" vertical="center" wrapText="1"/>
    </xf>
    <xf numFmtId="0" fontId="49" fillId="0" borderId="239" xfId="10" applyFont="1" applyBorder="1" applyAlignment="1">
      <alignment horizontal="left" vertical="center" indent="1"/>
    </xf>
    <xf numFmtId="0" fontId="49" fillId="24" borderId="225" xfId="0" applyFont="1" applyFill="1" applyBorder="1" applyAlignment="1">
      <alignment horizontal="center" vertical="center"/>
    </xf>
    <xf numFmtId="0" fontId="49" fillId="24" borderId="71" xfId="0" applyFont="1" applyFill="1" applyBorder="1" applyAlignment="1">
      <alignment horizontal="center" vertical="center"/>
    </xf>
    <xf numFmtId="0" fontId="49" fillId="24" borderId="118" xfId="0" applyFont="1" applyFill="1" applyBorder="1" applyAlignment="1">
      <alignment horizontal="center" vertical="center"/>
    </xf>
    <xf numFmtId="49" fontId="24" fillId="2" borderId="0" xfId="1" applyFont="1" applyAlignment="1">
      <alignment vertical="center"/>
    </xf>
    <xf numFmtId="0" fontId="0" fillId="33" borderId="46" xfId="0" applyFill="1" applyBorder="1" applyAlignment="1">
      <alignment horizontal="center" vertical="center"/>
    </xf>
    <xf numFmtId="0" fontId="0" fillId="33" borderId="63" xfId="0" applyFill="1" applyBorder="1" applyAlignment="1">
      <alignment horizontal="center" vertical="center"/>
    </xf>
    <xf numFmtId="0" fontId="0" fillId="33" borderId="0" xfId="0" applyFill="1" applyBorder="1" applyAlignment="1">
      <alignment horizontal="center" vertical="center"/>
    </xf>
    <xf numFmtId="0" fontId="0" fillId="33" borderId="112" xfId="0" applyFill="1" applyBorder="1" applyAlignment="1">
      <alignment horizontal="center" vertical="center"/>
    </xf>
    <xf numFmtId="0" fontId="0" fillId="33" borderId="0" xfId="0" applyFill="1" applyAlignment="1">
      <alignment horizontal="center" vertical="center"/>
    </xf>
    <xf numFmtId="0" fontId="180" fillId="3" borderId="0" xfId="0" applyFont="1" applyFill="1" applyProtection="1"/>
    <xf numFmtId="0" fontId="149" fillId="3" borderId="0" xfId="0" applyFont="1" applyFill="1" applyAlignment="1">
      <alignment horizontal="center" vertical="center"/>
    </xf>
    <xf numFmtId="0" fontId="149" fillId="3" borderId="0" xfId="0" applyFont="1" applyFill="1" applyAlignment="1">
      <alignment horizontal="left" vertical="center" indent="1"/>
    </xf>
    <xf numFmtId="0" fontId="182" fillId="3" borderId="71" xfId="0" applyFont="1" applyFill="1" applyBorder="1" applyAlignment="1">
      <alignment horizontal="center" vertical="center" textRotation="90" wrapText="1"/>
    </xf>
    <xf numFmtId="0" fontId="0" fillId="83" borderId="223" xfId="0" applyFill="1" applyBorder="1" applyAlignment="1">
      <alignment horizontal="center" vertical="center"/>
    </xf>
    <xf numFmtId="0" fontId="0" fillId="3" borderId="223" xfId="0" applyFill="1" applyBorder="1" applyAlignment="1">
      <alignment horizontal="center" vertical="center"/>
    </xf>
    <xf numFmtId="0" fontId="0" fillId="83" borderId="267" xfId="0" applyFill="1" applyBorder="1" applyAlignment="1">
      <alignment horizontal="center" vertical="center"/>
    </xf>
    <xf numFmtId="0" fontId="0" fillId="3" borderId="269" xfId="0" applyFill="1" applyBorder="1" applyAlignment="1">
      <alignment horizontal="center" vertical="center"/>
    </xf>
    <xf numFmtId="0" fontId="0" fillId="3" borderId="271" xfId="0" applyFill="1" applyBorder="1" applyAlignment="1">
      <alignment horizontal="center" vertical="center"/>
    </xf>
    <xf numFmtId="0" fontId="0" fillId="83" borderId="269" xfId="0" applyFill="1" applyBorder="1" applyAlignment="1">
      <alignment horizontal="center" vertical="center"/>
    </xf>
    <xf numFmtId="0" fontId="0" fillId="83" borderId="271" xfId="0" applyFill="1" applyBorder="1" applyAlignment="1">
      <alignment horizontal="center" vertical="center"/>
    </xf>
    <xf numFmtId="0" fontId="0" fillId="83" borderId="272" xfId="0" applyFill="1" applyBorder="1" applyAlignment="1">
      <alignment horizontal="center" vertical="center"/>
    </xf>
    <xf numFmtId="0" fontId="0" fillId="83" borderId="274" xfId="0" applyFill="1" applyBorder="1" applyAlignment="1">
      <alignment horizontal="center" vertical="center"/>
    </xf>
    <xf numFmtId="0" fontId="0" fillId="3" borderId="241" xfId="0" applyFill="1" applyBorder="1" applyAlignment="1">
      <alignment horizontal="center" vertical="center"/>
    </xf>
    <xf numFmtId="0" fontId="0" fillId="83" borderId="241" xfId="0" applyFill="1" applyBorder="1" applyAlignment="1">
      <alignment horizontal="center" vertical="center"/>
    </xf>
    <xf numFmtId="0" fontId="181" fillId="0" borderId="275" xfId="0" applyFont="1" applyBorder="1" applyAlignment="1">
      <alignment horizontal="center" vertical="center"/>
    </xf>
    <xf numFmtId="0" fontId="181" fillId="3" borderId="276" xfId="0" applyFont="1" applyFill="1" applyBorder="1" applyAlignment="1">
      <alignment horizontal="center" vertical="center"/>
    </xf>
    <xf numFmtId="0" fontId="181" fillId="3" borderId="277" xfId="0" applyFont="1" applyFill="1" applyBorder="1" applyAlignment="1">
      <alignment horizontal="center" vertical="center"/>
    </xf>
    <xf numFmtId="0" fontId="182" fillId="3" borderId="278" xfId="0" applyFont="1" applyFill="1" applyBorder="1" applyAlignment="1">
      <alignment horizontal="center" vertical="center" textRotation="90" wrapText="1"/>
    </xf>
    <xf numFmtId="0" fontId="0" fillId="3" borderId="279" xfId="0" applyFill="1" applyBorder="1" applyAlignment="1">
      <alignment horizontal="center" vertical="center"/>
    </xf>
    <xf numFmtId="0" fontId="0" fillId="83" borderId="279" xfId="0" applyFill="1" applyBorder="1" applyAlignment="1">
      <alignment horizontal="center" vertical="center"/>
    </xf>
    <xf numFmtId="0" fontId="0" fillId="83" borderId="268" xfId="0" applyFill="1" applyBorder="1" applyAlignment="1">
      <alignment horizontal="center" vertical="center"/>
    </xf>
    <xf numFmtId="0" fontId="182" fillId="3" borderId="282" xfId="0" applyFont="1" applyFill="1" applyBorder="1" applyAlignment="1">
      <alignment horizontal="center" vertical="center" textRotation="90" wrapText="1"/>
    </xf>
    <xf numFmtId="0" fontId="0" fillId="3" borderId="271" xfId="0" applyFill="1" applyBorder="1"/>
    <xf numFmtId="0" fontId="0" fillId="3" borderId="223" xfId="0" applyFill="1" applyBorder="1"/>
    <xf numFmtId="0" fontId="0" fillId="3" borderId="269" xfId="0" applyFill="1" applyBorder="1"/>
    <xf numFmtId="0" fontId="181" fillId="3" borderId="283" xfId="0" applyFont="1" applyFill="1" applyBorder="1" applyAlignment="1">
      <alignment horizontal="center" vertical="center"/>
    </xf>
    <xf numFmtId="0" fontId="182" fillId="3" borderId="284" xfId="0" applyFont="1" applyFill="1" applyBorder="1" applyAlignment="1">
      <alignment horizontal="center" vertical="center" textRotation="90" wrapText="1"/>
    </xf>
    <xf numFmtId="0" fontId="158" fillId="7" borderId="290" xfId="0" applyFont="1" applyFill="1" applyBorder="1" applyAlignment="1">
      <alignment horizontal="center" vertical="center" wrapText="1"/>
    </xf>
    <xf numFmtId="0" fontId="0" fillId="83" borderId="276" xfId="0" applyFill="1" applyBorder="1" applyAlignment="1">
      <alignment horizontal="center" vertical="center"/>
    </xf>
    <xf numFmtId="0" fontId="0" fillId="83" borderId="282" xfId="0" applyFill="1" applyBorder="1" applyAlignment="1">
      <alignment horizontal="center" vertical="center"/>
    </xf>
    <xf numFmtId="0" fontId="0" fillId="83" borderId="275" xfId="0" applyFill="1" applyBorder="1" applyAlignment="1">
      <alignment horizontal="center" vertical="center"/>
    </xf>
    <xf numFmtId="0" fontId="181" fillId="0" borderId="296" xfId="0" applyFont="1" applyBorder="1" applyAlignment="1">
      <alignment horizontal="center" vertical="center"/>
    </xf>
    <xf numFmtId="0" fontId="0" fillId="3" borderId="288" xfId="0" applyFont="1" applyFill="1" applyBorder="1" applyProtection="1"/>
    <xf numFmtId="0" fontId="0" fillId="3" borderId="292" xfId="0" applyFont="1" applyFill="1" applyBorder="1" applyProtection="1"/>
    <xf numFmtId="0" fontId="0" fillId="3" borderId="293" xfId="0" applyFont="1" applyFill="1" applyBorder="1" applyProtection="1"/>
    <xf numFmtId="0" fontId="61" fillId="3" borderId="307" xfId="0" applyFont="1" applyFill="1" applyBorder="1" applyAlignment="1" applyProtection="1">
      <alignment horizontal="center" vertical="center" textRotation="90" wrapText="1"/>
    </xf>
    <xf numFmtId="0" fontId="0" fillId="3" borderId="223" xfId="0" applyFont="1" applyFill="1" applyBorder="1" applyProtection="1"/>
    <xf numFmtId="0" fontId="0" fillId="3" borderId="290" xfId="0" applyFont="1" applyFill="1" applyBorder="1" applyProtection="1"/>
    <xf numFmtId="0" fontId="0" fillId="3" borderId="291" xfId="0" applyFont="1" applyFill="1" applyBorder="1" applyProtection="1"/>
    <xf numFmtId="0" fontId="181" fillId="3" borderId="0" xfId="0" applyFont="1" applyFill="1" applyBorder="1" applyAlignment="1">
      <alignment horizontal="center" vertical="center"/>
    </xf>
    <xf numFmtId="0" fontId="182" fillId="3" borderId="0" xfId="0" applyFont="1" applyFill="1" applyBorder="1" applyAlignment="1">
      <alignment horizontal="center" vertical="center" textRotation="90" wrapText="1"/>
    </xf>
    <xf numFmtId="0" fontId="0" fillId="3" borderId="0" xfId="0" applyFill="1" applyBorder="1" applyAlignment="1">
      <alignment horizontal="center" vertical="center"/>
    </xf>
    <xf numFmtId="0" fontId="49" fillId="3" borderId="0" xfId="0" applyFont="1" applyFill="1" applyAlignment="1" applyProtection="1">
      <alignment horizontal="center"/>
      <protection hidden="1"/>
    </xf>
    <xf numFmtId="0" fontId="158" fillId="3" borderId="0" xfId="0" applyFont="1" applyFill="1" applyBorder="1" applyAlignment="1">
      <alignment vertical="center" wrapText="1"/>
    </xf>
    <xf numFmtId="0" fontId="0" fillId="83" borderId="311" xfId="0" applyFill="1" applyBorder="1" applyAlignment="1">
      <alignment horizontal="center" vertical="center"/>
    </xf>
    <xf numFmtId="0" fontId="158" fillId="3" borderId="0" xfId="0" applyFont="1" applyFill="1" applyBorder="1" applyAlignment="1">
      <alignment vertical="top" wrapText="1"/>
    </xf>
    <xf numFmtId="0" fontId="0" fillId="3" borderId="274" xfId="0" applyFill="1" applyBorder="1" applyAlignment="1">
      <alignment horizontal="center" vertical="center"/>
    </xf>
    <xf numFmtId="0" fontId="0" fillId="3" borderId="268" xfId="0" applyFill="1" applyBorder="1" applyAlignment="1">
      <alignment horizontal="center" vertical="center"/>
    </xf>
    <xf numFmtId="0" fontId="0" fillId="3" borderId="272" xfId="0" applyFill="1" applyBorder="1" applyAlignment="1">
      <alignment horizontal="center" vertical="center"/>
    </xf>
    <xf numFmtId="0" fontId="0" fillId="3" borderId="314" xfId="0" applyFill="1" applyBorder="1" applyAlignment="1">
      <alignment horizontal="center" vertical="center"/>
    </xf>
    <xf numFmtId="0" fontId="0" fillId="83" borderId="306" xfId="0" applyFill="1" applyBorder="1" applyAlignment="1">
      <alignment horizontal="center" vertical="center"/>
    </xf>
    <xf numFmtId="0" fontId="0" fillId="83" borderId="313" xfId="0" applyFill="1" applyBorder="1" applyAlignment="1">
      <alignment horizontal="center" vertical="center"/>
    </xf>
    <xf numFmtId="0" fontId="0" fillId="83" borderId="314" xfId="0" applyFill="1" applyBorder="1" applyAlignment="1">
      <alignment horizontal="center" vertical="center"/>
    </xf>
    <xf numFmtId="0" fontId="0" fillId="3" borderId="282" xfId="0" applyFill="1" applyBorder="1" applyAlignment="1">
      <alignment horizontal="center" vertical="center"/>
    </xf>
    <xf numFmtId="0" fontId="0" fillId="3" borderId="320" xfId="0" applyFill="1" applyBorder="1" applyAlignment="1">
      <alignment horizontal="center" vertical="center"/>
    </xf>
    <xf numFmtId="0" fontId="0" fillId="83" borderId="320" xfId="0" applyFill="1" applyBorder="1" applyAlignment="1">
      <alignment horizontal="center" vertical="center"/>
    </xf>
    <xf numFmtId="0" fontId="0" fillId="3" borderId="321" xfId="0" applyFill="1" applyBorder="1" applyAlignment="1">
      <alignment horizontal="center" vertical="center"/>
    </xf>
    <xf numFmtId="0" fontId="0" fillId="3" borderId="280" xfId="0" applyFill="1" applyBorder="1" applyAlignment="1">
      <alignment horizontal="center" vertical="center"/>
    </xf>
    <xf numFmtId="0" fontId="0" fillId="3" borderId="276" xfId="0" applyFill="1" applyBorder="1" applyAlignment="1">
      <alignment horizontal="center" vertical="center"/>
    </xf>
    <xf numFmtId="0" fontId="0" fillId="3" borderId="272" xfId="0" applyFont="1" applyFill="1" applyBorder="1" applyProtection="1"/>
    <xf numFmtId="0" fontId="0" fillId="83" borderId="324" xfId="0" applyFill="1" applyBorder="1" applyAlignment="1">
      <alignment horizontal="center" vertical="center"/>
    </xf>
    <xf numFmtId="0" fontId="0" fillId="83" borderId="247" xfId="0" applyFill="1" applyBorder="1" applyAlignment="1">
      <alignment horizontal="center" vertical="center"/>
    </xf>
    <xf numFmtId="0" fontId="0" fillId="3" borderId="315" xfId="0" applyFont="1" applyFill="1" applyBorder="1" applyProtection="1"/>
    <xf numFmtId="0" fontId="181" fillId="0" borderId="307" xfId="0" applyFont="1" applyBorder="1" applyAlignment="1">
      <alignment horizontal="center" vertical="center"/>
    </xf>
    <xf numFmtId="0" fontId="181" fillId="3" borderId="325" xfId="0" applyFont="1" applyFill="1" applyBorder="1" applyAlignment="1">
      <alignment horizontal="center" vertical="center"/>
    </xf>
    <xf numFmtId="0" fontId="182" fillId="3" borderId="326" xfId="0" applyFont="1" applyFill="1" applyBorder="1" applyAlignment="1">
      <alignment horizontal="center" vertical="center" textRotation="90" wrapText="1"/>
    </xf>
    <xf numFmtId="1" fontId="40" fillId="24" borderId="113" xfId="11" applyNumberFormat="1" applyFont="1" applyBorder="1">
      <alignment horizontal="right"/>
      <protection locked="0"/>
    </xf>
    <xf numFmtId="0" fontId="182" fillId="3" borderId="327" xfId="0" applyFont="1" applyFill="1" applyBorder="1" applyAlignment="1">
      <alignment horizontal="center" vertical="center" textRotation="90" wrapText="1"/>
    </xf>
    <xf numFmtId="0" fontId="0" fillId="83" borderId="331" xfId="0" applyFill="1" applyBorder="1" applyAlignment="1">
      <alignment horizontal="center" vertical="center"/>
    </xf>
    <xf numFmtId="0" fontId="181" fillId="0" borderId="312" xfId="0" applyFont="1" applyBorder="1" applyAlignment="1">
      <alignment horizontal="center" vertical="center"/>
    </xf>
    <xf numFmtId="0" fontId="158" fillId="7" borderId="332" xfId="0" applyFont="1" applyFill="1" applyBorder="1" applyAlignment="1">
      <alignment horizontal="center" vertical="center" wrapText="1"/>
    </xf>
    <xf numFmtId="0" fontId="158" fillId="7" borderId="333" xfId="0" applyFont="1" applyFill="1" applyBorder="1" applyAlignment="1">
      <alignment horizontal="center" vertical="center" wrapText="1"/>
    </xf>
    <xf numFmtId="0" fontId="158" fillId="3" borderId="223" xfId="0" applyFont="1" applyFill="1" applyBorder="1" applyAlignment="1" applyProtection="1">
      <alignment wrapText="1"/>
    </xf>
    <xf numFmtId="172" fontId="49" fillId="7" borderId="113" xfId="15" applyNumberFormat="1" applyFont="1" applyFill="1" applyBorder="1">
      <alignment horizontal="right"/>
      <protection locked="0"/>
    </xf>
    <xf numFmtId="0" fontId="0" fillId="3" borderId="317" xfId="0" applyFont="1" applyFill="1" applyBorder="1" applyProtection="1"/>
    <xf numFmtId="0" fontId="181" fillId="3" borderId="325" xfId="0" applyFont="1" applyFill="1" applyBorder="1" applyAlignment="1">
      <alignment horizontal="center" vertical="center" textRotation="90"/>
    </xf>
    <xf numFmtId="0" fontId="182" fillId="3" borderId="325" xfId="0" applyFont="1" applyFill="1" applyBorder="1" applyAlignment="1">
      <alignment horizontal="center" vertical="center" textRotation="90" wrapText="1"/>
    </xf>
    <xf numFmtId="0" fontId="181" fillId="0" borderId="308" xfId="0" applyFont="1" applyBorder="1" applyAlignment="1">
      <alignment horizontal="center" vertical="center"/>
    </xf>
    <xf numFmtId="0" fontId="0" fillId="3" borderId="294" xfId="0" applyFill="1" applyBorder="1" applyAlignment="1">
      <alignment horizontal="center" vertical="center"/>
    </xf>
    <xf numFmtId="0" fontId="61" fillId="3" borderId="336" xfId="0" applyFont="1" applyFill="1" applyBorder="1"/>
    <xf numFmtId="0" fontId="181" fillId="0" borderId="330" xfId="0" applyFont="1" applyBorder="1" applyAlignment="1">
      <alignment horizontal="center" vertical="center"/>
    </xf>
    <xf numFmtId="0" fontId="158" fillId="7" borderId="332" xfId="0" applyFont="1" applyFill="1" applyBorder="1" applyAlignment="1">
      <alignment vertical="center" wrapText="1"/>
    </xf>
    <xf numFmtId="0" fontId="61" fillId="3" borderId="330" xfId="0" applyFont="1" applyFill="1" applyBorder="1" applyAlignment="1">
      <alignment horizontal="center"/>
    </xf>
    <xf numFmtId="0" fontId="61" fillId="3" borderId="270" xfId="0" applyFont="1" applyFill="1" applyBorder="1" applyAlignment="1">
      <alignment horizontal="center"/>
    </xf>
    <xf numFmtId="0" fontId="61" fillId="3" borderId="273" xfId="0" applyFont="1" applyFill="1" applyBorder="1" applyAlignment="1">
      <alignment horizontal="center"/>
    </xf>
    <xf numFmtId="0" fontId="61" fillId="3" borderId="275" xfId="0" applyFont="1" applyFill="1" applyBorder="1" applyAlignment="1">
      <alignment horizontal="center"/>
    </xf>
    <xf numFmtId="0" fontId="61" fillId="3" borderId="271" xfId="0" applyFont="1" applyFill="1" applyBorder="1" applyAlignment="1">
      <alignment horizontal="center"/>
    </xf>
    <xf numFmtId="0" fontId="61" fillId="3" borderId="274" xfId="0" applyFont="1" applyFill="1" applyBorder="1" applyAlignment="1">
      <alignment horizontal="center"/>
    </xf>
    <xf numFmtId="0" fontId="61" fillId="3" borderId="272" xfId="0" applyFont="1" applyFill="1" applyBorder="1" applyAlignment="1">
      <alignment horizontal="center"/>
    </xf>
    <xf numFmtId="0" fontId="0" fillId="3" borderId="275" xfId="0" applyFill="1" applyBorder="1" applyAlignment="1">
      <alignment horizontal="center" vertical="center"/>
    </xf>
    <xf numFmtId="0" fontId="6" fillId="3" borderId="0" xfId="38" applyFont="1" applyFill="1" applyAlignment="1">
      <alignment vertical="center" wrapText="1"/>
    </xf>
    <xf numFmtId="0" fontId="0" fillId="83" borderId="337" xfId="0" applyFill="1" applyBorder="1" applyAlignment="1">
      <alignment horizontal="center" vertical="center"/>
    </xf>
    <xf numFmtId="0" fontId="0" fillId="3" borderId="241" xfId="0" applyFont="1" applyFill="1" applyBorder="1"/>
    <xf numFmtId="0" fontId="0" fillId="83" borderId="338" xfId="0" applyFill="1" applyBorder="1" applyAlignment="1">
      <alignment horizontal="center" vertical="center"/>
    </xf>
    <xf numFmtId="0" fontId="0" fillId="3" borderId="320" xfId="0" applyFont="1" applyFill="1" applyBorder="1"/>
    <xf numFmtId="0" fontId="0" fillId="3" borderId="279" xfId="0" applyFont="1" applyFill="1" applyBorder="1"/>
    <xf numFmtId="0" fontId="0" fillId="3" borderId="321" xfId="0" applyFont="1" applyFill="1" applyBorder="1"/>
    <xf numFmtId="0" fontId="0" fillId="3" borderId="280" xfId="0" applyFont="1" applyFill="1" applyBorder="1"/>
    <xf numFmtId="0" fontId="0" fillId="3" borderId="281" xfId="0" applyFont="1" applyFill="1" applyBorder="1"/>
    <xf numFmtId="0" fontId="0" fillId="3" borderId="339" xfId="0" applyFill="1" applyBorder="1" applyAlignment="1">
      <alignment horizontal="center" vertical="center"/>
    </xf>
    <xf numFmtId="0" fontId="0" fillId="3" borderId="340" xfId="0" applyFill="1" applyBorder="1" applyAlignment="1">
      <alignment horizontal="center" vertical="center"/>
    </xf>
    <xf numFmtId="0" fontId="0" fillId="3" borderId="341" xfId="0" applyFill="1" applyBorder="1" applyAlignment="1">
      <alignment horizontal="center" vertical="center"/>
    </xf>
    <xf numFmtId="0" fontId="0" fillId="3" borderId="342" xfId="0" applyFill="1" applyBorder="1" applyAlignment="1">
      <alignment horizontal="center" vertical="center"/>
    </xf>
    <xf numFmtId="0" fontId="0" fillId="3" borderId="274" xfId="0" applyFont="1" applyFill="1" applyBorder="1"/>
    <xf numFmtId="0" fontId="0" fillId="3" borderId="268" xfId="0" applyFont="1" applyFill="1" applyBorder="1"/>
    <xf numFmtId="0" fontId="0" fillId="3" borderId="272" xfId="0" applyFont="1" applyFill="1" applyBorder="1"/>
    <xf numFmtId="0" fontId="182" fillId="3" borderId="312" xfId="0" applyFont="1" applyFill="1" applyBorder="1" applyAlignment="1">
      <alignment horizontal="center" vertical="center" textRotation="90" wrapText="1"/>
    </xf>
    <xf numFmtId="0" fontId="158" fillId="7" borderId="108" xfId="0" applyNumberFormat="1" applyFont="1" applyFill="1" applyBorder="1" applyAlignment="1">
      <alignment vertical="center" wrapText="1"/>
    </xf>
    <xf numFmtId="0" fontId="181" fillId="0" borderId="306" xfId="0" applyFont="1" applyBorder="1" applyAlignment="1">
      <alignment horizontal="center" vertical="center"/>
    </xf>
    <xf numFmtId="0" fontId="182" fillId="3" borderId="314" xfId="0" applyFont="1" applyFill="1" applyBorder="1" applyAlignment="1">
      <alignment horizontal="center" vertical="center" textRotation="90" wrapText="1"/>
    </xf>
    <xf numFmtId="0" fontId="61" fillId="3" borderId="306" xfId="0" applyFont="1" applyFill="1" applyBorder="1" applyAlignment="1">
      <alignment horizontal="center" vertical="center" textRotation="90" wrapText="1"/>
    </xf>
    <xf numFmtId="0" fontId="0" fillId="83" borderId="339" xfId="0" applyFill="1" applyBorder="1" applyAlignment="1">
      <alignment horizontal="center" vertical="center"/>
    </xf>
    <xf numFmtId="0" fontId="0" fillId="83" borderId="340" xfId="0" applyFill="1" applyBorder="1" applyAlignment="1">
      <alignment horizontal="center" vertical="center"/>
    </xf>
    <xf numFmtId="0" fontId="0" fillId="83" borderId="341" xfId="0" applyFill="1" applyBorder="1" applyAlignment="1">
      <alignment horizontal="center" vertical="center"/>
    </xf>
    <xf numFmtId="0" fontId="3" fillId="3" borderId="0" xfId="0" applyFont="1" applyFill="1" applyBorder="1" applyAlignment="1">
      <alignment vertical="center"/>
    </xf>
    <xf numFmtId="0" fontId="3" fillId="3" borderId="0" xfId="0" applyFont="1" applyFill="1" applyBorder="1" applyAlignment="1">
      <alignment horizontal="left" vertical="center"/>
    </xf>
    <xf numFmtId="0" fontId="0" fillId="3" borderId="269" xfId="0" applyFont="1" applyFill="1" applyBorder="1"/>
    <xf numFmtId="0" fontId="0" fillId="3" borderId="271" xfId="0" applyFont="1" applyFill="1" applyBorder="1"/>
    <xf numFmtId="0" fontId="0" fillId="3" borderId="311" xfId="0" applyFont="1" applyFill="1" applyBorder="1"/>
    <xf numFmtId="0" fontId="0" fillId="3" borderId="341" xfId="0" applyFont="1" applyFill="1" applyBorder="1"/>
    <xf numFmtId="0" fontId="0" fillId="3" borderId="275" xfId="0" applyFont="1" applyFill="1" applyBorder="1"/>
    <xf numFmtId="0" fontId="0" fillId="3" borderId="282" xfId="0" applyFont="1" applyFill="1" applyBorder="1"/>
    <xf numFmtId="0" fontId="61" fillId="3" borderId="322" xfId="0" applyFont="1" applyFill="1" applyBorder="1" applyAlignment="1">
      <alignment horizontal="center" vertical="center"/>
    </xf>
    <xf numFmtId="0" fontId="0" fillId="83" borderId="321" xfId="0" applyFill="1" applyBorder="1" applyAlignment="1">
      <alignment horizontal="center" vertical="center"/>
    </xf>
    <xf numFmtId="0" fontId="0" fillId="83" borderId="281" xfId="0" applyFill="1" applyBorder="1" applyAlignment="1">
      <alignment horizontal="center" vertical="center"/>
    </xf>
    <xf numFmtId="0" fontId="0" fillId="83" borderId="280" xfId="0" applyFill="1" applyBorder="1" applyAlignment="1">
      <alignment horizontal="center" vertical="center"/>
    </xf>
    <xf numFmtId="0" fontId="185" fillId="62" borderId="223" xfId="0" applyFont="1" applyFill="1" applyBorder="1" applyAlignment="1">
      <alignment vertical="center"/>
    </xf>
    <xf numFmtId="0" fontId="92" fillId="62" borderId="223" xfId="0" applyFont="1" applyFill="1" applyBorder="1" applyAlignment="1">
      <alignment vertical="center"/>
    </xf>
    <xf numFmtId="0" fontId="92" fillId="39" borderId="223" xfId="0" applyFont="1" applyFill="1" applyBorder="1" applyAlignment="1">
      <alignment vertical="center"/>
    </xf>
    <xf numFmtId="0" fontId="92" fillId="40" borderId="223" xfId="0" applyFont="1" applyFill="1" applyBorder="1" applyAlignment="1">
      <alignment vertical="center"/>
    </xf>
    <xf numFmtId="0" fontId="92" fillId="65" borderId="300" xfId="0" applyFont="1" applyFill="1" applyBorder="1" applyAlignment="1">
      <alignment vertical="center" wrapText="1"/>
    </xf>
    <xf numFmtId="0" fontId="92" fillId="65" borderId="347" xfId="0" applyFont="1" applyFill="1" applyBorder="1" applyAlignment="1">
      <alignment vertical="center"/>
    </xf>
    <xf numFmtId="0" fontId="181" fillId="0" borderId="322" xfId="0" applyFont="1" applyBorder="1" applyAlignment="1">
      <alignment horizontal="center" vertical="center"/>
    </xf>
    <xf numFmtId="0" fontId="61" fillId="0" borderId="234" xfId="10" applyFont="1" applyBorder="1">
      <alignment horizontal="left" vertical="center" indent="1"/>
    </xf>
    <xf numFmtId="0" fontId="48" fillId="3" borderId="0" xfId="0" applyFont="1" applyFill="1" applyProtection="1">
      <protection hidden="1"/>
    </xf>
    <xf numFmtId="0" fontId="48" fillId="3" borderId="0" xfId="0" applyFont="1" applyFill="1" applyAlignment="1" applyProtection="1">
      <protection hidden="1"/>
    </xf>
    <xf numFmtId="0" fontId="186" fillId="3" borderId="0" xfId="0" applyFont="1" applyFill="1" applyAlignment="1" applyProtection="1">
      <alignment horizontal="right" indent="1"/>
    </xf>
    <xf numFmtId="0" fontId="186" fillId="3" borderId="0" xfId="0" applyFont="1" applyFill="1" applyAlignment="1">
      <alignment horizontal="right" indent="1"/>
    </xf>
    <xf numFmtId="0" fontId="49" fillId="0" borderId="98" xfId="10" applyFont="1" applyBorder="1" applyAlignment="1">
      <alignment horizontal="left" vertical="center" wrapText="1" indent="1"/>
    </xf>
    <xf numFmtId="168" fontId="61" fillId="8" borderId="249" xfId="43" applyFont="1" applyFill="1" applyBorder="1">
      <alignment horizontal="right" indent="2"/>
      <protection locked="0"/>
    </xf>
    <xf numFmtId="0" fontId="186" fillId="3" borderId="225" xfId="0" applyFont="1" applyFill="1" applyBorder="1" applyAlignment="1">
      <alignment horizontal="right" wrapText="1"/>
    </xf>
    <xf numFmtId="0" fontId="186" fillId="3" borderId="113" xfId="0" applyFont="1" applyFill="1" applyBorder="1" applyAlignment="1">
      <alignment horizontal="right" wrapText="1"/>
    </xf>
    <xf numFmtId="0" fontId="186" fillId="3" borderId="71" xfId="0" applyFont="1" applyFill="1" applyBorder="1" applyAlignment="1">
      <alignment horizontal="right" wrapText="1"/>
    </xf>
    <xf numFmtId="0" fontId="186" fillId="3" borderId="69" xfId="0" applyFont="1" applyFill="1" applyBorder="1" applyAlignment="1">
      <alignment horizontal="right" wrapText="1"/>
    </xf>
    <xf numFmtId="0" fontId="186" fillId="3" borderId="118" xfId="0" applyFont="1" applyFill="1" applyBorder="1" applyAlignment="1">
      <alignment horizontal="right" wrapText="1"/>
    </xf>
    <xf numFmtId="0" fontId="186" fillId="3" borderId="222" xfId="0" applyFont="1" applyFill="1" applyBorder="1" applyAlignment="1">
      <alignment horizontal="right" wrapText="1"/>
    </xf>
    <xf numFmtId="0" fontId="148" fillId="66" borderId="46" xfId="0" applyNumberFormat="1" applyFont="1" applyFill="1" applyBorder="1" applyAlignment="1">
      <alignment horizontal="center" vertical="center" wrapText="1"/>
    </xf>
    <xf numFmtId="0" fontId="22" fillId="79" borderId="0" xfId="51" quotePrefix="1" applyFont="1" applyFill="1" applyBorder="1" applyAlignment="1" applyProtection="1">
      <alignment vertical="center"/>
    </xf>
    <xf numFmtId="0" fontId="22" fillId="81" borderId="0" xfId="51" quotePrefix="1" applyFont="1" applyFill="1" applyBorder="1" applyAlignment="1" applyProtection="1">
      <alignment vertical="center"/>
    </xf>
    <xf numFmtId="0" fontId="22" fillId="79" borderId="0" xfId="0" applyFont="1" applyFill="1" applyBorder="1" applyAlignment="1">
      <alignment horizontal="right" vertical="center" indent="2"/>
    </xf>
    <xf numFmtId="0" fontId="48" fillId="3" borderId="0" xfId="0" applyFont="1" applyFill="1" applyAlignment="1" applyProtection="1">
      <alignment wrapText="1"/>
      <protection hidden="1"/>
    </xf>
    <xf numFmtId="0" fontId="182" fillId="3" borderId="283" xfId="0" applyFont="1" applyFill="1" applyBorder="1" applyAlignment="1">
      <alignment horizontal="center" vertical="center" textRotation="90" wrapText="1"/>
    </xf>
    <xf numFmtId="168" fontId="61" fillId="7" borderId="350" xfId="0" applyNumberFormat="1" applyFont="1" applyFill="1" applyBorder="1"/>
    <xf numFmtId="168" fontId="61" fillId="7" borderId="351" xfId="43" applyFont="1" applyFill="1" applyBorder="1">
      <alignment horizontal="right" indent="2"/>
      <protection locked="0"/>
    </xf>
    <xf numFmtId="168" fontId="61" fillId="7" borderId="258" xfId="0" applyNumberFormat="1" applyFont="1" applyFill="1" applyBorder="1"/>
    <xf numFmtId="168" fontId="61" fillId="7" borderId="266" xfId="0" applyNumberFormat="1" applyFont="1" applyFill="1" applyBorder="1"/>
    <xf numFmtId="165" fontId="152" fillId="66" borderId="46" xfId="33" applyNumberFormat="1" applyFont="1" applyFill="1" applyBorder="1" applyAlignment="1">
      <alignment horizontal="center" vertical="center" wrapText="1"/>
    </xf>
    <xf numFmtId="168" fontId="61" fillId="7" borderId="352" xfId="43" applyFont="1" applyFill="1" applyBorder="1">
      <alignment horizontal="right" indent="2"/>
      <protection locked="0"/>
    </xf>
    <xf numFmtId="0" fontId="148" fillId="66" borderId="57" xfId="0" applyNumberFormat="1" applyFont="1" applyFill="1" applyBorder="1" applyAlignment="1">
      <alignment horizontal="center" vertical="center" wrapText="1"/>
    </xf>
    <xf numFmtId="168" fontId="61" fillId="7" borderId="353" xfId="0" applyNumberFormat="1" applyFont="1" applyFill="1" applyBorder="1"/>
    <xf numFmtId="0" fontId="92" fillId="65" borderId="348" xfId="0" applyFont="1" applyFill="1" applyBorder="1" applyAlignment="1">
      <alignment vertical="center" wrapText="1"/>
    </xf>
    <xf numFmtId="0" fontId="92" fillId="65" borderId="300" xfId="0" applyFont="1" applyFill="1" applyBorder="1" applyAlignment="1">
      <alignment vertical="center"/>
    </xf>
    <xf numFmtId="0" fontId="92" fillId="65" borderId="348" xfId="0" applyFont="1" applyFill="1" applyBorder="1" applyAlignment="1">
      <alignment vertical="center"/>
    </xf>
    <xf numFmtId="0" fontId="0" fillId="3" borderId="328" xfId="0" applyFill="1" applyBorder="1" applyAlignment="1">
      <alignment horizontal="center" vertical="center"/>
    </xf>
    <xf numFmtId="0" fontId="44" fillId="3" borderId="0" xfId="0" applyFont="1" applyFill="1" applyBorder="1" applyAlignment="1">
      <alignment horizontal="center" vertical="center" wrapText="1"/>
    </xf>
    <xf numFmtId="0" fontId="181" fillId="3" borderId="289" xfId="0" applyFont="1" applyFill="1" applyBorder="1" applyAlignment="1">
      <alignment horizontal="center" vertical="center"/>
    </xf>
    <xf numFmtId="0" fontId="181" fillId="3" borderId="275" xfId="0" applyFont="1" applyFill="1" applyBorder="1" applyAlignment="1">
      <alignment horizontal="center" vertical="center"/>
    </xf>
    <xf numFmtId="0" fontId="0" fillId="83" borderId="355" xfId="0" applyFill="1" applyBorder="1" applyAlignment="1">
      <alignment horizontal="center" vertical="center"/>
    </xf>
    <xf numFmtId="0" fontId="0" fillId="3" borderId="329" xfId="0" applyFill="1" applyBorder="1" applyAlignment="1">
      <alignment horizontal="center" vertical="center"/>
    </xf>
    <xf numFmtId="0" fontId="61" fillId="3" borderId="282" xfId="0" applyFont="1" applyFill="1" applyBorder="1"/>
    <xf numFmtId="0" fontId="61" fillId="3" borderId="276" xfId="0" applyFont="1" applyFill="1" applyBorder="1" applyAlignment="1">
      <alignment horizontal="center"/>
    </xf>
    <xf numFmtId="0" fontId="61" fillId="3" borderId="223" xfId="0" applyFont="1" applyFill="1" applyBorder="1" applyAlignment="1">
      <alignment horizontal="center"/>
    </xf>
    <xf numFmtId="0" fontId="61" fillId="3" borderId="269" xfId="0" applyFont="1" applyFill="1" applyBorder="1"/>
    <xf numFmtId="0" fontId="61" fillId="3" borderId="268" xfId="0" applyFont="1" applyFill="1" applyBorder="1" applyAlignment="1">
      <alignment horizontal="center"/>
    </xf>
    <xf numFmtId="0" fontId="61" fillId="3" borderId="272" xfId="0" applyFont="1" applyFill="1" applyBorder="1"/>
    <xf numFmtId="0" fontId="0" fillId="83" borderId="343" xfId="0" applyFill="1" applyBorder="1" applyAlignment="1">
      <alignment horizontal="center" vertical="center"/>
    </xf>
    <xf numFmtId="0" fontId="61" fillId="3" borderId="356" xfId="0" applyFont="1" applyFill="1" applyBorder="1" applyAlignment="1">
      <alignment horizontal="center"/>
    </xf>
    <xf numFmtId="0" fontId="0" fillId="83" borderId="309" xfId="0" applyFill="1" applyBorder="1" applyAlignment="1">
      <alignment horizontal="center" vertical="center"/>
    </xf>
    <xf numFmtId="0" fontId="0" fillId="3" borderId="264" xfId="0" applyFill="1" applyBorder="1" applyAlignment="1">
      <alignment horizontal="center" vertical="center"/>
    </xf>
    <xf numFmtId="0" fontId="3" fillId="23" borderId="223" xfId="4" applyFont="1" applyFill="1" applyBorder="1">
      <alignment vertical="center"/>
      <protection locked="0"/>
    </xf>
    <xf numFmtId="0" fontId="47" fillId="23" borderId="223" xfId="0" applyFont="1" applyFill="1" applyBorder="1"/>
    <xf numFmtId="0" fontId="0" fillId="23" borderId="223" xfId="0" applyFont="1" applyFill="1" applyBorder="1" applyProtection="1"/>
    <xf numFmtId="0" fontId="49" fillId="0" borderId="223" xfId="10" applyFont="1" applyBorder="1">
      <alignment horizontal="left" vertical="center" indent="1"/>
    </xf>
    <xf numFmtId="0" fontId="6" fillId="84" borderId="0" xfId="0" applyFont="1" applyFill="1" applyAlignment="1" applyProtection="1">
      <alignment vertical="center"/>
    </xf>
    <xf numFmtId="0" fontId="3" fillId="84" borderId="0" xfId="0" applyFont="1" applyFill="1" applyAlignment="1" applyProtection="1">
      <alignment vertical="center"/>
    </xf>
    <xf numFmtId="0" fontId="3" fillId="84" borderId="0" xfId="0" applyFont="1" applyFill="1" applyAlignment="1">
      <alignment horizontal="center" vertical="center"/>
    </xf>
    <xf numFmtId="0" fontId="3" fillId="84" borderId="0" xfId="0" applyFont="1" applyFill="1" applyAlignment="1">
      <alignment horizontal="left" vertical="center"/>
    </xf>
    <xf numFmtId="0" fontId="3" fillId="23" borderId="223" xfId="4" applyFont="1" applyFill="1" applyBorder="1" applyAlignment="1">
      <alignment horizontal="center" vertical="center"/>
      <protection locked="0"/>
    </xf>
    <xf numFmtId="0" fontId="49" fillId="0" borderId="223" xfId="10" applyFont="1" applyBorder="1" applyAlignment="1">
      <alignment horizontal="center" vertical="center"/>
    </xf>
    <xf numFmtId="169" fontId="146" fillId="74" borderId="0" xfId="32" applyNumberFormat="1" applyFont="1" applyFill="1" applyBorder="1" applyAlignment="1">
      <alignment horizontal="left"/>
    </xf>
    <xf numFmtId="0" fontId="49" fillId="0" borderId="223" xfId="10" applyFont="1" applyBorder="1" applyAlignment="1">
      <alignment horizontal="left" vertical="center" indent="1"/>
    </xf>
    <xf numFmtId="0" fontId="148" fillId="69" borderId="65" xfId="25" applyFont="1" applyBorder="1">
      <alignment horizontal="center" vertical="center" wrapText="1"/>
    </xf>
    <xf numFmtId="49" fontId="49" fillId="74" borderId="227" xfId="9" applyNumberFormat="1" applyFont="1" applyFill="1" applyBorder="1" applyAlignment="1">
      <alignment horizontal="left" vertical="center" indent="1"/>
      <protection locked="0"/>
    </xf>
    <xf numFmtId="0" fontId="49" fillId="74" borderId="99" xfId="9" applyNumberFormat="1" applyFont="1" applyFill="1" applyBorder="1" applyAlignment="1">
      <alignment horizontal="left" vertical="center" indent="1"/>
      <protection locked="0"/>
    </xf>
    <xf numFmtId="168" fontId="61" fillId="74" borderId="0" xfId="0" applyNumberFormat="1" applyFont="1" applyFill="1"/>
    <xf numFmtId="168" fontId="49" fillId="85" borderId="249" xfId="11" applyFont="1" applyFill="1" applyBorder="1">
      <alignment horizontal="right"/>
      <protection locked="0"/>
    </xf>
    <xf numFmtId="168" fontId="49" fillId="85" borderId="241" xfId="11" applyFont="1" applyFill="1" applyBorder="1">
      <alignment horizontal="right"/>
      <protection locked="0"/>
    </xf>
    <xf numFmtId="168" fontId="49" fillId="85" borderId="254" xfId="11" applyFont="1" applyFill="1" applyBorder="1">
      <alignment horizontal="right"/>
      <protection locked="0"/>
    </xf>
    <xf numFmtId="0" fontId="148" fillId="66" borderId="235" xfId="0" applyFont="1" applyFill="1" applyBorder="1" applyAlignment="1">
      <alignment horizontal="center" vertical="center" wrapText="1"/>
    </xf>
    <xf numFmtId="0" fontId="148" fillId="66" borderId="236" xfId="0" applyFont="1" applyFill="1" applyBorder="1" applyAlignment="1">
      <alignment horizontal="center" vertical="center" wrapText="1"/>
    </xf>
    <xf numFmtId="0" fontId="148" fillId="66" borderId="46" xfId="0" applyNumberFormat="1" applyFont="1" applyFill="1" applyBorder="1" applyAlignment="1">
      <alignment horizontal="center" vertical="center" wrapText="1"/>
    </xf>
    <xf numFmtId="0" fontId="181" fillId="0" borderId="275" xfId="0" applyFont="1" applyBorder="1" applyAlignment="1">
      <alignment horizontal="center" vertical="center"/>
    </xf>
    <xf numFmtId="0" fontId="182" fillId="3" borderId="343" xfId="0" applyFont="1" applyFill="1" applyBorder="1" applyAlignment="1">
      <alignment horizontal="center" vertical="center" textRotation="90" wrapText="1"/>
    </xf>
    <xf numFmtId="171" fontId="0" fillId="3" borderId="0" xfId="0" applyNumberFormat="1" applyFont="1" applyFill="1" applyBorder="1" applyAlignment="1" applyProtection="1"/>
    <xf numFmtId="0" fontId="61" fillId="4" borderId="359" xfId="0" applyFont="1" applyFill="1" applyBorder="1"/>
    <xf numFmtId="0" fontId="61" fillId="4" borderId="360" xfId="0" applyFont="1" applyFill="1" applyBorder="1"/>
    <xf numFmtId="0" fontId="61" fillId="4" borderId="361" xfId="0" applyFont="1" applyFill="1" applyBorder="1"/>
    <xf numFmtId="0" fontId="49" fillId="28" borderId="266" xfId="0" applyFont="1" applyFill="1" applyBorder="1" applyAlignment="1">
      <alignment horizontal="center" vertical="center"/>
    </xf>
    <xf numFmtId="0" fontId="49" fillId="28" borderId="358" xfId="0" applyFont="1" applyFill="1" applyBorder="1" applyAlignment="1">
      <alignment horizontal="center" vertical="center"/>
    </xf>
    <xf numFmtId="0" fontId="49" fillId="28" borderId="362" xfId="0" applyFont="1" applyFill="1" applyBorder="1" applyAlignment="1">
      <alignment horizontal="center" vertical="center"/>
    </xf>
    <xf numFmtId="0" fontId="161" fillId="3" borderId="0" xfId="0" applyFont="1" applyFill="1" applyBorder="1" applyAlignment="1">
      <alignment horizontal="right"/>
    </xf>
    <xf numFmtId="0" fontId="148" fillId="66" borderId="48" xfId="0" applyNumberFormat="1" applyFont="1" applyFill="1" applyBorder="1" applyAlignment="1">
      <alignment horizontal="center" vertical="center" wrapText="1"/>
    </xf>
    <xf numFmtId="49" fontId="49" fillId="4" borderId="230" xfId="9" applyFont="1" applyBorder="1" applyAlignment="1">
      <alignment horizontal="left" vertical="center" indent="1"/>
      <protection locked="0"/>
    </xf>
    <xf numFmtId="49" fontId="49" fillId="4" borderId="232" xfId="9" applyFont="1" applyBorder="1" applyAlignment="1">
      <alignment horizontal="left" vertical="center" indent="1"/>
      <protection locked="0"/>
    </xf>
    <xf numFmtId="49" fontId="49" fillId="4" borderId="234" xfId="9" applyFont="1" applyBorder="1" applyAlignment="1">
      <alignment horizontal="left" vertical="center" indent="1"/>
      <protection locked="0"/>
    </xf>
    <xf numFmtId="0" fontId="0" fillId="83" borderId="363" xfId="0" applyFill="1" applyBorder="1" applyAlignment="1">
      <alignment horizontal="center" vertical="center"/>
    </xf>
    <xf numFmtId="0" fontId="0" fillId="3" borderId="324" xfId="0" applyFont="1" applyFill="1" applyBorder="1"/>
    <xf numFmtId="0" fontId="0" fillId="83" borderId="364" xfId="0" applyFill="1" applyBorder="1" applyAlignment="1">
      <alignment horizontal="center" vertical="center"/>
    </xf>
    <xf numFmtId="0" fontId="0" fillId="83" borderId="278" xfId="0" applyFill="1" applyBorder="1" applyAlignment="1">
      <alignment horizontal="center" vertical="center"/>
    </xf>
    <xf numFmtId="0" fontId="49" fillId="3" borderId="223" xfId="0" applyFont="1" applyFill="1" applyBorder="1" applyAlignment="1" applyProtection="1">
      <alignment horizontal="center" wrapText="1"/>
    </xf>
    <xf numFmtId="168" fontId="61" fillId="17" borderId="233" xfId="5" applyFont="1" applyFill="1" applyBorder="1">
      <alignment horizontal="right" indent="2"/>
      <protection locked="0"/>
    </xf>
    <xf numFmtId="0" fontId="61" fillId="4" borderId="231" xfId="0" applyFont="1" applyFill="1" applyBorder="1" applyAlignment="1">
      <alignment vertical="top" wrapText="1"/>
    </xf>
    <xf numFmtId="0" fontId="61" fillId="4" borderId="233" xfId="0" applyFont="1" applyFill="1" applyBorder="1" applyAlignment="1">
      <alignment vertical="top" wrapText="1"/>
    </xf>
    <xf numFmtId="0" fontId="61" fillId="4" borderId="235" xfId="0" applyFont="1" applyFill="1" applyBorder="1" applyAlignment="1">
      <alignment vertical="top" wrapText="1"/>
    </xf>
    <xf numFmtId="0" fontId="61" fillId="4" borderId="236" xfId="0" applyFont="1" applyFill="1" applyBorder="1" applyAlignment="1">
      <alignment vertical="top" wrapText="1"/>
    </xf>
    <xf numFmtId="0" fontId="0" fillId="3" borderId="223" xfId="0" applyFont="1" applyFill="1" applyBorder="1"/>
    <xf numFmtId="49" fontId="49" fillId="4" borderId="237" xfId="9" applyFont="1" applyFill="1" applyBorder="1" applyAlignment="1">
      <alignment horizontal="left" vertical="center" indent="1"/>
      <protection locked="0"/>
    </xf>
    <xf numFmtId="49" fontId="49" fillId="4" borderId="238" xfId="9" applyFont="1" applyFill="1" applyBorder="1" applyAlignment="1">
      <alignment horizontal="left" vertical="center" indent="1"/>
      <protection locked="0"/>
    </xf>
    <xf numFmtId="49" fontId="49" fillId="4" borderId="239" xfId="9" applyFont="1" applyFill="1" applyBorder="1" applyAlignment="1">
      <alignment horizontal="left" vertical="center" indent="1"/>
      <protection locked="0"/>
    </xf>
    <xf numFmtId="168" fontId="61" fillId="7" borderId="254" xfId="43" applyFont="1" applyFill="1" applyBorder="1">
      <alignment horizontal="right" indent="2"/>
      <protection locked="0"/>
    </xf>
    <xf numFmtId="168" fontId="61" fillId="7" borderId="255" xfId="43" applyFont="1" applyFill="1" applyBorder="1">
      <alignment horizontal="right" indent="2"/>
      <protection locked="0"/>
    </xf>
    <xf numFmtId="168" fontId="61" fillId="7" borderId="354" xfId="0" applyNumberFormat="1" applyFont="1" applyFill="1" applyBorder="1"/>
    <xf numFmtId="168" fontId="61" fillId="7" borderId="254" xfId="0" applyNumberFormat="1" applyFont="1" applyFill="1" applyBorder="1"/>
    <xf numFmtId="0" fontId="51" fillId="76" borderId="253" xfId="41" applyFont="1" applyFill="1" applyBorder="1" applyAlignment="1">
      <alignment vertical="center" wrapText="1"/>
    </xf>
    <xf numFmtId="168" fontId="61" fillId="7" borderId="366" xfId="0" applyNumberFormat="1" applyFont="1" applyFill="1" applyBorder="1"/>
    <xf numFmtId="0" fontId="148" fillId="66" borderId="235" xfId="0" applyFont="1" applyFill="1" applyBorder="1" applyAlignment="1">
      <alignment horizontal="center" vertical="center" wrapText="1"/>
    </xf>
    <xf numFmtId="0" fontId="0" fillId="3" borderId="318" xfId="0" applyFont="1" applyFill="1" applyBorder="1" applyAlignment="1">
      <alignment horizontal="center"/>
    </xf>
    <xf numFmtId="0" fontId="0" fillId="3" borderId="319" xfId="0" applyFont="1" applyFill="1" applyBorder="1" applyAlignment="1">
      <alignment horizontal="center"/>
    </xf>
    <xf numFmtId="0" fontId="0" fillId="3" borderId="323" xfId="0" applyFont="1" applyFill="1" applyBorder="1" applyAlignment="1">
      <alignment horizontal="center"/>
    </xf>
    <xf numFmtId="0" fontId="0" fillId="3" borderId="235" xfId="0" applyFont="1" applyFill="1" applyBorder="1"/>
    <xf numFmtId="0" fontId="61" fillId="4" borderId="223" xfId="0" applyFont="1" applyFill="1" applyBorder="1" applyAlignment="1">
      <alignment horizontal="left" vertical="top" wrapText="1" indent="2"/>
    </xf>
    <xf numFmtId="0" fontId="61" fillId="4" borderId="243" xfId="0" applyFont="1" applyFill="1" applyBorder="1" applyAlignment="1">
      <alignment vertical="top" wrapText="1"/>
    </xf>
    <xf numFmtId="0" fontId="0" fillId="3" borderId="286" xfId="0" applyFill="1" applyBorder="1" applyAlignment="1">
      <alignment vertical="center"/>
    </xf>
    <xf numFmtId="0" fontId="61" fillId="4" borderId="230" xfId="0" applyFont="1" applyFill="1" applyBorder="1" applyAlignment="1">
      <alignment horizontal="left" vertical="top" wrapText="1" indent="2"/>
    </xf>
    <xf numFmtId="0" fontId="61" fillId="4" borderId="371" xfId="0" applyFont="1" applyFill="1" applyBorder="1" applyAlignment="1">
      <alignment horizontal="left" vertical="top" wrapText="1" indent="2"/>
    </xf>
    <xf numFmtId="0" fontId="44" fillId="3" borderId="0" xfId="0" applyFont="1" applyFill="1" applyAlignment="1">
      <alignment horizontal="center"/>
    </xf>
    <xf numFmtId="0" fontId="61" fillId="3" borderId="231" xfId="0" applyFont="1" applyFill="1" applyBorder="1" applyAlignment="1">
      <alignment horizontal="left" vertical="top" wrapText="1" indent="2"/>
    </xf>
    <xf numFmtId="0" fontId="61" fillId="4" borderId="231" xfId="0" applyFont="1" applyFill="1" applyBorder="1" applyAlignment="1">
      <alignment horizontal="left" vertical="top" wrapText="1" indent="2"/>
    </xf>
    <xf numFmtId="0" fontId="0" fillId="3" borderId="232" xfId="0" applyFont="1" applyFill="1" applyBorder="1"/>
    <xf numFmtId="0" fontId="0" fillId="3" borderId="234" xfId="0" applyFont="1" applyFill="1" applyBorder="1"/>
    <xf numFmtId="0" fontId="61" fillId="4" borderId="235" xfId="0" applyFont="1" applyFill="1" applyBorder="1" applyAlignment="1">
      <alignment horizontal="left" vertical="top" wrapText="1" indent="2"/>
    </xf>
    <xf numFmtId="0" fontId="49" fillId="3" borderId="372" xfId="0" applyFont="1" applyFill="1" applyBorder="1" applyAlignment="1">
      <alignment horizontal="center" vertical="center" wrapText="1"/>
    </xf>
    <xf numFmtId="0" fontId="49" fillId="3" borderId="373" xfId="0" applyFont="1" applyFill="1" applyBorder="1" applyAlignment="1">
      <alignment horizontal="center" vertical="center" wrapText="1"/>
    </xf>
    <xf numFmtId="0" fontId="51" fillId="3" borderId="373" xfId="0" applyFont="1" applyFill="1" applyBorder="1" applyAlignment="1">
      <alignment horizontal="center" vertical="center" wrapText="1"/>
    </xf>
    <xf numFmtId="0" fontId="61" fillId="3" borderId="374" xfId="0" applyFont="1" applyFill="1" applyBorder="1" applyAlignment="1">
      <alignment horizontal="center" vertical="center"/>
    </xf>
    <xf numFmtId="0" fontId="148" fillId="66" borderId="234" xfId="0" applyFont="1" applyFill="1" applyBorder="1" applyAlignment="1">
      <alignment horizontal="center" vertical="center" wrapText="1"/>
    </xf>
    <xf numFmtId="0" fontId="148" fillId="66" borderId="367" xfId="0" applyFont="1" applyFill="1" applyBorder="1" applyAlignment="1">
      <alignment horizontal="center" vertical="center" wrapText="1"/>
    </xf>
    <xf numFmtId="165" fontId="103" fillId="66" borderId="235" xfId="46" applyNumberFormat="1" applyFont="1" applyFill="1" applyBorder="1" applyAlignment="1">
      <alignment horizontal="center" vertical="center" wrapText="1"/>
    </xf>
    <xf numFmtId="165" fontId="103" fillId="66" borderId="236" xfId="46" applyNumberFormat="1" applyFont="1" applyFill="1" applyBorder="1" applyAlignment="1">
      <alignment horizontal="center" vertical="center" wrapText="1"/>
    </xf>
    <xf numFmtId="0" fontId="0" fillId="83" borderId="277" xfId="0" applyFill="1" applyBorder="1" applyAlignment="1">
      <alignment horizontal="center" vertical="center"/>
    </xf>
    <xf numFmtId="179" fontId="61" fillId="4" borderId="385" xfId="0" applyNumberFormat="1" applyFont="1" applyFill="1" applyBorder="1" applyAlignment="1">
      <alignment horizontal="center" vertical="center"/>
    </xf>
    <xf numFmtId="179" fontId="61" fillId="4" borderId="386" xfId="0" applyNumberFormat="1" applyFont="1" applyFill="1" applyBorder="1" applyAlignment="1">
      <alignment horizontal="center" vertical="center"/>
    </xf>
    <xf numFmtId="0" fontId="0" fillId="3" borderId="377" xfId="0" applyFill="1" applyBorder="1" applyAlignment="1">
      <alignment horizontal="center" vertical="center"/>
    </xf>
    <xf numFmtId="0" fontId="0" fillId="3" borderId="368" xfId="0" applyFill="1" applyBorder="1" applyAlignment="1">
      <alignment horizontal="center" vertical="center"/>
    </xf>
    <xf numFmtId="0" fontId="0" fillId="3" borderId="387" xfId="0" applyFont="1" applyFill="1" applyBorder="1" applyAlignment="1">
      <alignment horizontal="center"/>
    </xf>
    <xf numFmtId="0" fontId="0" fillId="3" borderId="370" xfId="0" applyFont="1" applyFill="1" applyBorder="1" applyAlignment="1">
      <alignment horizontal="center"/>
    </xf>
    <xf numFmtId="0" fontId="0" fillId="83" borderId="390" xfId="0" applyFill="1" applyBorder="1" applyAlignment="1">
      <alignment horizontal="center" vertical="center"/>
    </xf>
    <xf numFmtId="0" fontId="0" fillId="3" borderId="391" xfId="0" applyFill="1" applyBorder="1" applyAlignment="1">
      <alignment horizontal="center" vertical="center"/>
    </xf>
    <xf numFmtId="0" fontId="0" fillId="3" borderId="392" xfId="0" applyFill="1" applyBorder="1" applyAlignment="1">
      <alignment horizontal="center" vertical="center"/>
    </xf>
    <xf numFmtId="0" fontId="0" fillId="83" borderId="394" xfId="0" applyFill="1" applyBorder="1" applyAlignment="1">
      <alignment horizontal="center" vertical="center"/>
    </xf>
    <xf numFmtId="0" fontId="0" fillId="83" borderId="322" xfId="0" applyFill="1" applyBorder="1" applyAlignment="1">
      <alignment horizontal="center" vertical="center"/>
    </xf>
    <xf numFmtId="0" fontId="0" fillId="3" borderId="395" xfId="0" applyFill="1" applyBorder="1" applyAlignment="1">
      <alignment horizontal="center" vertical="center"/>
    </xf>
    <xf numFmtId="0" fontId="0" fillId="3" borderId="396" xfId="0" applyFill="1" applyBorder="1" applyAlignment="1">
      <alignment horizontal="center" vertical="center"/>
    </xf>
    <xf numFmtId="0" fontId="0" fillId="3" borderId="387" xfId="0" applyFill="1" applyBorder="1" applyAlignment="1">
      <alignment horizontal="center" vertical="center"/>
    </xf>
    <xf numFmtId="0" fontId="0" fillId="3" borderId="364" xfId="0" applyFill="1" applyBorder="1" applyAlignment="1">
      <alignment horizontal="center" vertical="center"/>
    </xf>
    <xf numFmtId="0" fontId="0" fillId="3" borderId="370" xfId="0" applyFill="1" applyBorder="1" applyAlignment="1">
      <alignment horizontal="center" vertical="center"/>
    </xf>
    <xf numFmtId="0" fontId="0" fillId="3" borderId="369" xfId="0" applyFill="1" applyBorder="1" applyAlignment="1">
      <alignment horizontal="center" vertical="center"/>
    </xf>
    <xf numFmtId="0" fontId="49" fillId="3" borderId="278" xfId="0" applyFont="1" applyFill="1" applyBorder="1" applyAlignment="1">
      <alignment vertical="center"/>
    </xf>
    <xf numFmtId="0" fontId="49" fillId="3" borderId="364" xfId="0" applyFont="1" applyFill="1" applyBorder="1" applyAlignment="1">
      <alignment vertical="center"/>
    </xf>
    <xf numFmtId="0" fontId="49" fillId="3" borderId="369" xfId="0" applyFont="1" applyFill="1" applyBorder="1" applyAlignment="1">
      <alignment vertical="center"/>
    </xf>
    <xf numFmtId="0" fontId="49" fillId="3" borderId="387" xfId="0" applyFont="1" applyFill="1" applyBorder="1" applyAlignment="1">
      <alignment horizontal="center" vertical="center"/>
    </xf>
    <xf numFmtId="0" fontId="49" fillId="3" borderId="370" xfId="0" applyFont="1" applyFill="1" applyBorder="1" applyAlignment="1">
      <alignment horizontal="center" vertical="center"/>
    </xf>
    <xf numFmtId="0" fontId="0" fillId="83" borderId="322" xfId="0" applyFont="1" applyFill="1" applyBorder="1" applyAlignment="1">
      <alignment horizontal="center"/>
    </xf>
    <xf numFmtId="0" fontId="49" fillId="83" borderId="322" xfId="0" applyFont="1" applyFill="1" applyBorder="1" applyAlignment="1">
      <alignment horizontal="center" vertical="center"/>
    </xf>
    <xf numFmtId="49" fontId="16" fillId="3" borderId="0" xfId="1" applyFill="1">
      <alignment vertical="center"/>
    </xf>
    <xf numFmtId="0" fontId="25" fillId="3" borderId="0" xfId="0" applyFont="1" applyFill="1"/>
    <xf numFmtId="0" fontId="25" fillId="3" borderId="0" xfId="0" applyFont="1" applyFill="1" applyAlignment="1">
      <alignment vertical="top"/>
    </xf>
    <xf numFmtId="0" fontId="29" fillId="3" borderId="0" xfId="0" applyFont="1" applyFill="1" applyAlignment="1">
      <alignment vertical="center"/>
    </xf>
    <xf numFmtId="0" fontId="25" fillId="3" borderId="0" xfId="0" applyFont="1" applyFill="1" applyAlignment="1">
      <alignment horizontal="centerContinuous" vertical="top"/>
    </xf>
    <xf numFmtId="0" fontId="27" fillId="3" borderId="0" xfId="0" applyFont="1" applyFill="1" applyAlignment="1">
      <alignment horizontal="right" vertical="center"/>
    </xf>
    <xf numFmtId="0" fontId="179" fillId="3" borderId="0" xfId="0" applyFont="1" applyFill="1" applyAlignment="1">
      <alignment horizontal="right" vertical="center"/>
    </xf>
    <xf numFmtId="0" fontId="32" fillId="3" borderId="0" xfId="0" applyFont="1" applyFill="1"/>
    <xf numFmtId="0" fontId="0" fillId="33" borderId="398" xfId="0" applyFill="1" applyBorder="1" applyAlignment="1">
      <alignment horizontal="center" vertical="center"/>
    </xf>
    <xf numFmtId="0" fontId="0" fillId="33" borderId="376" xfId="0" applyFill="1" applyBorder="1" applyAlignment="1">
      <alignment horizontal="center" vertical="center"/>
    </xf>
    <xf numFmtId="0" fontId="0" fillId="3" borderId="376" xfId="0" applyFill="1" applyBorder="1" applyAlignment="1">
      <alignment vertical="center"/>
    </xf>
    <xf numFmtId="0" fontId="0" fillId="3" borderId="398" xfId="0" applyFill="1" applyBorder="1" applyAlignment="1">
      <alignment vertical="center"/>
    </xf>
    <xf numFmtId="0" fontId="0" fillId="3" borderId="398" xfId="0" applyFill="1" applyBorder="1" applyAlignment="1">
      <alignment vertical="center" wrapText="1"/>
    </xf>
    <xf numFmtId="0" fontId="0" fillId="3" borderId="376" xfId="0" applyFill="1" applyBorder="1" applyAlignment="1">
      <alignment horizontal="left" vertical="center"/>
    </xf>
    <xf numFmtId="0" fontId="0" fillId="3" borderId="286" xfId="0" applyFill="1" applyBorder="1" applyAlignment="1">
      <alignment horizontal="left" vertical="center"/>
    </xf>
    <xf numFmtId="0" fontId="0" fillId="3" borderId="398" xfId="0" applyFill="1" applyBorder="1" applyAlignment="1">
      <alignment horizontal="left" vertical="center"/>
    </xf>
    <xf numFmtId="0" fontId="0" fillId="3" borderId="376" xfId="0" applyFill="1" applyBorder="1" applyAlignment="1">
      <alignment vertical="center" wrapText="1"/>
    </xf>
    <xf numFmtId="0" fontId="0" fillId="3" borderId="286" xfId="0" applyFill="1" applyBorder="1" applyAlignment="1">
      <alignment vertical="center" wrapText="1"/>
    </xf>
    <xf numFmtId="0" fontId="0" fillId="3" borderId="63" xfId="0" applyFill="1" applyBorder="1" applyAlignment="1">
      <alignment vertical="center"/>
    </xf>
    <xf numFmtId="0" fontId="0" fillId="0" borderId="376" xfId="0" applyBorder="1" applyAlignment="1">
      <alignment vertical="center"/>
    </xf>
    <xf numFmtId="0" fontId="0" fillId="0" borderId="398" xfId="0" applyBorder="1" applyAlignment="1">
      <alignment vertical="center"/>
    </xf>
    <xf numFmtId="0" fontId="0" fillId="3" borderId="0" xfId="0" applyFill="1" applyBorder="1" applyAlignment="1">
      <alignment vertical="center"/>
    </xf>
    <xf numFmtId="0" fontId="0" fillId="3" borderId="46" xfId="0" applyFill="1" applyBorder="1" applyAlignment="1">
      <alignment vertical="center"/>
    </xf>
    <xf numFmtId="0" fontId="0" fillId="3" borderId="112" xfId="0" applyFill="1" applyBorder="1" applyAlignment="1">
      <alignment vertical="center"/>
    </xf>
    <xf numFmtId="0" fontId="0" fillId="3" borderId="286" xfId="0" applyFill="1" applyBorder="1" applyAlignment="1">
      <alignment horizontal="left" vertical="center" wrapText="1"/>
    </xf>
    <xf numFmtId="0" fontId="49" fillId="3" borderId="235" xfId="0" applyFont="1" applyFill="1" applyBorder="1" applyAlignment="1" applyProtection="1">
      <alignment horizontal="center" wrapText="1"/>
    </xf>
    <xf numFmtId="168" fontId="61" fillId="17" borderId="236" xfId="5" applyFont="1" applyFill="1" applyBorder="1">
      <alignment horizontal="right" indent="2"/>
      <protection locked="0"/>
    </xf>
    <xf numFmtId="0" fontId="0" fillId="83" borderId="399" xfId="0" applyFill="1" applyBorder="1" applyAlignment="1">
      <alignment horizontal="center" vertical="center"/>
    </xf>
    <xf numFmtId="0" fontId="49" fillId="0" borderId="230" xfId="0" applyNumberFormat="1" applyFont="1" applyBorder="1" applyAlignment="1" applyProtection="1">
      <alignment vertical="center"/>
    </xf>
    <xf numFmtId="0" fontId="49" fillId="28" borderId="231" xfId="0" applyFont="1" applyFill="1" applyBorder="1" applyAlignment="1">
      <alignment horizontal="center"/>
    </xf>
    <xf numFmtId="168" fontId="61" fillId="4" borderId="243" xfId="5" applyFont="1" applyFill="1" applyBorder="1">
      <alignment horizontal="right" indent="2"/>
      <protection locked="0"/>
    </xf>
    <xf numFmtId="0" fontId="49" fillId="0" borderId="232" xfId="0" applyFont="1" applyBorder="1" applyAlignment="1" applyProtection="1">
      <alignment vertical="center"/>
    </xf>
    <xf numFmtId="0" fontId="49" fillId="28" borderId="223" xfId="0" applyFont="1" applyFill="1" applyBorder="1" applyAlignment="1">
      <alignment horizontal="center"/>
    </xf>
    <xf numFmtId="0" fontId="49" fillId="0" borderId="234" xfId="0" applyFont="1" applyBorder="1" applyAlignment="1" applyProtection="1">
      <alignment vertical="center"/>
    </xf>
    <xf numFmtId="0" fontId="49" fillId="28" borderId="235" xfId="0" applyFont="1" applyFill="1" applyBorder="1" applyAlignment="1">
      <alignment horizontal="center"/>
    </xf>
    <xf numFmtId="0" fontId="0" fillId="3" borderId="310" xfId="0" applyFill="1" applyBorder="1" applyAlignment="1">
      <alignment horizontal="center" vertical="center"/>
    </xf>
    <xf numFmtId="0" fontId="181" fillId="0" borderId="400" xfId="0" applyFont="1" applyBorder="1" applyAlignment="1">
      <alignment horizontal="center" vertical="center"/>
    </xf>
    <xf numFmtId="0" fontId="0" fillId="83" borderId="289" xfId="0" applyFill="1" applyBorder="1" applyAlignment="1">
      <alignment horizontal="center" vertical="center"/>
    </xf>
    <xf numFmtId="0" fontId="0" fillId="3" borderId="267" xfId="0" applyFill="1" applyBorder="1" applyAlignment="1">
      <alignment horizontal="center" vertical="center"/>
    </xf>
    <xf numFmtId="0" fontId="0" fillId="3" borderId="269" xfId="0" applyFont="1" applyFill="1" applyBorder="1" applyProtection="1"/>
    <xf numFmtId="0" fontId="49" fillId="28" borderId="223" xfId="0" applyFont="1" applyFill="1" applyBorder="1" applyAlignment="1">
      <alignment horizontal="center" vertical="center"/>
    </xf>
    <xf numFmtId="0" fontId="0" fillId="3" borderId="282" xfId="0" applyFont="1" applyFill="1" applyBorder="1" applyProtection="1"/>
    <xf numFmtId="0" fontId="0" fillId="3" borderId="343" xfId="0" applyFill="1" applyBorder="1" applyAlignment="1">
      <alignment horizontal="center" vertical="center"/>
    </xf>
    <xf numFmtId="0" fontId="0" fillId="83" borderId="271" xfId="0" applyFont="1" applyFill="1" applyBorder="1" applyAlignment="1">
      <alignment horizontal="center"/>
    </xf>
    <xf numFmtId="0" fontId="0" fillId="83" borderId="274" xfId="0" applyFont="1" applyFill="1" applyBorder="1" applyAlignment="1">
      <alignment horizontal="center"/>
    </xf>
    <xf numFmtId="0" fontId="0" fillId="83" borderId="275" xfId="0" applyFont="1" applyFill="1" applyBorder="1" applyAlignment="1">
      <alignment horizontal="center"/>
    </xf>
    <xf numFmtId="0" fontId="0" fillId="83" borderId="294" xfId="0" applyFill="1" applyBorder="1" applyAlignment="1">
      <alignment horizontal="center" vertical="center"/>
    </xf>
    <xf numFmtId="0" fontId="49" fillId="0" borderId="230" xfId="10" applyNumberFormat="1" applyFont="1" applyBorder="1" applyAlignment="1">
      <alignment horizontal="left" vertical="center" indent="1"/>
    </xf>
    <xf numFmtId="0" fontId="49" fillId="0" borderId="232" xfId="10" applyNumberFormat="1" applyFont="1" applyBorder="1" applyAlignment="1">
      <alignment horizontal="left" vertical="center" indent="1"/>
    </xf>
    <xf numFmtId="0" fontId="61" fillId="3" borderId="328" xfId="0" applyFont="1" applyFill="1" applyBorder="1"/>
    <xf numFmtId="0" fontId="61" fillId="3" borderId="328" xfId="0" applyFont="1" applyFill="1" applyBorder="1" applyProtection="1"/>
    <xf numFmtId="0" fontId="61" fillId="3" borderId="329" xfId="0" applyFont="1" applyFill="1" applyBorder="1" applyProtection="1"/>
    <xf numFmtId="0" fontId="61" fillId="3" borderId="329" xfId="0" applyFont="1" applyFill="1" applyBorder="1"/>
    <xf numFmtId="0" fontId="61" fillId="3" borderId="269" xfId="0" applyFont="1" applyFill="1" applyBorder="1" applyProtection="1"/>
    <xf numFmtId="0" fontId="61" fillId="3" borderId="272" xfId="0" applyFont="1" applyFill="1" applyBorder="1" applyProtection="1"/>
    <xf numFmtId="0" fontId="0" fillId="3" borderId="247" xfId="0" applyFill="1" applyBorder="1" applyAlignment="1">
      <alignment horizontal="center" vertical="center"/>
    </xf>
    <xf numFmtId="0" fontId="0" fillId="3" borderId="355" xfId="0" applyFill="1" applyBorder="1" applyAlignment="1">
      <alignment horizontal="center" vertical="center"/>
    </xf>
    <xf numFmtId="0" fontId="61" fillId="3" borderId="311" xfId="0" applyFont="1" applyFill="1" applyBorder="1"/>
    <xf numFmtId="0" fontId="61" fillId="3" borderId="355" xfId="0" applyFont="1" applyFill="1" applyBorder="1"/>
    <xf numFmtId="0" fontId="184" fillId="3" borderId="333" xfId="0" applyFont="1" applyFill="1" applyBorder="1" applyAlignment="1">
      <alignment vertical="top" wrapText="1"/>
    </xf>
    <xf numFmtId="0" fontId="49" fillId="3" borderId="266" xfId="0" applyFont="1" applyFill="1" applyBorder="1" applyAlignment="1">
      <alignment horizontal="center"/>
    </xf>
    <xf numFmtId="0" fontId="49" fillId="3" borderId="358" xfId="0" applyFont="1" applyFill="1" applyBorder="1" applyAlignment="1">
      <alignment horizontal="center"/>
    </xf>
    <xf numFmtId="0" fontId="49" fillId="3" borderId="362" xfId="0" applyFont="1" applyFill="1" applyBorder="1" applyAlignment="1">
      <alignment horizontal="center"/>
    </xf>
    <xf numFmtId="0" fontId="61" fillId="67" borderId="230" xfId="0" applyFont="1" applyFill="1" applyBorder="1"/>
    <xf numFmtId="0" fontId="61" fillId="67" borderId="232" xfId="0" applyFont="1" applyFill="1" applyBorder="1"/>
    <xf numFmtId="0" fontId="61" fillId="67" borderId="234" xfId="0" applyFont="1" applyFill="1" applyBorder="1"/>
    <xf numFmtId="49" fontId="49" fillId="4" borderId="406" xfId="9" applyFont="1" applyBorder="1" applyAlignment="1">
      <alignment horizontal="left" vertical="center" indent="1"/>
      <protection locked="0"/>
    </xf>
    <xf numFmtId="49" fontId="49" fillId="4" borderId="407" xfId="9" applyFont="1" applyBorder="1" applyAlignment="1">
      <alignment horizontal="left" vertical="center" indent="1"/>
      <protection locked="0"/>
    </xf>
    <xf numFmtId="49" fontId="49" fillId="4" borderId="408" xfId="9" applyFont="1" applyBorder="1" applyAlignment="1">
      <alignment horizontal="left" vertical="center" indent="1"/>
      <protection locked="0"/>
    </xf>
    <xf numFmtId="0" fontId="61" fillId="67" borderId="359" xfId="0" applyFont="1" applyFill="1" applyBorder="1"/>
    <xf numFmtId="0" fontId="61" fillId="67" borderId="360" xfId="0" applyFont="1" applyFill="1" applyBorder="1"/>
    <xf numFmtId="164" fontId="61" fillId="67" borderId="409" xfId="48" applyFont="1" applyFill="1" applyBorder="1"/>
    <xf numFmtId="164" fontId="61" fillId="67" borderId="410" xfId="48" applyFont="1" applyFill="1" applyBorder="1"/>
    <xf numFmtId="0" fontId="61" fillId="67" borderId="361" xfId="0" applyFont="1" applyFill="1" applyBorder="1"/>
    <xf numFmtId="164" fontId="61" fillId="67" borderId="366" xfId="48" applyFont="1" applyFill="1" applyBorder="1"/>
    <xf numFmtId="0" fontId="158" fillId="7" borderId="312" xfId="0" applyNumberFormat="1" applyFont="1" applyFill="1" applyBorder="1" applyAlignment="1">
      <alignment vertical="center" wrapText="1"/>
    </xf>
    <xf numFmtId="0" fontId="148" fillId="69" borderId="57" xfId="25" applyFont="1" applyBorder="1" applyAlignment="1">
      <alignment horizontal="centerContinuous" vertical="center" wrapText="1"/>
    </xf>
    <xf numFmtId="0" fontId="148" fillId="69" borderId="48" xfId="25" applyFont="1" applyBorder="1" applyAlignment="1">
      <alignment horizontal="centerContinuous" vertical="center" wrapText="1"/>
    </xf>
    <xf numFmtId="0" fontId="148" fillId="69" borderId="23" xfId="25" applyNumberFormat="1" applyFont="1" applyBorder="1">
      <alignment horizontal="center" vertical="center" wrapText="1"/>
    </xf>
    <xf numFmtId="0" fontId="148" fillId="69" borderId="245" xfId="25" applyNumberFormat="1" applyFont="1" applyBorder="1">
      <alignment horizontal="center" vertical="center" wrapText="1"/>
    </xf>
    <xf numFmtId="0" fontId="148" fillId="66" borderId="65" xfId="0" applyNumberFormat="1" applyFont="1" applyFill="1" applyBorder="1" applyAlignment="1">
      <alignment horizontal="center" vertical="center" wrapText="1"/>
    </xf>
    <xf numFmtId="168" fontId="49" fillId="7" borderId="222" xfId="15" applyFont="1" applyFill="1" applyBorder="1">
      <alignment horizontal="right"/>
      <protection locked="0"/>
    </xf>
    <xf numFmtId="0" fontId="3" fillId="3" borderId="0" xfId="0" applyFont="1" applyFill="1" applyBorder="1" applyAlignment="1">
      <alignment horizontal="left" vertical="center"/>
    </xf>
    <xf numFmtId="0" fontId="175" fillId="2" borderId="1" xfId="1" quotePrefix="1" applyNumberFormat="1" applyFont="1" applyBorder="1" applyAlignment="1">
      <alignment horizontal="centerContinuous" vertical="center"/>
    </xf>
    <xf numFmtId="0" fontId="175" fillId="2" borderId="2" xfId="1" applyNumberFormat="1" applyFont="1" applyBorder="1" applyAlignment="1">
      <alignment horizontal="centerContinuous" vertical="center"/>
    </xf>
    <xf numFmtId="0" fontId="39" fillId="2" borderId="2" xfId="1" applyNumberFormat="1" applyFont="1" applyBorder="1" applyAlignment="1">
      <alignment horizontal="centerContinuous" vertical="center"/>
    </xf>
    <xf numFmtId="0" fontId="175" fillId="2" borderId="3" xfId="1" applyNumberFormat="1" applyFont="1" applyBorder="1" applyAlignment="1">
      <alignment horizontal="centerContinuous" vertical="center"/>
    </xf>
    <xf numFmtId="0" fontId="175" fillId="2" borderId="4" xfId="1" quotePrefix="1" applyNumberFormat="1" applyFont="1" applyBorder="1" applyAlignment="1">
      <alignment horizontal="centerContinuous" vertical="center"/>
    </xf>
    <xf numFmtId="0" fontId="175" fillId="2" borderId="0" xfId="1" applyNumberFormat="1" applyFont="1" applyBorder="1" applyAlignment="1">
      <alignment horizontal="centerContinuous" vertical="center"/>
    </xf>
    <xf numFmtId="0" fontId="39" fillId="2" borderId="0" xfId="1" applyNumberFormat="1" applyFont="1" applyBorder="1" applyAlignment="1">
      <alignment horizontal="centerContinuous" vertical="center"/>
    </xf>
    <xf numFmtId="0" fontId="175" fillId="2" borderId="5" xfId="1" applyNumberFormat="1" applyFont="1" applyBorder="1" applyAlignment="1">
      <alignment horizontal="centerContinuous" vertical="center"/>
    </xf>
    <xf numFmtId="0" fontId="175" fillId="2" borderId="6" xfId="1" quotePrefix="1" applyNumberFormat="1" applyFont="1" applyBorder="1" applyAlignment="1">
      <alignment horizontal="centerContinuous" vertical="center"/>
    </xf>
    <xf numFmtId="0" fontId="175" fillId="2" borderId="7" xfId="1" applyNumberFormat="1" applyFont="1" applyBorder="1" applyAlignment="1">
      <alignment horizontal="centerContinuous" vertical="center"/>
    </xf>
    <xf numFmtId="0" fontId="39" fillId="2" borderId="7" xfId="1" applyNumberFormat="1" applyFont="1" applyBorder="1" applyAlignment="1">
      <alignment horizontal="centerContinuous" vertical="center"/>
    </xf>
    <xf numFmtId="0" fontId="175" fillId="2" borderId="8" xfId="1" applyNumberFormat="1" applyFont="1" applyBorder="1" applyAlignment="1">
      <alignment horizontal="centerContinuous" vertical="center"/>
    </xf>
    <xf numFmtId="178" fontId="187" fillId="74" borderId="0" xfId="51" quotePrefix="1" applyNumberFormat="1" applyFill="1" applyBorder="1" applyAlignment="1">
      <alignment horizontal="left" vertical="center"/>
    </xf>
    <xf numFmtId="0" fontId="178" fillId="3" borderId="0" xfId="0" applyFont="1" applyFill="1" applyBorder="1" applyAlignment="1">
      <alignment vertical="center"/>
    </xf>
    <xf numFmtId="0" fontId="187" fillId="74" borderId="0" xfId="51" applyFill="1" applyAlignment="1">
      <alignment vertical="center"/>
    </xf>
    <xf numFmtId="168" fontId="49" fillId="24" borderId="240" xfId="11" applyFont="1" applyBorder="1">
      <alignment horizontal="right"/>
      <protection locked="0"/>
    </xf>
    <xf numFmtId="0" fontId="49" fillId="0" borderId="234" xfId="10" applyNumberFormat="1" applyFont="1" applyBorder="1" applyAlignment="1">
      <alignment horizontal="left" vertical="center" indent="1"/>
    </xf>
    <xf numFmtId="0" fontId="49" fillId="3" borderId="222" xfId="0" applyFont="1" applyFill="1" applyBorder="1" applyAlignment="1" applyProtection="1">
      <alignment horizontal="center" wrapText="1"/>
    </xf>
    <xf numFmtId="168" fontId="49" fillId="24" borderId="417" xfId="11" applyFont="1" applyBorder="1">
      <alignment horizontal="right"/>
      <protection locked="0"/>
    </xf>
    <xf numFmtId="0" fontId="49" fillId="0" borderId="230" xfId="0" applyFont="1" applyBorder="1" applyAlignment="1" applyProtection="1">
      <alignment wrapText="1"/>
    </xf>
    <xf numFmtId="0" fontId="49" fillId="28" borderId="231" xfId="0" applyFont="1" applyFill="1" applyBorder="1" applyAlignment="1">
      <alignment horizontal="center" vertical="center"/>
    </xf>
    <xf numFmtId="168" fontId="61" fillId="7" borderId="243" xfId="5" applyFont="1" applyFill="1" applyBorder="1" applyAlignment="1">
      <alignment horizontal="right" vertical="center"/>
      <protection locked="0"/>
    </xf>
    <xf numFmtId="0" fontId="49" fillId="0" borderId="232" xfId="0" applyFont="1" applyBorder="1" applyAlignment="1" applyProtection="1">
      <alignment horizontal="left" wrapText="1" indent="1"/>
    </xf>
    <xf numFmtId="168" fontId="61" fillId="4" borderId="233" xfId="5" applyFont="1" applyFill="1" applyBorder="1" applyAlignment="1">
      <alignment horizontal="right" vertical="center"/>
      <protection locked="0"/>
    </xf>
    <xf numFmtId="0" fontId="49" fillId="0" borderId="232" xfId="0" applyFont="1" applyBorder="1" applyAlignment="1" applyProtection="1">
      <alignment wrapText="1"/>
    </xf>
    <xf numFmtId="0" fontId="49" fillId="0" borderId="234" xfId="0" applyFont="1" applyBorder="1" applyAlignment="1" applyProtection="1">
      <alignment wrapText="1"/>
    </xf>
    <xf numFmtId="0" fontId="49" fillId="28" borderId="235" xfId="0" applyFont="1" applyFill="1" applyBorder="1" applyAlignment="1">
      <alignment horizontal="center" vertical="center"/>
    </xf>
    <xf numFmtId="168" fontId="61" fillId="4" borderId="236" xfId="5" applyFont="1" applyFill="1" applyBorder="1" applyAlignment="1">
      <alignment horizontal="right" vertical="center"/>
      <protection locked="0"/>
    </xf>
    <xf numFmtId="0" fontId="49" fillId="4" borderId="418" xfId="0" applyFont="1" applyFill="1" applyBorder="1" applyAlignment="1" applyProtection="1">
      <alignment horizontal="left" wrapText="1" indent="1"/>
    </xf>
    <xf numFmtId="0" fontId="49" fillId="28" borderId="19" xfId="0" applyFont="1" applyFill="1" applyBorder="1" applyAlignment="1">
      <alignment horizontal="center"/>
    </xf>
    <xf numFmtId="168" fontId="61" fillId="4" borderId="416" xfId="5" applyFont="1" applyFill="1" applyBorder="1">
      <alignment horizontal="right" indent="2"/>
      <protection locked="0"/>
    </xf>
    <xf numFmtId="168" fontId="44" fillId="0" borderId="0" xfId="5" applyFont="1" applyFill="1" applyBorder="1" applyAlignment="1">
      <protection locked="0"/>
    </xf>
    <xf numFmtId="0" fontId="148" fillId="66" borderId="62" xfId="0" applyFont="1" applyFill="1" applyBorder="1" applyAlignment="1">
      <alignment horizontal="centerContinuous" vertical="center" wrapText="1"/>
    </xf>
    <xf numFmtId="165" fontId="51" fillId="3" borderId="65" xfId="33" applyNumberFormat="1" applyFont="1" applyFill="1" applyBorder="1" applyAlignment="1">
      <alignment horizontal="centerContinuous" vertical="center" wrapText="1"/>
    </xf>
    <xf numFmtId="168" fontId="61" fillId="4" borderId="19" xfId="5" applyFont="1" applyFill="1" applyBorder="1">
      <alignment horizontal="right" indent="2"/>
      <protection locked="0"/>
    </xf>
    <xf numFmtId="0" fontId="51" fillId="3" borderId="229" xfId="0" applyNumberFormat="1" applyFont="1" applyFill="1" applyBorder="1" applyAlignment="1">
      <alignment horizontal="center" vertical="center" wrapText="1"/>
    </xf>
    <xf numFmtId="0" fontId="51" fillId="3" borderId="228" xfId="0" applyNumberFormat="1" applyFont="1" applyFill="1" applyBorder="1" applyAlignment="1">
      <alignment horizontal="center" vertical="center" wrapText="1"/>
    </xf>
    <xf numFmtId="0" fontId="186" fillId="3" borderId="0" xfId="0" applyFont="1" applyFill="1" applyAlignment="1">
      <alignment horizontal="right" wrapText="1" indent="1"/>
    </xf>
    <xf numFmtId="0" fontId="60" fillId="3" borderId="0" xfId="0" applyFont="1" applyFill="1" applyAlignment="1">
      <alignment horizontal="right" indent="1"/>
    </xf>
    <xf numFmtId="0" fontId="61" fillId="3" borderId="0" xfId="0" applyFont="1" applyFill="1" applyAlignment="1">
      <alignment horizontal="right" indent="1"/>
    </xf>
    <xf numFmtId="0" fontId="140" fillId="3" borderId="0" xfId="0" applyFont="1" applyFill="1" applyAlignment="1">
      <alignment horizontal="right" indent="1"/>
    </xf>
    <xf numFmtId="174" fontId="49" fillId="7" borderId="228" xfId="15" applyNumberFormat="1" applyFont="1" applyFill="1" applyBorder="1">
      <alignment horizontal="right"/>
      <protection locked="0"/>
    </xf>
    <xf numFmtId="0" fontId="51" fillId="3" borderId="65" xfId="0" applyFont="1" applyFill="1" applyBorder="1" applyAlignment="1">
      <alignment horizontal="center" vertical="center" wrapText="1"/>
    </xf>
    <xf numFmtId="0" fontId="18" fillId="3" borderId="7" xfId="0" applyFont="1" applyFill="1" applyBorder="1"/>
    <xf numFmtId="178" fontId="0" fillId="74" borderId="0" xfId="0" quotePrefix="1" applyNumberFormat="1" applyFont="1" applyFill="1" applyBorder="1" applyAlignment="1">
      <alignment horizontal="left" vertical="center"/>
    </xf>
    <xf numFmtId="0" fontId="0" fillId="74" borderId="0" xfId="0" applyFont="1" applyFill="1" applyBorder="1"/>
    <xf numFmtId="0" fontId="0" fillId="74" borderId="0" xfId="0" applyFont="1" applyFill="1" applyAlignment="1" applyProtection="1">
      <alignment wrapText="1"/>
      <protection locked="0"/>
    </xf>
    <xf numFmtId="0" fontId="51" fillId="31" borderId="419" xfId="0" applyFont="1" applyFill="1" applyBorder="1" applyAlignment="1" applyProtection="1">
      <alignment horizontal="center" vertical="center" wrapText="1"/>
      <protection locked="0"/>
    </xf>
    <xf numFmtId="0" fontId="51" fillId="31" borderId="54" xfId="0" applyFont="1" applyFill="1" applyBorder="1" applyAlignment="1" applyProtection="1">
      <alignment horizontal="center" vertical="center" wrapText="1"/>
      <protection locked="0"/>
    </xf>
    <xf numFmtId="0" fontId="51" fillId="31" borderId="420" xfId="0" applyFont="1" applyFill="1" applyBorder="1" applyAlignment="1" applyProtection="1">
      <alignment horizontal="center" vertical="center" wrapText="1"/>
      <protection locked="0"/>
    </xf>
    <xf numFmtId="0" fontId="33" fillId="14" borderId="0" xfId="0" applyFont="1" applyFill="1" applyAlignment="1">
      <alignment horizontal="right" vertical="top"/>
    </xf>
    <xf numFmtId="0" fontId="34" fillId="15" borderId="0" xfId="0" applyFont="1" applyFill="1" applyAlignment="1">
      <alignment horizontal="left" vertical="center" indent="1"/>
    </xf>
    <xf numFmtId="0" fontId="33" fillId="14" borderId="0" xfId="0" applyFont="1" applyFill="1" applyAlignment="1">
      <alignment horizontal="right" vertical="top" wrapText="1"/>
    </xf>
    <xf numFmtId="0" fontId="26" fillId="4" borderId="0" xfId="0" applyFont="1" applyFill="1" applyAlignment="1" applyProtection="1">
      <alignment horizontal="left" vertical="top" indent="1"/>
      <protection locked="0"/>
    </xf>
    <xf numFmtId="14" fontId="34" fillId="4" borderId="0" xfId="0" quotePrefix="1" applyNumberFormat="1" applyFont="1" applyFill="1" applyAlignment="1" applyProtection="1">
      <alignment horizontal="left" vertical="top" indent="1"/>
      <protection locked="0"/>
    </xf>
    <xf numFmtId="14" fontId="34" fillId="4" borderId="0" xfId="0" applyNumberFormat="1" applyFont="1" applyFill="1" applyAlignment="1" applyProtection="1">
      <alignment horizontal="left" vertical="top" indent="1"/>
      <protection locked="0"/>
    </xf>
    <xf numFmtId="0" fontId="34" fillId="4" borderId="0" xfId="0" applyFont="1" applyFill="1" applyAlignment="1" applyProtection="1">
      <alignment horizontal="left" vertical="top" indent="1"/>
      <protection locked="0"/>
    </xf>
    <xf numFmtId="0" fontId="28" fillId="14" borderId="0" xfId="0" applyFont="1" applyFill="1" applyAlignment="1">
      <alignment horizontal="right"/>
    </xf>
    <xf numFmtId="0" fontId="26" fillId="15" borderId="0" xfId="0" quotePrefix="1" applyFont="1" applyFill="1" applyProtection="1">
      <protection locked="0"/>
    </xf>
    <xf numFmtId="0" fontId="14" fillId="4" borderId="0" xfId="0" applyFont="1" applyFill="1" applyAlignment="1" applyProtection="1">
      <alignment horizontal="center" vertical="top"/>
      <protection locked="0"/>
    </xf>
    <xf numFmtId="0" fontId="33" fillId="14" borderId="0" xfId="0" applyFont="1" applyFill="1" applyAlignment="1">
      <alignment horizontal="center" vertical="center" wrapText="1"/>
    </xf>
    <xf numFmtId="167" fontId="26" fillId="15" borderId="0" xfId="0" quotePrefix="1" applyNumberFormat="1" applyFont="1" applyFill="1" applyAlignment="1" applyProtection="1">
      <alignment horizontal="left"/>
      <protection locked="0"/>
    </xf>
    <xf numFmtId="0" fontId="26" fillId="4" borderId="0" xfId="0" applyFont="1" applyFill="1" applyAlignment="1">
      <alignment horizontal="left"/>
    </xf>
    <xf numFmtId="0" fontId="26" fillId="4" borderId="0" xfId="0" applyFont="1" applyFill="1" applyAlignment="1" applyProtection="1">
      <alignment horizontal="left"/>
      <protection locked="0"/>
    </xf>
    <xf numFmtId="0" fontId="107" fillId="4" borderId="18" xfId="0" applyFont="1" applyFill="1" applyBorder="1" applyAlignment="1" applyProtection="1">
      <alignment horizontal="left"/>
      <protection locked="0"/>
    </xf>
    <xf numFmtId="0" fontId="107" fillId="4" borderId="19" xfId="0" applyFont="1" applyFill="1" applyBorder="1" applyAlignment="1" applyProtection="1">
      <alignment horizontal="left"/>
      <protection locked="0"/>
    </xf>
    <xf numFmtId="0" fontId="107" fillId="4" borderId="20" xfId="0" applyFont="1" applyFill="1" applyBorder="1" applyAlignment="1" applyProtection="1">
      <alignment horizontal="left"/>
      <protection locked="0"/>
    </xf>
    <xf numFmtId="0" fontId="107" fillId="4" borderId="87" xfId="0" applyFont="1" applyFill="1" applyBorder="1" applyProtection="1">
      <protection locked="0"/>
    </xf>
    <xf numFmtId="0" fontId="27" fillId="14" borderId="0" xfId="0" quotePrefix="1" applyFont="1" applyFill="1" applyAlignment="1">
      <alignment horizontal="right" vertical="center"/>
    </xf>
    <xf numFmtId="0" fontId="27" fillId="14" borderId="0" xfId="0" applyFont="1" applyFill="1" applyAlignment="1">
      <alignment horizontal="right" vertical="center"/>
    </xf>
    <xf numFmtId="166" fontId="107" fillId="15" borderId="0" xfId="0" applyNumberFormat="1" applyFont="1" applyFill="1" applyAlignment="1">
      <alignment horizontal="left" vertical="center" wrapText="1"/>
    </xf>
    <xf numFmtId="0" fontId="16" fillId="12" borderId="0" xfId="2">
      <alignment vertical="center"/>
    </xf>
    <xf numFmtId="0" fontId="10" fillId="7" borderId="0" xfId="2" applyFont="1" applyFill="1" applyAlignment="1">
      <alignment horizontal="justify" vertical="center" wrapText="1"/>
    </xf>
    <xf numFmtId="0" fontId="28" fillId="14" borderId="0" xfId="0" applyFont="1" applyFill="1" applyAlignment="1">
      <alignment horizontal="right" vertical="center"/>
    </xf>
    <xf numFmtId="0" fontId="107" fillId="4" borderId="0" xfId="0" applyFont="1" applyFill="1" applyAlignment="1" applyProtection="1">
      <alignment vertical="center"/>
      <protection locked="0"/>
    </xf>
    <xf numFmtId="0" fontId="0" fillId="3" borderId="63" xfId="0" applyFill="1" applyBorder="1" applyAlignment="1">
      <alignment horizontal="left" vertical="center" wrapText="1"/>
    </xf>
    <xf numFmtId="0" fontId="0" fillId="3" borderId="376" xfId="0" applyFill="1" applyBorder="1" applyAlignment="1">
      <alignment horizontal="left" vertical="center" wrapText="1"/>
    </xf>
    <xf numFmtId="0" fontId="0" fillId="3" borderId="398" xfId="0" applyFill="1" applyBorder="1" applyAlignment="1">
      <alignment horizontal="left" vertical="center" wrapText="1"/>
    </xf>
    <xf numFmtId="0" fontId="0" fillId="50" borderId="376" xfId="0" applyFill="1" applyBorder="1" applyAlignment="1">
      <alignment horizontal="center" vertical="center"/>
    </xf>
    <xf numFmtId="0" fontId="0" fillId="50" borderId="0" xfId="0" applyFill="1" applyBorder="1" applyAlignment="1">
      <alignment horizontal="center" vertical="center"/>
    </xf>
    <xf numFmtId="0" fontId="0" fillId="50" borderId="63" xfId="0" applyFill="1" applyBorder="1" applyAlignment="1">
      <alignment horizontal="center" vertical="center"/>
    </xf>
    <xf numFmtId="0" fontId="0" fillId="50" borderId="286" xfId="0" applyFill="1" applyBorder="1" applyAlignment="1">
      <alignment horizontal="center" vertical="center"/>
    </xf>
    <xf numFmtId="0" fontId="0" fillId="82" borderId="286" xfId="0" applyFill="1" applyBorder="1" applyAlignment="1">
      <alignment horizontal="center" vertical="center"/>
    </xf>
    <xf numFmtId="0" fontId="5" fillId="22" borderId="0" xfId="0" applyFont="1" applyFill="1" applyAlignment="1">
      <alignment horizontal="left" vertical="center" wrapText="1"/>
    </xf>
    <xf numFmtId="0" fontId="40" fillId="73" borderId="0" xfId="7" applyFont="1" applyFill="1" applyAlignment="1">
      <alignment horizontal="left" vertical="center" wrapText="1"/>
    </xf>
    <xf numFmtId="0" fontId="148" fillId="66" borderId="247" xfId="0" applyFont="1" applyFill="1" applyBorder="1" applyAlignment="1">
      <alignment horizontal="center" vertical="center" wrapText="1"/>
    </xf>
    <xf numFmtId="0" fontId="148" fillId="66" borderId="246" xfId="0" applyFont="1" applyFill="1" applyBorder="1" applyAlignment="1">
      <alignment horizontal="center" vertical="center" wrapText="1"/>
    </xf>
    <xf numFmtId="0" fontId="0" fillId="3" borderId="286" xfId="0" applyFill="1" applyBorder="1" applyAlignment="1">
      <alignment horizontal="left" vertical="center" wrapText="1"/>
    </xf>
    <xf numFmtId="0" fontId="148" fillId="66" borderId="331" xfId="0" applyFont="1" applyFill="1" applyBorder="1" applyAlignment="1">
      <alignment horizontal="center" vertical="center" wrapText="1"/>
    </xf>
    <xf numFmtId="0" fontId="148" fillId="66" borderId="357" xfId="0" applyFont="1" applyFill="1" applyBorder="1" applyAlignment="1">
      <alignment horizontal="center" vertical="center" wrapText="1"/>
    </xf>
    <xf numFmtId="0" fontId="148" fillId="66" borderId="235" xfId="0" applyFont="1" applyFill="1" applyBorder="1" applyAlignment="1">
      <alignment horizontal="center" vertical="center" wrapText="1"/>
    </xf>
    <xf numFmtId="0" fontId="0" fillId="50" borderId="112" xfId="0" applyFill="1" applyBorder="1" applyAlignment="1">
      <alignment horizontal="center" vertical="center"/>
    </xf>
    <xf numFmtId="0" fontId="0" fillId="3" borderId="0" xfId="0" applyFill="1" applyBorder="1" applyAlignment="1">
      <alignment horizontal="left" vertical="center"/>
    </xf>
    <xf numFmtId="0" fontId="0" fillId="3" borderId="46" xfId="0" applyFill="1" applyBorder="1" applyAlignment="1">
      <alignment horizontal="left" vertical="center"/>
    </xf>
    <xf numFmtId="0" fontId="0" fillId="3" borderId="63" xfId="0" applyFill="1" applyBorder="1" applyAlignment="1">
      <alignment horizontal="left" vertical="center"/>
    </xf>
    <xf numFmtId="0" fontId="0" fillId="3" borderId="112" xfId="0" applyFill="1" applyBorder="1" applyAlignment="1">
      <alignment horizontal="left" vertical="center"/>
    </xf>
    <xf numFmtId="0" fontId="0" fillId="50" borderId="0" xfId="0" applyFill="1" applyAlignment="1">
      <alignment horizontal="center" vertical="center"/>
    </xf>
    <xf numFmtId="0" fontId="0" fillId="82" borderId="46" xfId="0" applyFill="1" applyBorder="1" applyAlignment="1">
      <alignment horizontal="center" vertical="center"/>
    </xf>
    <xf numFmtId="0" fontId="0" fillId="50" borderId="46" xfId="0" applyFill="1" applyBorder="1" applyAlignment="1">
      <alignment horizontal="center" vertical="center"/>
    </xf>
    <xf numFmtId="0" fontId="0" fillId="3" borderId="398" xfId="0" applyNumberFormat="1" applyFill="1" applyBorder="1" applyAlignment="1">
      <alignment horizontal="left" vertical="center"/>
    </xf>
    <xf numFmtId="0" fontId="0" fillId="3" borderId="376" xfId="0" applyFill="1" applyBorder="1" applyAlignment="1">
      <alignment horizontal="left" vertical="center"/>
    </xf>
    <xf numFmtId="0" fontId="0" fillId="3" borderId="398" xfId="0" applyFill="1" applyBorder="1" applyAlignment="1">
      <alignment horizontal="left" vertical="center"/>
    </xf>
    <xf numFmtId="0" fontId="0" fillId="3" borderId="376" xfId="0" applyNumberFormat="1" applyFill="1" applyBorder="1" applyAlignment="1">
      <alignment horizontal="left" vertical="center"/>
    </xf>
    <xf numFmtId="0" fontId="0" fillId="3" borderId="286" xfId="0" applyFill="1" applyBorder="1" applyAlignment="1">
      <alignment horizontal="left" vertical="center"/>
    </xf>
    <xf numFmtId="0" fontId="0" fillId="82" borderId="0" xfId="0" applyFill="1" applyBorder="1" applyAlignment="1">
      <alignment horizontal="center" vertical="center"/>
    </xf>
    <xf numFmtId="0" fontId="183" fillId="7" borderId="320" xfId="0" applyFont="1" applyFill="1" applyBorder="1" applyAlignment="1">
      <alignment horizontal="center" vertical="center" wrapText="1"/>
    </xf>
    <xf numFmtId="0" fontId="183" fillId="7" borderId="241" xfId="0" applyFont="1" applyFill="1" applyBorder="1" applyAlignment="1">
      <alignment horizontal="center" vertical="center" wrapText="1"/>
    </xf>
    <xf numFmtId="0" fontId="183" fillId="7" borderId="279" xfId="0" applyFont="1" applyFill="1" applyBorder="1" applyAlignment="1">
      <alignment horizontal="center" vertical="center" wrapText="1"/>
    </xf>
    <xf numFmtId="0" fontId="183" fillId="7" borderId="271" xfId="0" applyFont="1" applyFill="1" applyBorder="1" applyAlignment="1">
      <alignment horizontal="center" vertical="center" wrapText="1"/>
    </xf>
    <xf numFmtId="0" fontId="183" fillId="7" borderId="223" xfId="0" applyFont="1" applyFill="1" applyBorder="1" applyAlignment="1">
      <alignment horizontal="center" vertical="center" wrapText="1"/>
    </xf>
    <xf numFmtId="0" fontId="183" fillId="7" borderId="269" xfId="0" applyFont="1" applyFill="1" applyBorder="1" applyAlignment="1">
      <alignment horizontal="center" vertical="center" wrapText="1"/>
    </xf>
    <xf numFmtId="0" fontId="148" fillId="66" borderId="57" xfId="0" applyFont="1" applyFill="1" applyBorder="1" applyAlignment="1">
      <alignment horizontal="center" vertical="center" wrapText="1"/>
    </xf>
    <xf numFmtId="0" fontId="148" fillId="66" borderId="46" xfId="0" applyFont="1" applyFill="1" applyBorder="1" applyAlignment="1">
      <alignment horizontal="center" vertical="center" wrapText="1"/>
    </xf>
    <xf numFmtId="0" fontId="148" fillId="66" borderId="48" xfId="0" applyFont="1" applyFill="1" applyBorder="1" applyAlignment="1">
      <alignment horizontal="center" vertical="center" wrapText="1"/>
    </xf>
    <xf numFmtId="0" fontId="158" fillId="7" borderId="164" xfId="0" applyFont="1" applyFill="1" applyBorder="1" applyAlignment="1">
      <alignment horizontal="center" vertical="center" wrapText="1"/>
    </xf>
    <xf numFmtId="0" fontId="158" fillId="7" borderId="295" xfId="0" applyFont="1" applyFill="1" applyBorder="1" applyAlignment="1">
      <alignment horizontal="center" vertical="center" wrapText="1"/>
    </xf>
    <xf numFmtId="0" fontId="158" fillId="7" borderId="291" xfId="0" applyFont="1" applyFill="1" applyBorder="1" applyAlignment="1">
      <alignment horizontal="center" vertical="center" wrapText="1"/>
    </xf>
    <xf numFmtId="0" fontId="158" fillId="7" borderId="292" xfId="0" applyFont="1" applyFill="1" applyBorder="1" applyAlignment="1">
      <alignment horizontal="center" vertical="center" wrapText="1"/>
    </xf>
    <xf numFmtId="0" fontId="148" fillId="66" borderId="0" xfId="0" applyFont="1" applyFill="1" applyAlignment="1">
      <alignment horizontal="center" vertical="center" wrapText="1"/>
    </xf>
    <xf numFmtId="0" fontId="148" fillId="66" borderId="0" xfId="0" applyFont="1" applyFill="1" applyAlignment="1">
      <alignment horizontal="center" vertical="center"/>
    </xf>
    <xf numFmtId="0" fontId="158" fillId="7" borderId="304" xfId="0" applyFont="1" applyFill="1" applyBorder="1" applyAlignment="1">
      <alignment horizontal="center" vertical="center" wrapText="1"/>
    </xf>
    <xf numFmtId="0" fontId="158" fillId="7" borderId="293" xfId="0" applyFont="1" applyFill="1" applyBorder="1" applyAlignment="1">
      <alignment horizontal="center" vertical="center" wrapText="1"/>
    </xf>
    <xf numFmtId="0" fontId="158" fillId="7" borderId="403" xfId="0" applyFont="1" applyFill="1" applyBorder="1" applyAlignment="1">
      <alignment horizontal="center" vertical="center" wrapText="1"/>
    </xf>
    <xf numFmtId="0" fontId="158" fillId="7" borderId="402" xfId="0" applyFont="1" applyFill="1" applyBorder="1" applyAlignment="1">
      <alignment horizontal="center" vertical="center" wrapText="1"/>
    </xf>
    <xf numFmtId="0" fontId="158" fillId="7" borderId="401" xfId="0" applyFont="1" applyFill="1" applyBorder="1" applyAlignment="1">
      <alignment horizontal="center" vertical="center" wrapText="1"/>
    </xf>
    <xf numFmtId="0" fontId="158" fillId="7" borderId="404" xfId="0" applyFont="1" applyFill="1" applyBorder="1" applyAlignment="1">
      <alignment horizontal="center" vertical="center" wrapText="1"/>
    </xf>
    <xf numFmtId="0" fontId="148" fillId="66" borderId="375" xfId="0" applyFont="1" applyFill="1" applyBorder="1" applyAlignment="1">
      <alignment horizontal="center" vertical="center" wrapText="1"/>
    </xf>
    <xf numFmtId="0" fontId="148" fillId="66" borderId="376" xfId="0" applyFont="1" applyFill="1" applyBorder="1" applyAlignment="1">
      <alignment horizontal="center" vertical="center" wrapText="1"/>
    </xf>
    <xf numFmtId="165" fontId="103" fillId="66" borderId="411" xfId="46" applyNumberFormat="1" applyFont="1" applyFill="1" applyBorder="1" applyAlignment="1">
      <alignment horizontal="center" vertical="center" wrapText="1"/>
    </xf>
    <xf numFmtId="165" fontId="103" fillId="66" borderId="376" xfId="46" applyNumberFormat="1" applyFont="1" applyFill="1" applyBorder="1" applyAlignment="1">
      <alignment horizontal="center" vertical="center" wrapText="1"/>
    </xf>
    <xf numFmtId="165" fontId="103" fillId="66" borderId="412" xfId="46" applyNumberFormat="1" applyFont="1" applyFill="1" applyBorder="1" applyAlignment="1">
      <alignment horizontal="center" vertical="center" wrapText="1"/>
    </xf>
    <xf numFmtId="0" fontId="181" fillId="3" borderId="380" xfId="0" applyFont="1" applyFill="1" applyBorder="1" applyAlignment="1">
      <alignment horizontal="center" vertical="center" textRotation="90"/>
    </xf>
    <xf numFmtId="0" fontId="181" fillId="3" borderId="383" xfId="0" applyFont="1" applyFill="1" applyBorder="1" applyAlignment="1">
      <alignment horizontal="center" vertical="center" textRotation="90"/>
    </xf>
    <xf numFmtId="0" fontId="49" fillId="3" borderId="380" xfId="0" applyFont="1" applyFill="1" applyBorder="1" applyAlignment="1">
      <alignment horizontal="center" vertical="center" textRotation="90"/>
    </xf>
    <xf numFmtId="0" fontId="49" fillId="3" borderId="383" xfId="0" applyFont="1" applyFill="1" applyBorder="1" applyAlignment="1">
      <alignment horizontal="center" vertical="center" textRotation="90"/>
    </xf>
    <xf numFmtId="0" fontId="182" fillId="3" borderId="382" xfId="0" applyFont="1" applyFill="1" applyBorder="1" applyAlignment="1">
      <alignment horizontal="center" vertical="center" textRotation="90" wrapText="1"/>
    </xf>
    <xf numFmtId="0" fontId="182" fillId="3" borderId="384" xfId="0" applyFont="1" applyFill="1" applyBorder="1" applyAlignment="1">
      <alignment horizontal="center" vertical="center" textRotation="90" wrapText="1"/>
    </xf>
    <xf numFmtId="0" fontId="181" fillId="0" borderId="393" xfId="0" applyFont="1" applyBorder="1" applyAlignment="1">
      <alignment horizontal="center" vertical="center"/>
    </xf>
    <xf numFmtId="0" fontId="181" fillId="0" borderId="379" xfId="0" applyFont="1" applyBorder="1" applyAlignment="1">
      <alignment horizontal="center" vertical="center"/>
    </xf>
    <xf numFmtId="0" fontId="181" fillId="3" borderId="381" xfId="0" applyFont="1" applyFill="1" applyBorder="1" applyAlignment="1">
      <alignment horizontal="center" vertical="center"/>
    </xf>
    <xf numFmtId="0" fontId="181" fillId="3" borderId="378" xfId="0" applyFont="1" applyFill="1" applyBorder="1" applyAlignment="1">
      <alignment horizontal="center" vertical="center"/>
    </xf>
    <xf numFmtId="0" fontId="182" fillId="3" borderId="388" xfId="0" applyFont="1" applyFill="1" applyBorder="1" applyAlignment="1">
      <alignment horizontal="center" vertical="center" textRotation="90" wrapText="1"/>
    </xf>
    <xf numFmtId="0" fontId="182" fillId="3" borderId="389" xfId="0" applyFont="1" applyFill="1" applyBorder="1" applyAlignment="1">
      <alignment horizontal="center" vertical="center" textRotation="90" wrapText="1"/>
    </xf>
    <xf numFmtId="0" fontId="158" fillId="7" borderId="405" xfId="0" applyFont="1" applyFill="1" applyBorder="1" applyAlignment="1">
      <alignment horizontal="center" vertical="center" wrapText="1"/>
    </xf>
    <xf numFmtId="0" fontId="49" fillId="3" borderId="164" xfId="0" applyFont="1" applyFill="1" applyBorder="1" applyAlignment="1">
      <alignment horizontal="center" vertical="center" textRotation="90"/>
    </xf>
    <xf numFmtId="0" fontId="49" fillId="3" borderId="397" xfId="0" applyFont="1" applyFill="1" applyBorder="1" applyAlignment="1">
      <alignment horizontal="center" vertical="center" textRotation="90"/>
    </xf>
    <xf numFmtId="0" fontId="181" fillId="0" borderId="380" xfId="0" applyFont="1" applyBorder="1" applyAlignment="1">
      <alignment horizontal="center" vertical="center"/>
    </xf>
    <xf numFmtId="0" fontId="181" fillId="0" borderId="383" xfId="0" applyFont="1" applyBorder="1" applyAlignment="1">
      <alignment horizontal="center" vertical="center"/>
    </xf>
    <xf numFmtId="0" fontId="158" fillId="7" borderId="290" xfId="0" applyFont="1" applyFill="1" applyBorder="1" applyAlignment="1" applyProtection="1">
      <alignment horizontal="center" vertical="center"/>
    </xf>
    <xf numFmtId="0" fontId="158" fillId="7" borderId="288" xfId="0" applyFont="1" applyFill="1" applyBorder="1" applyAlignment="1" applyProtection="1">
      <alignment horizontal="center" vertical="center"/>
    </xf>
    <xf numFmtId="0" fontId="181" fillId="0" borderId="296" xfId="0" applyFont="1" applyBorder="1" applyAlignment="1">
      <alignment horizontal="center" vertical="center" wrapText="1"/>
    </xf>
    <xf numFmtId="0" fontId="181" fillId="0" borderId="297" xfId="0" applyFont="1" applyBorder="1" applyAlignment="1">
      <alignment horizontal="center" vertical="center"/>
    </xf>
    <xf numFmtId="0" fontId="181" fillId="0" borderId="298" xfId="0" applyFont="1" applyBorder="1" applyAlignment="1">
      <alignment horizontal="center" vertical="center"/>
    </xf>
    <xf numFmtId="0" fontId="158" fillId="7" borderId="299" xfId="0" applyFont="1" applyFill="1" applyBorder="1" applyAlignment="1">
      <alignment horizontal="center" vertical="center" wrapText="1"/>
    </xf>
    <xf numFmtId="0" fontId="158" fillId="7" borderId="300" xfId="0" applyFont="1" applyFill="1" applyBorder="1" applyAlignment="1">
      <alignment horizontal="center" vertical="center" wrapText="1"/>
    </xf>
    <xf numFmtId="0" fontId="158" fillId="7" borderId="301" xfId="0" applyFont="1" applyFill="1" applyBorder="1" applyAlignment="1">
      <alignment horizontal="center" vertical="center" wrapText="1"/>
    </xf>
    <xf numFmtId="0" fontId="158" fillId="3" borderId="271" xfId="0" applyFont="1" applyFill="1" applyBorder="1" applyAlignment="1">
      <alignment horizontal="left" vertical="top" wrapText="1"/>
    </xf>
    <xf numFmtId="0" fontId="158" fillId="3" borderId="223" xfId="0" applyFont="1" applyFill="1" applyBorder="1" applyAlignment="1">
      <alignment horizontal="left" vertical="top" wrapText="1"/>
    </xf>
    <xf numFmtId="0" fontId="158" fillId="3" borderId="269" xfId="0" applyFont="1" applyFill="1" applyBorder="1" applyAlignment="1">
      <alignment horizontal="left" vertical="top" wrapText="1"/>
    </xf>
    <xf numFmtId="0" fontId="158" fillId="3" borderId="309" xfId="0" applyFont="1" applyFill="1" applyBorder="1" applyAlignment="1">
      <alignment horizontal="left" vertical="top" wrapText="1"/>
    </xf>
    <xf numFmtId="0" fontId="158" fillId="3" borderId="264" xfId="0" applyFont="1" applyFill="1" applyBorder="1" applyAlignment="1">
      <alignment horizontal="left" vertical="top" wrapText="1"/>
    </xf>
    <xf numFmtId="0" fontId="158" fillId="3" borderId="310" xfId="0" applyFont="1" applyFill="1" applyBorder="1" applyAlignment="1">
      <alignment horizontal="left" vertical="top" wrapText="1"/>
    </xf>
    <xf numFmtId="0" fontId="158" fillId="7" borderId="290" xfId="0" applyFont="1" applyFill="1" applyBorder="1" applyAlignment="1" applyProtection="1">
      <alignment horizontal="center" vertical="center" wrapText="1"/>
    </xf>
    <xf numFmtId="0" fontId="158" fillId="7" borderId="288" xfId="0" applyFont="1" applyFill="1" applyBorder="1" applyAlignment="1" applyProtection="1">
      <alignment horizontal="center" vertical="center" wrapText="1"/>
    </xf>
    <xf numFmtId="0" fontId="181" fillId="0" borderId="296" xfId="0" applyFont="1" applyBorder="1" applyAlignment="1">
      <alignment horizontal="center" vertical="center"/>
    </xf>
    <xf numFmtId="0" fontId="181" fillId="0" borderId="365" xfId="0" applyFont="1" applyBorder="1" applyAlignment="1">
      <alignment horizontal="center" vertical="center"/>
    </xf>
    <xf numFmtId="0" fontId="158" fillId="3" borderId="0" xfId="0" applyFont="1" applyFill="1" applyBorder="1" applyAlignment="1">
      <alignment horizontal="center" vertical="center" wrapText="1"/>
    </xf>
    <xf numFmtId="0" fontId="158" fillId="7" borderId="413" xfId="0" applyFont="1" applyFill="1" applyBorder="1" applyAlignment="1">
      <alignment horizontal="center" vertical="center" wrapText="1"/>
    </xf>
    <xf numFmtId="0" fontId="158" fillId="7" borderId="414" xfId="0" applyFont="1" applyFill="1" applyBorder="1" applyAlignment="1">
      <alignment horizontal="center" vertical="center" wrapText="1"/>
    </xf>
    <xf numFmtId="0" fontId="158" fillId="7" borderId="415" xfId="0" applyFont="1" applyFill="1" applyBorder="1" applyAlignment="1">
      <alignment horizontal="center" vertical="center" wrapText="1"/>
    </xf>
    <xf numFmtId="0" fontId="0" fillId="3" borderId="271" xfId="0" applyFont="1" applyFill="1" applyBorder="1" applyAlignment="1" applyProtection="1">
      <alignment horizontal="center"/>
    </xf>
    <xf numFmtId="0" fontId="0" fillId="3" borderId="223" xfId="0" applyFont="1" applyFill="1" applyBorder="1" applyAlignment="1" applyProtection="1">
      <alignment horizontal="center"/>
    </xf>
    <xf numFmtId="0" fontId="158" fillId="3" borderId="299" xfId="0" applyFont="1" applyFill="1" applyBorder="1" applyAlignment="1">
      <alignment horizontal="left" vertical="top" wrapText="1"/>
    </xf>
    <xf numFmtId="0" fontId="158" fillId="3" borderId="300" xfId="0" applyFont="1" applyFill="1" applyBorder="1" applyAlignment="1">
      <alignment horizontal="left" vertical="top" wrapText="1"/>
    </xf>
    <xf numFmtId="0" fontId="158" fillId="3" borderId="348" xfId="0" applyFont="1" applyFill="1" applyBorder="1" applyAlignment="1">
      <alignment horizontal="left" vertical="top" wrapText="1"/>
    </xf>
    <xf numFmtId="0" fontId="158" fillId="3" borderId="290" xfId="0" applyFont="1" applyFill="1" applyBorder="1" applyAlignment="1">
      <alignment horizontal="left" vertical="top" wrapText="1"/>
    </xf>
    <xf numFmtId="0" fontId="158" fillId="3" borderId="0" xfId="0" applyFont="1" applyFill="1" applyBorder="1" applyAlignment="1">
      <alignment horizontal="left" vertical="top" wrapText="1"/>
    </xf>
    <xf numFmtId="0" fontId="158" fillId="3" borderId="349" xfId="0" applyFont="1" applyFill="1" applyBorder="1" applyAlignment="1">
      <alignment horizontal="left" vertical="top" wrapText="1"/>
    </xf>
    <xf numFmtId="0" fontId="158" fillId="3" borderId="302" xfId="0" applyFont="1" applyFill="1" applyBorder="1" applyAlignment="1">
      <alignment horizontal="left" vertical="top" wrapText="1"/>
    </xf>
    <xf numFmtId="0" fontId="158" fillId="3" borderId="194" xfId="0" applyFont="1" applyFill="1" applyBorder="1" applyAlignment="1">
      <alignment horizontal="left" vertical="top" wrapText="1"/>
    </xf>
    <xf numFmtId="0" fontId="158" fillId="3" borderId="331" xfId="0" applyFont="1" applyFill="1" applyBorder="1" applyAlignment="1">
      <alignment horizontal="left" vertical="top" wrapText="1"/>
    </xf>
    <xf numFmtId="0" fontId="158" fillId="3" borderId="271" xfId="0" applyFont="1" applyFill="1" applyBorder="1" applyAlignment="1">
      <alignment horizontal="center" vertical="top" wrapText="1"/>
    </xf>
    <xf numFmtId="0" fontId="158" fillId="3" borderId="223" xfId="0" applyFont="1" applyFill="1" applyBorder="1" applyAlignment="1">
      <alignment horizontal="center" vertical="top" wrapText="1"/>
    </xf>
    <xf numFmtId="0" fontId="0" fillId="3" borderId="275" xfId="0" applyFont="1" applyFill="1" applyBorder="1" applyAlignment="1">
      <alignment horizontal="center"/>
    </xf>
    <xf numFmtId="0" fontId="0" fillId="3" borderId="276" xfId="0" applyFont="1" applyFill="1" applyBorder="1" applyAlignment="1">
      <alignment horizontal="center"/>
    </xf>
    <xf numFmtId="0" fontId="181" fillId="3" borderId="0" xfId="0" applyFont="1" applyFill="1" applyBorder="1" applyAlignment="1">
      <alignment horizontal="center" vertical="center" textRotation="90"/>
    </xf>
    <xf numFmtId="0" fontId="0" fillId="3" borderId="309" xfId="0" applyFont="1" applyFill="1" applyBorder="1" applyAlignment="1">
      <alignment horizontal="center"/>
    </xf>
    <xf numFmtId="0" fontId="0" fillId="3" borderId="264" xfId="0" applyFont="1" applyFill="1" applyBorder="1" applyAlignment="1">
      <alignment horizontal="center"/>
    </xf>
    <xf numFmtId="0" fontId="0" fillId="3" borderId="271" xfId="0" applyFont="1" applyFill="1" applyBorder="1" applyAlignment="1">
      <alignment horizontal="center"/>
    </xf>
    <xf numFmtId="0" fontId="0" fillId="3" borderId="223" xfId="0" applyFont="1" applyFill="1" applyBorder="1" applyAlignment="1">
      <alignment horizontal="center"/>
    </xf>
    <xf numFmtId="0" fontId="0" fillId="3" borderId="274" xfId="0" applyFont="1" applyFill="1" applyBorder="1" applyAlignment="1">
      <alignment horizontal="center"/>
    </xf>
    <xf numFmtId="0" fontId="0" fillId="3" borderId="268" xfId="0" applyFont="1" applyFill="1" applyBorder="1" applyAlignment="1">
      <alignment horizontal="center"/>
    </xf>
    <xf numFmtId="0" fontId="0" fillId="3" borderId="274" xfId="0" applyFont="1" applyFill="1" applyBorder="1" applyAlignment="1" applyProtection="1">
      <alignment horizontal="center"/>
    </xf>
    <xf numFmtId="0" fontId="0" fillId="3" borderId="268" xfId="0" applyFont="1" applyFill="1" applyBorder="1" applyAlignment="1" applyProtection="1">
      <alignment horizontal="center"/>
    </xf>
    <xf numFmtId="0" fontId="0" fillId="3" borderId="275" xfId="0" applyFont="1" applyFill="1" applyBorder="1" applyAlignment="1" applyProtection="1">
      <alignment horizontal="center"/>
    </xf>
    <xf numFmtId="0" fontId="0" fillId="3" borderId="276" xfId="0" applyFont="1" applyFill="1" applyBorder="1" applyAlignment="1" applyProtection="1">
      <alignment horizontal="center"/>
    </xf>
    <xf numFmtId="0" fontId="158" fillId="7" borderId="285" xfId="0" applyFont="1" applyFill="1" applyBorder="1" applyAlignment="1">
      <alignment horizontal="center" vertical="center" wrapText="1"/>
    </xf>
    <xf numFmtId="0" fontId="158" fillId="7" borderId="286" xfId="0" applyFont="1" applyFill="1" applyBorder="1" applyAlignment="1">
      <alignment horizontal="center" vertical="center" wrapText="1"/>
    </xf>
    <xf numFmtId="0" fontId="158" fillId="7" borderId="287" xfId="0" applyFont="1" applyFill="1" applyBorder="1" applyAlignment="1">
      <alignment horizontal="center" vertical="center" wrapText="1"/>
    </xf>
    <xf numFmtId="171" fontId="0" fillId="3" borderId="0" xfId="0" applyNumberFormat="1" applyFont="1" applyFill="1" applyBorder="1" applyAlignment="1" applyProtection="1">
      <alignment horizontal="center"/>
    </xf>
    <xf numFmtId="171" fontId="0" fillId="3" borderId="291" xfId="0" applyNumberFormat="1" applyFont="1" applyFill="1" applyBorder="1" applyAlignment="1" applyProtection="1">
      <alignment horizontal="center"/>
    </xf>
    <xf numFmtId="171" fontId="0" fillId="3" borderId="292" xfId="0" applyNumberFormat="1" applyFont="1" applyFill="1" applyBorder="1" applyAlignment="1" applyProtection="1">
      <alignment horizontal="center"/>
    </xf>
    <xf numFmtId="171" fontId="0" fillId="3" borderId="293" xfId="0" applyNumberFormat="1" applyFont="1" applyFill="1" applyBorder="1" applyAlignment="1" applyProtection="1">
      <alignment horizontal="center"/>
    </xf>
    <xf numFmtId="171" fontId="158" fillId="3" borderId="290" xfId="0" applyNumberFormat="1" applyFont="1" applyFill="1" applyBorder="1" applyAlignment="1" applyProtection="1">
      <alignment horizontal="left" vertical="top" wrapText="1"/>
    </xf>
    <xf numFmtId="171" fontId="158" fillId="3" borderId="0" xfId="0" applyNumberFormat="1" applyFont="1" applyFill="1" applyBorder="1" applyAlignment="1" applyProtection="1">
      <alignment horizontal="left" vertical="top" wrapText="1"/>
    </xf>
    <xf numFmtId="171" fontId="158" fillId="3" borderId="288" xfId="0" applyNumberFormat="1" applyFont="1" applyFill="1" applyBorder="1" applyAlignment="1" applyProtection="1">
      <alignment horizontal="left" vertical="top" wrapText="1"/>
    </xf>
    <xf numFmtId="171" fontId="158" fillId="3" borderId="302" xfId="0" applyNumberFormat="1" applyFont="1" applyFill="1" applyBorder="1" applyAlignment="1" applyProtection="1">
      <alignment horizontal="left" vertical="top" wrapText="1"/>
    </xf>
    <xf numFmtId="171" fontId="158" fillId="3" borderId="194" xfId="0" applyNumberFormat="1" applyFont="1" applyFill="1" applyBorder="1" applyAlignment="1" applyProtection="1">
      <alignment horizontal="left" vertical="top" wrapText="1"/>
    </xf>
    <xf numFmtId="171" fontId="158" fillId="3" borderId="303" xfId="0" applyNumberFormat="1" applyFont="1" applyFill="1" applyBorder="1" applyAlignment="1" applyProtection="1">
      <alignment horizontal="left" vertical="top" wrapText="1"/>
    </xf>
    <xf numFmtId="0" fontId="158" fillId="7" borderId="290" xfId="0" applyFont="1" applyFill="1" applyBorder="1" applyAlignment="1">
      <alignment horizontal="center" vertical="center" wrapText="1"/>
    </xf>
    <xf numFmtId="0" fontId="158" fillId="7" borderId="0" xfId="0" applyFont="1" applyFill="1" applyBorder="1" applyAlignment="1">
      <alignment horizontal="center" vertical="center" wrapText="1"/>
    </xf>
    <xf numFmtId="0" fontId="158" fillId="7" borderId="288" xfId="0" applyFont="1" applyFill="1" applyBorder="1" applyAlignment="1">
      <alignment horizontal="center" vertical="center" wrapText="1"/>
    </xf>
    <xf numFmtId="171" fontId="0" fillId="3" borderId="296" xfId="0" applyNumberFormat="1" applyFont="1" applyFill="1" applyBorder="1" applyAlignment="1" applyProtection="1">
      <alignment horizontal="center"/>
    </xf>
    <xf numFmtId="171" fontId="0" fillId="3" borderId="297" xfId="0" applyNumberFormat="1" applyFont="1" applyFill="1" applyBorder="1" applyAlignment="1" applyProtection="1">
      <alignment horizontal="center"/>
    </xf>
    <xf numFmtId="171" fontId="0" fillId="3" borderId="298" xfId="0" applyNumberFormat="1" applyFont="1" applyFill="1" applyBorder="1" applyAlignment="1" applyProtection="1">
      <alignment horizontal="center"/>
    </xf>
    <xf numFmtId="171" fontId="0" fillId="3" borderId="285" xfId="0" applyNumberFormat="1" applyFont="1" applyFill="1" applyBorder="1" applyAlignment="1" applyProtection="1">
      <alignment horizontal="center"/>
    </xf>
    <xf numFmtId="171" fontId="0" fillId="3" borderId="286" xfId="0" applyNumberFormat="1" applyFont="1" applyFill="1" applyBorder="1" applyAlignment="1" applyProtection="1">
      <alignment horizontal="center"/>
    </xf>
    <xf numFmtId="171" fontId="0" fillId="3" borderId="287" xfId="0" applyNumberFormat="1" applyFont="1" applyFill="1" applyBorder="1" applyAlignment="1" applyProtection="1">
      <alignment horizontal="center"/>
    </xf>
    <xf numFmtId="0" fontId="61" fillId="3" borderId="334" xfId="0" applyFont="1" applyFill="1" applyBorder="1" applyAlignment="1" applyProtection="1">
      <alignment horizontal="center" vertical="center"/>
    </xf>
    <xf numFmtId="0" fontId="61" fillId="3" borderId="335" xfId="0" applyFont="1" applyFill="1" applyBorder="1" applyAlignment="1" applyProtection="1">
      <alignment horizontal="center" vertical="center"/>
    </xf>
    <xf numFmtId="0" fontId="158" fillId="7" borderId="194" xfId="0" applyFont="1" applyFill="1" applyBorder="1" applyAlignment="1">
      <alignment horizontal="center" vertical="center" wrapText="1"/>
    </xf>
    <xf numFmtId="0" fontId="158" fillId="7" borderId="303" xfId="0" applyFont="1" applyFill="1" applyBorder="1" applyAlignment="1">
      <alignment horizontal="center" vertical="center" wrapText="1"/>
    </xf>
    <xf numFmtId="0" fontId="184" fillId="3" borderId="312" xfId="0" applyFont="1" applyFill="1" applyBorder="1" applyAlignment="1">
      <alignment horizontal="left" vertical="top" wrapText="1"/>
    </xf>
    <xf numFmtId="0" fontId="184" fillId="3" borderId="333" xfId="0" applyFont="1" applyFill="1" applyBorder="1" applyAlignment="1">
      <alignment horizontal="left" vertical="top" wrapText="1"/>
    </xf>
    <xf numFmtId="0" fontId="184" fillId="7" borderId="291" xfId="0" applyFont="1" applyFill="1" applyBorder="1" applyAlignment="1">
      <alignment horizontal="center" vertical="center" wrapText="1"/>
    </xf>
    <xf numFmtId="0" fontId="184" fillId="7" borderId="292" xfId="0" applyFont="1" applyFill="1" applyBorder="1" applyAlignment="1">
      <alignment horizontal="center" vertical="center" wrapText="1"/>
    </xf>
    <xf numFmtId="0" fontId="184" fillId="7" borderId="293" xfId="0" applyFont="1" applyFill="1" applyBorder="1" applyAlignment="1">
      <alignment horizontal="center" vertical="center" wrapText="1"/>
    </xf>
    <xf numFmtId="0" fontId="158" fillId="7" borderId="108" xfId="0" applyFont="1" applyFill="1" applyBorder="1" applyAlignment="1">
      <alignment horizontal="center" vertical="center" wrapText="1"/>
    </xf>
    <xf numFmtId="0" fontId="158" fillId="7" borderId="312" xfId="0" applyFont="1" applyFill="1" applyBorder="1" applyAlignment="1">
      <alignment horizontal="center" vertical="center" wrapText="1"/>
    </xf>
    <xf numFmtId="0" fontId="0" fillId="3" borderId="285" xfId="0" applyFont="1" applyFill="1" applyBorder="1" applyAlignment="1">
      <alignment horizontal="center"/>
    </xf>
    <xf numFmtId="0" fontId="0" fillId="3" borderId="286" xfId="0" applyFont="1" applyFill="1" applyBorder="1" applyAlignment="1">
      <alignment horizontal="center"/>
    </xf>
    <xf numFmtId="0" fontId="0" fillId="3" borderId="287" xfId="0" applyFont="1" applyFill="1" applyBorder="1" applyAlignment="1">
      <alignment horizontal="center"/>
    </xf>
    <xf numFmtId="0" fontId="158" fillId="7" borderId="305" xfId="0" applyFont="1" applyFill="1" applyBorder="1" applyAlignment="1">
      <alignment horizontal="center" vertical="center" wrapText="1"/>
    </xf>
    <xf numFmtId="0" fontId="184" fillId="3" borderId="164" xfId="0" applyFont="1" applyFill="1" applyBorder="1" applyAlignment="1">
      <alignment horizontal="left" vertical="top" wrapText="1"/>
    </xf>
    <xf numFmtId="0" fontId="184" fillId="3" borderId="295" xfId="0" applyFont="1" applyFill="1" applyBorder="1" applyAlignment="1">
      <alignment horizontal="left" vertical="top" wrapText="1"/>
    </xf>
    <xf numFmtId="0" fontId="184" fillId="3" borderId="304" xfId="0" applyFont="1" applyFill="1" applyBorder="1" applyAlignment="1">
      <alignment horizontal="left" vertical="top" wrapText="1"/>
    </xf>
    <xf numFmtId="0" fontId="184" fillId="3" borderId="290" xfId="0" applyFont="1" applyFill="1" applyBorder="1" applyAlignment="1">
      <alignment horizontal="left" vertical="top" wrapText="1"/>
    </xf>
    <xf numFmtId="0" fontId="184" fillId="3" borderId="0" xfId="0" applyFont="1" applyFill="1" applyBorder="1" applyAlignment="1">
      <alignment horizontal="left" vertical="top" wrapText="1"/>
    </xf>
    <xf numFmtId="0" fontId="184" fillId="3" borderId="288" xfId="0" applyFont="1" applyFill="1" applyBorder="1" applyAlignment="1">
      <alignment horizontal="left" vertical="top" wrapText="1"/>
    </xf>
    <xf numFmtId="0" fontId="184" fillId="3" borderId="302" xfId="0" applyFont="1" applyFill="1" applyBorder="1" applyAlignment="1">
      <alignment horizontal="left" vertical="top" wrapText="1"/>
    </xf>
    <xf numFmtId="0" fontId="184" fillId="3" borderId="194" xfId="0" applyFont="1" applyFill="1" applyBorder="1" applyAlignment="1">
      <alignment horizontal="left" vertical="top" wrapText="1"/>
    </xf>
    <xf numFmtId="0" fontId="184" fillId="3" borderId="303" xfId="0" applyFont="1" applyFill="1" applyBorder="1" applyAlignment="1">
      <alignment horizontal="left" vertical="top" wrapText="1"/>
    </xf>
    <xf numFmtId="0" fontId="0" fillId="3" borderId="296" xfId="0" applyFont="1" applyFill="1" applyBorder="1" applyAlignment="1">
      <alignment horizontal="center"/>
    </xf>
    <xf numFmtId="0" fontId="0" fillId="3" borderId="297" xfId="0" applyFont="1" applyFill="1" applyBorder="1" applyAlignment="1">
      <alignment horizontal="center"/>
    </xf>
    <xf numFmtId="0" fontId="0" fillId="3" borderId="298" xfId="0" applyFont="1" applyFill="1" applyBorder="1" applyAlignment="1">
      <alignment horizontal="center"/>
    </xf>
    <xf numFmtId="0" fontId="181" fillId="0" borderId="315" xfId="0" applyFont="1" applyBorder="1" applyAlignment="1">
      <alignment horizontal="center" vertical="center"/>
    </xf>
    <xf numFmtId="0" fontId="181" fillId="0" borderId="316" xfId="0" applyFont="1" applyBorder="1" applyAlignment="1">
      <alignment horizontal="center" vertical="center"/>
    </xf>
    <xf numFmtId="0" fontId="158" fillId="7" borderId="315" xfId="0" applyFont="1" applyFill="1" applyBorder="1" applyAlignment="1">
      <alignment horizontal="center" vertical="center" wrapText="1"/>
    </xf>
    <xf numFmtId="0" fontId="158" fillId="7" borderId="316" xfId="0" applyFont="1" applyFill="1" applyBorder="1" applyAlignment="1">
      <alignment horizontal="center" vertical="center" wrapText="1"/>
    </xf>
    <xf numFmtId="0" fontId="149" fillId="3" borderId="291" xfId="0" applyFont="1" applyFill="1" applyBorder="1" applyAlignment="1">
      <alignment horizontal="center" vertical="center"/>
    </xf>
    <xf numFmtId="0" fontId="149" fillId="3" borderId="292" xfId="0" applyFont="1" applyFill="1" applyBorder="1" applyAlignment="1">
      <alignment horizontal="center" vertical="center"/>
    </xf>
    <xf numFmtId="0" fontId="181" fillId="0" borderId="305" xfId="0" applyFont="1" applyBorder="1" applyAlignment="1">
      <alignment horizontal="center" vertical="center"/>
    </xf>
    <xf numFmtId="0" fontId="0" fillId="3" borderId="302" xfId="0" applyFont="1" applyFill="1" applyBorder="1" applyAlignment="1">
      <alignment horizontal="center"/>
    </xf>
    <xf numFmtId="0" fontId="0" fillId="3" borderId="194" xfId="0" applyFont="1" applyFill="1" applyBorder="1" applyAlignment="1">
      <alignment horizontal="center"/>
    </xf>
    <xf numFmtId="0" fontId="0" fillId="3" borderId="303" xfId="0" applyFont="1" applyFill="1" applyBorder="1" applyAlignment="1">
      <alignment horizontal="center"/>
    </xf>
    <xf numFmtId="0" fontId="0" fillId="3" borderId="318" xfId="0" applyFont="1" applyFill="1" applyBorder="1" applyAlignment="1">
      <alignment horizontal="center"/>
    </xf>
    <xf numFmtId="0" fontId="0" fillId="3" borderId="319" xfId="0" applyFont="1" applyFill="1" applyBorder="1" applyAlignment="1">
      <alignment horizontal="center"/>
    </xf>
    <xf numFmtId="0" fontId="0" fillId="3" borderId="323" xfId="0" applyFont="1" applyFill="1" applyBorder="1" applyAlignment="1">
      <alignment horizontal="center"/>
    </xf>
    <xf numFmtId="0" fontId="0" fillId="3" borderId="269" xfId="0" applyFont="1" applyFill="1" applyBorder="1" applyAlignment="1">
      <alignment horizontal="center"/>
    </xf>
    <xf numFmtId="0" fontId="0" fillId="3" borderId="343" xfId="0" applyFont="1" applyFill="1" applyBorder="1" applyAlignment="1">
      <alignment horizontal="center"/>
    </xf>
    <xf numFmtId="0" fontId="0" fillId="3" borderId="329" xfId="0" applyFont="1" applyFill="1" applyBorder="1" applyAlignment="1">
      <alignment horizontal="center"/>
    </xf>
    <xf numFmtId="0" fontId="0" fillId="3" borderId="328" xfId="0" applyFont="1" applyFill="1" applyBorder="1" applyAlignment="1">
      <alignment horizontal="center"/>
    </xf>
    <xf numFmtId="0" fontId="0" fillId="3" borderId="282" xfId="0" applyFont="1" applyFill="1" applyBorder="1" applyAlignment="1">
      <alignment horizontal="center"/>
    </xf>
    <xf numFmtId="0" fontId="0" fillId="3" borderId="315" xfId="0" applyFont="1" applyFill="1" applyBorder="1" applyAlignment="1" applyProtection="1">
      <alignment horizontal="center"/>
    </xf>
    <xf numFmtId="0" fontId="0" fillId="3" borderId="316" xfId="0" applyFont="1" applyFill="1" applyBorder="1" applyAlignment="1" applyProtection="1">
      <alignment horizontal="center"/>
    </xf>
    <xf numFmtId="0" fontId="0" fillId="3" borderId="305" xfId="0" applyFont="1" applyFill="1" applyBorder="1" applyAlignment="1" applyProtection="1">
      <alignment horizontal="center"/>
    </xf>
    <xf numFmtId="0" fontId="184" fillId="3" borderId="275" xfId="0" applyFont="1" applyFill="1" applyBorder="1" applyAlignment="1">
      <alignment horizontal="center" vertical="top" wrapText="1"/>
    </xf>
    <xf numFmtId="0" fontId="184" fillId="3" borderId="276" xfId="0" applyFont="1" applyFill="1" applyBorder="1" applyAlignment="1">
      <alignment horizontal="center" vertical="top" wrapText="1"/>
    </xf>
    <xf numFmtId="0" fontId="184" fillId="3" borderId="343" xfId="0" applyFont="1" applyFill="1" applyBorder="1" applyAlignment="1">
      <alignment horizontal="center" vertical="top" wrapText="1"/>
    </xf>
    <xf numFmtId="0" fontId="184" fillId="3" borderId="271" xfId="0" applyFont="1" applyFill="1" applyBorder="1" applyAlignment="1">
      <alignment horizontal="left" vertical="top" wrapText="1"/>
    </xf>
    <xf numFmtId="0" fontId="184" fillId="3" borderId="223" xfId="0" applyFont="1" applyFill="1" applyBorder="1" applyAlignment="1">
      <alignment horizontal="left" vertical="top" wrapText="1"/>
    </xf>
    <xf numFmtId="0" fontId="184" fillId="3" borderId="328" xfId="0" applyFont="1" applyFill="1" applyBorder="1" applyAlignment="1">
      <alignment horizontal="left" vertical="top" wrapText="1"/>
    </xf>
    <xf numFmtId="0" fontId="184" fillId="3" borderId="274" xfId="0" applyFont="1" applyFill="1" applyBorder="1" applyAlignment="1">
      <alignment horizontal="left" vertical="top" wrapText="1"/>
    </xf>
    <xf numFmtId="0" fontId="184" fillId="3" borderId="268" xfId="0" applyFont="1" applyFill="1" applyBorder="1" applyAlignment="1">
      <alignment horizontal="left" vertical="top" wrapText="1"/>
    </xf>
    <xf numFmtId="0" fontId="184" fillId="3" borderId="329" xfId="0" applyFont="1" applyFill="1" applyBorder="1" applyAlignment="1">
      <alignment horizontal="left" vertical="top" wrapText="1"/>
    </xf>
    <xf numFmtId="0" fontId="184" fillId="3" borderId="274" xfId="0" applyFont="1" applyFill="1" applyBorder="1" applyAlignment="1">
      <alignment horizontal="center" vertical="top" wrapText="1"/>
    </xf>
    <xf numFmtId="0" fontId="184" fillId="3" borderId="268" xfId="0" applyFont="1" applyFill="1" applyBorder="1" applyAlignment="1">
      <alignment horizontal="center" vertical="top" wrapText="1"/>
    </xf>
    <xf numFmtId="0" fontId="184" fillId="3" borderId="329" xfId="0" applyFont="1" applyFill="1" applyBorder="1" applyAlignment="1">
      <alignment horizontal="center" vertical="top" wrapText="1"/>
    </xf>
    <xf numFmtId="0" fontId="184" fillId="3" borderId="271" xfId="0" applyFont="1" applyFill="1" applyBorder="1" applyAlignment="1">
      <alignment horizontal="center" vertical="top" wrapText="1"/>
    </xf>
    <xf numFmtId="0" fontId="184" fillId="3" borderId="223" xfId="0" applyFont="1" applyFill="1" applyBorder="1" applyAlignment="1">
      <alignment horizontal="center" vertical="top" wrapText="1"/>
    </xf>
    <xf numFmtId="0" fontId="184" fillId="3" borderId="328" xfId="0" applyFont="1" applyFill="1" applyBorder="1" applyAlignment="1">
      <alignment horizontal="center" vertical="top" wrapText="1"/>
    </xf>
    <xf numFmtId="0" fontId="0" fillId="3" borderId="272" xfId="0" applyFont="1" applyFill="1" applyBorder="1" applyAlignment="1">
      <alignment horizontal="center"/>
    </xf>
    <xf numFmtId="0" fontId="158" fillId="3" borderId="312" xfId="0" applyFont="1" applyFill="1" applyBorder="1" applyAlignment="1">
      <alignment horizontal="left" vertical="top" wrapText="1"/>
    </xf>
    <xf numFmtId="0" fontId="158" fillId="3" borderId="333" xfId="0" applyFont="1" applyFill="1" applyBorder="1" applyAlignment="1">
      <alignment horizontal="left" vertical="top" wrapText="1"/>
    </xf>
    <xf numFmtId="0" fontId="158" fillId="3" borderId="332" xfId="0" applyFont="1" applyFill="1" applyBorder="1" applyAlignment="1">
      <alignment horizontal="left" vertical="top" wrapText="1"/>
    </xf>
    <xf numFmtId="0" fontId="158" fillId="3" borderId="164" xfId="0" applyFont="1" applyFill="1" applyBorder="1" applyAlignment="1">
      <alignment horizontal="left" vertical="top" wrapText="1"/>
    </xf>
    <xf numFmtId="0" fontId="158" fillId="3" borderId="291" xfId="0" applyFont="1" applyFill="1" applyBorder="1" applyAlignment="1">
      <alignment horizontal="left" vertical="top" wrapText="1"/>
    </xf>
    <xf numFmtId="0" fontId="158" fillId="7" borderId="315" xfId="0" applyNumberFormat="1" applyFont="1" applyFill="1" applyBorder="1" applyAlignment="1">
      <alignment horizontal="center" vertical="center" wrapText="1"/>
    </xf>
    <xf numFmtId="0" fontId="158" fillId="7" borderId="305" xfId="0" applyNumberFormat="1" applyFont="1" applyFill="1" applyBorder="1" applyAlignment="1">
      <alignment horizontal="center" vertical="center" wrapText="1"/>
    </xf>
    <xf numFmtId="0" fontId="158" fillId="7" borderId="164" xfId="0" applyNumberFormat="1" applyFont="1" applyFill="1" applyBorder="1" applyAlignment="1">
      <alignment horizontal="center" vertical="center" wrapText="1"/>
    </xf>
    <xf numFmtId="0" fontId="158" fillId="7" borderId="304" xfId="0" applyNumberFormat="1" applyFont="1" applyFill="1" applyBorder="1" applyAlignment="1">
      <alignment horizontal="center" vertical="center" wrapText="1"/>
    </xf>
    <xf numFmtId="0" fontId="3" fillId="2" borderId="0" xfId="0" applyFont="1" applyFill="1" applyBorder="1" applyAlignment="1">
      <alignment horizontal="left" vertical="center"/>
    </xf>
    <xf numFmtId="0" fontId="3" fillId="2" borderId="0" xfId="0" applyNumberFormat="1" applyFont="1" applyFill="1" applyBorder="1" applyAlignment="1">
      <alignment horizontal="left" vertical="center"/>
    </xf>
    <xf numFmtId="0" fontId="158" fillId="7" borderId="345" xfId="0" applyFont="1" applyFill="1" applyBorder="1" applyAlignment="1">
      <alignment horizontal="center" vertical="center" wrapText="1"/>
    </xf>
    <xf numFmtId="0" fontId="158" fillId="7" borderId="344" xfId="0" applyFont="1" applyFill="1" applyBorder="1" applyAlignment="1">
      <alignment horizontal="center" vertical="center" wrapText="1"/>
    </xf>
    <xf numFmtId="0" fontId="158" fillId="7" borderId="346" xfId="0" applyFont="1" applyFill="1" applyBorder="1" applyAlignment="1">
      <alignment horizontal="center" vertical="center" wrapText="1"/>
    </xf>
    <xf numFmtId="0" fontId="3" fillId="3" borderId="0" xfId="0" applyFont="1" applyFill="1" applyBorder="1" applyAlignment="1">
      <alignment horizontal="left" vertical="center"/>
    </xf>
    <xf numFmtId="0" fontId="30" fillId="74" borderId="0" xfId="0" applyFont="1" applyFill="1" applyAlignment="1" applyProtection="1">
      <alignment vertical="center" wrapText="1"/>
      <protection locked="0"/>
    </xf>
    <xf numFmtId="0" fontId="39" fillId="30" borderId="41" xfId="0" applyFont="1" applyFill="1" applyBorder="1" applyAlignment="1" applyProtection="1">
      <alignment horizontal="center" vertical="center" wrapText="1"/>
      <protection locked="0"/>
    </xf>
    <xf numFmtId="0" fontId="39" fillId="30" borderId="42" xfId="0" applyFont="1" applyFill="1" applyBorder="1" applyAlignment="1" applyProtection="1">
      <alignment horizontal="center" vertical="center" wrapText="1"/>
      <protection locked="0"/>
    </xf>
    <xf numFmtId="0" fontId="39" fillId="30" borderId="43" xfId="0" applyFont="1" applyFill="1" applyBorder="1" applyAlignment="1" applyProtection="1">
      <alignment horizontal="center" vertical="center" wrapText="1"/>
      <protection locked="0"/>
    </xf>
    <xf numFmtId="0" fontId="5" fillId="3" borderId="0" xfId="0" applyFont="1" applyFill="1" applyAlignment="1">
      <alignment horizontal="center"/>
    </xf>
    <xf numFmtId="0" fontId="61" fillId="3" borderId="265" xfId="0" applyFont="1" applyFill="1" applyBorder="1" applyAlignment="1">
      <alignment horizontal="center"/>
    </xf>
    <xf numFmtId="0" fontId="61" fillId="3" borderId="240" xfId="0" applyFont="1" applyFill="1" applyBorder="1" applyAlignment="1">
      <alignment horizontal="center"/>
    </xf>
    <xf numFmtId="165" fontId="103" fillId="66" borderId="63" xfId="46" applyNumberFormat="1" applyFont="1" applyFill="1" applyBorder="1" applyAlignment="1">
      <alignment horizontal="center" vertical="center" wrapText="1"/>
    </xf>
    <xf numFmtId="0" fontId="0" fillId="0" borderId="0" xfId="0"/>
    <xf numFmtId="0" fontId="5" fillId="33" borderId="4" xfId="0" applyFont="1" applyFill="1" applyBorder="1" applyAlignment="1">
      <alignment horizontal="center" vertical="top"/>
    </xf>
    <xf numFmtId="0" fontId="5" fillId="33" borderId="0" xfId="0" applyFont="1" applyFill="1" applyAlignment="1">
      <alignment horizontal="center" vertical="top"/>
    </xf>
    <xf numFmtId="0" fontId="45" fillId="45" borderId="0" xfId="0" applyFont="1" applyFill="1" applyAlignment="1">
      <alignment horizontal="right" vertical="center" wrapText="1"/>
    </xf>
    <xf numFmtId="0" fontId="67" fillId="47" borderId="143" xfId="0" applyFont="1" applyFill="1" applyBorder="1" applyAlignment="1">
      <alignment horizontal="right" vertical="center" wrapText="1"/>
    </xf>
    <xf numFmtId="0" fontId="67" fillId="47" borderId="148" xfId="0" applyFont="1" applyFill="1" applyBorder="1" applyAlignment="1">
      <alignment horizontal="right" vertical="center" wrapText="1"/>
    </xf>
    <xf numFmtId="0" fontId="67" fillId="47" borderId="153" xfId="0" applyFont="1" applyFill="1" applyBorder="1" applyAlignment="1">
      <alignment horizontal="right" vertical="center" wrapText="1"/>
    </xf>
    <xf numFmtId="0" fontId="67" fillId="47" borderId="5" xfId="0" applyFont="1" applyFill="1" applyBorder="1" applyAlignment="1">
      <alignment horizontal="right" vertical="center" wrapText="1"/>
    </xf>
    <xf numFmtId="0" fontId="67" fillId="49" borderId="5" xfId="0" applyFont="1" applyFill="1" applyBorder="1" applyAlignment="1">
      <alignment horizontal="right" vertical="center" wrapText="1"/>
    </xf>
    <xf numFmtId="0" fontId="67" fillId="49" borderId="0" xfId="0" applyFont="1" applyFill="1" applyAlignment="1">
      <alignment horizontal="right" vertical="center" wrapText="1"/>
    </xf>
    <xf numFmtId="0" fontId="67" fillId="51" borderId="0" xfId="0" applyFont="1" applyFill="1" applyAlignment="1">
      <alignment horizontal="right" vertical="center"/>
    </xf>
    <xf numFmtId="0" fontId="67" fillId="51" borderId="5" xfId="0" applyFont="1" applyFill="1" applyBorder="1" applyAlignment="1">
      <alignment horizontal="right" vertical="center"/>
    </xf>
    <xf numFmtId="0" fontId="67" fillId="47" borderId="135" xfId="0" applyFont="1" applyFill="1" applyBorder="1" applyAlignment="1">
      <alignment horizontal="right" vertical="center" wrapText="1"/>
    </xf>
    <xf numFmtId="0" fontId="67" fillId="47" borderId="139" xfId="0" applyFont="1" applyFill="1" applyBorder="1" applyAlignment="1">
      <alignment horizontal="right" vertical="center" wrapText="1"/>
    </xf>
    <xf numFmtId="0" fontId="67" fillId="32" borderId="0" xfId="0" applyFont="1" applyFill="1" applyAlignment="1">
      <alignment horizontal="right" vertical="center" wrapText="1"/>
    </xf>
    <xf numFmtId="0" fontId="70" fillId="45" borderId="0" xfId="0" applyFont="1" applyFill="1" applyAlignment="1">
      <alignment horizontal="right" vertical="center" wrapText="1"/>
    </xf>
    <xf numFmtId="0" fontId="0" fillId="3" borderId="26" xfId="0" applyFill="1" applyBorder="1" applyAlignment="1">
      <alignment vertical="center"/>
    </xf>
    <xf numFmtId="0" fontId="0" fillId="3" borderId="16" xfId="0" applyFill="1" applyBorder="1" applyAlignment="1">
      <alignment vertical="center"/>
    </xf>
    <xf numFmtId="0" fontId="0" fillId="3" borderId="84" xfId="0" applyFill="1" applyBorder="1" applyAlignment="1">
      <alignment vertical="center"/>
    </xf>
    <xf numFmtId="0" fontId="0" fillId="3" borderId="96" xfId="0" applyFill="1" applyBorder="1" applyAlignment="1">
      <alignment vertical="center"/>
    </xf>
    <xf numFmtId="0" fontId="70" fillId="45" borderId="5" xfId="0" applyFont="1" applyFill="1" applyBorder="1" applyAlignment="1">
      <alignment horizontal="right" vertical="center" wrapText="1"/>
    </xf>
    <xf numFmtId="0" fontId="26" fillId="57" borderId="9" xfId="0" applyFont="1" applyFill="1" applyBorder="1" applyAlignment="1">
      <alignment horizontal="left" vertical="top" wrapText="1"/>
    </xf>
    <xf numFmtId="0" fontId="26" fillId="57" borderId="10" xfId="0" applyFont="1" applyFill="1" applyBorder="1" applyAlignment="1">
      <alignment horizontal="left" vertical="top" wrapText="1"/>
    </xf>
    <xf numFmtId="0" fontId="10" fillId="36" borderId="184" xfId="0" applyFont="1" applyFill="1" applyBorder="1" applyAlignment="1">
      <alignment horizontal="left" vertical="center" indent="4"/>
    </xf>
    <xf numFmtId="0" fontId="10" fillId="36" borderId="67" xfId="0" applyFont="1" applyFill="1" applyBorder="1" applyAlignment="1">
      <alignment horizontal="left" vertical="center" indent="4"/>
    </xf>
    <xf numFmtId="0" fontId="0" fillId="0" borderId="47" xfId="0" applyBorder="1" applyAlignment="1">
      <alignment horizontal="right" vertical="center" wrapText="1"/>
    </xf>
    <xf numFmtId="0" fontId="0" fillId="0" borderId="5" xfId="0" applyBorder="1" applyAlignment="1">
      <alignment horizontal="right" vertical="center" wrapText="1"/>
    </xf>
    <xf numFmtId="0" fontId="0" fillId="0" borderId="57" xfId="0" applyBorder="1" applyAlignment="1">
      <alignment horizontal="right" vertical="center"/>
    </xf>
    <xf numFmtId="0" fontId="0" fillId="0" borderId="15" xfId="0" applyBorder="1" applyAlignment="1">
      <alignment horizontal="right" vertical="center"/>
    </xf>
    <xf numFmtId="0" fontId="0" fillId="0" borderId="23" xfId="0" applyBorder="1" applyAlignment="1">
      <alignment horizontal="right" vertical="center"/>
    </xf>
    <xf numFmtId="0" fontId="123" fillId="21" borderId="0" xfId="0" applyFont="1" applyFill="1" applyAlignment="1" applyProtection="1">
      <alignment horizontal="left" wrapText="1"/>
      <protection locked="0"/>
    </xf>
    <xf numFmtId="0" fontId="123" fillId="21" borderId="5" xfId="0" applyFont="1" applyFill="1" applyBorder="1" applyAlignment="1" applyProtection="1">
      <alignment horizontal="left" wrapText="1"/>
      <protection locked="0"/>
    </xf>
    <xf numFmtId="0" fontId="10" fillId="4" borderId="0" xfId="0" applyFont="1" applyFill="1" applyAlignment="1" applyProtection="1">
      <alignment horizontal="left" vertical="top" wrapText="1"/>
      <protection locked="0"/>
    </xf>
    <xf numFmtId="0" fontId="0" fillId="0" borderId="62" xfId="0" applyBorder="1" applyAlignment="1">
      <alignment horizontal="right" vertical="center"/>
    </xf>
    <xf numFmtId="0" fontId="0" fillId="0" borderId="44" xfId="0" applyBorder="1" applyAlignment="1">
      <alignment horizontal="right" vertical="center"/>
    </xf>
    <xf numFmtId="0" fontId="0" fillId="0" borderId="17" xfId="0" applyBorder="1" applyAlignment="1">
      <alignment horizontal="right" vertical="center"/>
    </xf>
    <xf numFmtId="0" fontId="0" fillId="0" borderId="62" xfId="0" applyBorder="1" applyAlignment="1">
      <alignment horizontal="right" vertical="center" wrapText="1"/>
    </xf>
    <xf numFmtId="0" fontId="0" fillId="0" borderId="15" xfId="0" applyBorder="1" applyAlignment="1">
      <alignment horizontal="right" vertical="center" wrapText="1"/>
    </xf>
    <xf numFmtId="0" fontId="0" fillId="0" borderId="23" xfId="0" applyBorder="1" applyAlignment="1">
      <alignment horizontal="right" vertical="center" wrapText="1"/>
    </xf>
  </cellXfs>
  <cellStyles count="52">
    <cellStyle name="AER_AmendConfid" xfId="35" xr:uid="{152B9E15-71E0-42E3-8159-4C41C237D499}"/>
    <cellStyle name="AER_Amended" xfId="33" xr:uid="{F1482C5A-6AB0-41A2-AD6A-1B5D7BA21FB9}"/>
    <cellStyle name="AER_Confidential" xfId="16" xr:uid="{FC735B33-2670-44B4-8D8F-CD90FE2ACD97}"/>
    <cellStyle name="Comma" xfId="49" builtinId="3"/>
    <cellStyle name="Comma 2" xfId="48" xr:uid="{6D2D6CDC-179A-4FA7-A18A-47397C5FC5C1}"/>
    <cellStyle name="dms_1" xfId="19" xr:uid="{633F37B3-9D12-4CFB-818D-669825A51E79}"/>
    <cellStyle name="dms_2" xfId="7" xr:uid="{6E0793DF-1A99-4AAE-BD18-D2F988DBA3FF}"/>
    <cellStyle name="dms_3" xfId="20" xr:uid="{1A52A6F5-60AA-4159-BEAE-1FAAFAF4AE64}"/>
    <cellStyle name="dms_4" xfId="21" xr:uid="{44E85FA9-F5F0-43EF-B14E-FB87FB84B149}"/>
    <cellStyle name="dms_5" xfId="22" xr:uid="{FB441819-F987-49DA-9D8B-2349BCB58030}"/>
    <cellStyle name="dms_BH" xfId="25" xr:uid="{BECF3297-3833-4E43-ADB1-E41A756E4F2E}"/>
    <cellStyle name="dms_Blue_HDR" xfId="34" xr:uid="{B9DFE675-99E0-4D04-9C90-04CED6B69773}"/>
    <cellStyle name="dms_BY1" xfId="26" xr:uid="{A94E53C4-1580-489E-AE4C-FB1AEE2CE74D}"/>
    <cellStyle name="dms_BY2" xfId="27" xr:uid="{EC207A29-ADD1-40B6-A858-E287527AEF41}"/>
    <cellStyle name="dms_Code" xfId="31" xr:uid="{DA4AB647-D130-4C3B-93D1-E6904AC92E47}"/>
    <cellStyle name="dms_GH" xfId="28" xr:uid="{69479733-1528-4F1D-A62D-9C5127592A7A}"/>
    <cellStyle name="dms_GY1" xfId="29" xr:uid="{0F3E7F30-F9F8-47F4-AD86-A2494C51B5B3}"/>
    <cellStyle name="dms_GY2" xfId="30" xr:uid="{69971423-8DB6-4B20-BE71-1207107EC0C2}"/>
    <cellStyle name="dms_H" xfId="2" xr:uid="{910B7B9F-278F-4371-A435-6976E1C7F206}"/>
    <cellStyle name="dms_NUM" xfId="11" xr:uid="{CD29ED83-04FA-4052-A2A7-FD3F133B3169}"/>
    <cellStyle name="dms_NUM 2" xfId="15" xr:uid="{D1B64819-009C-4208-B6C2-F1FD8A8D7732}"/>
    <cellStyle name="dms_Num%" xfId="18" xr:uid="{5D22B03F-FDA0-4F82-8FA7-02AC84AD858D}"/>
    <cellStyle name="dms_NUM_0dp" xfId="5" xr:uid="{90D37E76-E347-485A-A57D-4248210659C3}"/>
    <cellStyle name="dms_NUM_0dp 2" xfId="43" xr:uid="{7E27C891-9332-4F03-A4E5-1DDC2A2BCA67}"/>
    <cellStyle name="dms_NUM_1dp" xfId="17" xr:uid="{7CB5F87C-C2C5-4D0D-88D7-25D5EEB61151}"/>
    <cellStyle name="dms_NUM_dp1" xfId="12" xr:uid="{129A72E8-23B3-4ABD-B409-8429254B699E}"/>
    <cellStyle name="dms_Row" xfId="36" xr:uid="{3927DB57-D9EE-4173-B372-3DD7B9687FF3}"/>
    <cellStyle name="dms_Row_Locked" xfId="10" xr:uid="{E8B7EA8D-991D-401C-8EB1-05CFCCA91A68}"/>
    <cellStyle name="dms_Row1" xfId="9" xr:uid="{F633FCDA-DE93-4D5D-B497-312FB26D78CD}"/>
    <cellStyle name="dms_Row2" xfId="23" xr:uid="{0FB6A525-5C71-40AC-8ECB-977944857D34}"/>
    <cellStyle name="dms_T1" xfId="6" xr:uid="{07E3DD9B-FE01-4924-BAFE-273430111A7E}"/>
    <cellStyle name="dms_T2" xfId="24" xr:uid="{3A9956ED-A59B-4530-A241-253BEAAFA62C}"/>
    <cellStyle name="dms_TopHeader" xfId="1" xr:uid="{855AFC90-C770-4D93-8827-836C5BEDC093}"/>
    <cellStyle name="Hyperlink" xfId="51" builtinId="8"/>
    <cellStyle name="Normal" xfId="0" builtinId="0" customBuiltin="1"/>
    <cellStyle name="Normal 11" xfId="41" xr:uid="{2F5E936D-63F0-4066-9AAA-12DF50CAE6D8}"/>
    <cellStyle name="Normal 114" xfId="45" xr:uid="{F9206CDA-7F5F-496E-BB5A-67C4A07339C0}"/>
    <cellStyle name="Normal 13" xfId="44" xr:uid="{02DEEA80-931F-4254-8F75-1962DF9F1846}"/>
    <cellStyle name="Normal 2" xfId="47" xr:uid="{CE4DF020-1238-4291-B1A8-7FB0786AD7FC}"/>
    <cellStyle name="Normal 2 2 2" xfId="38" xr:uid="{21CACE85-45C9-4380-9186-858AB443B9AA}"/>
    <cellStyle name="Normal 2 2 3 2" xfId="50" xr:uid="{E3BED499-C96C-498A-945B-DDFB39BB11DF}"/>
    <cellStyle name="Normal 4" xfId="40" xr:uid="{6BF5E725-3E2D-4389-9B71-4A5A4E177517}"/>
    <cellStyle name="Normal 4 2" xfId="42" xr:uid="{92581E4C-8222-4507-ADB5-6465DC7933B8}"/>
    <cellStyle name="Normal_AppendixB" xfId="46" xr:uid="{9DD43599-3B33-4AF0-86C2-17A080D92E4B}"/>
    <cellStyle name="RIN_TB2" xfId="14" xr:uid="{0C8524D1-B4E9-44D8-983B-D76E2E3B74D9}"/>
    <cellStyle name="RIN_TB3" xfId="37" xr:uid="{21945329-3D10-4A45-B6D0-F6D7F6E40A32}"/>
    <cellStyle name="RIN_TL2" xfId="3" xr:uid="{6CFA8039-8E4C-46C4-B00F-4CFC2AA8AEE3}"/>
    <cellStyle name="RIN_TL2 2" xfId="13" xr:uid="{903AF984-47B7-4EC3-8C95-BF456C24013F}"/>
    <cellStyle name="RIN_TL3" xfId="4" xr:uid="{4C99618F-DFFD-40F8-A26E-7D5C0A3C5CFB}"/>
    <cellStyle name="RIN_TL3 2" xfId="39" xr:uid="{FEF49900-B6AE-4CA4-AAF1-62F1DF9969BC}"/>
    <cellStyle name="RIN_Tnum_dp3" xfId="8" xr:uid="{916BF85D-AEBA-42F4-9CEF-BEA3EE993DBA}"/>
    <cellStyle name="Total" xfId="32" builtinId="25"/>
  </cellStyles>
  <dxfs count="70">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rgb="FFFFFF00"/>
        </patternFill>
      </fill>
    </dxf>
    <dxf>
      <font>
        <b/>
        <i val="0"/>
        <color rgb="FFFF0000"/>
      </font>
    </dxf>
    <dxf>
      <font>
        <b/>
        <i val="0"/>
        <color theme="5"/>
      </font>
    </dxf>
    <dxf>
      <font>
        <b/>
        <i val="0"/>
        <color rgb="FFFF0000"/>
      </font>
    </dxf>
    <dxf>
      <font>
        <b/>
        <i val="0"/>
        <color rgb="FFFF0000"/>
      </font>
      <fill>
        <patternFill patternType="solid">
          <bgColor theme="0" tint="-0.24994659260841701"/>
        </patternFill>
      </fill>
    </dxf>
    <dxf>
      <font>
        <b/>
        <i val="0"/>
        <color rgb="FFFF0000"/>
      </font>
      <border>
        <vertical/>
        <horizontal/>
      </border>
    </dxf>
    <dxf>
      <font>
        <b/>
        <i val="0"/>
        <color rgb="FFFF0000"/>
      </font>
    </dxf>
    <dxf>
      <fill>
        <patternFill>
          <bgColor theme="6" tint="0.59996337778862885"/>
        </patternFill>
      </fill>
    </dxf>
    <dxf>
      <fill>
        <patternFill>
          <bgColor rgb="FFFFFF9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right style="thin">
          <color auto="1"/>
        </right>
        <vertical/>
        <horizontal/>
      </border>
    </dxf>
    <dxf>
      <font>
        <color theme="0"/>
      </font>
      <fill>
        <patternFill>
          <bgColor theme="6" tint="-0.24994659260841701"/>
        </patternFill>
      </fill>
    </dxf>
    <dxf>
      <fill>
        <patternFill>
          <bgColor rgb="FFFF0000"/>
        </patternFill>
      </fill>
    </dxf>
    <dxf>
      <fill>
        <patternFill>
          <bgColor rgb="FFE391C8"/>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fill>
        <patternFill patternType="solid">
          <bgColor rgb="FFFFFFCC"/>
        </patternFill>
      </fill>
    </dxf>
    <dxf>
      <font>
        <b/>
        <i val="0"/>
        <color theme="9" tint="-0.24994659260841701"/>
      </font>
    </dxf>
  </dxfs>
  <tableStyles count="1" defaultTableStyle="TableStyleMedium2" defaultPivotStyle="PivotStyleLight16">
    <tableStyle name="Invisible" pivot="0" table="0" count="0" xr9:uid="{C1365E84-48AB-43F6-BD11-9799DDF995DC}"/>
  </tableStyles>
  <colors>
    <mruColors>
      <color rgb="FFFFFFCC"/>
      <color rgb="FFE2EEE9"/>
      <color rgb="FFDE98CA"/>
      <color rgb="FFDF81C0"/>
      <color rgb="FFDD75BA"/>
      <color rgb="FFE391C8"/>
      <color rgb="FFDD79BC"/>
      <color rgb="FF31869B"/>
      <color rgb="FFE2EFDA"/>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127A0-1B37-4B62-90AD-90299F52E754}">
  <sheetPr codeName="Sheet14"/>
  <dimension ref="B1:J33"/>
  <sheetViews>
    <sheetView tabSelected="1" workbookViewId="0"/>
  </sheetViews>
  <sheetFormatPr defaultColWidth="9.140625" defaultRowHeight="15"/>
  <cols>
    <col min="1" max="1" width="4.85546875" style="44" customWidth="1"/>
    <col min="2" max="2" width="2.42578125" style="44" customWidth="1"/>
    <col min="3" max="3" width="31.7109375" style="44" bestFit="1" customWidth="1"/>
    <col min="4" max="4" width="71.85546875" style="44" customWidth="1"/>
    <col min="5" max="5" width="2.140625" style="44" customWidth="1"/>
    <col min="6" max="7" width="9.140625" style="44"/>
    <col min="8" max="10" width="8.7109375" style="44" customWidth="1"/>
    <col min="11" max="16384" width="9.140625" style="44"/>
  </cols>
  <sheetData>
    <row r="1" spans="2:10" ht="26.25">
      <c r="B1" s="1898" t="s">
        <v>1248</v>
      </c>
      <c r="C1" s="1899"/>
      <c r="D1" s="1900"/>
      <c r="E1" s="1901"/>
    </row>
    <row r="2" spans="2:10" ht="26.25">
      <c r="B2" s="1902" t="str">
        <f>INDEX(dms_TradingNameFull_List,MATCH(dms_TradingName,dms_TradingName_List))</f>
        <v>Australian Transmission Co.</v>
      </c>
      <c r="C2" s="1903"/>
      <c r="D2" s="1904"/>
      <c r="E2" s="1905"/>
    </row>
    <row r="3" spans="2:10" ht="27" thickBot="1">
      <c r="B3" s="1906" t="str">
        <f>CONCATENATE("REPORTING STATEMENT: "&amp;CRY)</f>
        <v>REPORTING STATEMENT: 2024-25</v>
      </c>
      <c r="C3" s="1907"/>
      <c r="D3" s="1908"/>
      <c r="E3" s="1909"/>
    </row>
    <row r="4" spans="2:10" ht="12" customHeight="1"/>
    <row r="5" spans="2:10" ht="18.75" customHeight="1">
      <c r="B5" s="1943"/>
      <c r="C5" s="1490" t="s">
        <v>2</v>
      </c>
      <c r="D5" s="1942">
        <v>45658</v>
      </c>
      <c r="E5" s="1943"/>
    </row>
    <row r="6" spans="2:10" ht="15" customHeight="1" thickBot="1">
      <c r="B6" s="1941"/>
      <c r="C6" s="1941"/>
      <c r="D6" s="1941"/>
      <c r="E6" s="1941"/>
    </row>
    <row r="7" spans="2:10" s="1007" customFormat="1" ht="18.75" customHeight="1">
      <c r="B7" s="1485"/>
      <c r="D7" s="1911" t="s">
        <v>1</v>
      </c>
      <c r="E7" s="1479"/>
      <c r="F7" s="1416"/>
      <c r="H7" s="44"/>
      <c r="I7" s="44"/>
      <c r="J7" s="44"/>
    </row>
    <row r="8" spans="2:10" ht="18" customHeight="1">
      <c r="B8" s="1484"/>
      <c r="C8" s="1490"/>
      <c r="D8" s="1910" t="s">
        <v>3</v>
      </c>
      <c r="E8" s="1478"/>
    </row>
    <row r="9" spans="2:10" ht="18" customHeight="1">
      <c r="B9" s="1484"/>
      <c r="C9" s="1490"/>
      <c r="D9" s="1912" t="s">
        <v>1529</v>
      </c>
      <c r="E9" s="1478"/>
    </row>
    <row r="10" spans="2:10" s="1007" customFormat="1" ht="18" customHeight="1">
      <c r="B10" s="1486"/>
      <c r="C10" s="1491" t="s">
        <v>595</v>
      </c>
      <c r="D10" s="5" t="s">
        <v>4</v>
      </c>
      <c r="E10" s="1480"/>
      <c r="H10" s="44"/>
      <c r="I10" s="44"/>
      <c r="J10" s="44"/>
    </row>
    <row r="11" spans="2:10" s="1007" customFormat="1" ht="18" customHeight="1">
      <c r="B11" s="1486"/>
      <c r="C11" s="1491"/>
      <c r="D11" s="5" t="s">
        <v>5</v>
      </c>
      <c r="E11" s="1480"/>
      <c r="H11" s="44"/>
      <c r="I11" s="44"/>
      <c r="J11" s="44"/>
    </row>
    <row r="12" spans="2:10" s="1007" customFormat="1" ht="18" customHeight="1">
      <c r="B12" s="1486"/>
      <c r="C12" s="1491"/>
      <c r="D12" s="5" t="s">
        <v>1524</v>
      </c>
      <c r="E12" s="1480"/>
      <c r="H12" s="44"/>
      <c r="I12" s="44"/>
      <c r="J12" s="44"/>
    </row>
    <row r="13" spans="2:10" s="1007" customFormat="1" ht="18" customHeight="1">
      <c r="B13" s="1486"/>
      <c r="C13" s="1491"/>
      <c r="D13" s="5" t="s">
        <v>6</v>
      </c>
      <c r="E13" s="1480"/>
      <c r="H13" s="44"/>
      <c r="I13" s="44"/>
      <c r="J13" s="44"/>
    </row>
    <row r="14" spans="2:10" s="1007" customFormat="1" ht="18" customHeight="1">
      <c r="B14" s="1486"/>
      <c r="C14" s="1491"/>
      <c r="D14" s="5" t="s">
        <v>7</v>
      </c>
      <c r="E14" s="1480"/>
      <c r="H14" s="44"/>
      <c r="I14" s="44"/>
      <c r="J14" s="44"/>
    </row>
    <row r="15" spans="2:10" s="1007" customFormat="1" ht="18" customHeight="1">
      <c r="B15" s="1486"/>
      <c r="C15" s="1491"/>
      <c r="D15" s="5" t="s">
        <v>8</v>
      </c>
      <c r="E15" s="1480"/>
      <c r="H15" s="44"/>
      <c r="I15" s="44"/>
      <c r="J15" s="44"/>
    </row>
    <row r="16" spans="2:10" s="1007" customFormat="1" ht="18" customHeight="1">
      <c r="B16" s="1486"/>
      <c r="C16" s="1491"/>
      <c r="D16" s="5" t="s">
        <v>9</v>
      </c>
      <c r="E16" s="1480"/>
      <c r="H16" s="44"/>
      <c r="I16" s="44"/>
      <c r="J16" s="44"/>
    </row>
    <row r="17" spans="2:10" s="1007" customFormat="1" ht="18" customHeight="1">
      <c r="B17" s="1486"/>
      <c r="C17" s="1491"/>
      <c r="D17" s="5" t="s">
        <v>10</v>
      </c>
      <c r="E17" s="1480"/>
      <c r="H17" s="44"/>
      <c r="I17" s="44"/>
      <c r="J17" s="44"/>
    </row>
    <row r="18" spans="2:10" ht="18" customHeight="1">
      <c r="B18" s="1487"/>
      <c r="C18" s="1491"/>
      <c r="D18" s="5" t="s">
        <v>15</v>
      </c>
      <c r="E18" s="1481"/>
    </row>
    <row r="19" spans="2:10" s="1007" customFormat="1" ht="18" customHeight="1">
      <c r="B19" s="1488"/>
      <c r="C19" s="1493" t="s">
        <v>601</v>
      </c>
      <c r="D19" s="1477" t="s">
        <v>11</v>
      </c>
      <c r="E19" s="1482"/>
      <c r="H19" s="44"/>
      <c r="I19" s="44"/>
      <c r="J19" s="44"/>
    </row>
    <row r="20" spans="2:10" s="1007" customFormat="1" ht="18" customHeight="1">
      <c r="B20" s="1488"/>
      <c r="C20" s="1493"/>
      <c r="D20" s="1477" t="s">
        <v>12</v>
      </c>
      <c r="E20" s="1482"/>
      <c r="H20" s="44"/>
      <c r="I20" s="44"/>
      <c r="J20" s="44"/>
    </row>
    <row r="21" spans="2:10" s="1007" customFormat="1" ht="18" customHeight="1">
      <c r="B21" s="1488"/>
      <c r="C21" s="1476"/>
      <c r="D21" s="1477" t="s">
        <v>13</v>
      </c>
      <c r="E21" s="1482"/>
      <c r="H21" s="44"/>
      <c r="I21" s="44"/>
      <c r="J21" s="44"/>
    </row>
    <row r="22" spans="2:10" s="1007" customFormat="1" ht="18" customHeight="1">
      <c r="B22" s="1488"/>
      <c r="C22" s="1476"/>
      <c r="D22" s="1477" t="s">
        <v>14</v>
      </c>
      <c r="E22" s="1482"/>
      <c r="H22" s="44"/>
      <c r="I22" s="44"/>
      <c r="J22" s="44"/>
    </row>
    <row r="23" spans="2:10" ht="18" customHeight="1">
      <c r="B23" s="1487"/>
      <c r="C23" s="1680" t="s">
        <v>1351</v>
      </c>
      <c r="D23" s="1678" t="s">
        <v>1474</v>
      </c>
      <c r="E23" s="1481"/>
    </row>
    <row r="24" spans="2:10" ht="18" customHeight="1">
      <c r="B24" s="1487"/>
      <c r="C24" s="1492"/>
      <c r="D24" s="1678" t="s">
        <v>1475</v>
      </c>
      <c r="E24" s="1481"/>
    </row>
    <row r="25" spans="2:10" ht="18" customHeight="1">
      <c r="B25" s="1487"/>
      <c r="C25" s="1492"/>
      <c r="D25" s="1678" t="s">
        <v>1476</v>
      </c>
      <c r="E25" s="1481"/>
    </row>
    <row r="26" spans="2:10" ht="18" customHeight="1">
      <c r="B26" s="1487"/>
      <c r="C26" s="1492"/>
      <c r="D26" s="1678" t="s">
        <v>1477</v>
      </c>
      <c r="E26" s="1481"/>
    </row>
    <row r="27" spans="2:10" ht="18" customHeight="1">
      <c r="B27" s="1487"/>
      <c r="C27" s="1492"/>
      <c r="D27" s="1678" t="s">
        <v>1478</v>
      </c>
      <c r="E27" s="1481"/>
    </row>
    <row r="28" spans="2:10" ht="18" customHeight="1">
      <c r="B28" s="1487"/>
      <c r="C28" s="1492"/>
      <c r="D28" s="1678" t="s">
        <v>1479</v>
      </c>
      <c r="E28" s="1481"/>
    </row>
    <row r="29" spans="2:10" s="1007" customFormat="1" ht="18" customHeight="1">
      <c r="B29" s="1488"/>
      <c r="C29" s="1494" t="s">
        <v>1350</v>
      </c>
      <c r="D29" s="655" t="s">
        <v>1352</v>
      </c>
      <c r="E29" s="1482"/>
      <c r="H29" s="44"/>
      <c r="I29" s="44"/>
      <c r="J29" s="44"/>
    </row>
    <row r="30" spans="2:10" s="1007" customFormat="1" ht="18" customHeight="1">
      <c r="B30" s="1488"/>
      <c r="C30" s="1495" t="s">
        <v>1473</v>
      </c>
      <c r="D30" s="1679" t="s">
        <v>1480</v>
      </c>
      <c r="E30" s="1482"/>
      <c r="H30" s="44"/>
      <c r="I30" s="44"/>
      <c r="J30" s="44"/>
    </row>
    <row r="31" spans="2:10" s="1007" customFormat="1" ht="18" customHeight="1">
      <c r="B31" s="1488"/>
      <c r="C31" s="1495"/>
      <c r="D31" s="1679" t="s">
        <v>1482</v>
      </c>
      <c r="E31" s="1482"/>
      <c r="H31" s="44"/>
      <c r="I31" s="44"/>
      <c r="J31" s="44"/>
    </row>
    <row r="32" spans="2:10" s="1007" customFormat="1" ht="18" customHeight="1">
      <c r="B32" s="1488"/>
      <c r="C32" s="1495"/>
      <c r="D32" s="1679" t="s">
        <v>1481</v>
      </c>
      <c r="E32" s="1482"/>
      <c r="H32" s="44"/>
      <c r="I32" s="44"/>
      <c r="J32" s="44"/>
    </row>
    <row r="33" spans="2:10" s="1007" customFormat="1" ht="12.75" customHeight="1" thickBot="1">
      <c r="B33" s="1489"/>
      <c r="C33" s="1496"/>
      <c r="D33" s="1496"/>
      <c r="E33" s="1483"/>
      <c r="H33" s="44"/>
      <c r="I33" s="44"/>
      <c r="J33" s="44"/>
    </row>
  </sheetData>
  <hyperlinks>
    <hyperlink ref="D10" location="'2.1 Expenditure summary'!A1" display="2.1 Expenditure summary" xr:uid="{B477E034-3A58-46C9-BA61-C754AFAD0F45}"/>
    <hyperlink ref="D11" location="'2.2 Repex'!A1" display="2.2 Repex" xr:uid="{914B613A-8917-4E4F-84CF-7D9360D68994}"/>
    <hyperlink ref="D12" location="'2.3 Augex'!A1" display="2.3 Augex" xr:uid="{FFBC9E34-5C5B-47FB-97EC-6705931BC0A8}"/>
    <hyperlink ref="D13" location="'2.5 Connections'!A1" display="2.5 Connections" xr:uid="{CD76CB5E-0AAA-46E5-83AF-83B259C9E047}"/>
    <hyperlink ref="D14" location="'2.6 Non-network'!A1" display="2.6 Non-network" xr:uid="{1EAE0A85-407E-45D8-B906-FAFE2E38A8FF}"/>
    <hyperlink ref="D15" location="'2.7 Vegetation management'!A1" display="2.7 Vegetation management" xr:uid="{72B03C1F-9A77-46F3-8BE3-C4C76EA67D7C}"/>
    <hyperlink ref="D16" location="'2.8 Maintenance'!A1" display="2.8 Maintenance" xr:uid="{37465A6D-15E7-4D44-945A-0F4E4CFF0BF8}"/>
    <hyperlink ref="D17" location="'2.10 Overheads'!A1" display="2.10 Overheads" xr:uid="{B7DD7FAC-BC91-46FB-A882-34DCA1B73E0D}"/>
    <hyperlink ref="D19" location="'3.1 Revenue'!A1" display="3.1 Revenue" xr:uid="{673E581E-FC97-464A-BF45-58B3DE045164}"/>
    <hyperlink ref="D20" location="'3.2.3 Provisions'!A1" display="'3.2.3 Provisions'!A1" xr:uid="{A4609892-84A9-48CF-9609-C64148B63852}"/>
    <hyperlink ref="D21" location="'3.5 Physical assets'!A1" display="'3.5 Physical assets'!A1" xr:uid="{11F01147-0C39-4925-95D4-73D08C832F3F}"/>
    <hyperlink ref="D22" location="'3.6 Quality of services'!A1" display="'3.6 Quality of services'!A1" xr:uid="{6DAFB7AA-0DA9-4A1B-9CC4-4F78404710B5}"/>
    <hyperlink ref="D29" location="'7.9 MIC'!A1" display="3.7 Operating environment" xr:uid="{2709B234-7296-437C-85CE-EB8077862704}"/>
    <hyperlink ref="D18" location="'5.2 Asset Age Profile'!A1" display="5.2 Asset Age Profile" xr:uid="{8196170F-840C-462A-A5E6-E94A16024128}"/>
    <hyperlink ref="D23" location="'2.4 Hist Capex by Asset Class'!A1" display="2.4 Hist Capex by Asset Class" xr:uid="{F4831357-DA2F-4A4B-BCDB-8D39A945D2EB}"/>
    <hyperlink ref="D24" location="'8.5 DISAGG Opex'!A1" display="8.5 DISAGG Opex" xr:uid="{C5EF92D1-7879-4DC8-AEA7-1015410E5193}"/>
    <hyperlink ref="D25" location="'9.1 DISAGG Inc'!A1" display="9.1 DISAGG Inc" xr:uid="{D802581E-A186-4698-A088-9EA764CBECC4}"/>
    <hyperlink ref="D26" location="' 9.2 RFS Inc'!A1" display="9.2 RFS Inc" xr:uid="{50789B26-BAC2-4BC1-AA67-D9185018982F}"/>
    <hyperlink ref="D27" location="'7.6 PTS Price Redn'!A1" display="7.6 PTS Price Redn" xr:uid="{4DFED3B4-E6F4-45E8-BCAD-73CDEC329312}"/>
    <hyperlink ref="D28" location="'7.7 Inf Rel Part Trans'!A1" display="7.7 INF Rel Part Trans" xr:uid="{C5A825F6-74FD-40C6-8212-AB0BD6C777E8}"/>
    <hyperlink ref="D30" location="'7.5 Large projects'!A1" display="7.5 Large projects" xr:uid="{64A21FD4-521E-4296-94B8-23E663FEF6E4}"/>
    <hyperlink ref="D32" location="'8.8 Revenue Requirements'!A1" display="8.8 Revenue Requirements" xr:uid="{9FF16707-97C9-4B95-845B-A9FDBF6E8DFE}"/>
    <hyperlink ref="D31" location="'8.6 Ind Asset Base Roll Fwd'!A1" display="8.6 Indicative Asset Base Roll Forward" xr:uid="{508DEB24-3DC2-4014-8E47-2C2101311111}"/>
    <hyperlink ref="D8" location="'Business &amp; other details'!A1" display="Business &amp; other details" xr:uid="{0BF24AB5-B90D-461B-93E1-BAC13AB06202}"/>
    <hyperlink ref="D9" location="'Assurance requirements by table'!A1" display="Assurance requirements by table" xr:uid="{9CE5878F-9597-4440-A209-606C911222E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5B032-2435-48FB-AD4D-DC5B63D69E86}">
  <sheetPr codeName="Sheet21"/>
  <dimension ref="A1:CE59"/>
  <sheetViews>
    <sheetView workbookViewId="0"/>
  </sheetViews>
  <sheetFormatPr defaultColWidth="9.140625" defaultRowHeight="15"/>
  <cols>
    <col min="1" max="1" width="10.140625" style="52" customWidth="1"/>
    <col min="2" max="3" width="2.7109375" style="52" customWidth="1"/>
    <col min="4" max="4" width="5.42578125" style="52" customWidth="1"/>
    <col min="5" max="80" width="2.7109375" style="52" customWidth="1"/>
    <col min="81" max="16384" width="9.140625" style="52"/>
  </cols>
  <sheetData>
    <row r="1" spans="1:80" ht="30.75" customHeight="1">
      <c r="A1" s="1815"/>
      <c r="B1" s="1815"/>
      <c r="C1" s="1815"/>
      <c r="D1" s="6"/>
      <c r="E1" s="6"/>
      <c r="F1" s="7" t="s">
        <v>1248</v>
      </c>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row>
    <row r="2" spans="1:80" ht="30.75" customHeight="1">
      <c r="A2" s="1815"/>
      <c r="B2" s="1815"/>
      <c r="C2" s="1815"/>
      <c r="D2" s="6"/>
      <c r="E2" s="6"/>
      <c r="F2" s="9" t="str">
        <f>INDEX(dms_TradingNameFull_List,MATCH(dms_TradingName,dms_TradingName_List))</f>
        <v>Australian Transmission Co.</v>
      </c>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row>
    <row r="3" spans="1:80" ht="30.75" customHeight="1">
      <c r="A3" s="1815"/>
      <c r="B3" s="1815"/>
      <c r="C3" s="1815"/>
      <c r="D3" s="6"/>
      <c r="E3" s="6"/>
      <c r="F3" s="10" t="str">
        <f>CONCATENATE("REPORTING STATEMENT: "&amp;CRY)</f>
        <v>REPORTING STATEMENT: 2024-25</v>
      </c>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row>
    <row r="4" spans="1:80" ht="31.5" customHeight="1">
      <c r="A4" s="12"/>
      <c r="B4" s="12"/>
      <c r="C4" s="12"/>
      <c r="D4" s="11"/>
      <c r="E4" s="11"/>
      <c r="F4" s="1969" t="s">
        <v>16</v>
      </c>
      <c r="G4" s="1969"/>
      <c r="H4" s="1969"/>
      <c r="I4" s="1969"/>
      <c r="J4" s="1969"/>
      <c r="K4" s="1969"/>
      <c r="L4" s="1969"/>
      <c r="M4" s="1969"/>
      <c r="N4" s="1969"/>
      <c r="O4" s="1969"/>
      <c r="P4" s="1969"/>
      <c r="Q4" s="1969"/>
      <c r="R4" s="1969"/>
      <c r="S4" s="1969"/>
      <c r="T4" s="1969"/>
      <c r="U4" s="1969"/>
      <c r="V4" s="1969"/>
      <c r="W4" s="1969"/>
      <c r="X4" s="1969"/>
      <c r="Y4" s="1969"/>
      <c r="Z4" s="1969"/>
      <c r="AA4" s="1969"/>
      <c r="AB4" s="1969"/>
      <c r="AC4" s="1969"/>
      <c r="AD4" s="1969"/>
      <c r="AE4" s="1969"/>
      <c r="AF4" s="1969"/>
      <c r="AG4" s="1969"/>
      <c r="AH4" s="1969"/>
      <c r="AI4" s="1969"/>
      <c r="AJ4" s="1969"/>
      <c r="AK4" s="1969"/>
      <c r="AL4" s="1969"/>
      <c r="AM4" s="1969"/>
      <c r="AN4" s="1969"/>
      <c r="AO4" s="1969"/>
      <c r="AP4" s="1969"/>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row>
    <row r="6" spans="1:80" ht="20.25">
      <c r="A6" s="12"/>
      <c r="B6" s="12"/>
      <c r="C6" s="12"/>
      <c r="D6" s="13"/>
      <c r="E6" s="13"/>
      <c r="F6" s="14" t="s">
        <v>0</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row>
    <row r="7" spans="1:80" ht="50.25" customHeight="1">
      <c r="A7" s="12"/>
      <c r="B7" s="12"/>
      <c r="C7" s="12"/>
      <c r="D7" s="13"/>
      <c r="E7" s="13"/>
      <c r="F7" s="1970" t="s">
        <v>17</v>
      </c>
      <c r="G7" s="1970"/>
      <c r="H7" s="1970"/>
      <c r="I7" s="1970"/>
      <c r="J7" s="1970"/>
      <c r="K7" s="1970"/>
      <c r="L7" s="1970"/>
      <c r="M7" s="1970"/>
      <c r="N7" s="1970"/>
      <c r="O7" s="1970"/>
      <c r="P7" s="1970"/>
      <c r="Q7" s="1970"/>
      <c r="R7" s="1970"/>
      <c r="S7" s="1970"/>
      <c r="T7" s="1970"/>
      <c r="U7" s="1970"/>
      <c r="V7" s="1970"/>
      <c r="W7" s="1970"/>
      <c r="X7" s="1970"/>
      <c r="Y7" s="1970"/>
      <c r="Z7" s="1970"/>
      <c r="AA7" s="1970"/>
      <c r="AB7" s="1970"/>
      <c r="AC7" s="1970"/>
      <c r="AD7" s="1970"/>
      <c r="AE7" s="1970"/>
      <c r="AF7" s="1970"/>
      <c r="AG7" s="1970"/>
      <c r="AH7" s="1970"/>
      <c r="AI7" s="1970"/>
      <c r="AJ7" s="1970"/>
      <c r="AK7" s="1970"/>
      <c r="AL7" s="1970"/>
      <c r="AM7" s="1970"/>
      <c r="AN7" s="1970"/>
      <c r="AO7" s="1970"/>
      <c r="AP7" s="1970"/>
      <c r="AQ7" s="1970"/>
      <c r="AR7" s="1970"/>
      <c r="AS7" s="1970"/>
      <c r="AT7" s="1970"/>
      <c r="AU7" s="1970"/>
      <c r="AV7" s="1970"/>
      <c r="AW7" s="1970"/>
      <c r="AX7" s="1970"/>
      <c r="AY7" s="1970"/>
      <c r="AZ7" s="1970"/>
      <c r="BA7" s="1970"/>
      <c r="BB7" s="1970"/>
      <c r="BC7" s="1970"/>
      <c r="BD7" s="1970"/>
      <c r="BE7" s="1970"/>
      <c r="BF7" s="1970"/>
      <c r="BG7" s="1970"/>
      <c r="BH7" s="1970"/>
      <c r="BI7" s="13"/>
      <c r="BJ7" s="13"/>
      <c r="BK7" s="13"/>
      <c r="BL7" s="13"/>
      <c r="BM7" s="13"/>
      <c r="BN7" s="13"/>
      <c r="BO7" s="13"/>
      <c r="BP7" s="13"/>
      <c r="BQ7" s="13"/>
      <c r="BR7" s="13"/>
      <c r="BS7" s="13"/>
      <c r="BT7" s="13"/>
      <c r="BU7" s="13"/>
      <c r="BV7" s="13"/>
      <c r="BW7" s="13"/>
      <c r="BX7" s="13"/>
      <c r="BY7" s="13"/>
      <c r="BZ7" s="13"/>
    </row>
    <row r="8" spans="1:80" ht="20.25">
      <c r="A8" s="12"/>
      <c r="B8" s="12"/>
      <c r="C8" s="12"/>
      <c r="D8" s="12"/>
      <c r="E8" s="12"/>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2"/>
      <c r="BJ8" s="12"/>
      <c r="BK8" s="12"/>
      <c r="BL8" s="12"/>
      <c r="BM8" s="12"/>
      <c r="BN8" s="12"/>
      <c r="BO8" s="12"/>
      <c r="BP8" s="12"/>
      <c r="BQ8" s="12"/>
      <c r="BR8" s="12"/>
      <c r="BS8" s="12"/>
      <c r="BT8" s="12"/>
      <c r="BU8" s="12"/>
      <c r="BV8" s="12"/>
      <c r="BW8" s="12"/>
      <c r="BX8" s="12"/>
      <c r="BY8" s="12"/>
      <c r="BZ8" s="12"/>
    </row>
    <row r="9" spans="1:80" s="1149" customFormat="1" ht="45" customHeight="1">
      <c r="B9" s="12"/>
      <c r="C9" s="12"/>
      <c r="D9" s="1524" t="s">
        <v>18</v>
      </c>
      <c r="E9" s="1524"/>
      <c r="F9" s="1524"/>
      <c r="G9" s="1524"/>
      <c r="H9" s="1524"/>
      <c r="I9" s="1524"/>
      <c r="J9" s="1524"/>
      <c r="K9" s="1524"/>
      <c r="L9" s="1524"/>
      <c r="M9" s="1524"/>
      <c r="N9" s="1524"/>
      <c r="O9" s="1524"/>
      <c r="P9" s="1524"/>
      <c r="Q9" s="1524"/>
      <c r="R9" s="1524"/>
      <c r="S9" s="1524"/>
      <c r="T9" s="1524"/>
      <c r="U9" s="1524"/>
      <c r="V9" s="1524"/>
      <c r="W9" s="1524"/>
      <c r="X9" s="1524"/>
      <c r="Y9" s="1524"/>
      <c r="Z9" s="1524"/>
      <c r="AA9" s="1524"/>
      <c r="AB9" s="1524"/>
      <c r="AC9" s="1524"/>
      <c r="AD9" s="1524"/>
      <c r="AE9" s="1524"/>
      <c r="AF9" s="1524"/>
      <c r="AG9" s="1524"/>
      <c r="AH9" s="1524"/>
      <c r="AI9" s="1524"/>
      <c r="AJ9" s="1524"/>
      <c r="AK9" s="1524"/>
      <c r="AL9" s="1524"/>
      <c r="AM9" s="1524"/>
      <c r="AN9" s="1524"/>
      <c r="AO9" s="1524"/>
      <c r="AP9" s="1524"/>
      <c r="AQ9" s="1524"/>
      <c r="AR9" s="1524"/>
      <c r="AS9" s="1524"/>
      <c r="AT9" s="1524"/>
      <c r="AU9" s="1524"/>
      <c r="AV9" s="1524"/>
      <c r="AW9" s="1524"/>
      <c r="AX9" s="1524"/>
      <c r="AY9" s="1524"/>
      <c r="AZ9" s="1524"/>
      <c r="BA9" s="1524"/>
      <c r="BB9" s="1524"/>
      <c r="BC9" s="1524"/>
      <c r="BD9" s="1524"/>
      <c r="BE9" s="1524"/>
      <c r="BF9" s="1524"/>
      <c r="BG9" s="1524"/>
      <c r="BH9" s="1524"/>
      <c r="BI9" s="1524"/>
      <c r="BJ9" s="1524"/>
      <c r="BK9" s="1524"/>
      <c r="BL9" s="1524"/>
      <c r="BM9" s="1524"/>
      <c r="BN9" s="1524"/>
      <c r="BO9" s="1524"/>
      <c r="BP9" s="1524"/>
      <c r="BQ9" s="1524"/>
      <c r="BR9" s="1524"/>
      <c r="BS9" s="1524"/>
      <c r="BT9" s="1524"/>
      <c r="BU9" s="1524"/>
      <c r="BV9" s="1524"/>
      <c r="BW9" s="1524"/>
      <c r="BX9" s="1524"/>
      <c r="BY9" s="1524"/>
      <c r="BZ9" s="1524"/>
      <c r="CA9" s="52"/>
      <c r="CB9" s="52"/>
    </row>
    <row r="10" spans="1:80">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row>
    <row r="11" spans="1:80" ht="12" customHeight="1">
      <c r="A11" s="1816"/>
      <c r="B11" s="1816"/>
      <c r="C11" s="18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row>
    <row r="12" spans="1:80" ht="30">
      <c r="A12" s="1817"/>
      <c r="B12" s="1817"/>
      <c r="C12" s="1817"/>
      <c r="D12" s="17"/>
      <c r="E12" s="17"/>
      <c r="F12" s="18" t="s">
        <v>19</v>
      </c>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9"/>
      <c r="BU12" s="19"/>
      <c r="BV12" s="19"/>
      <c r="BW12" s="17"/>
      <c r="BX12" s="17"/>
      <c r="BY12" s="17"/>
      <c r="BZ12" s="17"/>
    </row>
    <row r="13" spans="1:8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row>
    <row r="14" spans="1:80" ht="18">
      <c r="A14" s="21"/>
      <c r="B14" s="21"/>
      <c r="C14" s="21"/>
      <c r="D14" s="22"/>
      <c r="E14" s="22"/>
      <c r="F14" s="23" t="s">
        <v>20</v>
      </c>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row>
    <row r="15" spans="1:80">
      <c r="A15" s="21"/>
      <c r="B15" s="21"/>
      <c r="C15" s="21"/>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row>
    <row r="16" spans="1:80" s="49" customFormat="1" ht="27.75" customHeight="1">
      <c r="A16" s="24"/>
      <c r="B16" s="24"/>
      <c r="C16" s="24"/>
      <c r="D16" s="25"/>
      <c r="E16" s="25"/>
      <c r="F16" s="1971" t="s">
        <v>21</v>
      </c>
      <c r="G16" s="1971"/>
      <c r="H16" s="1971"/>
      <c r="I16" s="1971"/>
      <c r="J16" s="1971"/>
      <c r="K16" s="1971"/>
      <c r="L16" s="1971"/>
      <c r="M16" s="1971"/>
      <c r="N16" s="1971"/>
      <c r="O16" s="1971"/>
      <c r="P16" s="1971"/>
      <c r="Q16" s="1971"/>
      <c r="R16" s="1971"/>
      <c r="S16" s="1971"/>
      <c r="T16" s="1971"/>
      <c r="U16" s="25"/>
      <c r="V16" s="1972" t="s">
        <v>22</v>
      </c>
      <c r="W16" s="1972"/>
      <c r="X16" s="1972"/>
      <c r="Y16" s="1972"/>
      <c r="Z16" s="1972"/>
      <c r="AA16" s="1972"/>
      <c r="AB16" s="1972"/>
      <c r="AC16" s="1972"/>
      <c r="AD16" s="1972"/>
      <c r="AE16" s="1972"/>
      <c r="AF16" s="1972"/>
      <c r="AG16" s="1972"/>
      <c r="AH16" s="1972"/>
      <c r="AI16" s="1972"/>
      <c r="AJ16" s="1972"/>
      <c r="AK16" s="1972"/>
      <c r="AL16" s="1972"/>
      <c r="AM16" s="1972"/>
      <c r="AN16" s="1972"/>
      <c r="AO16" s="1972"/>
      <c r="AP16" s="1972"/>
      <c r="AQ16" s="1972"/>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52"/>
      <c r="CB16" s="52"/>
    </row>
    <row r="17" spans="1:83" s="1150" customFormat="1" ht="25.5" customHeight="1">
      <c r="A17" s="1818"/>
      <c r="B17" s="1818"/>
      <c r="C17" s="1818"/>
      <c r="D17" s="26"/>
      <c r="E17" s="26"/>
      <c r="F17" s="1966" t="s">
        <v>23</v>
      </c>
      <c r="G17" s="1967"/>
      <c r="H17" s="1967"/>
      <c r="I17" s="1967"/>
      <c r="J17" s="1967"/>
      <c r="K17" s="1967"/>
      <c r="L17" s="1967"/>
      <c r="M17" s="1967"/>
      <c r="N17" s="1967"/>
      <c r="O17" s="1967"/>
      <c r="P17" s="1967"/>
      <c r="Q17" s="1967"/>
      <c r="R17" s="1967"/>
      <c r="S17" s="1967"/>
      <c r="T17" s="1967"/>
      <c r="U17" s="26"/>
      <c r="V17" s="1968">
        <f>INDEX(dms_ABN_List,MATCH(dms_TradingName,dms_TradingName_List))</f>
        <v>11222333444</v>
      </c>
      <c r="W17" s="1968"/>
      <c r="X17" s="1968"/>
      <c r="Y17" s="1968"/>
      <c r="Z17" s="1968"/>
      <c r="AA17" s="1968"/>
      <c r="AB17" s="1968"/>
      <c r="AC17" s="1968"/>
      <c r="AD17" s="1968"/>
      <c r="AE17" s="1968"/>
      <c r="AF17" s="1968"/>
      <c r="AG17" s="1968"/>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52"/>
      <c r="CB17" s="52"/>
    </row>
    <row r="18" spans="1:83">
      <c r="A18" s="21"/>
      <c r="B18" s="21"/>
      <c r="C18" s="21"/>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row>
    <row r="19" spans="1:83">
      <c r="A19" s="21"/>
      <c r="B19" s="21"/>
      <c r="C19" s="21"/>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row>
    <row r="20" spans="1:83">
      <c r="A20" s="21"/>
      <c r="B20" s="21"/>
      <c r="C20" s="21"/>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row>
    <row r="21" spans="1:83" ht="15" customHeight="1">
      <c r="A21" s="21"/>
      <c r="B21" s="21"/>
      <c r="C21" s="21"/>
      <c r="D21" s="22"/>
      <c r="E21" s="27"/>
      <c r="F21" s="23" t="s">
        <v>24</v>
      </c>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2"/>
      <c r="AS21" s="27"/>
      <c r="AT21" s="28"/>
      <c r="AU21" s="28"/>
      <c r="AV21" s="28"/>
      <c r="AW21" s="28"/>
      <c r="AX21" s="28"/>
      <c r="AY21" s="28"/>
      <c r="AZ21" s="28"/>
      <c r="BA21" s="29" t="s">
        <v>25</v>
      </c>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83">
      <c r="A22" s="21"/>
      <c r="B22" s="21"/>
      <c r="C22" s="21"/>
      <c r="D22" s="22"/>
      <c r="E22" s="22"/>
      <c r="F22" s="22"/>
      <c r="G22" s="22"/>
      <c r="H22" s="22"/>
      <c r="I22" s="22"/>
      <c r="J22" s="22"/>
      <c r="K22" s="22"/>
      <c r="L22" s="22"/>
      <c r="M22" s="22"/>
      <c r="N22" s="22"/>
      <c r="O22" s="22"/>
      <c r="P22" s="22"/>
      <c r="Q22" s="22"/>
      <c r="R22" s="22"/>
      <c r="S22" s="22"/>
      <c r="T22" s="22"/>
      <c r="U22" s="27"/>
      <c r="V22" s="27"/>
      <c r="W22" s="28"/>
      <c r="X22" s="28"/>
      <c r="Y22" s="28"/>
      <c r="Z22" s="28"/>
      <c r="AA22" s="28"/>
      <c r="AB22" s="28"/>
      <c r="AC22" s="28"/>
      <c r="AD22" s="28"/>
      <c r="AE22" s="28"/>
      <c r="AF22" s="28"/>
      <c r="AG22" s="28"/>
      <c r="AH22" s="28"/>
      <c r="AI22" s="28"/>
      <c r="AJ22" s="28"/>
      <c r="AK22" s="28"/>
      <c r="AL22" s="28"/>
      <c r="AM22" s="28"/>
      <c r="AN22" s="28"/>
      <c r="AO22" s="28"/>
      <c r="AP22" s="28"/>
      <c r="AQ22" s="28"/>
      <c r="AR22" s="22"/>
      <c r="AS22" s="22"/>
      <c r="AT22" s="22"/>
      <c r="AU22" s="22"/>
      <c r="AV22" s="22"/>
      <c r="AW22" s="22"/>
      <c r="AX22" s="22"/>
      <c r="AY22" s="22"/>
      <c r="AZ22" s="22"/>
      <c r="BA22" s="27"/>
      <c r="BB22" s="28"/>
      <c r="BC22" s="28"/>
      <c r="BD22" s="28"/>
      <c r="BE22" s="28"/>
      <c r="BF22" s="28"/>
      <c r="BG22" s="28"/>
      <c r="BH22" s="28"/>
      <c r="BI22" s="28"/>
      <c r="BJ22" s="28"/>
      <c r="BK22" s="28"/>
      <c r="BL22" s="28"/>
      <c r="BM22" s="28"/>
      <c r="BN22" s="28"/>
      <c r="BO22" s="28"/>
      <c r="BP22" s="28"/>
      <c r="BQ22" s="28"/>
      <c r="BR22" s="28"/>
      <c r="BS22" s="28"/>
      <c r="BT22" s="28"/>
      <c r="BU22" s="28"/>
      <c r="BV22" s="28"/>
      <c r="BW22" s="22"/>
      <c r="BX22" s="22"/>
      <c r="BY22" s="22"/>
      <c r="BZ22" s="22"/>
    </row>
    <row r="23" spans="1:83" ht="15.75">
      <c r="A23" s="21"/>
      <c r="B23" s="21"/>
      <c r="C23" s="21"/>
      <c r="D23" s="22"/>
      <c r="E23" s="22"/>
      <c r="F23" s="1955" t="s">
        <v>26</v>
      </c>
      <c r="G23" s="1955"/>
      <c r="H23" s="1955"/>
      <c r="I23" s="1955"/>
      <c r="J23" s="1955"/>
      <c r="K23" s="1955"/>
      <c r="L23" s="1955"/>
      <c r="M23" s="1955"/>
      <c r="N23" s="1955"/>
      <c r="O23" s="1955"/>
      <c r="P23" s="1955"/>
      <c r="Q23" s="1955"/>
      <c r="R23" s="1955"/>
      <c r="S23" s="1955"/>
      <c r="T23" s="1955"/>
      <c r="U23" s="22"/>
      <c r="V23" s="1962"/>
      <c r="W23" s="1963"/>
      <c r="X23" s="1963"/>
      <c r="Y23" s="1963"/>
      <c r="Z23" s="1963"/>
      <c r="AA23" s="1963"/>
      <c r="AB23" s="1963"/>
      <c r="AC23" s="1963"/>
      <c r="AD23" s="1963"/>
      <c r="AE23" s="1963"/>
      <c r="AF23" s="1963"/>
      <c r="AG23" s="1963"/>
      <c r="AH23" s="1963"/>
      <c r="AI23" s="1963"/>
      <c r="AJ23" s="1963"/>
      <c r="AK23" s="1963"/>
      <c r="AL23" s="1963"/>
      <c r="AM23" s="1963"/>
      <c r="AN23" s="1963"/>
      <c r="AO23" s="1963"/>
      <c r="AP23" s="1963"/>
      <c r="AQ23" s="1964"/>
      <c r="AR23" s="22"/>
      <c r="AS23" s="1955" t="s">
        <v>26</v>
      </c>
      <c r="AT23" s="1955"/>
      <c r="AU23" s="1955"/>
      <c r="AV23" s="1955"/>
      <c r="AW23" s="1955"/>
      <c r="AX23" s="1955"/>
      <c r="AY23" s="1955"/>
      <c r="AZ23" s="30"/>
      <c r="BA23" s="1962"/>
      <c r="BB23" s="1963"/>
      <c r="BC23" s="1963"/>
      <c r="BD23" s="1963"/>
      <c r="BE23" s="1963"/>
      <c r="BF23" s="1963"/>
      <c r="BG23" s="1963"/>
      <c r="BH23" s="1963"/>
      <c r="BI23" s="1963"/>
      <c r="BJ23" s="1963"/>
      <c r="BK23" s="1963"/>
      <c r="BL23" s="1963"/>
      <c r="BM23" s="1963"/>
      <c r="BN23" s="1963"/>
      <c r="BO23" s="1963"/>
      <c r="BP23" s="1963"/>
      <c r="BQ23" s="1963"/>
      <c r="BR23" s="1963"/>
      <c r="BS23" s="1963"/>
      <c r="BT23" s="1963"/>
      <c r="BU23" s="1963"/>
      <c r="BV23" s="1964"/>
      <c r="BW23" s="22"/>
      <c r="BX23" s="22"/>
      <c r="BY23" s="22"/>
      <c r="BZ23" s="22"/>
    </row>
    <row r="24" spans="1:83" ht="15.75">
      <c r="A24" s="21"/>
      <c r="B24" s="21"/>
      <c r="C24" s="21"/>
      <c r="D24" s="22"/>
      <c r="E24" s="22"/>
      <c r="F24" s="1955" t="s">
        <v>27</v>
      </c>
      <c r="G24" s="1955"/>
      <c r="H24" s="1955"/>
      <c r="I24" s="1955"/>
      <c r="J24" s="1955"/>
      <c r="K24" s="1955"/>
      <c r="L24" s="1955"/>
      <c r="M24" s="1955"/>
      <c r="N24" s="1955"/>
      <c r="O24" s="1955"/>
      <c r="P24" s="1955"/>
      <c r="Q24" s="1955"/>
      <c r="R24" s="1955"/>
      <c r="S24" s="1955"/>
      <c r="T24" s="1955"/>
      <c r="U24" s="22"/>
      <c r="V24" s="1962"/>
      <c r="W24" s="1963"/>
      <c r="X24" s="1963"/>
      <c r="Y24" s="1963"/>
      <c r="Z24" s="1963"/>
      <c r="AA24" s="1963"/>
      <c r="AB24" s="1963"/>
      <c r="AC24" s="1963"/>
      <c r="AD24" s="1963"/>
      <c r="AE24" s="1963"/>
      <c r="AF24" s="1963"/>
      <c r="AG24" s="1963"/>
      <c r="AH24" s="1963"/>
      <c r="AI24" s="1963"/>
      <c r="AJ24" s="1963"/>
      <c r="AK24" s="1963"/>
      <c r="AL24" s="1963"/>
      <c r="AM24" s="1963"/>
      <c r="AN24" s="1963"/>
      <c r="AO24" s="1963"/>
      <c r="AP24" s="1963"/>
      <c r="AQ24" s="1964"/>
      <c r="AR24" s="22"/>
      <c r="AS24" s="1955" t="s">
        <v>27</v>
      </c>
      <c r="AT24" s="1955"/>
      <c r="AU24" s="1955"/>
      <c r="AV24" s="1955"/>
      <c r="AW24" s="1955"/>
      <c r="AX24" s="1955"/>
      <c r="AY24" s="1955"/>
      <c r="AZ24" s="30"/>
      <c r="BA24" s="1962"/>
      <c r="BB24" s="1963"/>
      <c r="BC24" s="1963"/>
      <c r="BD24" s="1963"/>
      <c r="BE24" s="1963"/>
      <c r="BF24" s="1963"/>
      <c r="BG24" s="1963"/>
      <c r="BH24" s="1963"/>
      <c r="BI24" s="1963"/>
      <c r="BJ24" s="1963"/>
      <c r="BK24" s="1963"/>
      <c r="BL24" s="1963"/>
      <c r="BM24" s="1963"/>
      <c r="BN24" s="1963"/>
      <c r="BO24" s="1963"/>
      <c r="BP24" s="1963"/>
      <c r="BQ24" s="1963"/>
      <c r="BR24" s="1963"/>
      <c r="BS24" s="1963"/>
      <c r="BT24" s="1963"/>
      <c r="BU24" s="1963"/>
      <c r="BV24" s="1964"/>
      <c r="BW24" s="22"/>
      <c r="BX24" s="22"/>
      <c r="BY24" s="22"/>
      <c r="BZ24" s="22"/>
    </row>
    <row r="25" spans="1:83" ht="15.75">
      <c r="A25" s="21"/>
      <c r="B25" s="21"/>
      <c r="C25" s="21"/>
      <c r="D25" s="22"/>
      <c r="E25" s="22"/>
      <c r="F25" s="1955" t="s">
        <v>28</v>
      </c>
      <c r="G25" s="1955"/>
      <c r="H25" s="1955"/>
      <c r="I25" s="1955"/>
      <c r="J25" s="1955"/>
      <c r="K25" s="1955"/>
      <c r="L25" s="1955"/>
      <c r="M25" s="1955"/>
      <c r="N25" s="1955"/>
      <c r="O25" s="1955"/>
      <c r="P25" s="1955"/>
      <c r="Q25" s="1955"/>
      <c r="R25" s="1955"/>
      <c r="S25" s="1955"/>
      <c r="T25" s="1955"/>
      <c r="U25" s="22"/>
      <c r="V25" s="1965"/>
      <c r="W25" s="1965"/>
      <c r="X25" s="1965"/>
      <c r="Y25" s="1965"/>
      <c r="Z25" s="1965"/>
      <c r="AA25" s="1965"/>
      <c r="AB25" s="1965"/>
      <c r="AC25" s="1965"/>
      <c r="AD25" s="1965"/>
      <c r="AE25" s="1965"/>
      <c r="AF25" s="1965"/>
      <c r="AG25" s="1965"/>
      <c r="AH25" s="1965"/>
      <c r="AI25" s="1965"/>
      <c r="AJ25" s="1965"/>
      <c r="AK25" s="31"/>
      <c r="AL25" s="31"/>
      <c r="AM25" s="31"/>
      <c r="AN25" s="31"/>
      <c r="AO25" s="31"/>
      <c r="AP25" s="31"/>
      <c r="AQ25" s="31"/>
      <c r="AR25" s="22"/>
      <c r="AS25" s="1955" t="s">
        <v>28</v>
      </c>
      <c r="AT25" s="1955"/>
      <c r="AU25" s="1955"/>
      <c r="AV25" s="1955"/>
      <c r="AW25" s="1955"/>
      <c r="AX25" s="1955"/>
      <c r="AY25" s="1955"/>
      <c r="AZ25" s="30"/>
      <c r="BA25" s="1965"/>
      <c r="BB25" s="1965"/>
      <c r="BC25" s="1965"/>
      <c r="BD25" s="1965"/>
      <c r="BE25" s="1965"/>
      <c r="BF25" s="1965"/>
      <c r="BG25" s="1965"/>
      <c r="BH25" s="1965"/>
      <c r="BI25" s="1965"/>
      <c r="BJ25" s="1965"/>
      <c r="BK25" s="1965"/>
      <c r="BL25" s="1965"/>
      <c r="BM25" s="1965"/>
      <c r="BN25" s="1965"/>
      <c r="BO25" s="1965"/>
      <c r="BP25" s="31"/>
      <c r="BQ25" s="31"/>
      <c r="BR25" s="31"/>
      <c r="BS25" s="31"/>
      <c r="BT25" s="31"/>
      <c r="BU25" s="31"/>
      <c r="BV25" s="31"/>
      <c r="BW25" s="22"/>
      <c r="BX25" s="22"/>
      <c r="BY25" s="22"/>
      <c r="BZ25" s="22"/>
    </row>
    <row r="26" spans="1:83">
      <c r="A26" s="21"/>
      <c r="B26" s="21"/>
      <c r="C26" s="21"/>
      <c r="D26" s="22"/>
      <c r="E26" s="22"/>
      <c r="F26" s="1955" t="s">
        <v>29</v>
      </c>
      <c r="G26" s="1955"/>
      <c r="H26" s="1955"/>
      <c r="I26" s="1955"/>
      <c r="J26" s="1955"/>
      <c r="K26" s="1955"/>
      <c r="L26" s="1955"/>
      <c r="M26" s="1955"/>
      <c r="N26" s="1955"/>
      <c r="O26" s="1955"/>
      <c r="P26" s="1955"/>
      <c r="Q26" s="1955"/>
      <c r="R26" s="1955"/>
      <c r="S26" s="1955"/>
      <c r="T26" s="1955"/>
      <c r="U26" s="22"/>
      <c r="V26" s="1960"/>
      <c r="W26" s="1960"/>
      <c r="X26" s="1960"/>
      <c r="Y26" s="1960"/>
      <c r="Z26" s="22"/>
      <c r="AA26" s="32"/>
      <c r="AB26" s="22"/>
      <c r="AC26" s="22"/>
      <c r="AD26" s="22"/>
      <c r="AE26" s="22"/>
      <c r="AF26" s="32" t="s">
        <v>30</v>
      </c>
      <c r="AG26" s="32"/>
      <c r="AH26" s="1961"/>
      <c r="AI26" s="1961"/>
      <c r="AJ26" s="1961"/>
      <c r="AK26" s="22"/>
      <c r="AL26" s="22"/>
      <c r="AM26" s="22"/>
      <c r="AN26" s="22"/>
      <c r="AO26" s="22"/>
      <c r="AP26" s="22"/>
      <c r="AQ26" s="22"/>
      <c r="AR26" s="22"/>
      <c r="AS26" s="1955" t="s">
        <v>29</v>
      </c>
      <c r="AT26" s="1955"/>
      <c r="AU26" s="1955"/>
      <c r="AV26" s="1955"/>
      <c r="AW26" s="1955"/>
      <c r="AX26" s="1955"/>
      <c r="AY26" s="1955"/>
      <c r="AZ26" s="30"/>
      <c r="BA26" s="1960"/>
      <c r="BB26" s="1960"/>
      <c r="BC26" s="1960"/>
      <c r="BD26" s="1960"/>
      <c r="BE26" s="22"/>
      <c r="BF26" s="22"/>
      <c r="BG26" s="30"/>
      <c r="BH26" s="22"/>
      <c r="BI26" s="22"/>
      <c r="BJ26" s="22"/>
      <c r="BK26" s="32" t="s">
        <v>30</v>
      </c>
      <c r="BL26" s="22"/>
      <c r="BM26" s="1961"/>
      <c r="BN26" s="1961"/>
      <c r="BO26" s="1961"/>
      <c r="BP26" s="22"/>
      <c r="BQ26" s="22"/>
      <c r="BR26" s="22"/>
      <c r="BS26" s="22"/>
      <c r="BT26" s="22"/>
      <c r="BU26" s="22"/>
      <c r="BV26" s="22"/>
      <c r="BW26" s="22"/>
      <c r="BX26" s="22"/>
      <c r="BY26" s="22"/>
      <c r="BZ26" s="22"/>
    </row>
    <row r="27" spans="1:83">
      <c r="A27" s="21"/>
      <c r="B27" s="2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E27" s="1151"/>
    </row>
    <row r="28" spans="1:83">
      <c r="A28" s="21"/>
      <c r="B28" s="21"/>
      <c r="C28" s="21"/>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t="s">
        <v>31</v>
      </c>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row>
    <row r="29" spans="1:83" hidden="1">
      <c r="A29" s="21"/>
      <c r="B29" s="21"/>
      <c r="C29" s="21"/>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row>
    <row r="30" spans="1:83" ht="18" hidden="1">
      <c r="A30" s="21"/>
      <c r="B30" s="21"/>
      <c r="C30" s="21"/>
      <c r="D30" s="22"/>
      <c r="E30" s="22"/>
      <c r="F30" s="23" t="s">
        <v>32</v>
      </c>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row>
    <row r="31" spans="1:83" hidden="1">
      <c r="A31" s="21"/>
      <c r="B31" s="21"/>
      <c r="C31" s="21"/>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row>
    <row r="32" spans="1:83" hidden="1">
      <c r="A32" s="21"/>
      <c r="B32" s="21"/>
      <c r="C32" s="21"/>
      <c r="D32" s="22"/>
      <c r="E32" s="22"/>
      <c r="F32" s="1955" t="s">
        <v>33</v>
      </c>
      <c r="G32" s="1955"/>
      <c r="H32" s="1955"/>
      <c r="I32" s="1955"/>
      <c r="J32" s="1955"/>
      <c r="K32" s="1955"/>
      <c r="L32" s="1955"/>
      <c r="M32" s="1955"/>
      <c r="N32" s="1955"/>
      <c r="O32" s="1955"/>
      <c r="P32" s="1955"/>
      <c r="Q32" s="1955"/>
      <c r="R32" s="1955"/>
      <c r="S32" s="1955"/>
      <c r="T32" s="1955"/>
      <c r="U32" s="22"/>
      <c r="V32" s="1956"/>
      <c r="W32" s="1956"/>
      <c r="X32" s="1956"/>
      <c r="Y32" s="1956"/>
      <c r="Z32" s="1956"/>
      <c r="AA32" s="1956"/>
      <c r="AB32" s="1956"/>
      <c r="AC32" s="1956"/>
      <c r="AD32" s="1956"/>
      <c r="AE32" s="1956"/>
      <c r="AF32" s="1956"/>
      <c r="AG32" s="1956"/>
      <c r="AH32" s="1956"/>
      <c r="AI32" s="1956"/>
      <c r="AJ32" s="1956"/>
      <c r="AK32" s="1956"/>
      <c r="AL32" s="1956"/>
      <c r="AM32" s="1956"/>
      <c r="AN32" s="1956"/>
      <c r="AO32" s="1956"/>
      <c r="AP32" s="1956"/>
      <c r="AQ32" s="1956"/>
      <c r="AR32" s="22"/>
      <c r="AS32" s="1955" t="s">
        <v>33</v>
      </c>
      <c r="AT32" s="1955"/>
      <c r="AU32" s="1955"/>
      <c r="AV32" s="1955"/>
      <c r="AW32" s="1955"/>
      <c r="AX32" s="1955"/>
      <c r="AY32" s="1955"/>
      <c r="AZ32" s="30"/>
      <c r="BA32" s="1956"/>
      <c r="BB32" s="1956"/>
      <c r="BC32" s="1956"/>
      <c r="BD32" s="1956"/>
      <c r="BE32" s="1956"/>
      <c r="BF32" s="1956"/>
      <c r="BG32" s="1956"/>
      <c r="BH32" s="1956"/>
      <c r="BI32" s="1956"/>
      <c r="BJ32" s="1956"/>
      <c r="BK32" s="1956"/>
      <c r="BL32" s="1956"/>
      <c r="BM32" s="1956"/>
      <c r="BN32" s="1956"/>
      <c r="BO32" s="1956"/>
      <c r="BP32" s="1956"/>
      <c r="BQ32" s="1956"/>
      <c r="BR32" s="1956"/>
      <c r="BS32" s="1956"/>
      <c r="BT32" s="1956"/>
      <c r="BU32" s="1956"/>
      <c r="BV32" s="1956"/>
      <c r="BW32" s="22"/>
      <c r="BX32" s="22"/>
      <c r="BY32" s="22"/>
      <c r="BZ32" s="22"/>
    </row>
    <row r="33" spans="1:78" hidden="1">
      <c r="A33" s="21"/>
      <c r="B33" s="21"/>
      <c r="C33" s="21"/>
      <c r="D33" s="22"/>
      <c r="E33" s="22"/>
      <c r="F33" s="1955" t="s">
        <v>34</v>
      </c>
      <c r="G33" s="1955"/>
      <c r="H33" s="1955"/>
      <c r="I33" s="1955"/>
      <c r="J33" s="1955"/>
      <c r="K33" s="1955"/>
      <c r="L33" s="1955"/>
      <c r="M33" s="1955"/>
      <c r="N33" s="1955"/>
      <c r="O33" s="1955"/>
      <c r="P33" s="1955"/>
      <c r="Q33" s="1955"/>
      <c r="R33" s="1955"/>
      <c r="S33" s="1955"/>
      <c r="T33" s="1955"/>
      <c r="U33" s="22"/>
      <c r="V33" s="1959"/>
      <c r="W33" s="1959"/>
      <c r="X33" s="1959"/>
      <c r="Y33" s="1959"/>
      <c r="Z33" s="1959"/>
      <c r="AA33" s="1959"/>
      <c r="AB33" s="1959"/>
      <c r="AC33" s="1959"/>
      <c r="AD33" s="1959"/>
      <c r="AE33" s="1959"/>
      <c r="AF33" s="1959"/>
      <c r="AG33" s="1959"/>
      <c r="AH33" s="1959"/>
      <c r="AI33" s="1959"/>
      <c r="AJ33" s="1959"/>
      <c r="AK33" s="1959"/>
      <c r="AL33" s="1959"/>
      <c r="AM33" s="1959"/>
      <c r="AN33" s="1959"/>
      <c r="AO33" s="1959"/>
      <c r="AP33" s="1959"/>
      <c r="AQ33" s="1959"/>
      <c r="AR33" s="27"/>
      <c r="AS33" s="1955" t="s">
        <v>34</v>
      </c>
      <c r="AT33" s="1955"/>
      <c r="AU33" s="1955"/>
      <c r="AV33" s="1955"/>
      <c r="AW33" s="1955"/>
      <c r="AX33" s="1955"/>
      <c r="AY33" s="1955"/>
      <c r="AZ33" s="30"/>
      <c r="BA33" s="1959"/>
      <c r="BB33" s="1959"/>
      <c r="BC33" s="1959"/>
      <c r="BD33" s="1959"/>
      <c r="BE33" s="1959"/>
      <c r="BF33" s="1959"/>
      <c r="BG33" s="1959"/>
      <c r="BH33" s="1959"/>
      <c r="BI33" s="1959"/>
      <c r="BJ33" s="1959"/>
      <c r="BK33" s="1959"/>
      <c r="BL33" s="1959"/>
      <c r="BM33" s="1959"/>
      <c r="BN33" s="1959"/>
      <c r="BO33" s="1959"/>
      <c r="BP33" s="1959"/>
      <c r="BQ33" s="1959"/>
      <c r="BR33" s="1959"/>
      <c r="BS33" s="1959"/>
      <c r="BT33" s="1959"/>
      <c r="BU33" s="1959"/>
      <c r="BV33" s="1959"/>
      <c r="BW33" s="22"/>
      <c r="BX33" s="22"/>
      <c r="BY33" s="22"/>
      <c r="BZ33" s="22"/>
    </row>
    <row r="34" spans="1:78" hidden="1">
      <c r="A34" s="21"/>
      <c r="B34" s="21"/>
      <c r="C34" s="21"/>
      <c r="D34" s="22"/>
      <c r="E34" s="22"/>
      <c r="F34" s="1955" t="s">
        <v>35</v>
      </c>
      <c r="G34" s="1955"/>
      <c r="H34" s="1955"/>
      <c r="I34" s="1955"/>
      <c r="J34" s="1955"/>
      <c r="K34" s="1955"/>
      <c r="L34" s="1955"/>
      <c r="M34" s="1955"/>
      <c r="N34" s="1955"/>
      <c r="O34" s="1955"/>
      <c r="P34" s="1955"/>
      <c r="Q34" s="1955"/>
      <c r="R34" s="1955"/>
      <c r="S34" s="1955"/>
      <c r="T34" s="1955"/>
      <c r="U34" s="22"/>
      <c r="V34" s="1956"/>
      <c r="W34" s="1956"/>
      <c r="X34" s="1956"/>
      <c r="Y34" s="1956"/>
      <c r="Z34" s="1956"/>
      <c r="AA34" s="1956"/>
      <c r="AB34" s="1956"/>
      <c r="AC34" s="1956"/>
      <c r="AD34" s="1956"/>
      <c r="AE34" s="1956"/>
      <c r="AF34" s="1956"/>
      <c r="AG34" s="1956"/>
      <c r="AH34" s="1956"/>
      <c r="AI34" s="1956"/>
      <c r="AJ34" s="1956"/>
      <c r="AK34" s="1956"/>
      <c r="AL34" s="1956"/>
      <c r="AM34" s="1956"/>
      <c r="AN34" s="1956"/>
      <c r="AO34" s="1956"/>
      <c r="AP34" s="1956"/>
      <c r="AQ34" s="1956"/>
      <c r="AR34" s="22"/>
      <c r="AS34" s="1955" t="s">
        <v>35</v>
      </c>
      <c r="AT34" s="1955"/>
      <c r="AU34" s="1955"/>
      <c r="AV34" s="1955"/>
      <c r="AW34" s="1955"/>
      <c r="AX34" s="1955"/>
      <c r="AY34" s="1955"/>
      <c r="AZ34" s="30"/>
      <c r="BA34" s="1956"/>
      <c r="BB34" s="1956"/>
      <c r="BC34" s="1956"/>
      <c r="BD34" s="1956"/>
      <c r="BE34" s="1956"/>
      <c r="BF34" s="1956"/>
      <c r="BG34" s="1956"/>
      <c r="BH34" s="1956"/>
      <c r="BI34" s="1956"/>
      <c r="BJ34" s="1956"/>
      <c r="BK34" s="1956"/>
      <c r="BL34" s="1956"/>
      <c r="BM34" s="1956"/>
      <c r="BN34" s="1956"/>
      <c r="BO34" s="1956"/>
      <c r="BP34" s="1956"/>
      <c r="BQ34" s="1956"/>
      <c r="BR34" s="1956"/>
      <c r="BS34" s="1956"/>
      <c r="BT34" s="1956"/>
      <c r="BU34" s="1956"/>
      <c r="BV34" s="1956"/>
      <c r="BW34" s="22"/>
      <c r="BX34" s="22"/>
      <c r="BY34" s="22"/>
      <c r="BZ34" s="22"/>
    </row>
    <row r="35" spans="1:78" hidden="1">
      <c r="A35" s="21"/>
      <c r="B35" s="21"/>
      <c r="C35" s="21"/>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row>
    <row r="36" spans="1:78">
      <c r="A36" s="21"/>
      <c r="B36" s="21"/>
      <c r="C36" s="21"/>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row>
    <row r="37" spans="1:78">
      <c r="A37" s="34"/>
      <c r="B37" s="34"/>
      <c r="C37" s="34"/>
      <c r="D37" s="34"/>
      <c r="E37" s="34"/>
      <c r="F37" s="34"/>
      <c r="G37" s="34"/>
      <c r="H37" s="34"/>
      <c r="I37" s="34"/>
      <c r="J37" s="34"/>
      <c r="K37" s="34"/>
      <c r="L37" s="34"/>
      <c r="M37" s="34"/>
      <c r="N37" s="34"/>
      <c r="O37" s="34"/>
      <c r="P37" s="35"/>
      <c r="Q37" s="35"/>
      <c r="R37" s="35"/>
      <c r="S37" s="35"/>
      <c r="T37" s="35"/>
      <c r="U37" s="35"/>
      <c r="V37" s="35"/>
      <c r="W37" s="35"/>
      <c r="X37" s="35"/>
      <c r="Y37" s="35"/>
      <c r="Z37" s="35"/>
      <c r="AA37" s="35"/>
      <c r="AB37" s="35"/>
      <c r="AC37" s="35"/>
      <c r="AD37" s="35"/>
      <c r="AE37" s="35"/>
      <c r="AF37" s="35"/>
      <c r="AG37" s="35"/>
      <c r="AH37" s="35"/>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row>
    <row r="38" spans="1:78" ht="24.6" customHeight="1">
      <c r="A38" s="34"/>
      <c r="B38" s="34"/>
      <c r="C38" s="34"/>
      <c r="D38" s="1958" t="s">
        <v>1248</v>
      </c>
      <c r="E38" s="1958"/>
      <c r="F38" s="1958"/>
      <c r="G38" s="1958"/>
      <c r="H38" s="1958"/>
      <c r="I38" s="1958"/>
      <c r="J38" s="1948" t="s">
        <v>1011</v>
      </c>
      <c r="K38" s="1948"/>
      <c r="L38" s="1948"/>
      <c r="M38" s="1948"/>
      <c r="N38" s="1948"/>
      <c r="O38" s="1948"/>
      <c r="P38" s="1948"/>
      <c r="Q38" s="1948"/>
      <c r="R38" s="1948"/>
      <c r="S38" s="1948"/>
      <c r="T38" s="38"/>
      <c r="U38" s="38"/>
      <c r="V38" s="1957" t="s">
        <v>740</v>
      </c>
      <c r="W38" s="1957"/>
      <c r="X38" s="1957"/>
      <c r="Y38" s="1957"/>
      <c r="Z38" s="1957"/>
      <c r="AA38" s="1957"/>
      <c r="AB38" s="1957"/>
      <c r="AC38" s="1957"/>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row>
    <row r="39" spans="1:78" ht="24.6" customHeight="1">
      <c r="A39" s="34"/>
      <c r="B39" s="34"/>
      <c r="C39" s="34"/>
      <c r="D39" s="1958"/>
      <c r="E39" s="1958"/>
      <c r="F39" s="1958"/>
      <c r="G39" s="1958"/>
      <c r="H39" s="1958"/>
      <c r="I39" s="1958"/>
      <c r="J39" s="38"/>
      <c r="K39" s="38"/>
      <c r="L39" s="38"/>
      <c r="M39" s="38"/>
      <c r="N39" s="38"/>
      <c r="O39" s="38"/>
      <c r="P39" s="38"/>
      <c r="Q39" s="38"/>
      <c r="R39" s="38"/>
      <c r="S39" s="38"/>
      <c r="T39" s="38"/>
      <c r="U39" s="38"/>
      <c r="V39" s="38"/>
      <c r="W39" s="38"/>
      <c r="X39" s="38"/>
      <c r="Y39" s="38"/>
      <c r="Z39" s="38"/>
      <c r="AA39" s="38"/>
      <c r="AB39" s="38"/>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row>
    <row r="40" spans="1:78">
      <c r="A40" s="34"/>
      <c r="B40" s="34"/>
      <c r="C40" s="34"/>
      <c r="D40" s="34"/>
      <c r="E40" s="34"/>
      <c r="F40" s="34"/>
      <c r="G40" s="34"/>
      <c r="H40" s="34"/>
      <c r="I40" s="34"/>
      <c r="J40" s="35"/>
      <c r="K40" s="35"/>
      <c r="L40" s="35"/>
      <c r="M40" s="35"/>
      <c r="N40" s="35"/>
      <c r="O40" s="35"/>
      <c r="P40" s="35"/>
      <c r="Q40" s="35"/>
      <c r="R40" s="35"/>
      <c r="S40" s="35"/>
      <c r="T40" s="35"/>
      <c r="U40" s="35"/>
      <c r="V40" s="35"/>
      <c r="W40" s="35"/>
      <c r="X40" s="35"/>
      <c r="Y40" s="35"/>
      <c r="Z40" s="35"/>
      <c r="AA40" s="35"/>
      <c r="AB40" s="35"/>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row>
    <row r="41" spans="1:78" ht="15.75" customHeight="1">
      <c r="A41" s="34"/>
      <c r="B41" s="34"/>
      <c r="C41" s="34"/>
      <c r="D41" s="36"/>
      <c r="E41" s="39"/>
      <c r="F41" s="39"/>
      <c r="G41" s="39"/>
      <c r="H41" s="39"/>
      <c r="I41" s="36"/>
      <c r="J41" s="38"/>
      <c r="K41" s="38"/>
      <c r="L41" s="38"/>
      <c r="M41" s="38"/>
      <c r="N41" s="38"/>
      <c r="O41" s="38"/>
      <c r="P41" s="38"/>
      <c r="Q41" s="38"/>
      <c r="R41" s="38"/>
      <c r="S41" s="38"/>
      <c r="T41" s="38"/>
      <c r="U41" s="38"/>
      <c r="V41" s="38"/>
      <c r="W41" s="38"/>
      <c r="X41" s="38"/>
      <c r="Y41" s="38"/>
      <c r="Z41" s="38"/>
      <c r="AA41" s="38"/>
      <c r="AB41" s="38"/>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row>
    <row r="42" spans="1:78" ht="30">
      <c r="A42" s="1819" t="s">
        <v>38</v>
      </c>
      <c r="B42" s="1819"/>
      <c r="C42" s="1819"/>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row>
    <row r="43" spans="1:78" ht="18">
      <c r="A43" s="34"/>
      <c r="B43" s="34"/>
      <c r="C43" s="34"/>
      <c r="D43" s="36"/>
      <c r="E43" s="39"/>
      <c r="F43" s="39"/>
      <c r="G43" s="39"/>
      <c r="H43" s="39"/>
      <c r="I43" s="36"/>
      <c r="J43" s="38"/>
      <c r="K43" s="38"/>
      <c r="L43" s="38"/>
      <c r="M43" s="38"/>
      <c r="N43" s="38"/>
      <c r="O43" s="38"/>
      <c r="P43" s="38"/>
      <c r="Q43" s="38"/>
      <c r="R43" s="38"/>
      <c r="S43" s="38"/>
      <c r="T43" s="38"/>
      <c r="U43" s="38"/>
      <c r="V43" s="38"/>
      <c r="W43" s="38"/>
      <c r="X43" s="38"/>
      <c r="Y43" s="38"/>
      <c r="Z43" s="38"/>
      <c r="AA43" s="38"/>
      <c r="AB43" s="38"/>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row>
    <row r="44" spans="1:78" ht="18">
      <c r="A44" s="34"/>
      <c r="B44" s="34"/>
      <c r="C44" s="34"/>
      <c r="D44" s="36"/>
      <c r="E44" s="39"/>
      <c r="F44" s="39"/>
      <c r="G44" s="39"/>
      <c r="H44" s="39"/>
      <c r="I44" s="36"/>
      <c r="J44" s="1948" t="s">
        <v>1489</v>
      </c>
      <c r="K44" s="1948"/>
      <c r="L44" s="1948"/>
      <c r="M44" s="1948"/>
      <c r="N44" s="1948"/>
      <c r="O44" s="1948"/>
      <c r="P44" s="1948"/>
      <c r="Q44" s="1948"/>
      <c r="R44" s="1948"/>
      <c r="S44" s="1948"/>
      <c r="T44" s="36"/>
      <c r="U44" s="36"/>
      <c r="V44" s="1949" t="s">
        <v>1490</v>
      </c>
      <c r="W44" s="1949"/>
      <c r="X44" s="1949"/>
      <c r="Y44" s="1949"/>
      <c r="Z44" s="1949"/>
      <c r="AA44" s="1949"/>
      <c r="AB44" s="1949"/>
      <c r="AC44" s="1949"/>
      <c r="AD44" s="1949"/>
      <c r="AE44" s="1949"/>
      <c r="AF44" s="1949"/>
      <c r="AG44" s="1949"/>
      <c r="AH44" s="1949"/>
      <c r="AI44" s="1949"/>
      <c r="AJ44" s="1949"/>
      <c r="AK44" s="1949"/>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row>
    <row r="45" spans="1:78" ht="18">
      <c r="A45" s="34"/>
      <c r="B45" s="34"/>
      <c r="C45" s="34"/>
      <c r="D45" s="36"/>
      <c r="E45" s="39"/>
      <c r="F45" s="39"/>
      <c r="G45" s="39"/>
      <c r="H45" s="39"/>
      <c r="I45" s="36"/>
      <c r="J45" s="38"/>
      <c r="K45" s="38"/>
      <c r="L45" s="38"/>
      <c r="M45" s="38"/>
      <c r="N45" s="38"/>
      <c r="O45" s="38"/>
      <c r="P45" s="38"/>
      <c r="Q45" s="38"/>
      <c r="R45" s="38"/>
      <c r="S45" s="38"/>
      <c r="T45" s="38"/>
      <c r="U45" s="38"/>
      <c r="V45" s="38"/>
      <c r="W45" s="38"/>
      <c r="X45" s="38"/>
      <c r="Y45" s="38"/>
      <c r="Z45" s="38"/>
      <c r="AA45" s="38"/>
      <c r="AB45" s="38"/>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row>
    <row r="46" spans="1:78" ht="15.75" customHeight="1">
      <c r="A46" s="1820"/>
      <c r="B46" s="1820"/>
      <c r="C46" s="1820"/>
      <c r="D46" s="37"/>
      <c r="E46" s="37"/>
      <c r="F46" s="37"/>
      <c r="G46" s="38"/>
      <c r="H46" s="38"/>
      <c r="I46" s="38"/>
      <c r="J46" s="1948" t="s">
        <v>39</v>
      </c>
      <c r="K46" s="1948"/>
      <c r="L46" s="1948"/>
      <c r="M46" s="1948"/>
      <c r="N46" s="1948"/>
      <c r="O46" s="1948"/>
      <c r="P46" s="1948"/>
      <c r="Q46" s="1948"/>
      <c r="R46" s="1948"/>
      <c r="S46" s="1948"/>
      <c r="T46" s="36"/>
      <c r="U46" s="36"/>
      <c r="V46" s="1954" t="s">
        <v>40</v>
      </c>
      <c r="W46" s="1954"/>
      <c r="X46" s="1954"/>
      <c r="Y46" s="1954"/>
      <c r="Z46" s="1954"/>
      <c r="AA46" s="1954"/>
      <c r="AB46" s="1954"/>
      <c r="AC46" s="1954"/>
      <c r="AD46" s="1954"/>
      <c r="AE46" s="1954"/>
      <c r="AF46" s="1954"/>
      <c r="AG46" s="1954"/>
      <c r="AH46" s="1954"/>
      <c r="AI46" s="1954"/>
      <c r="AJ46" s="1954"/>
      <c r="AK46" s="1954"/>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row>
    <row r="47" spans="1:78" ht="15" customHeight="1">
      <c r="A47" s="1820"/>
      <c r="B47" s="1820"/>
      <c r="C47" s="1820"/>
      <c r="D47" s="37"/>
      <c r="E47" s="37"/>
      <c r="F47" s="37"/>
      <c r="G47" s="38"/>
      <c r="H47" s="38"/>
      <c r="I47" s="38"/>
      <c r="J47" s="38"/>
      <c r="K47" s="38"/>
      <c r="L47" s="38"/>
      <c r="M47" s="38"/>
      <c r="N47" s="38"/>
      <c r="O47" s="38"/>
      <c r="P47" s="38"/>
      <c r="Q47" s="38"/>
      <c r="R47" s="38"/>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row>
    <row r="48" spans="1:78" ht="15.75" customHeight="1">
      <c r="A48" s="1820"/>
      <c r="B48" s="1820"/>
      <c r="C48" s="1820"/>
      <c r="D48" s="37"/>
      <c r="E48" s="37"/>
      <c r="F48" s="37"/>
      <c r="G48" s="37"/>
      <c r="H48" s="37" t="s">
        <v>41</v>
      </c>
      <c r="I48" s="38"/>
      <c r="J48" s="1948" t="s">
        <v>42</v>
      </c>
      <c r="K48" s="1948"/>
      <c r="L48" s="1948"/>
      <c r="M48" s="1948"/>
      <c r="N48" s="1948"/>
      <c r="O48" s="1948"/>
      <c r="P48" s="1948"/>
      <c r="Q48" s="1948"/>
      <c r="R48" s="1948"/>
      <c r="S48" s="1948"/>
      <c r="T48" s="36"/>
      <c r="U48" s="36"/>
      <c r="V48" s="1954" t="s">
        <v>43</v>
      </c>
      <c r="W48" s="1954"/>
      <c r="X48" s="1954"/>
      <c r="Y48" s="1954"/>
      <c r="Z48" s="1954"/>
      <c r="AA48" s="1954"/>
      <c r="AB48" s="1954"/>
      <c r="AC48" s="1954"/>
      <c r="AD48" s="1954"/>
      <c r="AE48" s="1954"/>
      <c r="AF48" s="1954"/>
      <c r="AG48" s="1954"/>
      <c r="AH48" s="1954"/>
      <c r="AI48" s="1954"/>
      <c r="AJ48" s="1954"/>
      <c r="AK48" s="1954"/>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8"/>
      <c r="BZ48" s="37"/>
    </row>
    <row r="49" spans="1:78" ht="15" customHeight="1">
      <c r="A49" s="1820"/>
      <c r="B49" s="1820"/>
      <c r="C49" s="1820"/>
      <c r="D49" s="37"/>
      <c r="E49" s="37"/>
      <c r="F49" s="37"/>
      <c r="G49" s="38"/>
      <c r="H49" s="38"/>
      <c r="I49" s="38"/>
      <c r="J49" s="38"/>
      <c r="K49" s="38"/>
      <c r="L49" s="38"/>
      <c r="M49" s="38"/>
      <c r="N49" s="38"/>
      <c r="O49" s="38"/>
      <c r="P49" s="38"/>
      <c r="Q49" s="38"/>
      <c r="R49" s="38"/>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8"/>
      <c r="BZ49" s="37"/>
    </row>
    <row r="50" spans="1:78" ht="15.75" customHeight="1">
      <c r="A50" s="1820"/>
      <c r="B50" s="1820"/>
      <c r="C50" s="1820"/>
      <c r="D50" s="37"/>
      <c r="E50" s="37"/>
      <c r="F50" s="37"/>
      <c r="G50" s="38"/>
      <c r="H50" s="38"/>
      <c r="I50" s="38"/>
      <c r="J50" s="1948" t="s">
        <v>44</v>
      </c>
      <c r="K50" s="1948"/>
      <c r="L50" s="1948"/>
      <c r="M50" s="1948"/>
      <c r="N50" s="1948"/>
      <c r="O50" s="1948"/>
      <c r="P50" s="1948"/>
      <c r="Q50" s="1948"/>
      <c r="R50" s="1948"/>
      <c r="S50" s="1948"/>
      <c r="T50" s="36"/>
      <c r="U50" s="36"/>
      <c r="V50" s="1954" t="s">
        <v>45</v>
      </c>
      <c r="W50" s="1954"/>
      <c r="X50" s="1954"/>
      <c r="Y50" s="1954"/>
      <c r="Z50" s="1954"/>
      <c r="AA50" s="1954"/>
      <c r="AB50" s="1954"/>
      <c r="AC50" s="1954"/>
      <c r="AD50" s="1954"/>
      <c r="AE50" s="1954"/>
      <c r="AF50" s="1954"/>
      <c r="AG50" s="1954"/>
      <c r="AH50" s="1954"/>
      <c r="AI50" s="1954"/>
      <c r="AJ50" s="1954"/>
      <c r="AK50" s="1954"/>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8"/>
      <c r="BZ50" s="37"/>
    </row>
    <row r="51" spans="1:78" ht="15" customHeight="1">
      <c r="A51" s="1820"/>
      <c r="B51" s="1820"/>
      <c r="C51" s="1820"/>
      <c r="D51" s="37"/>
      <c r="E51" s="37"/>
      <c r="F51" s="37"/>
      <c r="G51" s="38"/>
      <c r="H51" s="38"/>
      <c r="I51" s="38"/>
      <c r="J51" s="38"/>
      <c r="K51" s="38"/>
      <c r="L51" s="38"/>
      <c r="M51" s="38"/>
      <c r="N51" s="38"/>
      <c r="O51" s="38"/>
      <c r="P51" s="38"/>
      <c r="Q51" s="38"/>
      <c r="R51" s="38"/>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8"/>
      <c r="BZ51" s="37"/>
    </row>
    <row r="52" spans="1:78" ht="15" customHeight="1">
      <c r="A52" s="1821"/>
      <c r="B52" s="1820"/>
      <c r="C52" s="1820"/>
      <c r="D52" s="37"/>
      <c r="E52" s="37"/>
      <c r="F52" s="37"/>
      <c r="G52" s="38"/>
      <c r="H52" s="38"/>
      <c r="I52" s="38"/>
      <c r="J52" s="1950" t="s">
        <v>1491</v>
      </c>
      <c r="K52" s="1950"/>
      <c r="L52" s="1950"/>
      <c r="M52" s="1950"/>
      <c r="N52" s="1950"/>
      <c r="O52" s="1950"/>
      <c r="P52" s="1950"/>
      <c r="Q52" s="1950"/>
      <c r="R52" s="1950"/>
      <c r="S52" s="1950"/>
      <c r="T52" s="36"/>
      <c r="U52" s="36"/>
      <c r="V52" s="1951" t="s">
        <v>46</v>
      </c>
      <c r="W52" s="1951"/>
      <c r="X52" s="1951"/>
      <c r="Y52" s="1951"/>
      <c r="Z52" s="1951"/>
      <c r="AA52" s="1951"/>
      <c r="AB52" s="1951"/>
      <c r="AC52" s="1951"/>
      <c r="AD52" s="1951"/>
      <c r="AE52" s="1951"/>
      <c r="AF52" s="1951"/>
      <c r="AG52" s="1951"/>
      <c r="AH52" s="1951"/>
      <c r="AI52" s="1951"/>
      <c r="AJ52" s="1951"/>
      <c r="AK52" s="1951"/>
      <c r="AL52" s="1951"/>
      <c r="AM52" s="1951"/>
      <c r="AN52" s="1951"/>
      <c r="AO52" s="1951"/>
      <c r="AP52" s="1951"/>
      <c r="AQ52" s="1951"/>
      <c r="AR52" s="1951"/>
      <c r="AS52" s="1951"/>
      <c r="AT52" s="1951"/>
      <c r="AU52" s="1951"/>
      <c r="AV52" s="1951"/>
      <c r="AW52" s="1951"/>
      <c r="AX52" s="1951"/>
      <c r="AY52" s="1951"/>
      <c r="AZ52" s="1951"/>
      <c r="BA52" s="1951"/>
      <c r="BB52" s="1951"/>
      <c r="BC52" s="1951"/>
      <c r="BD52" s="1951"/>
      <c r="BE52" s="1951"/>
      <c r="BF52" s="1951"/>
      <c r="BG52" s="1951"/>
      <c r="BH52" s="1951"/>
      <c r="BI52" s="1951"/>
      <c r="BJ52" s="1951"/>
      <c r="BK52" s="1951"/>
      <c r="BL52" s="1951"/>
      <c r="BM52" s="1951"/>
      <c r="BN52" s="1951"/>
      <c r="BO52" s="36"/>
      <c r="BP52" s="36"/>
      <c r="BQ52" s="36"/>
      <c r="BR52" s="36"/>
      <c r="BS52" s="36"/>
      <c r="BT52" s="36"/>
      <c r="BU52" s="36"/>
      <c r="BV52" s="36"/>
      <c r="BW52" s="36"/>
      <c r="BX52" s="36"/>
      <c r="BY52" s="38"/>
      <c r="BZ52" s="37"/>
    </row>
    <row r="53" spans="1:78" ht="15" customHeight="1">
      <c r="A53" s="1820"/>
      <c r="B53" s="1820"/>
      <c r="C53" s="1820"/>
      <c r="D53" s="37"/>
      <c r="E53" s="37"/>
      <c r="F53" s="37"/>
      <c r="G53" s="38"/>
      <c r="H53" s="38"/>
      <c r="I53" s="38"/>
      <c r="J53" s="1950"/>
      <c r="K53" s="1950"/>
      <c r="L53" s="1950"/>
      <c r="M53" s="1950"/>
      <c r="N53" s="1950"/>
      <c r="O53" s="1950"/>
      <c r="P53" s="1950"/>
      <c r="Q53" s="1950"/>
      <c r="R53" s="1950"/>
      <c r="S53" s="1950"/>
      <c r="T53" s="36"/>
      <c r="U53" s="36"/>
      <c r="V53" s="1951"/>
      <c r="W53" s="1951"/>
      <c r="X53" s="1951"/>
      <c r="Y53" s="1951"/>
      <c r="Z53" s="1951"/>
      <c r="AA53" s="1951"/>
      <c r="AB53" s="1951"/>
      <c r="AC53" s="1951"/>
      <c r="AD53" s="1951"/>
      <c r="AE53" s="1951"/>
      <c r="AF53" s="1951"/>
      <c r="AG53" s="1951"/>
      <c r="AH53" s="1951"/>
      <c r="AI53" s="1951"/>
      <c r="AJ53" s="1951"/>
      <c r="AK53" s="1951"/>
      <c r="AL53" s="1951"/>
      <c r="AM53" s="1951"/>
      <c r="AN53" s="1951"/>
      <c r="AO53" s="1951"/>
      <c r="AP53" s="1951"/>
      <c r="AQ53" s="1951"/>
      <c r="AR53" s="1951"/>
      <c r="AS53" s="1951"/>
      <c r="AT53" s="1951"/>
      <c r="AU53" s="1951"/>
      <c r="AV53" s="1951"/>
      <c r="AW53" s="1951"/>
      <c r="AX53" s="1951"/>
      <c r="AY53" s="1951"/>
      <c r="AZ53" s="1951"/>
      <c r="BA53" s="1951"/>
      <c r="BB53" s="1951"/>
      <c r="BC53" s="1951"/>
      <c r="BD53" s="1951"/>
      <c r="BE53" s="1951"/>
      <c r="BF53" s="1951"/>
      <c r="BG53" s="1951"/>
      <c r="BH53" s="1951"/>
      <c r="BI53" s="1951"/>
      <c r="BJ53" s="1951"/>
      <c r="BK53" s="1951"/>
      <c r="BL53" s="1951"/>
      <c r="BM53" s="1951"/>
      <c r="BN53" s="1951"/>
      <c r="BO53" s="36"/>
      <c r="BP53" s="36"/>
      <c r="BQ53" s="36"/>
      <c r="BR53" s="36"/>
      <c r="BS53" s="36"/>
      <c r="BT53" s="36"/>
      <c r="BU53" s="36"/>
      <c r="BV53" s="36"/>
      <c r="BW53" s="36"/>
      <c r="BX53" s="36"/>
      <c r="BY53" s="38"/>
      <c r="BZ53" s="37"/>
    </row>
    <row r="54" spans="1:78" ht="15" customHeight="1">
      <c r="A54" s="1820"/>
      <c r="B54" s="1820"/>
      <c r="C54" s="1820"/>
      <c r="D54" s="37"/>
      <c r="E54" s="37"/>
      <c r="F54" s="37"/>
      <c r="G54" s="38"/>
      <c r="H54" s="38"/>
      <c r="I54" s="38"/>
      <c r="J54" s="1950"/>
      <c r="K54" s="1950"/>
      <c r="L54" s="1950"/>
      <c r="M54" s="1950"/>
      <c r="N54" s="1950"/>
      <c r="O54" s="1950"/>
      <c r="P54" s="1950"/>
      <c r="Q54" s="1950"/>
      <c r="R54" s="1950"/>
      <c r="S54" s="1950"/>
      <c r="T54" s="36"/>
      <c r="U54" s="36"/>
      <c r="V54" s="1951"/>
      <c r="W54" s="1951"/>
      <c r="X54" s="1951"/>
      <c r="Y54" s="1951"/>
      <c r="Z54" s="1951"/>
      <c r="AA54" s="1951"/>
      <c r="AB54" s="1951"/>
      <c r="AC54" s="1951"/>
      <c r="AD54" s="1951"/>
      <c r="AE54" s="1951"/>
      <c r="AF54" s="1951"/>
      <c r="AG54" s="1951"/>
      <c r="AH54" s="1951"/>
      <c r="AI54" s="1951"/>
      <c r="AJ54" s="1951"/>
      <c r="AK54" s="1951"/>
      <c r="AL54" s="1951"/>
      <c r="AM54" s="1951"/>
      <c r="AN54" s="1951"/>
      <c r="AO54" s="1951"/>
      <c r="AP54" s="1951"/>
      <c r="AQ54" s="1951"/>
      <c r="AR54" s="1951"/>
      <c r="AS54" s="1951"/>
      <c r="AT54" s="1951"/>
      <c r="AU54" s="1951"/>
      <c r="AV54" s="1951"/>
      <c r="AW54" s="1951"/>
      <c r="AX54" s="1951"/>
      <c r="AY54" s="1951"/>
      <c r="AZ54" s="1951"/>
      <c r="BA54" s="1951"/>
      <c r="BB54" s="1951"/>
      <c r="BC54" s="1951"/>
      <c r="BD54" s="1951"/>
      <c r="BE54" s="1951"/>
      <c r="BF54" s="1951"/>
      <c r="BG54" s="1951"/>
      <c r="BH54" s="1951"/>
      <c r="BI54" s="1951"/>
      <c r="BJ54" s="1951"/>
      <c r="BK54" s="1951"/>
      <c r="BL54" s="1951"/>
      <c r="BM54" s="1951"/>
      <c r="BN54" s="1951"/>
      <c r="BO54" s="36"/>
      <c r="BP54" s="36"/>
      <c r="BQ54" s="36"/>
      <c r="BR54" s="36"/>
      <c r="BS54" s="36"/>
      <c r="BT54" s="36"/>
      <c r="BU54" s="36"/>
      <c r="BV54" s="36"/>
      <c r="BW54" s="36"/>
      <c r="BX54" s="36"/>
      <c r="BY54" s="38"/>
      <c r="BZ54" s="37"/>
    </row>
    <row r="55" spans="1:78" ht="15" customHeight="1">
      <c r="A55" s="1820"/>
      <c r="B55" s="1820"/>
      <c r="C55" s="1820"/>
      <c r="D55" s="37"/>
      <c r="E55" s="37"/>
      <c r="F55" s="37"/>
      <c r="G55" s="38"/>
      <c r="H55" s="38"/>
      <c r="I55" s="38"/>
      <c r="J55" s="38"/>
      <c r="K55" s="38"/>
      <c r="L55" s="38"/>
      <c r="M55" s="38"/>
      <c r="N55" s="38"/>
      <c r="O55" s="38"/>
      <c r="P55" s="38"/>
      <c r="Q55" s="38"/>
      <c r="R55" s="38"/>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8"/>
      <c r="BZ55" s="37"/>
    </row>
    <row r="56" spans="1:78" ht="15.75" customHeight="1">
      <c r="A56" s="1820"/>
      <c r="B56" s="1820"/>
      <c r="C56" s="1820"/>
      <c r="D56" s="37"/>
      <c r="E56" s="37"/>
      <c r="F56" s="37"/>
      <c r="G56" s="38"/>
      <c r="H56" s="38"/>
      <c r="I56" s="38"/>
      <c r="J56" s="1948" t="s">
        <v>47</v>
      </c>
      <c r="K56" s="1948"/>
      <c r="L56" s="1948"/>
      <c r="M56" s="1948"/>
      <c r="N56" s="1948"/>
      <c r="O56" s="1948"/>
      <c r="P56" s="1948"/>
      <c r="Q56" s="1948"/>
      <c r="R56" s="1948"/>
      <c r="S56" s="1948"/>
      <c r="T56" s="36"/>
      <c r="U56" s="36"/>
      <c r="V56" s="1952" t="s">
        <v>48</v>
      </c>
      <c r="W56" s="1953"/>
      <c r="X56" s="1953"/>
      <c r="Y56" s="1953"/>
      <c r="Z56" s="1953"/>
      <c r="AA56" s="1953"/>
      <c r="AB56" s="1953"/>
      <c r="AC56" s="1953"/>
      <c r="AD56" s="1953"/>
      <c r="AE56" s="1953"/>
      <c r="AF56" s="1953"/>
      <c r="AG56" s="1953"/>
      <c r="AH56" s="1953"/>
      <c r="AI56" s="1953"/>
      <c r="AJ56" s="1953"/>
      <c r="AK56" s="1953"/>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8"/>
      <c r="BZ56" s="37"/>
    </row>
    <row r="57" spans="1:78">
      <c r="A57" s="35"/>
      <c r="B57" s="35"/>
      <c r="C57" s="35"/>
      <c r="D57" s="38"/>
      <c r="E57" s="38"/>
      <c r="F57" s="38"/>
      <c r="G57" s="38"/>
      <c r="H57" s="38"/>
      <c r="I57" s="38"/>
      <c r="J57" s="38"/>
      <c r="K57" s="38"/>
      <c r="L57" s="38"/>
      <c r="M57" s="38"/>
      <c r="N57" s="38"/>
      <c r="O57" s="38"/>
      <c r="P57" s="38"/>
      <c r="Q57" s="38"/>
      <c r="R57" s="38"/>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8"/>
      <c r="BZ57" s="38"/>
    </row>
    <row r="58" spans="1:78">
      <c r="A58" s="35"/>
      <c r="B58" s="35"/>
      <c r="C58" s="35"/>
      <c r="D58" s="38"/>
      <c r="E58" s="38"/>
      <c r="F58" s="38"/>
      <c r="G58" s="38"/>
      <c r="H58" s="38"/>
      <c r="I58" s="38"/>
      <c r="J58" s="38"/>
      <c r="K58" s="38"/>
      <c r="L58" s="38"/>
      <c r="M58" s="38"/>
      <c r="N58" s="38"/>
      <c r="O58" s="38"/>
      <c r="P58" s="38"/>
      <c r="Q58" s="38"/>
      <c r="R58" s="38"/>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8"/>
      <c r="BZ58" s="38"/>
    </row>
    <row r="59" spans="1:78" ht="15.75">
      <c r="A59" s="1822"/>
      <c r="B59" s="1822"/>
      <c r="C59" s="1822"/>
      <c r="D59" s="40"/>
      <c r="E59" s="40"/>
      <c r="F59" s="40"/>
      <c r="G59" s="40"/>
      <c r="H59" s="40"/>
      <c r="I59" s="40"/>
      <c r="J59" s="40"/>
      <c r="K59" s="40"/>
      <c r="L59" s="40"/>
      <c r="M59" s="40"/>
      <c r="N59" s="40"/>
      <c r="O59" s="40"/>
      <c r="P59" s="40"/>
      <c r="Q59" s="40"/>
      <c r="R59" s="40"/>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40"/>
      <c r="BZ59" s="40"/>
    </row>
  </sheetData>
  <mergeCells count="51">
    <mergeCell ref="F17:T17"/>
    <mergeCell ref="V17:AG17"/>
    <mergeCell ref="F4:AP4"/>
    <mergeCell ref="F7:BH7"/>
    <mergeCell ref="F16:T16"/>
    <mergeCell ref="V16:AQ16"/>
    <mergeCell ref="F23:T23"/>
    <mergeCell ref="V23:AQ23"/>
    <mergeCell ref="AS23:AY23"/>
    <mergeCell ref="BA23:BV23"/>
    <mergeCell ref="F32:T32"/>
    <mergeCell ref="V32:AQ32"/>
    <mergeCell ref="AS32:AY32"/>
    <mergeCell ref="BA32:BV32"/>
    <mergeCell ref="F24:T24"/>
    <mergeCell ref="V24:AQ24"/>
    <mergeCell ref="AS24:AY24"/>
    <mergeCell ref="BA24:BV24"/>
    <mergeCell ref="F25:T25"/>
    <mergeCell ref="V25:AJ25"/>
    <mergeCell ref="AS25:AY25"/>
    <mergeCell ref="BA25:BO25"/>
    <mergeCell ref="F33:T33"/>
    <mergeCell ref="V33:AQ33"/>
    <mergeCell ref="AS33:AY33"/>
    <mergeCell ref="BA33:BV33"/>
    <mergeCell ref="F26:T26"/>
    <mergeCell ref="V26:Y26"/>
    <mergeCell ref="AH26:AJ26"/>
    <mergeCell ref="AS26:AY26"/>
    <mergeCell ref="BA26:BD26"/>
    <mergeCell ref="BM26:BO26"/>
    <mergeCell ref="F34:T34"/>
    <mergeCell ref="V34:AQ34"/>
    <mergeCell ref="AS34:AY34"/>
    <mergeCell ref="BA34:BV34"/>
    <mergeCell ref="J38:S38"/>
    <mergeCell ref="V38:AC38"/>
    <mergeCell ref="D38:I39"/>
    <mergeCell ref="J44:S44"/>
    <mergeCell ref="V44:AK44"/>
    <mergeCell ref="J52:S54"/>
    <mergeCell ref="V52:BN54"/>
    <mergeCell ref="J56:S56"/>
    <mergeCell ref="V56:AK56"/>
    <mergeCell ref="J46:S46"/>
    <mergeCell ref="V46:AK46"/>
    <mergeCell ref="J48:S48"/>
    <mergeCell ref="V48:AK48"/>
    <mergeCell ref="J50:S50"/>
    <mergeCell ref="V50:AK50"/>
  </mergeCells>
  <conditionalFormatting sqref="V38:AC38">
    <cfRule type="expression" dxfId="69" priority="29" stopIfTrue="1">
      <formula>(INDEX(dms_Model_Span_List,MATCH(dms_Model,dms_Model_List))=1)</formula>
    </cfRule>
  </conditionalFormatting>
  <conditionalFormatting sqref="V50:AK50">
    <cfRule type="cellIs" dxfId="68" priority="27" operator="equal">
      <formula>"Confidential"</formula>
    </cfRule>
  </conditionalFormatting>
  <dataValidations count="6">
    <dataValidation type="list" operator="lessThanOrEqual" showInputMessage="1" showErrorMessage="1" prompt="Please use drop down to select correct business name. ABN will auto populate." sqref="V16:X16" xr:uid="{67ED2658-C1E8-493B-903E-CFA8DE6B2D2F}">
      <formula1>dms_TradingName_List</formula1>
    </dataValidation>
    <dataValidation type="list" allowBlank="1" showInputMessage="1" showErrorMessage="1" sqref="V46:AK46" xr:uid="{748BE46B-8913-400D-A569-ABF62D778C9C}">
      <formula1>dms_SourceList</formula1>
    </dataValidation>
    <dataValidation type="list" allowBlank="1" showInputMessage="1" showErrorMessage="1" sqref="V48:AK48" xr:uid="{1EE2ECA9-ACE1-4D96-99AB-063B8F99AFE6}">
      <formula1>dms_DataQuality_List</formula1>
    </dataValidation>
    <dataValidation type="list" allowBlank="1" showInputMessage="1" showErrorMessage="1" sqref="V50:AK50" xr:uid="{28D39AA9-E4FC-48F6-B1DA-9F1076F9DFD7}">
      <formula1>dms_Confid_status_List</formula1>
    </dataValidation>
    <dataValidation allowBlank="1" showInputMessage="1" showErrorMessage="1" promptTitle="Submission Date" prompt="-- enter date file submitted to AER -- " sqref="V56:AK56" xr:uid="{06DEB746-B7AF-4848-B6C0-A4CE7A453D0D}"/>
    <dataValidation type="list" allowBlank="1" showInputMessage="1" showErrorMessage="1" sqref="V38:AC38" xr:uid="{2EA5C0C7-DC96-4C59-948D-4726C80AB42E}">
      <formula1>INDIRECT(dms_RPT)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F3583-431F-4074-B14B-62CCBC1708EC}">
  <sheetPr codeName="Sheet19"/>
  <dimension ref="A1:H58"/>
  <sheetViews>
    <sheetView workbookViewId="0"/>
  </sheetViews>
  <sheetFormatPr defaultColWidth="9.140625" defaultRowHeight="15"/>
  <cols>
    <col min="1" max="1" width="37.85546875" style="52" customWidth="1"/>
    <col min="2" max="2" width="75.140625" style="52" customWidth="1"/>
    <col min="3" max="4" width="35.5703125" style="52" customWidth="1"/>
    <col min="5" max="5" width="17.85546875" style="52" customWidth="1"/>
    <col min="6" max="6" width="20.42578125" style="52" customWidth="1"/>
    <col min="7" max="16384" width="9.140625" style="52"/>
  </cols>
  <sheetData>
    <row r="1" spans="1:8" ht="21">
      <c r="A1" s="975"/>
      <c r="B1" s="1002" t="str">
        <f>dms_SheetHeading1</f>
        <v>ANNUAL INFORMATION ORDER</v>
      </c>
      <c r="C1" s="976"/>
      <c r="D1" s="41"/>
      <c r="E1" s="41"/>
      <c r="F1" s="41"/>
    </row>
    <row r="2" spans="1:8" ht="21">
      <c r="A2" s="977"/>
      <c r="B2" s="1003" t="str">
        <f>dms_SheetHeading2</f>
        <v>Australian Transmission Co.</v>
      </c>
      <c r="C2" s="977"/>
      <c r="D2" s="41"/>
      <c r="E2" s="41"/>
      <c r="F2" s="41"/>
    </row>
    <row r="3" spans="1:8" ht="21">
      <c r="A3" s="976"/>
      <c r="B3" s="1004" t="str">
        <f>dms_SheetHeading3</f>
        <v>REPORTING STATEMENT: 2024-25</v>
      </c>
      <c r="C3" s="976"/>
      <c r="D3" s="43"/>
      <c r="E3" s="43"/>
      <c r="F3" s="43"/>
    </row>
    <row r="4" spans="1:8" ht="18.75">
      <c r="A4" s="1005"/>
      <c r="B4" s="1005" t="s">
        <v>1404</v>
      </c>
      <c r="C4" s="1005"/>
      <c r="D4" s="1005"/>
      <c r="E4" s="1005"/>
      <c r="F4" s="1005"/>
    </row>
    <row r="5" spans="1:8" ht="11.25" customHeight="1"/>
    <row r="6" spans="1:8" ht="23.25" customHeight="1">
      <c r="A6" s="1981" t="s">
        <v>1403</v>
      </c>
      <c r="B6" s="1981"/>
      <c r="C6" s="1981"/>
      <c r="D6" s="1981"/>
      <c r="E6" s="1981"/>
      <c r="F6" s="1981"/>
    </row>
    <row r="7" spans="1:8" ht="23.25" customHeight="1">
      <c r="A7" s="1982" t="s">
        <v>1405</v>
      </c>
      <c r="B7" s="1982"/>
      <c r="C7" s="1982"/>
      <c r="D7" s="1982"/>
      <c r="E7" s="1982"/>
      <c r="F7" s="1982"/>
    </row>
    <row r="8" spans="1:8" ht="12" customHeight="1"/>
    <row r="9" spans="1:8" ht="19.5" customHeight="1">
      <c r="A9" s="1986" t="s">
        <v>126</v>
      </c>
      <c r="B9" s="1983" t="s">
        <v>127</v>
      </c>
      <c r="C9" s="1983" t="s">
        <v>1416</v>
      </c>
      <c r="D9" s="1983"/>
      <c r="E9" s="1983" t="s">
        <v>1409</v>
      </c>
      <c r="F9" s="1984"/>
    </row>
    <row r="10" spans="1:8" ht="18.75" customHeight="1">
      <c r="A10" s="1987"/>
      <c r="B10" s="1988"/>
      <c r="C10" s="1729" t="s">
        <v>1406</v>
      </c>
      <c r="D10" s="1729" t="s">
        <v>1410</v>
      </c>
      <c r="E10" s="1729" t="s">
        <v>1407</v>
      </c>
      <c r="F10" s="1730" t="s">
        <v>1408</v>
      </c>
    </row>
    <row r="11" spans="1:8" s="49" customFormat="1" ht="20.25" customHeight="1">
      <c r="A11" s="1825" t="s">
        <v>4</v>
      </c>
      <c r="B11" s="1974" t="s">
        <v>1250</v>
      </c>
      <c r="C11" s="1974"/>
      <c r="D11" s="1974"/>
      <c r="E11" s="1525" t="s">
        <v>1414</v>
      </c>
      <c r="F11" s="1525" t="s">
        <v>1415</v>
      </c>
      <c r="H11" s="50"/>
    </row>
    <row r="12" spans="1:8" s="49" customFormat="1" ht="20.25" customHeight="1">
      <c r="A12" s="1826" t="s">
        <v>4</v>
      </c>
      <c r="B12" s="1827" t="s">
        <v>53</v>
      </c>
      <c r="C12" s="1827"/>
      <c r="D12" s="1827"/>
      <c r="E12" s="1526" t="s">
        <v>1414</v>
      </c>
      <c r="F12" s="1526" t="s">
        <v>1415</v>
      </c>
      <c r="H12" s="50"/>
    </row>
    <row r="13" spans="1:8" s="49" customFormat="1" ht="20.25" customHeight="1">
      <c r="A13" s="1825" t="s">
        <v>5</v>
      </c>
      <c r="B13" s="1974" t="s">
        <v>58</v>
      </c>
      <c r="C13" s="1974"/>
      <c r="D13" s="1828" t="s">
        <v>1213</v>
      </c>
      <c r="E13" s="1525" t="s">
        <v>1414</v>
      </c>
      <c r="F13" s="1525" t="s">
        <v>1415</v>
      </c>
      <c r="H13" s="50"/>
    </row>
    <row r="14" spans="1:8" s="49" customFormat="1" ht="20.25" customHeight="1">
      <c r="A14" s="1773" t="s">
        <v>5</v>
      </c>
      <c r="B14" s="1985" t="s">
        <v>58</v>
      </c>
      <c r="C14" s="1985"/>
      <c r="D14" s="1829" t="s">
        <v>1214</v>
      </c>
      <c r="E14" s="1977" t="s">
        <v>1411</v>
      </c>
      <c r="F14" s="1977"/>
      <c r="G14" s="50"/>
      <c r="H14" s="50"/>
    </row>
    <row r="15" spans="1:8" s="49" customFormat="1" ht="20.25" customHeight="1">
      <c r="A15" s="1826" t="s">
        <v>5</v>
      </c>
      <c r="B15" s="1975" t="s">
        <v>58</v>
      </c>
      <c r="C15" s="1975"/>
      <c r="D15" s="1830" t="s">
        <v>1215</v>
      </c>
      <c r="E15" s="1977" t="s">
        <v>1411</v>
      </c>
      <c r="F15" s="1977"/>
      <c r="G15" s="50"/>
      <c r="H15" s="50"/>
    </row>
    <row r="16" spans="1:8" s="49" customFormat="1" ht="20.25" customHeight="1">
      <c r="A16" s="1825" t="s">
        <v>1510</v>
      </c>
      <c r="B16" s="1831" t="s">
        <v>1495</v>
      </c>
      <c r="C16" s="1831"/>
      <c r="D16" s="1831"/>
      <c r="E16" s="1976" t="s">
        <v>1502</v>
      </c>
      <c r="F16" s="1976"/>
      <c r="H16" s="50"/>
    </row>
    <row r="17" spans="1:8" s="49" customFormat="1" ht="20.25" customHeight="1">
      <c r="A17" s="1773" t="s">
        <v>1510</v>
      </c>
      <c r="B17" s="1832" t="s">
        <v>1495</v>
      </c>
      <c r="C17" s="1829"/>
      <c r="D17" s="1829" t="s">
        <v>1265</v>
      </c>
      <c r="E17" s="1979" t="s">
        <v>1503</v>
      </c>
      <c r="F17" s="1979"/>
      <c r="H17" s="50"/>
    </row>
    <row r="18" spans="1:8" s="49" customFormat="1" ht="20.25" customHeight="1">
      <c r="A18" s="1773" t="s">
        <v>1510</v>
      </c>
      <c r="B18" s="1832" t="s">
        <v>1495</v>
      </c>
      <c r="C18" s="1829"/>
      <c r="D18" s="1829" t="s">
        <v>1266</v>
      </c>
      <c r="E18" s="1979" t="s">
        <v>1504</v>
      </c>
      <c r="F18" s="1979"/>
      <c r="H18" s="50"/>
    </row>
    <row r="19" spans="1:8" s="49" customFormat="1" ht="20.25" customHeight="1">
      <c r="A19" s="1773" t="s">
        <v>1510</v>
      </c>
      <c r="B19" s="1832" t="s">
        <v>1495</v>
      </c>
      <c r="C19" s="1829"/>
      <c r="D19" s="1829" t="s">
        <v>1267</v>
      </c>
      <c r="E19" s="1979" t="s">
        <v>1505</v>
      </c>
      <c r="F19" s="1979"/>
      <c r="H19" s="50"/>
    </row>
    <row r="20" spans="1:8" s="49" customFormat="1" ht="20.25" customHeight="1">
      <c r="A20" s="1773" t="s">
        <v>1510</v>
      </c>
      <c r="B20" s="1832" t="s">
        <v>1495</v>
      </c>
      <c r="C20" s="1829"/>
      <c r="D20" s="1829" t="s">
        <v>1269</v>
      </c>
      <c r="E20" s="1979" t="s">
        <v>1506</v>
      </c>
      <c r="F20" s="1979"/>
      <c r="H20" s="50"/>
    </row>
    <row r="21" spans="1:8" s="49" customFormat="1" ht="20.25" customHeight="1">
      <c r="A21" s="1773" t="s">
        <v>1510</v>
      </c>
      <c r="B21" s="1832" t="s">
        <v>1495</v>
      </c>
      <c r="C21" s="1829"/>
      <c r="D21" s="1829" t="s">
        <v>1412</v>
      </c>
      <c r="E21" s="1979" t="s">
        <v>1507</v>
      </c>
      <c r="F21" s="1979"/>
      <c r="H21" s="50"/>
    </row>
    <row r="22" spans="1:8" s="49" customFormat="1" ht="30">
      <c r="A22" s="1773" t="s">
        <v>1510</v>
      </c>
      <c r="B22" s="1832" t="s">
        <v>1495</v>
      </c>
      <c r="C22" s="1829"/>
      <c r="D22" s="1839" t="s">
        <v>1508</v>
      </c>
      <c r="E22" s="1980" t="s">
        <v>1413</v>
      </c>
      <c r="F22" s="1980"/>
      <c r="H22" s="50"/>
    </row>
    <row r="23" spans="1:8" s="49" customFormat="1" ht="30">
      <c r="A23" s="1826" t="s">
        <v>1510</v>
      </c>
      <c r="B23" s="1827" t="s">
        <v>1495</v>
      </c>
      <c r="C23" s="1827" t="s">
        <v>1523</v>
      </c>
      <c r="D23" s="1826" t="s">
        <v>1509</v>
      </c>
      <c r="E23" s="1823" t="s">
        <v>1414</v>
      </c>
      <c r="F23" s="1823" t="s">
        <v>1415</v>
      </c>
      <c r="H23" s="50"/>
    </row>
    <row r="24" spans="1:8" s="49" customFormat="1" ht="20.25" customHeight="1">
      <c r="A24" s="1833" t="s">
        <v>6</v>
      </c>
      <c r="B24" s="1973" t="s">
        <v>62</v>
      </c>
      <c r="C24" s="1973"/>
      <c r="D24" s="1973"/>
      <c r="E24" s="1978" t="s">
        <v>1411</v>
      </c>
      <c r="F24" s="1978"/>
      <c r="H24" s="50"/>
    </row>
    <row r="25" spans="1:8" s="49" customFormat="1" ht="20.25" customHeight="1">
      <c r="A25" s="1834" t="s">
        <v>7</v>
      </c>
      <c r="B25" s="1825" t="s">
        <v>63</v>
      </c>
      <c r="C25" s="1825"/>
      <c r="D25" s="1834" t="s">
        <v>1512</v>
      </c>
      <c r="E25" s="1824" t="s">
        <v>1414</v>
      </c>
      <c r="F25" s="1824" t="s">
        <v>1415</v>
      </c>
      <c r="H25" s="50"/>
    </row>
    <row r="26" spans="1:8" s="49" customFormat="1" ht="20.25" customHeight="1">
      <c r="A26" s="1835" t="s">
        <v>7</v>
      </c>
      <c r="B26" s="1826" t="s">
        <v>63</v>
      </c>
      <c r="C26" s="1826"/>
      <c r="D26" s="1835" t="s">
        <v>1515</v>
      </c>
      <c r="E26" s="1823" t="s">
        <v>1513</v>
      </c>
      <c r="F26" s="1823" t="s">
        <v>1514</v>
      </c>
      <c r="H26" s="50"/>
    </row>
    <row r="27" spans="1:8" s="49" customFormat="1" ht="20.25" customHeight="1">
      <c r="A27" s="1836" t="s">
        <v>8</v>
      </c>
      <c r="B27" s="1990" t="s">
        <v>1220</v>
      </c>
      <c r="C27" s="1990"/>
      <c r="D27" s="1990"/>
      <c r="E27" s="1527" t="s">
        <v>1414</v>
      </c>
      <c r="F27" s="1527" t="s">
        <v>1415</v>
      </c>
      <c r="H27" s="50"/>
    </row>
    <row r="28" spans="1:8" s="49" customFormat="1" ht="20.25" customHeight="1">
      <c r="A28" s="1837" t="s">
        <v>9</v>
      </c>
      <c r="B28" s="1991" t="s">
        <v>78</v>
      </c>
      <c r="C28" s="1991"/>
      <c r="D28" s="1991"/>
      <c r="E28" s="1996" t="s">
        <v>1411</v>
      </c>
      <c r="F28" s="1996"/>
      <c r="H28" s="50"/>
    </row>
    <row r="29" spans="1:8" s="49" customFormat="1" ht="20.25" customHeight="1">
      <c r="A29" s="1833" t="s">
        <v>9</v>
      </c>
      <c r="B29" s="1992" t="s">
        <v>1223</v>
      </c>
      <c r="C29" s="1992"/>
      <c r="D29" s="1992"/>
      <c r="E29" s="1526" t="s">
        <v>1414</v>
      </c>
      <c r="F29" s="1526" t="s">
        <v>1415</v>
      </c>
      <c r="H29" s="50"/>
    </row>
    <row r="30" spans="1:8" s="49" customFormat="1" ht="20.25" customHeight="1">
      <c r="A30" s="1837" t="s">
        <v>10</v>
      </c>
      <c r="B30" s="1991" t="s">
        <v>1224</v>
      </c>
      <c r="C30" s="1991"/>
      <c r="D30" s="1991"/>
      <c r="E30" s="1525" t="s">
        <v>1414</v>
      </c>
      <c r="F30" s="1525" t="s">
        <v>1415</v>
      </c>
      <c r="H30" s="50"/>
    </row>
    <row r="31" spans="1:8" s="49" customFormat="1" ht="20.25" customHeight="1">
      <c r="A31" s="1833" t="s">
        <v>10</v>
      </c>
      <c r="B31" s="1992" t="s">
        <v>1225</v>
      </c>
      <c r="C31" s="1992"/>
      <c r="D31" s="1992"/>
      <c r="E31" s="1526" t="s">
        <v>1414</v>
      </c>
      <c r="F31" s="1526" t="s">
        <v>1415</v>
      </c>
      <c r="H31" s="50"/>
    </row>
    <row r="32" spans="1:8" s="49" customFormat="1" ht="20.25" customHeight="1">
      <c r="A32" s="1838" t="s">
        <v>15</v>
      </c>
      <c r="B32" s="1993" t="s">
        <v>1311</v>
      </c>
      <c r="C32" s="1993"/>
      <c r="D32" s="1993"/>
      <c r="E32" s="1989" t="s">
        <v>1411</v>
      </c>
      <c r="F32" s="1989"/>
      <c r="H32" s="50"/>
    </row>
    <row r="33" spans="1:8" s="49" customFormat="1" ht="20.25" customHeight="1">
      <c r="A33" s="1833" t="s">
        <v>11</v>
      </c>
      <c r="B33" s="1992" t="s">
        <v>1280</v>
      </c>
      <c r="C33" s="1992"/>
      <c r="D33" s="1992"/>
      <c r="E33" s="1528" t="s">
        <v>1414</v>
      </c>
      <c r="F33" s="1528" t="s">
        <v>1415</v>
      </c>
      <c r="H33" s="50"/>
    </row>
    <row r="34" spans="1:8" s="49" customFormat="1" ht="20.25" customHeight="1">
      <c r="A34" s="1825" t="s">
        <v>12</v>
      </c>
      <c r="B34" s="1825" t="s">
        <v>87</v>
      </c>
      <c r="C34" s="1998" t="s">
        <v>1093</v>
      </c>
      <c r="D34" s="1998"/>
      <c r="E34" s="1995" t="s">
        <v>1413</v>
      </c>
      <c r="F34" s="1995"/>
      <c r="H34" s="50"/>
    </row>
    <row r="35" spans="1:8" s="49" customFormat="1" ht="20.25" customHeight="1">
      <c r="A35" s="1826" t="s">
        <v>12</v>
      </c>
      <c r="B35" s="1826" t="s">
        <v>87</v>
      </c>
      <c r="C35" s="1999" t="s">
        <v>1325</v>
      </c>
      <c r="D35" s="1999"/>
      <c r="E35" s="1526" t="s">
        <v>1414</v>
      </c>
      <c r="F35" s="1526" t="s">
        <v>1415</v>
      </c>
      <c r="H35" s="50"/>
    </row>
    <row r="36" spans="1:8" s="49" customFormat="1" ht="20.25" customHeight="1">
      <c r="A36" s="1838" t="s">
        <v>13</v>
      </c>
      <c r="B36" s="1993" t="s">
        <v>108</v>
      </c>
      <c r="C36" s="1993"/>
      <c r="D36" s="1993"/>
      <c r="E36" s="1989" t="s">
        <v>1411</v>
      </c>
      <c r="F36" s="1989"/>
      <c r="H36" s="50"/>
    </row>
    <row r="37" spans="1:8" s="49" customFormat="1" ht="20.25" customHeight="1">
      <c r="A37" s="1825" t="s">
        <v>14</v>
      </c>
      <c r="B37" s="1998" t="s">
        <v>1191</v>
      </c>
      <c r="C37" s="1998"/>
      <c r="D37" s="1998"/>
      <c r="E37" s="1994" t="s">
        <v>1411</v>
      </c>
      <c r="F37" s="1994"/>
      <c r="H37" s="50"/>
    </row>
    <row r="38" spans="1:8" s="49" customFormat="1" ht="20.25" customHeight="1">
      <c r="A38" s="1773" t="s">
        <v>14</v>
      </c>
      <c r="B38" s="2001" t="s">
        <v>117</v>
      </c>
      <c r="C38" s="2001"/>
      <c r="D38" s="2001"/>
      <c r="E38" s="1994" t="s">
        <v>1411</v>
      </c>
      <c r="F38" s="1994"/>
      <c r="H38" s="50"/>
    </row>
    <row r="39" spans="1:8" s="49" customFormat="1" ht="20.25" customHeight="1">
      <c r="A39" s="1826" t="s">
        <v>14</v>
      </c>
      <c r="B39" s="1999" t="s">
        <v>118</v>
      </c>
      <c r="C39" s="1999"/>
      <c r="D39" s="1999"/>
      <c r="E39" s="1978" t="s">
        <v>1411</v>
      </c>
      <c r="F39" s="1978"/>
      <c r="H39" s="50"/>
    </row>
    <row r="40" spans="1:8" s="49" customFormat="1" ht="20.25" customHeight="1">
      <c r="A40" s="1825" t="s">
        <v>1474</v>
      </c>
      <c r="B40" s="1998" t="s">
        <v>1418</v>
      </c>
      <c r="C40" s="1998"/>
      <c r="D40" s="1998"/>
      <c r="E40" s="1529" t="s">
        <v>1414</v>
      </c>
      <c r="F40" s="1529" t="s">
        <v>1415</v>
      </c>
      <c r="H40" s="50"/>
    </row>
    <row r="41" spans="1:8" s="49" customFormat="1" ht="20.25" customHeight="1">
      <c r="A41" s="1826" t="s">
        <v>1474</v>
      </c>
      <c r="B41" s="1999" t="s">
        <v>1417</v>
      </c>
      <c r="C41" s="1999"/>
      <c r="D41" s="1999"/>
      <c r="E41" s="1526" t="s">
        <v>1414</v>
      </c>
      <c r="F41" s="1526" t="s">
        <v>1415</v>
      </c>
      <c r="H41" s="50"/>
    </row>
    <row r="42" spans="1:8" s="49" customFormat="1" ht="20.25" customHeight="1">
      <c r="A42" s="1825" t="s">
        <v>1475</v>
      </c>
      <c r="B42" s="2000" t="s">
        <v>1428</v>
      </c>
      <c r="C42" s="2000"/>
      <c r="D42" s="2000"/>
      <c r="E42" s="1824" t="s">
        <v>1414</v>
      </c>
      <c r="F42" s="1824" t="s">
        <v>1415</v>
      </c>
      <c r="H42" s="50"/>
    </row>
    <row r="43" spans="1:8" s="49" customFormat="1" ht="20.25" customHeight="1">
      <c r="A43" s="1826" t="s">
        <v>1475</v>
      </c>
      <c r="B43" s="1997" t="s">
        <v>1429</v>
      </c>
      <c r="C43" s="1997"/>
      <c r="D43" s="1997"/>
      <c r="E43" s="1823" t="s">
        <v>1414</v>
      </c>
      <c r="F43" s="1823" t="s">
        <v>1415</v>
      </c>
      <c r="H43" s="50"/>
    </row>
    <row r="44" spans="1:8" s="49" customFormat="1" ht="20.25" customHeight="1">
      <c r="A44" s="1838" t="s">
        <v>1476</v>
      </c>
      <c r="B44" s="1993" t="s">
        <v>1422</v>
      </c>
      <c r="C44" s="1993"/>
      <c r="D44" s="1993"/>
      <c r="E44" s="1528" t="s">
        <v>1414</v>
      </c>
      <c r="F44" s="1528" t="s">
        <v>1415</v>
      </c>
      <c r="H44" s="50"/>
    </row>
    <row r="45" spans="1:8" s="49" customFormat="1" ht="20.25" customHeight="1">
      <c r="A45" s="1833" t="s">
        <v>1477</v>
      </c>
      <c r="B45" s="1993" t="s">
        <v>1421</v>
      </c>
      <c r="C45" s="1993"/>
      <c r="D45" s="1993"/>
      <c r="E45" s="1526" t="s">
        <v>1414</v>
      </c>
      <c r="F45" s="1526" t="s">
        <v>1415</v>
      </c>
      <c r="H45" s="50"/>
    </row>
    <row r="46" spans="1:8" s="49" customFormat="1" ht="20.25" customHeight="1">
      <c r="A46" s="1833" t="s">
        <v>1478</v>
      </c>
      <c r="B46" s="1993" t="s">
        <v>1423</v>
      </c>
      <c r="C46" s="1993"/>
      <c r="D46" s="1993"/>
      <c r="E46" s="1526" t="s">
        <v>1414</v>
      </c>
      <c r="F46" s="1526" t="s">
        <v>1415</v>
      </c>
      <c r="H46" s="50"/>
    </row>
    <row r="47" spans="1:8" s="49" customFormat="1" ht="20.25" customHeight="1">
      <c r="A47" s="1833" t="s">
        <v>1479</v>
      </c>
      <c r="B47" s="1993" t="s">
        <v>1424</v>
      </c>
      <c r="C47" s="1993"/>
      <c r="D47" s="1993"/>
      <c r="E47" s="1526" t="s">
        <v>1414</v>
      </c>
      <c r="F47" s="1526" t="s">
        <v>1415</v>
      </c>
      <c r="H47" s="50"/>
    </row>
    <row r="48" spans="1:8" s="49" customFormat="1" ht="20.25" customHeight="1">
      <c r="A48" s="1833" t="s">
        <v>1352</v>
      </c>
      <c r="B48" s="1993" t="s">
        <v>1160</v>
      </c>
      <c r="C48" s="1993"/>
      <c r="D48" s="1993"/>
      <c r="E48" s="1978" t="s">
        <v>1411</v>
      </c>
      <c r="F48" s="1978"/>
      <c r="H48" s="50"/>
    </row>
    <row r="49" spans="1:8" s="49" customFormat="1" ht="20.25" customHeight="1">
      <c r="A49" s="1825" t="s">
        <v>1480</v>
      </c>
      <c r="B49" s="1998" t="s">
        <v>1425</v>
      </c>
      <c r="C49" s="1998"/>
      <c r="D49" s="1998"/>
      <c r="E49" s="1529" t="s">
        <v>1414</v>
      </c>
      <c r="F49" s="1529" t="s">
        <v>1415</v>
      </c>
      <c r="H49" s="50"/>
    </row>
    <row r="50" spans="1:8" s="49" customFormat="1" ht="20.25" customHeight="1">
      <c r="A50" s="1826" t="s">
        <v>1480</v>
      </c>
      <c r="B50" s="1999" t="s">
        <v>1426</v>
      </c>
      <c r="C50" s="1999"/>
      <c r="D50" s="1999"/>
      <c r="E50" s="1526" t="s">
        <v>1414</v>
      </c>
      <c r="F50" s="1526" t="s">
        <v>1415</v>
      </c>
      <c r="H50" s="50"/>
    </row>
    <row r="51" spans="1:8" s="49" customFormat="1" ht="20.25" customHeight="1">
      <c r="A51" s="1825" t="s">
        <v>1482</v>
      </c>
      <c r="B51" s="1998" t="s">
        <v>1895</v>
      </c>
      <c r="C51" s="1998"/>
      <c r="D51" s="1998"/>
      <c r="E51" s="1527" t="s">
        <v>1414</v>
      </c>
      <c r="F51" s="1525" t="s">
        <v>1415</v>
      </c>
      <c r="G51" s="50"/>
      <c r="H51" s="50"/>
    </row>
    <row r="52" spans="1:8" s="49" customFormat="1" ht="20.25" customHeight="1">
      <c r="A52" s="1826" t="s">
        <v>1482</v>
      </c>
      <c r="B52" s="1999" t="s">
        <v>1420</v>
      </c>
      <c r="C52" s="1999"/>
      <c r="D52" s="1999"/>
      <c r="E52" s="1526" t="s">
        <v>1414</v>
      </c>
      <c r="F52" s="1526" t="s">
        <v>1415</v>
      </c>
      <c r="G52" s="50"/>
      <c r="H52" s="50"/>
    </row>
    <row r="53" spans="1:8" s="49" customFormat="1" ht="20.25" customHeight="1">
      <c r="A53" s="1825" t="s">
        <v>1481</v>
      </c>
      <c r="B53" s="1825" t="s">
        <v>1427</v>
      </c>
      <c r="C53" s="1825" t="s">
        <v>1095</v>
      </c>
      <c r="D53" s="1825"/>
      <c r="E53" s="1525" t="s">
        <v>1414</v>
      </c>
      <c r="F53" s="1525" t="s">
        <v>1415</v>
      </c>
      <c r="H53" s="50"/>
    </row>
    <row r="54" spans="1:8" s="49" customFormat="1" ht="20.25" customHeight="1">
      <c r="A54" s="1773" t="s">
        <v>1481</v>
      </c>
      <c r="B54" s="1773" t="s">
        <v>1427</v>
      </c>
      <c r="C54" s="1773" t="s">
        <v>1106</v>
      </c>
      <c r="D54" s="1773"/>
      <c r="E54" s="1527" t="s">
        <v>1414</v>
      </c>
      <c r="F54" s="1527" t="s">
        <v>1415</v>
      </c>
      <c r="H54" s="50"/>
    </row>
    <row r="55" spans="1:8" s="49" customFormat="1" ht="20.25" customHeight="1">
      <c r="A55" s="1773" t="s">
        <v>1481</v>
      </c>
      <c r="B55" s="1773" t="s">
        <v>1427</v>
      </c>
      <c r="C55" s="1773" t="s">
        <v>1117</v>
      </c>
      <c r="D55" s="1773"/>
      <c r="E55" s="2002" t="s">
        <v>1413</v>
      </c>
      <c r="F55" s="2002"/>
      <c r="H55" s="50"/>
    </row>
    <row r="56" spans="1:8" s="49" customFormat="1" ht="20.25" customHeight="1">
      <c r="A56" s="1773" t="s">
        <v>1481</v>
      </c>
      <c r="B56" s="1773" t="s">
        <v>1427</v>
      </c>
      <c r="C56" s="1773" t="s">
        <v>1316</v>
      </c>
      <c r="D56" s="1773"/>
      <c r="E56" s="1527" t="s">
        <v>1414</v>
      </c>
      <c r="F56" s="1527" t="s">
        <v>1415</v>
      </c>
      <c r="H56" s="50"/>
    </row>
    <row r="57" spans="1:8" s="49" customFormat="1" ht="20.25" customHeight="1">
      <c r="A57" s="1773" t="s">
        <v>1481</v>
      </c>
      <c r="B57" s="1773" t="s">
        <v>1427</v>
      </c>
      <c r="C57" s="1773" t="s">
        <v>1317</v>
      </c>
      <c r="D57" s="1773"/>
      <c r="E57" s="1527" t="s">
        <v>1414</v>
      </c>
      <c r="F57" s="1527" t="s">
        <v>1415</v>
      </c>
      <c r="H57" s="50"/>
    </row>
    <row r="58" spans="1:8" s="49" customFormat="1" ht="20.25" customHeight="1">
      <c r="A58" s="1826" t="s">
        <v>1481</v>
      </c>
      <c r="B58" s="1826" t="s">
        <v>1427</v>
      </c>
      <c r="C58" s="1826" t="s">
        <v>1318</v>
      </c>
      <c r="D58" s="1826"/>
      <c r="E58" s="1526" t="s">
        <v>1414</v>
      </c>
      <c r="F58" s="1526" t="s">
        <v>1415</v>
      </c>
      <c r="H58" s="50"/>
    </row>
  </sheetData>
  <mergeCells count="56">
    <mergeCell ref="B50:D50"/>
    <mergeCell ref="B51:D51"/>
    <mergeCell ref="B52:D52"/>
    <mergeCell ref="E55:F55"/>
    <mergeCell ref="B45:D45"/>
    <mergeCell ref="B46:D46"/>
    <mergeCell ref="B47:D47"/>
    <mergeCell ref="B48:D48"/>
    <mergeCell ref="B49:D49"/>
    <mergeCell ref="B42:D42"/>
    <mergeCell ref="B37:D37"/>
    <mergeCell ref="B38:D38"/>
    <mergeCell ref="B39:D39"/>
    <mergeCell ref="B44:D44"/>
    <mergeCell ref="B36:D36"/>
    <mergeCell ref="B33:D33"/>
    <mergeCell ref="B30:D30"/>
    <mergeCell ref="B40:D40"/>
    <mergeCell ref="B41:D41"/>
    <mergeCell ref="E39:F39"/>
    <mergeCell ref="E32:F32"/>
    <mergeCell ref="E48:F48"/>
    <mergeCell ref="B27:D27"/>
    <mergeCell ref="B28:D28"/>
    <mergeCell ref="B29:D29"/>
    <mergeCell ref="B31:D31"/>
    <mergeCell ref="B32:D32"/>
    <mergeCell ref="E36:F36"/>
    <mergeCell ref="E37:F37"/>
    <mergeCell ref="E38:F38"/>
    <mergeCell ref="E34:F34"/>
    <mergeCell ref="E28:F28"/>
    <mergeCell ref="B43:D43"/>
    <mergeCell ref="C34:D34"/>
    <mergeCell ref="C35:D35"/>
    <mergeCell ref="A6:F6"/>
    <mergeCell ref="A7:F7"/>
    <mergeCell ref="E9:F9"/>
    <mergeCell ref="B14:C14"/>
    <mergeCell ref="C9:D9"/>
    <mergeCell ref="A9:A10"/>
    <mergeCell ref="B9:B10"/>
    <mergeCell ref="B24:D24"/>
    <mergeCell ref="B11:D11"/>
    <mergeCell ref="B13:C13"/>
    <mergeCell ref="B15:C15"/>
    <mergeCell ref="E16:F16"/>
    <mergeCell ref="E14:F14"/>
    <mergeCell ref="E15:F15"/>
    <mergeCell ref="E24:F24"/>
    <mergeCell ref="E17:F17"/>
    <mergeCell ref="E18:F18"/>
    <mergeCell ref="E19:F19"/>
    <mergeCell ref="E20:F20"/>
    <mergeCell ref="E21:F21"/>
    <mergeCell ref="E22:F22"/>
  </mergeCells>
  <phoneticPr fontId="98" type="noConversion"/>
  <dataValidations count="1">
    <dataValidation allowBlank="1" sqref="C34:D34" xr:uid="{AEEA6A89-FF1E-4671-B223-A8F39BF21694}"/>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2091-0DB2-469D-AF81-D9FD55475998}">
  <sheetPr codeName="Sheet2">
    <tabColor theme="3" tint="-0.249977111117893"/>
    <pageSetUpPr fitToPage="1"/>
  </sheetPr>
  <dimension ref="B1:V50"/>
  <sheetViews>
    <sheetView workbookViewId="0"/>
  </sheetViews>
  <sheetFormatPr defaultColWidth="9.140625" defaultRowHeight="15" outlineLevelRow="1"/>
  <cols>
    <col min="1" max="1" width="20.7109375" style="46" customWidth="1"/>
    <col min="2" max="2" width="33.85546875" style="46" customWidth="1"/>
    <col min="3" max="3" width="2.5703125" style="46" customWidth="1"/>
    <col min="4" max="4" width="32.5703125" style="46" customWidth="1"/>
    <col min="5" max="5" width="5.7109375" style="46" customWidth="1"/>
    <col min="6" max="7" width="15.7109375" style="46" customWidth="1"/>
    <col min="8" max="8" width="18.5703125" style="46" customWidth="1"/>
    <col min="9" max="9" width="6.140625" style="46" customWidth="1"/>
    <col min="10" max="22" width="3.7109375" style="46" customWidth="1"/>
    <col min="23" max="16384" width="9.140625" style="46"/>
  </cols>
  <sheetData>
    <row r="1" spans="2:22" s="42" customFormat="1" ht="20.100000000000001" customHeight="1">
      <c r="B1" s="975"/>
      <c r="C1" s="975"/>
      <c r="D1" s="1002" t="str">
        <f>dms_SheetHeading1</f>
        <v>ANNUAL INFORMATION ORDER</v>
      </c>
      <c r="E1" s="976"/>
      <c r="F1" s="41"/>
      <c r="G1" s="41"/>
      <c r="H1" s="41"/>
      <c r="J1" s="1658" t="s">
        <v>1040</v>
      </c>
      <c r="K1" s="1323"/>
      <c r="L1" s="1323"/>
      <c r="M1" s="1323"/>
      <c r="N1" s="1323"/>
      <c r="O1" s="1323"/>
      <c r="P1" s="1657" t="s">
        <v>1039</v>
      </c>
      <c r="Q1" s="1323"/>
      <c r="R1" s="1323"/>
      <c r="S1" s="1323"/>
      <c r="T1" s="1323"/>
      <c r="U1" s="1323"/>
      <c r="V1" s="1323"/>
    </row>
    <row r="2" spans="2:22" s="42" customFormat="1" ht="20.100000000000001" customHeight="1">
      <c r="B2" s="977"/>
      <c r="C2" s="977"/>
      <c r="D2" s="1003" t="str">
        <f>dms_SheetHeading2</f>
        <v>Australian Transmission Co.</v>
      </c>
      <c r="E2" s="977"/>
      <c r="F2" s="41"/>
      <c r="G2" s="41"/>
      <c r="H2" s="41"/>
      <c r="J2" s="1659" t="s">
        <v>1041</v>
      </c>
      <c r="K2" s="1324"/>
      <c r="L2" s="1324"/>
      <c r="M2" s="1324"/>
      <c r="N2" s="1324"/>
      <c r="O2" s="1324"/>
      <c r="P2" s="1379" t="s">
        <v>202</v>
      </c>
      <c r="Q2" s="1324"/>
      <c r="R2" s="1324"/>
      <c r="S2" s="1324"/>
      <c r="T2" s="1324"/>
      <c r="U2" s="1324"/>
      <c r="V2" s="1324"/>
    </row>
    <row r="3" spans="2:22" s="42" customFormat="1" ht="20.100000000000001" customHeight="1">
      <c r="B3" s="976"/>
      <c r="C3" s="976"/>
      <c r="D3" s="1004" t="str">
        <f>dms_SheetHeading3</f>
        <v>REPORTING STATEMENT: 2024-25</v>
      </c>
      <c r="E3" s="976"/>
      <c r="F3" s="43"/>
      <c r="G3" s="43"/>
      <c r="H3" s="43"/>
      <c r="J3" s="1660" t="s">
        <v>1042</v>
      </c>
      <c r="K3" s="1325"/>
      <c r="L3" s="1325"/>
      <c r="M3" s="1325"/>
      <c r="N3" s="1325"/>
      <c r="O3" s="1325"/>
      <c r="P3" s="1380" t="s">
        <v>203</v>
      </c>
      <c r="Q3" s="1325"/>
      <c r="R3" s="1325"/>
      <c r="S3" s="1325"/>
      <c r="T3" s="1325"/>
      <c r="U3" s="1325"/>
      <c r="V3" s="1325"/>
    </row>
    <row r="4" spans="2:22" s="42" customFormat="1" ht="22.5" customHeight="1">
      <c r="B4" s="978"/>
      <c r="C4" s="979"/>
      <c r="D4" s="1005" t="s">
        <v>1249</v>
      </c>
      <c r="E4" s="979"/>
      <c r="F4" s="979"/>
      <c r="G4" s="979"/>
      <c r="H4" s="979"/>
      <c r="I4" s="1018"/>
      <c r="J4" s="1662" t="s">
        <v>1044</v>
      </c>
      <c r="K4" s="1692"/>
      <c r="L4" s="1693"/>
      <c r="M4" s="1498"/>
      <c r="N4" s="1498"/>
      <c r="O4" s="1498"/>
      <c r="P4" s="1497" t="s">
        <v>1043</v>
      </c>
      <c r="Q4" s="1498"/>
      <c r="R4" s="1498"/>
      <c r="S4" s="1498"/>
      <c r="T4" s="1498"/>
      <c r="U4" s="1498"/>
      <c r="V4" s="1498"/>
    </row>
    <row r="5" spans="2:22" ht="13.5" customHeight="1">
      <c r="B5" s="44"/>
      <c r="C5" s="44"/>
      <c r="D5" s="44"/>
      <c r="E5" s="44"/>
      <c r="G5" s="44"/>
      <c r="H5" s="44"/>
      <c r="I5" s="44"/>
      <c r="J5" s="44"/>
      <c r="K5" s="44"/>
      <c r="L5" s="44"/>
    </row>
    <row r="6" spans="2:22" s="49" customFormat="1" ht="18.75">
      <c r="B6" s="628" t="s">
        <v>1216</v>
      </c>
      <c r="C6" s="622"/>
      <c r="D6" s="622"/>
      <c r="E6" s="629"/>
      <c r="F6" s="622"/>
      <c r="G6" s="622"/>
      <c r="H6" s="622"/>
      <c r="I6" s="44"/>
      <c r="J6" s="44"/>
      <c r="K6" s="44"/>
      <c r="L6" s="44"/>
    </row>
    <row r="7" spans="2:22" s="632" customFormat="1" ht="15.75">
      <c r="B7" s="974" t="s">
        <v>1233</v>
      </c>
      <c r="C7" s="964"/>
      <c r="D7" s="964"/>
      <c r="E7" s="964"/>
      <c r="F7" s="965"/>
      <c r="G7" s="964"/>
      <c r="H7" s="965"/>
      <c r="I7" s="44"/>
      <c r="J7" s="44"/>
      <c r="K7" s="44"/>
      <c r="L7" s="44"/>
    </row>
    <row r="8" spans="2:22">
      <c r="B8" s="44"/>
      <c r="C8" s="44"/>
      <c r="E8" s="44"/>
      <c r="G8" s="44"/>
      <c r="I8" s="44"/>
      <c r="J8" s="44"/>
      <c r="K8" s="44"/>
      <c r="L8" s="44"/>
    </row>
    <row r="9" spans="2:22" ht="18.75">
      <c r="B9" s="44"/>
      <c r="C9" s="44"/>
      <c r="D9" s="1001" t="s">
        <v>1250</v>
      </c>
      <c r="E9" s="961"/>
      <c r="F9" s="963"/>
      <c r="G9" s="962"/>
      <c r="H9" s="963"/>
      <c r="J9" s="45"/>
      <c r="K9" s="42"/>
    </row>
    <row r="10" spans="2:22" ht="18.75" outlineLevel="1">
      <c r="B10" s="44"/>
      <c r="C10" s="44"/>
      <c r="D10" s="51"/>
      <c r="E10" s="51"/>
      <c r="G10" s="44"/>
    </row>
    <row r="11" spans="2:22" ht="28.5" customHeight="1" outlineLevel="1">
      <c r="B11" s="971"/>
      <c r="C11" s="971"/>
      <c r="D11" s="971"/>
      <c r="E11" s="970"/>
      <c r="F11" s="2009" t="s">
        <v>1238</v>
      </c>
      <c r="G11" s="2010"/>
      <c r="H11" s="2011"/>
      <c r="J11" s="1545" t="s">
        <v>1430</v>
      </c>
      <c r="K11" s="1546" t="s">
        <v>1431</v>
      </c>
      <c r="L11" s="1552" t="s">
        <v>1432</v>
      </c>
      <c r="M11" s="1663" t="s">
        <v>1430</v>
      </c>
      <c r="N11" s="1547" t="s">
        <v>1431</v>
      </c>
      <c r="O11" s="1548" t="s">
        <v>1432</v>
      </c>
      <c r="P11" s="52"/>
    </row>
    <row r="12" spans="2:22" ht="21.95" customHeight="1" outlineLevel="1">
      <c r="B12" s="971"/>
      <c r="C12" s="971"/>
      <c r="D12" s="970"/>
      <c r="E12" s="958" t="s">
        <v>1192</v>
      </c>
      <c r="F12" s="1013" t="s">
        <v>1235</v>
      </c>
      <c r="G12" s="1025" t="s">
        <v>1213</v>
      </c>
      <c r="H12" s="1014" t="s">
        <v>1234</v>
      </c>
      <c r="J12" s="2006" t="s">
        <v>1213</v>
      </c>
      <c r="K12" s="2007"/>
      <c r="L12" s="2008"/>
      <c r="M12" s="2003" t="s">
        <v>1234</v>
      </c>
      <c r="N12" s="2004"/>
      <c r="O12" s="2005"/>
      <c r="P12" s="52"/>
    </row>
    <row r="13" spans="2:22" outlineLevel="1">
      <c r="B13" s="971"/>
      <c r="C13" s="971"/>
      <c r="D13" s="980" t="s">
        <v>1012</v>
      </c>
      <c r="E13" s="981" t="s">
        <v>88</v>
      </c>
      <c r="F13" s="1022">
        <f t="shared" ref="F13:F21" si="0">H13+G13</f>
        <v>0</v>
      </c>
      <c r="G13" s="1023"/>
      <c r="H13" s="1024"/>
      <c r="J13" s="1540" t="str">
        <f>IF(ISNONTEXT(G13)=TRUE,"","X")</f>
        <v/>
      </c>
      <c r="K13" s="1534" t="str">
        <f>IF(G13&gt;=0=TRUE,"","X")</f>
        <v/>
      </c>
      <c r="L13" s="1539" t="str">
        <f>IF(G13&lt;&gt;""=TRUE,"","X")</f>
        <v>X</v>
      </c>
      <c r="M13" s="1585"/>
      <c r="N13" s="1543"/>
      <c r="O13" s="1549"/>
      <c r="P13" s="52" t="str">
        <f>IF(ISNONTEXT(G13)=TRUE,"","check")</f>
        <v/>
      </c>
    </row>
    <row r="14" spans="2:22" outlineLevel="1">
      <c r="B14" s="971"/>
      <c r="C14" s="971"/>
      <c r="D14" s="985" t="s">
        <v>49</v>
      </c>
      <c r="E14" s="986" t="s">
        <v>88</v>
      </c>
      <c r="F14" s="987">
        <f t="shared" si="0"/>
        <v>0</v>
      </c>
      <c r="G14" s="988"/>
      <c r="H14" s="989"/>
      <c r="I14" s="1015"/>
      <c r="J14" s="1540" t="str">
        <f t="shared" ref="J14:J21" si="1">IF(ISNONTEXT(G14)=TRUE,"","X")</f>
        <v/>
      </c>
      <c r="K14" s="1534" t="str">
        <f t="shared" ref="K14:K21" si="2">IF(G14&gt;=0=TRUE,"","X")</f>
        <v/>
      </c>
      <c r="L14" s="1539" t="str">
        <f t="shared" ref="L14:L21" si="3">IF(G14&lt;&gt;""=TRUE,"","X")</f>
        <v>X</v>
      </c>
      <c r="M14" s="1585"/>
      <c r="N14" s="1543"/>
      <c r="O14" s="1549"/>
      <c r="P14" s="52"/>
    </row>
    <row r="15" spans="2:22" outlineLevel="1">
      <c r="B15" s="971"/>
      <c r="C15" s="971"/>
      <c r="D15" s="985" t="s">
        <v>1013</v>
      </c>
      <c r="E15" s="986" t="s">
        <v>88</v>
      </c>
      <c r="F15" s="987">
        <f t="shared" si="0"/>
        <v>0</v>
      </c>
      <c r="G15" s="988"/>
      <c r="H15" s="989"/>
      <c r="J15" s="1540" t="str">
        <f t="shared" si="1"/>
        <v/>
      </c>
      <c r="K15" s="1534" t="str">
        <f t="shared" si="2"/>
        <v/>
      </c>
      <c r="L15" s="1539" t="str">
        <f t="shared" si="3"/>
        <v>X</v>
      </c>
      <c r="M15" s="1585"/>
      <c r="N15" s="1543"/>
      <c r="O15" s="1549"/>
      <c r="P15" s="52"/>
    </row>
    <row r="16" spans="2:22" outlineLevel="1">
      <c r="B16" s="971"/>
      <c r="C16" s="971"/>
      <c r="D16" s="985" t="s">
        <v>1014</v>
      </c>
      <c r="E16" s="986" t="s">
        <v>88</v>
      </c>
      <c r="F16" s="987">
        <f t="shared" si="0"/>
        <v>0</v>
      </c>
      <c r="G16" s="988"/>
      <c r="H16" s="989"/>
      <c r="I16" s="1015"/>
      <c r="J16" s="1540" t="str">
        <f t="shared" si="1"/>
        <v/>
      </c>
      <c r="K16" s="1534" t="str">
        <f t="shared" si="2"/>
        <v/>
      </c>
      <c r="L16" s="1539" t="str">
        <f t="shared" si="3"/>
        <v>X</v>
      </c>
      <c r="M16" s="1585"/>
      <c r="N16" s="1543"/>
      <c r="O16" s="1549"/>
      <c r="P16" s="52"/>
    </row>
    <row r="17" spans="2:16" outlineLevel="1">
      <c r="B17" s="971"/>
      <c r="C17" s="971"/>
      <c r="D17" s="985" t="s">
        <v>1015</v>
      </c>
      <c r="E17" s="986" t="s">
        <v>88</v>
      </c>
      <c r="F17" s="987">
        <f t="shared" si="0"/>
        <v>0</v>
      </c>
      <c r="G17" s="990"/>
      <c r="H17" s="991"/>
      <c r="I17" s="1016"/>
      <c r="J17" s="1540" t="str">
        <f t="shared" si="1"/>
        <v/>
      </c>
      <c r="K17" s="1534" t="str">
        <f t="shared" si="2"/>
        <v/>
      </c>
      <c r="L17" s="1539" t="str">
        <f t="shared" si="3"/>
        <v>X</v>
      </c>
      <c r="M17" s="1585"/>
      <c r="N17" s="1543"/>
      <c r="O17" s="1549"/>
      <c r="P17" s="52"/>
    </row>
    <row r="18" spans="2:16" outlineLevel="1">
      <c r="B18" s="971"/>
      <c r="C18" s="971"/>
      <c r="D18" s="985" t="s">
        <v>1016</v>
      </c>
      <c r="E18" s="986" t="s">
        <v>88</v>
      </c>
      <c r="F18" s="987">
        <f t="shared" si="0"/>
        <v>0</v>
      </c>
      <c r="G18" s="988"/>
      <c r="H18" s="989"/>
      <c r="I18" s="1015"/>
      <c r="J18" s="1540" t="str">
        <f t="shared" si="1"/>
        <v/>
      </c>
      <c r="K18" s="1534" t="str">
        <f t="shared" si="2"/>
        <v/>
      </c>
      <c r="L18" s="1539" t="str">
        <f t="shared" si="3"/>
        <v>X</v>
      </c>
      <c r="M18" s="1585"/>
      <c r="N18" s="1543"/>
      <c r="O18" s="1549"/>
      <c r="P18" s="52"/>
    </row>
    <row r="19" spans="2:16" outlineLevel="1">
      <c r="B19" s="971"/>
      <c r="C19" s="971"/>
      <c r="D19" s="985" t="s">
        <v>1017</v>
      </c>
      <c r="E19" s="986" t="s">
        <v>88</v>
      </c>
      <c r="F19" s="987">
        <f t="shared" si="0"/>
        <v>0</v>
      </c>
      <c r="G19" s="988"/>
      <c r="H19" s="989"/>
      <c r="I19" s="1015"/>
      <c r="J19" s="1540" t="str">
        <f t="shared" si="1"/>
        <v/>
      </c>
      <c r="K19" s="1534" t="str">
        <f t="shared" si="2"/>
        <v/>
      </c>
      <c r="L19" s="1539" t="str">
        <f t="shared" si="3"/>
        <v>X</v>
      </c>
      <c r="M19" s="1585"/>
      <c r="N19" s="1543"/>
      <c r="O19" s="1549"/>
      <c r="P19" s="52"/>
    </row>
    <row r="20" spans="2:16" outlineLevel="1">
      <c r="B20" s="971"/>
      <c r="C20" s="971"/>
      <c r="D20" s="985" t="s">
        <v>51</v>
      </c>
      <c r="E20" s="986" t="s">
        <v>88</v>
      </c>
      <c r="F20" s="987">
        <f t="shared" si="0"/>
        <v>0</v>
      </c>
      <c r="G20" s="988"/>
      <c r="H20" s="992"/>
      <c r="I20" s="1015"/>
      <c r="J20" s="1540" t="str">
        <f t="shared" si="1"/>
        <v/>
      </c>
      <c r="K20" s="1534" t="str">
        <f t="shared" si="2"/>
        <v/>
      </c>
      <c r="L20" s="1539" t="str">
        <f t="shared" si="3"/>
        <v>X</v>
      </c>
      <c r="M20" s="1586" t="str">
        <f>IF(ISNONTEXT(H20)=TRUE,"","X")</f>
        <v/>
      </c>
      <c r="N20" s="1544" t="str">
        <f>IF(H20&gt;=0=TRUE,"","X")</f>
        <v/>
      </c>
      <c r="O20" s="1539" t="str">
        <f>IF(H20&lt;&gt;""=TRUE,"","X")</f>
        <v>X</v>
      </c>
      <c r="P20" s="52"/>
    </row>
    <row r="21" spans="2:16" outlineLevel="1">
      <c r="B21" s="971"/>
      <c r="C21" s="971"/>
      <c r="D21" s="993" t="s">
        <v>52</v>
      </c>
      <c r="E21" s="994" t="s">
        <v>88</v>
      </c>
      <c r="F21" s="995">
        <f t="shared" si="0"/>
        <v>0</v>
      </c>
      <c r="G21" s="996"/>
      <c r="H21" s="997"/>
      <c r="I21" s="1015"/>
      <c r="J21" s="1540" t="str">
        <f t="shared" si="1"/>
        <v/>
      </c>
      <c r="K21" s="1534" t="str">
        <f t="shared" si="2"/>
        <v/>
      </c>
      <c r="L21" s="1539" t="str">
        <f t="shared" si="3"/>
        <v>X</v>
      </c>
      <c r="M21" s="1586" t="str">
        <f>IF(ISNONTEXT(H21)=TRUE,"","X")</f>
        <v/>
      </c>
      <c r="N21" s="1544" t="str">
        <f>IF(H21&gt;=0=TRUE,"","X")</f>
        <v/>
      </c>
      <c r="O21" s="1539" t="str">
        <f>IF(H21&lt;&gt;""=TRUE,"","X")</f>
        <v>X</v>
      </c>
      <c r="P21" s="52"/>
    </row>
    <row r="22" spans="2:16" outlineLevel="1">
      <c r="B22" s="998"/>
      <c r="C22" s="998"/>
      <c r="D22" s="966" t="s">
        <v>1236</v>
      </c>
      <c r="E22" s="967" t="s">
        <v>88</v>
      </c>
      <c r="F22" s="999">
        <f>H22+G22</f>
        <v>0</v>
      </c>
      <c r="G22" s="1000">
        <f>+SUM(G13:G21)</f>
        <v>0</v>
      </c>
      <c r="H22" s="1000">
        <f>+SUM(H20:H21)</f>
        <v>0</v>
      </c>
      <c r="I22" s="1026"/>
      <c r="J22" s="1577" t="str">
        <f t="shared" ref="J22" si="4">IF(ISNONTEXT(G22)=TRUE,"","X")</f>
        <v/>
      </c>
      <c r="K22" s="1578" t="str">
        <f t="shared" ref="K22" si="5">IF(G22&gt;=0=TRUE,"","X")</f>
        <v/>
      </c>
      <c r="L22" s="1579" t="str">
        <f t="shared" ref="L22" si="6">IF(G22&lt;&gt;""=TRUE,"","X")</f>
        <v/>
      </c>
      <c r="M22" s="1587" t="str">
        <f>IF(ISNONTEXT(H22)=TRUE,"","X")</f>
        <v/>
      </c>
      <c r="N22" s="1588" t="str">
        <f>IF(H22&gt;=0=TRUE,"","X")</f>
        <v/>
      </c>
      <c r="O22" s="1579" t="str">
        <f>IF(H22&lt;&gt;""=TRUE,"","X")</f>
        <v/>
      </c>
    </row>
    <row r="24" spans="2:16" s="49" customFormat="1" ht="18.75">
      <c r="B24" s="628" t="s">
        <v>1228</v>
      </c>
      <c r="C24" s="622"/>
      <c r="D24" s="622"/>
      <c r="E24" s="629"/>
      <c r="F24" s="622"/>
      <c r="G24" s="622"/>
      <c r="H24" s="622"/>
      <c r="I24" s="960"/>
      <c r="L24" s="1007"/>
      <c r="M24" s="1007"/>
      <c r="N24" s="1007"/>
    </row>
    <row r="25" spans="2:16" s="52" customFormat="1" ht="15.75">
      <c r="B25" s="974" t="s">
        <v>1071</v>
      </c>
      <c r="C25" s="964"/>
      <c r="D25" s="964"/>
      <c r="E25" s="964"/>
      <c r="F25" s="964"/>
      <c r="G25" s="964"/>
      <c r="H25" s="964"/>
      <c r="I25" s="633"/>
      <c r="L25" s="44"/>
      <c r="M25" s="44"/>
      <c r="N25" s="44"/>
    </row>
    <row r="26" spans="2:16" s="633" customFormat="1" ht="15.75">
      <c r="B26" s="632"/>
      <c r="C26" s="632"/>
      <c r="D26" s="1006"/>
    </row>
    <row r="27" spans="2:16" ht="18.75">
      <c r="D27" s="1001" t="s">
        <v>53</v>
      </c>
      <c r="E27" s="961"/>
      <c r="F27" s="963"/>
      <c r="G27" s="962"/>
      <c r="H27" s="963"/>
    </row>
    <row r="28" spans="2:16" s="632" customFormat="1" ht="14.25" customHeight="1" outlineLevel="1">
      <c r="B28" s="971"/>
      <c r="C28" s="971"/>
      <c r="D28" s="970"/>
      <c r="E28" s="970"/>
      <c r="F28" s="971"/>
      <c r="G28" s="970"/>
      <c r="H28" s="971"/>
      <c r="I28" s="971"/>
    </row>
    <row r="29" spans="2:16" s="632" customFormat="1" ht="28.5" customHeight="1" outlineLevel="1">
      <c r="B29" s="971"/>
      <c r="C29" s="971"/>
      <c r="D29" s="970"/>
      <c r="E29" s="970"/>
      <c r="F29" s="2009" t="s">
        <v>1238</v>
      </c>
      <c r="G29" s="2010"/>
      <c r="H29" s="2011"/>
      <c r="I29" s="1019"/>
      <c r="J29" s="1545" t="s">
        <v>1430</v>
      </c>
      <c r="K29" s="1546" t="s">
        <v>1431</v>
      </c>
      <c r="L29" s="1552" t="s">
        <v>1432</v>
      </c>
    </row>
    <row r="30" spans="2:16" ht="23.45" customHeight="1" outlineLevel="1">
      <c r="B30" s="971"/>
      <c r="C30" s="971"/>
      <c r="D30" s="970"/>
      <c r="E30" s="958" t="s">
        <v>1192</v>
      </c>
      <c r="F30" s="1013" t="s">
        <v>1235</v>
      </c>
      <c r="G30" s="1025" t="s">
        <v>1213</v>
      </c>
      <c r="H30" s="1014" t="s">
        <v>1234</v>
      </c>
      <c r="I30" s="1019"/>
      <c r="J30" s="2006" t="s">
        <v>1213</v>
      </c>
      <c r="K30" s="2007"/>
      <c r="L30" s="2008"/>
    </row>
    <row r="31" spans="2:16" outlineLevel="1">
      <c r="B31" s="971"/>
      <c r="C31" s="971"/>
      <c r="D31" s="980" t="s">
        <v>54</v>
      </c>
      <c r="E31" s="981" t="s">
        <v>88</v>
      </c>
      <c r="F31" s="982">
        <f>G31</f>
        <v>0</v>
      </c>
      <c r="G31" s="983"/>
      <c r="H31" s="984"/>
      <c r="I31" s="1015"/>
      <c r="J31" s="1540" t="str">
        <f>IF(ISNONTEXT(G31)=TRUE,"","X")</f>
        <v/>
      </c>
      <c r="K31" s="1534" t="str">
        <f>IF(G31&gt;=0=TRUE,"","X")</f>
        <v/>
      </c>
      <c r="L31" s="1539" t="str">
        <f t="shared" ref="L31" si="7">IF(G31&lt;&gt;""=TRUE,"","X")</f>
        <v>X</v>
      </c>
    </row>
    <row r="32" spans="2:16" outlineLevel="1">
      <c r="B32" s="971"/>
      <c r="C32" s="971"/>
      <c r="D32" s="985" t="s">
        <v>55</v>
      </c>
      <c r="E32" s="986" t="s">
        <v>88</v>
      </c>
      <c r="F32" s="987">
        <f>G32</f>
        <v>0</v>
      </c>
      <c r="G32" s="988"/>
      <c r="H32" s="989"/>
      <c r="I32" s="1015"/>
      <c r="J32" s="1540" t="str">
        <f>IF(ISNONTEXT(G32)=TRUE,"","X")</f>
        <v/>
      </c>
      <c r="K32" s="1534" t="str">
        <f>IF(G32&gt;=0=TRUE,"","X")</f>
        <v/>
      </c>
      <c r="L32" s="1539" t="str">
        <f t="shared" ref="L32" si="8">IF(G32&lt;&gt;""=TRUE,"","X")</f>
        <v>X</v>
      </c>
    </row>
    <row r="33" spans="2:14" outlineLevel="1">
      <c r="B33" s="971"/>
      <c r="C33" s="971"/>
      <c r="D33" s="985" t="s">
        <v>50</v>
      </c>
      <c r="E33" s="986" t="s">
        <v>88</v>
      </c>
      <c r="F33" s="987">
        <f>G33</f>
        <v>0</v>
      </c>
      <c r="G33" s="1008">
        <f>'2.6 Non-network'!F53</f>
        <v>0</v>
      </c>
      <c r="H33" s="1009"/>
      <c r="I33" s="1017"/>
      <c r="J33" s="1553"/>
      <c r="K33" s="1554"/>
      <c r="L33" s="1555"/>
    </row>
    <row r="34" spans="2:14" outlineLevel="1">
      <c r="B34" s="971"/>
      <c r="C34" s="971"/>
      <c r="D34" s="985" t="s">
        <v>56</v>
      </c>
      <c r="E34" s="986" t="s">
        <v>88</v>
      </c>
      <c r="F34" s="987">
        <f>SUM(G34:H34)</f>
        <v>0</v>
      </c>
      <c r="G34" s="1008">
        <f>'2.10 Overheads'!M15</f>
        <v>0</v>
      </c>
      <c r="H34" s="1010">
        <f>'2.10 Overheads'!N15</f>
        <v>0</v>
      </c>
      <c r="I34" s="1021"/>
      <c r="J34" s="1553"/>
      <c r="K34" s="1554"/>
      <c r="L34" s="1555"/>
    </row>
    <row r="35" spans="2:14" outlineLevel="1">
      <c r="B35" s="971"/>
      <c r="C35" s="971"/>
      <c r="D35" s="985" t="s">
        <v>57</v>
      </c>
      <c r="E35" s="986" t="s">
        <v>88</v>
      </c>
      <c r="F35" s="987">
        <f>SUM(G35:H35)</f>
        <v>0</v>
      </c>
      <c r="G35" s="1008">
        <f>'2.10 Overheads'!M21</f>
        <v>0</v>
      </c>
      <c r="H35" s="1010">
        <f>'2.10 Overheads'!N21</f>
        <v>0</v>
      </c>
      <c r="I35" s="1021"/>
      <c r="J35" s="1553"/>
      <c r="K35" s="1554"/>
      <c r="L35" s="1555"/>
    </row>
    <row r="36" spans="2:14" outlineLevel="1">
      <c r="B36" s="971"/>
      <c r="C36" s="971"/>
      <c r="D36" s="1664" t="s">
        <v>59</v>
      </c>
      <c r="E36" s="994" t="s">
        <v>88</v>
      </c>
      <c r="F36" s="995">
        <f>G36</f>
        <v>0</v>
      </c>
      <c r="G36" s="1011"/>
      <c r="H36" s="1012"/>
      <c r="I36" s="1016"/>
      <c r="J36" s="1540" t="str">
        <f>IF(ISNONTEXT(G36)=TRUE,"","X")</f>
        <v/>
      </c>
      <c r="K36" s="1534" t="str">
        <f>IF(G36&gt;=0=TRUE,"","X")</f>
        <v/>
      </c>
      <c r="L36" s="1539" t="str">
        <f t="shared" ref="L36" si="9">IF(G36&lt;&gt;""=TRUE,"","X")</f>
        <v>X</v>
      </c>
    </row>
    <row r="37" spans="2:14" outlineLevel="1">
      <c r="B37" s="971"/>
      <c r="C37" s="971"/>
      <c r="D37" s="966" t="s">
        <v>1237</v>
      </c>
      <c r="E37" s="967"/>
      <c r="F37" s="999">
        <f>SUM(F31:F36)</f>
        <v>0</v>
      </c>
      <c r="G37" s="1000">
        <f t="shared" ref="G37:H37" si="10">SUM(G31:G36)</f>
        <v>0</v>
      </c>
      <c r="H37" s="1000">
        <f t="shared" si="10"/>
        <v>0</v>
      </c>
      <c r="I37" s="1020"/>
      <c r="J37" s="1577" t="str">
        <f>IF(ISNONTEXT(G37)=TRUE,"","X")</f>
        <v/>
      </c>
      <c r="K37" s="1578" t="str">
        <f>IF(G37&gt;=0=TRUE,"","X")</f>
        <v/>
      </c>
      <c r="L37" s="1579" t="str">
        <f t="shared" ref="L37" si="11">IF(G37&lt;&gt;""=TRUE,"","X")</f>
        <v/>
      </c>
    </row>
    <row r="38" spans="2:14" s="52" customFormat="1" outlineLevel="1">
      <c r="B38" s="44"/>
      <c r="C38" s="44"/>
      <c r="D38" s="44"/>
      <c r="E38" s="44"/>
      <c r="F38" s="44"/>
      <c r="G38" s="44"/>
      <c r="H38" s="44"/>
      <c r="I38" s="44"/>
      <c r="L38" s="44"/>
      <c r="M38" s="44"/>
      <c r="N38" s="44"/>
    </row>
    <row r="39" spans="2:14" ht="15" customHeight="1" outlineLevel="1"/>
    <row r="40" spans="2:14" ht="15" customHeight="1"/>
    <row r="41" spans="2:14">
      <c r="B41" s="1717" t="s">
        <v>1468</v>
      </c>
      <c r="C41" s="1714"/>
      <c r="D41" s="1715" t="b">
        <f>AND(G43=G44=F45=TRUE)</f>
        <v>1</v>
      </c>
    </row>
    <row r="42" spans="2:14" ht="18.75" outlineLevel="1">
      <c r="D42" s="1710" t="s">
        <v>53</v>
      </c>
      <c r="E42" s="1711"/>
      <c r="F42" s="1712"/>
      <c r="G42" s="1712"/>
      <c r="H42" s="1712"/>
    </row>
    <row r="43" spans="2:14" outlineLevel="1">
      <c r="D43" s="1713" t="s">
        <v>54</v>
      </c>
      <c r="E43" s="1567"/>
      <c r="F43" s="1567"/>
      <c r="G43" s="1567" t="b">
        <f>SUM('2.7 Vegetation management'!F13:F18)=G31</f>
        <v>1</v>
      </c>
      <c r="H43" s="1567"/>
    </row>
    <row r="44" spans="2:14" outlineLevel="1">
      <c r="D44" s="1713" t="s">
        <v>55</v>
      </c>
      <c r="E44" s="1567"/>
      <c r="F44" s="1567"/>
      <c r="G44" s="1567" t="b">
        <f>SUM('2.8 Maintenance'!F29:G33)='2.1 Expenditure summary'!G32</f>
        <v>1</v>
      </c>
      <c r="H44" s="1567"/>
    </row>
    <row r="45" spans="2:14" outlineLevel="1">
      <c r="D45" s="966" t="s">
        <v>1237</v>
      </c>
      <c r="F45" s="46" t="b">
        <f>F37='8.5 DISAGG Opex'!G65</f>
        <v>1</v>
      </c>
    </row>
    <row r="50" spans="4:7">
      <c r="D50" s="53"/>
      <c r="E50" s="53"/>
      <c r="G50" s="53"/>
    </row>
  </sheetData>
  <mergeCells count="5">
    <mergeCell ref="M12:O12"/>
    <mergeCell ref="J30:L30"/>
    <mergeCell ref="F11:H11"/>
    <mergeCell ref="F29:H29"/>
    <mergeCell ref="J12:L12"/>
  </mergeCells>
  <phoneticPr fontId="98" type="noConversion"/>
  <conditionalFormatting sqref="D41">
    <cfRule type="cellIs" dxfId="67" priority="1" operator="equal">
      <formula>FALSE</formula>
    </cfRule>
  </conditionalFormatting>
  <dataValidations count="2">
    <dataValidation type="custom" operator="greaterThanOrEqual" allowBlank="1" showInputMessage="1" showErrorMessage="1" errorTitle="Expenditure" error="Must be a number" promptTitle="Expenditure" prompt="Enter expenditure" sqref="G22:H22" xr:uid="{A3D3118F-B1E9-4C67-ADC0-B8201FD6903D}">
      <formula1>ISNUMBER(G22)</formula1>
    </dataValidation>
    <dataValidation allowBlank="1" sqref="J29:L29 K9:N9 J5:L8 I1:I26 J10:N10 J12 M12 J11:O11 J30 J23:N26 P1:P4 J1:J4" xr:uid="{45E7E34B-8F66-41F5-A055-AF150CE4D256}"/>
  </dataValidations>
  <pageMargins left="0.70866141732283472" right="0.70866141732283472" top="0.74803149606299213"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92B6-D9B6-47B9-B5C6-CBDFEBF8E579}">
  <sheetPr codeName="Sheet3">
    <tabColor theme="3" tint="-0.249977111117893"/>
    <pageSetUpPr fitToPage="1"/>
  </sheetPr>
  <dimension ref="B1:U132"/>
  <sheetViews>
    <sheetView workbookViewId="0"/>
  </sheetViews>
  <sheetFormatPr defaultColWidth="9.140625" defaultRowHeight="15"/>
  <cols>
    <col min="1" max="1" width="20.5703125" style="621" customWidth="1"/>
    <col min="2" max="2" width="11.140625" style="46" customWidth="1"/>
    <col min="3" max="3" width="2.5703125" style="46" customWidth="1"/>
    <col min="4" max="4" width="54.42578125" style="621" customWidth="1"/>
    <col min="5" max="5" width="9.7109375" style="1037" customWidth="1"/>
    <col min="6" max="6" width="17.7109375" style="621" customWidth="1"/>
    <col min="7" max="7" width="18.7109375" style="621" customWidth="1"/>
    <col min="8" max="8" width="15.5703125" style="621" customWidth="1"/>
    <col min="9" max="9" width="9.7109375" style="621" customWidth="1"/>
    <col min="10" max="21" width="3.7109375" style="621" customWidth="1"/>
    <col min="22" max="16384" width="9.140625" style="621"/>
  </cols>
  <sheetData>
    <row r="1" spans="2:21" s="1029" customFormat="1" ht="20.100000000000001" customHeight="1">
      <c r="B1" s="975"/>
      <c r="C1" s="975"/>
      <c r="D1" s="1002" t="str">
        <f>dms_SheetHeading1</f>
        <v>ANNUAL INFORMATION ORDER</v>
      </c>
      <c r="E1" s="1027"/>
      <c r="F1" s="1028"/>
      <c r="G1" s="1028"/>
      <c r="H1" s="1028"/>
      <c r="I1" s="44"/>
      <c r="J1" s="1658" t="s">
        <v>1040</v>
      </c>
      <c r="K1" s="1323"/>
      <c r="L1" s="1323"/>
      <c r="M1" s="1323"/>
      <c r="N1" s="1323"/>
      <c r="O1" s="1323"/>
      <c r="P1" s="1657" t="s">
        <v>1039</v>
      </c>
      <c r="Q1" s="1323"/>
      <c r="R1" s="1323"/>
      <c r="S1" s="1323"/>
      <c r="T1" s="1323"/>
      <c r="U1" s="1323"/>
    </row>
    <row r="2" spans="2:21" s="1029" customFormat="1" ht="20.100000000000001" customHeight="1">
      <c r="B2" s="977"/>
      <c r="C2" s="977"/>
      <c r="D2" s="1003" t="str">
        <f>dms_SheetHeading2</f>
        <v>Australian Transmission Co.</v>
      </c>
      <c r="E2" s="1030"/>
      <c r="F2" s="1028"/>
      <c r="G2" s="1028"/>
      <c r="H2" s="1028"/>
      <c r="I2" s="44"/>
      <c r="J2" s="1659" t="s">
        <v>1041</v>
      </c>
      <c r="K2" s="1324"/>
      <c r="L2" s="1324"/>
      <c r="M2" s="1324"/>
      <c r="N2" s="1324"/>
      <c r="O2" s="1324"/>
      <c r="P2" s="1379" t="s">
        <v>202</v>
      </c>
      <c r="Q2" s="1324"/>
      <c r="R2" s="1324"/>
      <c r="S2" s="1324"/>
      <c r="T2" s="1324"/>
      <c r="U2" s="1324"/>
    </row>
    <row r="3" spans="2:21" s="1029" customFormat="1" ht="20.100000000000001" customHeight="1">
      <c r="B3" s="976"/>
      <c r="C3" s="976"/>
      <c r="D3" s="1004" t="str">
        <f>dms_SheetHeading3</f>
        <v>REPORTING STATEMENT: 2024-25</v>
      </c>
      <c r="E3" s="1027"/>
      <c r="F3" s="1031"/>
      <c r="G3" s="1031"/>
      <c r="H3" s="1031"/>
      <c r="I3" s="44"/>
      <c r="J3" s="1660" t="s">
        <v>1042</v>
      </c>
      <c r="K3" s="1325"/>
      <c r="L3" s="1325"/>
      <c r="M3" s="1325"/>
      <c r="N3" s="1325"/>
      <c r="O3" s="1325"/>
      <c r="P3" s="1380" t="s">
        <v>203</v>
      </c>
      <c r="Q3" s="1325"/>
      <c r="R3" s="1325"/>
      <c r="S3" s="1325"/>
      <c r="T3" s="1325"/>
      <c r="U3" s="1325"/>
    </row>
    <row r="4" spans="2:21" s="1029" customFormat="1" ht="20.100000000000001" customHeight="1">
      <c r="B4" s="979"/>
      <c r="C4" s="979"/>
      <c r="D4" s="1005" t="s">
        <v>1251</v>
      </c>
      <c r="E4" s="979"/>
      <c r="F4" s="979"/>
      <c r="G4" s="979"/>
      <c r="H4" s="979"/>
      <c r="I4" s="44"/>
      <c r="J4" s="1662" t="s">
        <v>1044</v>
      </c>
      <c r="K4" s="1692"/>
      <c r="L4" s="1693"/>
      <c r="M4" s="1498"/>
      <c r="N4" s="1498"/>
      <c r="O4" s="1498"/>
      <c r="P4" s="1497" t="s">
        <v>1043</v>
      </c>
      <c r="Q4" s="1498"/>
      <c r="R4" s="1498"/>
      <c r="S4" s="1498"/>
      <c r="T4" s="1498"/>
      <c r="U4" s="1498"/>
    </row>
    <row r="5" spans="2:21" ht="13.5" customHeight="1">
      <c r="B5" s="1083"/>
      <c r="C5" s="44"/>
      <c r="D5" s="627"/>
      <c r="E5" s="44"/>
      <c r="F5" s="627"/>
      <c r="G5" s="627"/>
      <c r="H5" s="627"/>
      <c r="I5" s="44"/>
      <c r="J5" s="44"/>
      <c r="K5" s="44"/>
      <c r="L5" s="44"/>
      <c r="M5" s="44"/>
      <c r="N5" s="44"/>
    </row>
    <row r="6" spans="2:21" s="1084" customFormat="1" ht="18.75">
      <c r="B6" s="973" t="s">
        <v>1216</v>
      </c>
      <c r="C6" s="619"/>
      <c r="D6" s="619"/>
      <c r="E6" s="619"/>
      <c r="F6" s="619"/>
      <c r="G6" s="619"/>
      <c r="H6" s="619"/>
      <c r="I6" s="44"/>
      <c r="J6" s="44"/>
      <c r="K6" s="44"/>
      <c r="L6" s="44"/>
      <c r="M6" s="44"/>
      <c r="N6" s="44"/>
    </row>
    <row r="7" spans="2:21" s="46" customFormat="1" ht="15.75">
      <c r="B7" s="1032" t="s">
        <v>1073</v>
      </c>
      <c r="C7" s="1033"/>
      <c r="D7" s="1033"/>
      <c r="E7" s="1033"/>
      <c r="F7" s="1033"/>
      <c r="G7" s="1033"/>
      <c r="H7" s="1033"/>
      <c r="J7" s="44"/>
      <c r="K7" s="44"/>
      <c r="L7" s="44"/>
      <c r="M7" s="44"/>
      <c r="N7" s="44"/>
    </row>
    <row r="8" spans="2:21" s="1034" customFormat="1" ht="15.75">
      <c r="B8" s="628" t="s">
        <v>1217</v>
      </c>
      <c r="C8" s="620"/>
      <c r="D8" s="620"/>
      <c r="E8" s="620"/>
      <c r="F8" s="620"/>
      <c r="G8" s="620"/>
      <c r="H8" s="620"/>
      <c r="I8" s="633"/>
      <c r="J8" s="44"/>
      <c r="K8" s="44"/>
      <c r="L8" s="44"/>
      <c r="M8" s="44"/>
      <c r="N8" s="44"/>
    </row>
    <row r="9" spans="2:21" s="1034" customFormat="1" ht="15.75">
      <c r="B9" s="1032" t="s">
        <v>1074</v>
      </c>
      <c r="C9" s="1033"/>
      <c r="D9" s="1033"/>
      <c r="E9" s="1033"/>
      <c r="F9" s="1033"/>
      <c r="G9" s="1033"/>
      <c r="H9" s="1033"/>
      <c r="I9" s="633"/>
      <c r="J9" s="44"/>
      <c r="K9" s="44"/>
      <c r="L9" s="44"/>
      <c r="M9" s="44"/>
      <c r="N9" s="44"/>
    </row>
    <row r="10" spans="2:21" s="633" customFormat="1" ht="13.5" customHeight="1">
      <c r="J10" s="44"/>
      <c r="K10" s="44"/>
      <c r="L10" s="44"/>
      <c r="M10" s="44"/>
      <c r="N10" s="44"/>
    </row>
    <row r="11" spans="2:21" s="1034" customFormat="1" ht="18.75">
      <c r="B11" s="44"/>
      <c r="C11" s="44"/>
      <c r="D11" s="959" t="s">
        <v>58</v>
      </c>
      <c r="E11" s="47"/>
      <c r="F11" s="47"/>
      <c r="G11" s="47"/>
      <c r="H11" s="47"/>
      <c r="I11" s="44"/>
      <c r="J11" s="44"/>
      <c r="K11" s="44"/>
      <c r="L11" s="44"/>
      <c r="M11" s="44"/>
      <c r="N11" s="44"/>
    </row>
    <row r="12" spans="2:21" ht="15.75">
      <c r="B12" s="633"/>
      <c r="C12" s="633"/>
      <c r="D12" s="1089"/>
      <c r="E12" s="633"/>
      <c r="F12" s="633"/>
      <c r="G12" s="633"/>
      <c r="H12" s="633"/>
      <c r="I12" s="633"/>
    </row>
    <row r="13" spans="2:21" s="1034" customFormat="1" ht="45" customHeight="1">
      <c r="B13" s="48"/>
      <c r="C13" s="48"/>
      <c r="D13" s="1029"/>
      <c r="E13" s="970"/>
      <c r="F13" s="1097" t="s">
        <v>1255</v>
      </c>
      <c r="G13" s="2016" t="s">
        <v>1214</v>
      </c>
      <c r="H13" s="2017" t="s">
        <v>1215</v>
      </c>
      <c r="I13" s="44"/>
      <c r="J13" s="1594" t="s">
        <v>1430</v>
      </c>
      <c r="K13" s="1595" t="s">
        <v>1431</v>
      </c>
      <c r="L13" s="1607" t="s">
        <v>1432</v>
      </c>
      <c r="M13" s="1594" t="s">
        <v>1430</v>
      </c>
      <c r="N13" s="1595" t="s">
        <v>1431</v>
      </c>
      <c r="O13" s="1596" t="s">
        <v>1432</v>
      </c>
      <c r="P13" s="1594" t="s">
        <v>1430</v>
      </c>
      <c r="Q13" s="1595" t="s">
        <v>1431</v>
      </c>
      <c r="R13" s="1596" t="s">
        <v>1432</v>
      </c>
      <c r="S13" s="621"/>
      <c r="T13" s="621"/>
      <c r="U13" s="621"/>
    </row>
    <row r="14" spans="2:21" s="1029" customFormat="1" ht="15" customHeight="1">
      <c r="B14" s="44"/>
      <c r="C14" s="44"/>
      <c r="D14" s="627"/>
      <c r="E14" s="627"/>
      <c r="F14" s="1035" t="s">
        <v>1213</v>
      </c>
      <c r="G14" s="2016"/>
      <c r="H14" s="2017"/>
      <c r="I14" s="44"/>
      <c r="J14" s="2012" t="s">
        <v>1213</v>
      </c>
      <c r="K14" s="2013"/>
      <c r="L14" s="2013"/>
      <c r="M14" s="2012" t="s">
        <v>1433</v>
      </c>
      <c r="N14" s="2013"/>
      <c r="O14" s="2013"/>
      <c r="P14" s="2012" t="s">
        <v>1252</v>
      </c>
      <c r="Q14" s="2013"/>
      <c r="R14" s="2018"/>
      <c r="S14" s="621"/>
      <c r="T14" s="621"/>
      <c r="U14" s="621"/>
    </row>
    <row r="15" spans="2:21" s="1029" customFormat="1">
      <c r="B15" s="44"/>
      <c r="C15" s="44"/>
      <c r="E15" s="958" t="s">
        <v>1192</v>
      </c>
      <c r="F15" s="1036" t="s">
        <v>88</v>
      </c>
      <c r="G15" s="1036" t="s">
        <v>1531</v>
      </c>
      <c r="H15" s="1036" t="s">
        <v>1018</v>
      </c>
      <c r="I15" s="44"/>
      <c r="J15" s="2014"/>
      <c r="K15" s="2015"/>
      <c r="L15" s="2015"/>
      <c r="M15" s="2014"/>
      <c r="N15" s="2015"/>
      <c r="O15" s="2015"/>
      <c r="P15" s="2014"/>
      <c r="Q15" s="2015"/>
      <c r="R15" s="2019"/>
      <c r="S15" s="621"/>
      <c r="T15" s="621"/>
      <c r="U15" s="621"/>
    </row>
    <row r="16" spans="2:21">
      <c r="D16" s="980" t="s">
        <v>1054</v>
      </c>
      <c r="E16" s="1094"/>
      <c r="F16" s="1095"/>
      <c r="G16" s="1095"/>
      <c r="H16" s="1096"/>
      <c r="I16" s="44"/>
      <c r="J16" s="1591" t="str">
        <f>IF(ISNONTEXT(F16)=TRUE,"","X")</f>
        <v/>
      </c>
      <c r="K16" s="1592" t="str">
        <f>IF(F16&gt;=0=TRUE,"","X")</f>
        <v/>
      </c>
      <c r="L16" s="1592" t="str">
        <f>IF(F16&lt;&gt;""=TRUE,"","X")</f>
        <v>X</v>
      </c>
      <c r="M16" s="1591" t="str">
        <f>IF(ISNONTEXT(G16)=TRUE,"","X")</f>
        <v/>
      </c>
      <c r="N16" s="1592" t="str">
        <f>IF(G16&gt;=0=TRUE,"","X")</f>
        <v/>
      </c>
      <c r="O16" s="1592" t="str">
        <f>IF(G16&lt;&gt;""=TRUE,"","X")</f>
        <v>X</v>
      </c>
      <c r="P16" s="1591" t="str">
        <f>IF(ISNONTEXT(H16)=TRUE,"","X")</f>
        <v/>
      </c>
      <c r="Q16" s="1592" t="str">
        <f>IF(H16&gt;=0=TRUE,"","X")</f>
        <v/>
      </c>
      <c r="R16" s="1575" t="str">
        <f>IF(H16&lt;&gt;""=TRUE,"","X")</f>
        <v>X</v>
      </c>
    </row>
    <row r="17" spans="2:18" ht="15.75" customHeight="1">
      <c r="B17" s="1084"/>
      <c r="C17" s="1084"/>
      <c r="D17" s="985" t="s">
        <v>1055</v>
      </c>
      <c r="E17" s="1750"/>
      <c r="F17" s="990"/>
      <c r="G17" s="990"/>
      <c r="H17" s="1751"/>
      <c r="I17" s="44"/>
      <c r="J17" s="1591" t="str">
        <f t="shared" ref="J17:J24" si="0">IF(ISNONTEXT(F17)=TRUE,"","X")</f>
        <v/>
      </c>
      <c r="K17" s="1592" t="str">
        <f t="shared" ref="K17:K24" si="1">IF(F17&gt;=0=TRUE,"","X")</f>
        <v/>
      </c>
      <c r="L17" s="1592" t="str">
        <f t="shared" ref="L17:L24" si="2">IF(F17&lt;&gt;""=TRUE,"","X")</f>
        <v>X</v>
      </c>
      <c r="M17" s="1591" t="str">
        <f t="shared" ref="M17:M24" si="3">IF(ISNONTEXT(G17)=TRUE,"","X")</f>
        <v/>
      </c>
      <c r="N17" s="1592" t="str">
        <f t="shared" ref="N17:N24" si="4">IF(G17&gt;=0=TRUE,"","X")</f>
        <v/>
      </c>
      <c r="O17" s="1592" t="str">
        <f t="shared" ref="O17:O24" si="5">IF(G17&lt;&gt;""=TRUE,"","X")</f>
        <v>X</v>
      </c>
      <c r="P17" s="1591" t="str">
        <f t="shared" ref="P17:P24" si="6">IF(ISNONTEXT(H17)=TRUE,"","X")</f>
        <v/>
      </c>
      <c r="Q17" s="1592" t="str">
        <f t="shared" ref="Q17:Q24" si="7">IF(H17&gt;=0=TRUE,"","X")</f>
        <v/>
      </c>
      <c r="R17" s="1575" t="str">
        <f t="shared" ref="R17:R24" si="8">IF(H17&lt;&gt;""=TRUE,"","X")</f>
        <v>X</v>
      </c>
    </row>
    <row r="18" spans="2:18" ht="18.75">
      <c r="B18" s="1084"/>
      <c r="C18" s="1084"/>
      <c r="D18" s="985" t="s">
        <v>1056</v>
      </c>
      <c r="E18" s="1750"/>
      <c r="F18" s="990"/>
      <c r="G18" s="990"/>
      <c r="H18" s="1751"/>
      <c r="I18" s="44"/>
      <c r="J18" s="1591" t="str">
        <f t="shared" si="0"/>
        <v/>
      </c>
      <c r="K18" s="1592" t="str">
        <f t="shared" si="1"/>
        <v/>
      </c>
      <c r="L18" s="1592" t="str">
        <f t="shared" si="2"/>
        <v>X</v>
      </c>
      <c r="M18" s="1591" t="str">
        <f t="shared" si="3"/>
        <v/>
      </c>
      <c r="N18" s="1592" t="str">
        <f t="shared" si="4"/>
        <v/>
      </c>
      <c r="O18" s="1592" t="str">
        <f t="shared" si="5"/>
        <v>X</v>
      </c>
      <c r="P18" s="1591" t="str">
        <f t="shared" si="6"/>
        <v/>
      </c>
      <c r="Q18" s="1592" t="str">
        <f t="shared" si="7"/>
        <v/>
      </c>
      <c r="R18" s="1575" t="str">
        <f t="shared" si="8"/>
        <v>X</v>
      </c>
    </row>
    <row r="19" spans="2:18" ht="18.75">
      <c r="B19" s="1084"/>
      <c r="C19" s="1084"/>
      <c r="D19" s="985" t="s">
        <v>1057</v>
      </c>
      <c r="E19" s="1750"/>
      <c r="F19" s="990"/>
      <c r="G19" s="990"/>
      <c r="H19" s="1751"/>
      <c r="I19" s="44"/>
      <c r="J19" s="1591" t="str">
        <f t="shared" si="0"/>
        <v/>
      </c>
      <c r="K19" s="1592" t="str">
        <f t="shared" si="1"/>
        <v/>
      </c>
      <c r="L19" s="1592" t="str">
        <f t="shared" si="2"/>
        <v>X</v>
      </c>
      <c r="M19" s="1591" t="str">
        <f t="shared" si="3"/>
        <v/>
      </c>
      <c r="N19" s="1592" t="str">
        <f t="shared" si="4"/>
        <v/>
      </c>
      <c r="O19" s="1592" t="str">
        <f t="shared" si="5"/>
        <v>X</v>
      </c>
      <c r="P19" s="1591" t="str">
        <f t="shared" si="6"/>
        <v/>
      </c>
      <c r="Q19" s="1592" t="str">
        <f t="shared" si="7"/>
        <v/>
      </c>
      <c r="R19" s="1575" t="str">
        <f t="shared" si="8"/>
        <v>X</v>
      </c>
    </row>
    <row r="20" spans="2:18" ht="18.75">
      <c r="B20" s="1084"/>
      <c r="C20" s="1084"/>
      <c r="D20" s="985" t="s">
        <v>1058</v>
      </c>
      <c r="E20" s="1750"/>
      <c r="F20" s="990"/>
      <c r="G20" s="990"/>
      <c r="H20" s="1751"/>
      <c r="I20" s="44"/>
      <c r="J20" s="1591" t="str">
        <f t="shared" si="0"/>
        <v/>
      </c>
      <c r="K20" s="1592" t="str">
        <f t="shared" si="1"/>
        <v/>
      </c>
      <c r="L20" s="1592" t="str">
        <f t="shared" si="2"/>
        <v>X</v>
      </c>
      <c r="M20" s="1591" t="str">
        <f t="shared" si="3"/>
        <v/>
      </c>
      <c r="N20" s="1592" t="str">
        <f t="shared" si="4"/>
        <v/>
      </c>
      <c r="O20" s="1592" t="str">
        <f t="shared" si="5"/>
        <v>X</v>
      </c>
      <c r="P20" s="1591" t="str">
        <f t="shared" si="6"/>
        <v/>
      </c>
      <c r="Q20" s="1592" t="str">
        <f t="shared" si="7"/>
        <v/>
      </c>
      <c r="R20" s="1575" t="str">
        <f t="shared" si="8"/>
        <v>X</v>
      </c>
    </row>
    <row r="21" spans="2:18" ht="18.75">
      <c r="B21" s="1084"/>
      <c r="C21" s="1084"/>
      <c r="D21" s="985" t="s">
        <v>1059</v>
      </c>
      <c r="E21" s="1750"/>
      <c r="F21" s="990"/>
      <c r="G21" s="990"/>
      <c r="H21" s="1751"/>
      <c r="I21" s="44"/>
      <c r="J21" s="1591" t="str">
        <f t="shared" si="0"/>
        <v/>
      </c>
      <c r="K21" s="1592" t="str">
        <f t="shared" si="1"/>
        <v/>
      </c>
      <c r="L21" s="1592" t="str">
        <f t="shared" si="2"/>
        <v>X</v>
      </c>
      <c r="M21" s="1591" t="str">
        <f t="shared" si="3"/>
        <v/>
      </c>
      <c r="N21" s="1592" t="str">
        <f t="shared" si="4"/>
        <v/>
      </c>
      <c r="O21" s="1592" t="str">
        <f t="shared" si="5"/>
        <v>X</v>
      </c>
      <c r="P21" s="1591" t="str">
        <f t="shared" si="6"/>
        <v/>
      </c>
      <c r="Q21" s="1592" t="str">
        <f t="shared" si="7"/>
        <v/>
      </c>
      <c r="R21" s="1575" t="str">
        <f t="shared" si="8"/>
        <v>X</v>
      </c>
    </row>
    <row r="22" spans="2:18" ht="18.75">
      <c r="B22" s="1084"/>
      <c r="C22" s="1084"/>
      <c r="D22" s="985" t="s">
        <v>1060</v>
      </c>
      <c r="E22" s="1750"/>
      <c r="F22" s="990"/>
      <c r="G22" s="990"/>
      <c r="H22" s="1751"/>
      <c r="I22" s="44"/>
      <c r="J22" s="1591" t="str">
        <f t="shared" si="0"/>
        <v/>
      </c>
      <c r="K22" s="1592" t="str">
        <f t="shared" si="1"/>
        <v/>
      </c>
      <c r="L22" s="1592" t="str">
        <f t="shared" si="2"/>
        <v>X</v>
      </c>
      <c r="M22" s="1591" t="str">
        <f t="shared" si="3"/>
        <v/>
      </c>
      <c r="N22" s="1592" t="str">
        <f t="shared" si="4"/>
        <v/>
      </c>
      <c r="O22" s="1592" t="str">
        <f t="shared" si="5"/>
        <v>X</v>
      </c>
      <c r="P22" s="1591" t="str">
        <f t="shared" si="6"/>
        <v/>
      </c>
      <c r="Q22" s="1592" t="str">
        <f t="shared" si="7"/>
        <v/>
      </c>
      <c r="R22" s="1575" t="str">
        <f t="shared" si="8"/>
        <v>X</v>
      </c>
    </row>
    <row r="23" spans="2:18" ht="18.75">
      <c r="B23" s="1084"/>
      <c r="C23" s="1084"/>
      <c r="D23" s="985" t="s">
        <v>1061</v>
      </c>
      <c r="E23" s="1750"/>
      <c r="F23" s="990"/>
      <c r="G23" s="990"/>
      <c r="H23" s="1751"/>
      <c r="I23" s="44"/>
      <c r="J23" s="1591" t="str">
        <f t="shared" si="0"/>
        <v/>
      </c>
      <c r="K23" s="1592" t="str">
        <f t="shared" si="1"/>
        <v/>
      </c>
      <c r="L23" s="1592" t="str">
        <f t="shared" si="2"/>
        <v>X</v>
      </c>
      <c r="M23" s="1591" t="str">
        <f t="shared" si="3"/>
        <v/>
      </c>
      <c r="N23" s="1592" t="str">
        <f t="shared" si="4"/>
        <v/>
      </c>
      <c r="O23" s="1592" t="str">
        <f t="shared" si="5"/>
        <v>X</v>
      </c>
      <c r="P23" s="1591" t="str">
        <f t="shared" si="6"/>
        <v/>
      </c>
      <c r="Q23" s="1592" t="str">
        <f t="shared" si="7"/>
        <v/>
      </c>
      <c r="R23" s="1575" t="str">
        <f t="shared" si="8"/>
        <v>X</v>
      </c>
    </row>
    <row r="24" spans="2:18" ht="18.75">
      <c r="B24" s="1084"/>
      <c r="C24" s="1084"/>
      <c r="D24" s="993" t="s">
        <v>66</v>
      </c>
      <c r="E24" s="1840"/>
      <c r="F24" s="1011"/>
      <c r="G24" s="1011"/>
      <c r="H24" s="1841"/>
      <c r="I24" s="44"/>
      <c r="J24" s="1642" t="str">
        <f t="shared" si="0"/>
        <v/>
      </c>
      <c r="K24" s="1643" t="str">
        <f t="shared" si="1"/>
        <v/>
      </c>
      <c r="L24" s="1643" t="str">
        <f t="shared" si="2"/>
        <v>X</v>
      </c>
      <c r="M24" s="1642" t="str">
        <f t="shared" si="3"/>
        <v/>
      </c>
      <c r="N24" s="1643" t="str">
        <f t="shared" si="4"/>
        <v/>
      </c>
      <c r="O24" s="1643" t="str">
        <f t="shared" si="5"/>
        <v>X</v>
      </c>
      <c r="P24" s="1642" t="str">
        <f t="shared" si="6"/>
        <v/>
      </c>
      <c r="Q24" s="1643" t="str">
        <f t="shared" si="7"/>
        <v/>
      </c>
      <c r="R24" s="1644" t="str">
        <f t="shared" si="8"/>
        <v>X</v>
      </c>
    </row>
    <row r="25" spans="2:18">
      <c r="E25" s="621"/>
    </row>
    <row r="26" spans="2:18">
      <c r="E26" s="621"/>
    </row>
    <row r="27" spans="2:18">
      <c r="F27" s="44"/>
      <c r="G27" s="44"/>
      <c r="H27" s="44"/>
      <c r="I27" s="44"/>
      <c r="J27" s="44"/>
    </row>
    <row r="28" spans="2:18" ht="15.75">
      <c r="B28" s="1717" t="s">
        <v>1468</v>
      </c>
      <c r="C28" s="1714"/>
      <c r="D28" s="1715" t="s">
        <v>1494</v>
      </c>
      <c r="J28" s="44"/>
      <c r="K28" s="1038"/>
    </row>
    <row r="29" spans="2:18">
      <c r="B29" s="44"/>
      <c r="C29" s="44"/>
      <c r="D29" s="44"/>
      <c r="E29" s="44"/>
      <c r="F29" s="44"/>
      <c r="G29" s="44"/>
      <c r="H29" s="44"/>
      <c r="I29" s="44"/>
    </row>
    <row r="30" spans="2:18">
      <c r="B30" s="44"/>
      <c r="C30" s="44"/>
      <c r="D30" s="44"/>
      <c r="E30" s="44"/>
      <c r="F30" s="44"/>
      <c r="G30" s="44"/>
      <c r="H30" s="44"/>
      <c r="I30" s="44"/>
    </row>
    <row r="31" spans="2:18">
      <c r="B31" s="44"/>
      <c r="C31" s="44"/>
      <c r="D31" s="44"/>
      <c r="E31" s="44"/>
      <c r="F31" s="44"/>
      <c r="G31" s="44"/>
      <c r="H31" s="44"/>
      <c r="I31" s="44"/>
    </row>
    <row r="32" spans="2:18">
      <c r="B32" s="44"/>
      <c r="C32" s="44"/>
      <c r="D32" s="44"/>
      <c r="E32" s="44"/>
      <c r="F32" s="44"/>
      <c r="G32" s="44"/>
      <c r="H32" s="44"/>
      <c r="I32" s="44"/>
    </row>
    <row r="33" spans="2:10">
      <c r="B33" s="44"/>
      <c r="C33" s="44"/>
      <c r="D33" s="44"/>
      <c r="E33" s="44"/>
      <c r="F33" s="44"/>
      <c r="G33" s="44"/>
      <c r="H33" s="44"/>
      <c r="I33" s="44"/>
    </row>
    <row r="34" spans="2:10">
      <c r="B34" s="44"/>
      <c r="C34" s="44"/>
      <c r="D34" s="44"/>
      <c r="E34" s="44"/>
      <c r="F34" s="44"/>
      <c r="G34" s="44"/>
      <c r="H34" s="44"/>
      <c r="I34" s="44"/>
    </row>
    <row r="35" spans="2:10">
      <c r="B35" s="44"/>
      <c r="C35" s="44"/>
      <c r="D35" s="44"/>
      <c r="E35" s="44"/>
      <c r="F35" s="44"/>
      <c r="G35" s="44"/>
      <c r="H35" s="44"/>
      <c r="I35" s="44"/>
    </row>
    <row r="36" spans="2:10">
      <c r="B36" s="44"/>
      <c r="C36" s="44"/>
      <c r="D36" s="44"/>
      <c r="E36" s="44"/>
      <c r="F36" s="44"/>
      <c r="G36" s="44"/>
      <c r="H36" s="44"/>
      <c r="I36" s="44"/>
    </row>
    <row r="37" spans="2:10">
      <c r="B37" s="44"/>
      <c r="C37" s="44"/>
      <c r="D37" s="44"/>
      <c r="E37" s="44"/>
      <c r="F37" s="44"/>
      <c r="G37" s="44"/>
      <c r="H37" s="44"/>
      <c r="I37" s="44"/>
    </row>
    <row r="38" spans="2:10">
      <c r="B38" s="44"/>
      <c r="C38" s="44"/>
      <c r="D38" s="44"/>
      <c r="E38" s="44"/>
      <c r="F38" s="44"/>
      <c r="G38" s="44"/>
      <c r="H38" s="44"/>
      <c r="I38" s="44"/>
    </row>
    <row r="39" spans="2:10">
      <c r="B39" s="44"/>
      <c r="C39" s="44"/>
      <c r="D39" s="44"/>
      <c r="E39" s="44"/>
      <c r="F39" s="44"/>
      <c r="G39" s="44"/>
      <c r="H39" s="44"/>
      <c r="I39" s="44"/>
    </row>
    <row r="40" spans="2:10">
      <c r="B40" s="44"/>
      <c r="C40" s="44"/>
      <c r="D40" s="44"/>
      <c r="E40" s="44"/>
      <c r="F40" s="44"/>
      <c r="G40" s="44"/>
      <c r="H40" s="44"/>
      <c r="I40" s="44"/>
    </row>
    <row r="41" spans="2:10">
      <c r="B41" s="44"/>
      <c r="C41" s="44"/>
      <c r="D41" s="44"/>
      <c r="E41" s="44"/>
      <c r="F41" s="44"/>
      <c r="G41" s="44"/>
      <c r="H41" s="44"/>
      <c r="I41" s="44"/>
    </row>
    <row r="42" spans="2:10">
      <c r="B42" s="44"/>
      <c r="C42" s="44"/>
      <c r="D42" s="44"/>
      <c r="E42" s="44"/>
      <c r="F42" s="44"/>
      <c r="G42" s="44"/>
      <c r="H42" s="44"/>
      <c r="I42" s="44"/>
    </row>
    <row r="43" spans="2:10">
      <c r="B43" s="44"/>
      <c r="C43" s="44"/>
      <c r="D43" s="44"/>
      <c r="E43" s="44"/>
      <c r="F43" s="44"/>
      <c r="G43" s="44"/>
      <c r="H43" s="44"/>
      <c r="I43" s="44"/>
      <c r="J43" s="44"/>
    </row>
    <row r="44" spans="2:10">
      <c r="B44" s="44"/>
      <c r="C44" s="44"/>
      <c r="D44" s="44"/>
      <c r="E44" s="44"/>
      <c r="F44" s="44"/>
      <c r="G44" s="44"/>
      <c r="H44" s="44"/>
      <c r="I44" s="44"/>
      <c r="J44" s="44"/>
    </row>
    <row r="45" spans="2:10">
      <c r="B45" s="44"/>
      <c r="C45" s="44"/>
      <c r="D45" s="44"/>
      <c r="E45" s="44"/>
      <c r="F45" s="44"/>
      <c r="G45" s="44"/>
      <c r="H45" s="44"/>
      <c r="I45" s="44"/>
      <c r="J45" s="44"/>
    </row>
    <row r="46" spans="2:10" s="44" customFormat="1" ht="15" customHeight="1"/>
    <row r="47" spans="2:10" ht="31.5" customHeight="1">
      <c r="B47" s="44"/>
      <c r="C47" s="44"/>
      <c r="D47" s="44"/>
      <c r="E47" s="44"/>
      <c r="F47" s="44"/>
      <c r="G47" s="44"/>
      <c r="H47" s="44"/>
      <c r="I47" s="44"/>
      <c r="J47" s="44"/>
    </row>
    <row r="48" spans="2:10">
      <c r="B48" s="44"/>
      <c r="C48" s="44"/>
      <c r="D48" s="44"/>
      <c r="E48" s="44"/>
      <c r="F48" s="44"/>
      <c r="G48" s="44"/>
      <c r="H48" s="44"/>
      <c r="I48" s="44"/>
    </row>
    <row r="49" spans="2:9">
      <c r="B49" s="44"/>
      <c r="C49" s="44"/>
      <c r="D49" s="44"/>
      <c r="E49" s="44"/>
      <c r="F49" s="44"/>
      <c r="G49" s="44"/>
      <c r="H49" s="44"/>
      <c r="I49" s="44"/>
    </row>
    <row r="50" spans="2:9">
      <c r="B50" s="44"/>
      <c r="C50" s="44"/>
      <c r="D50" s="44"/>
      <c r="E50" s="44"/>
      <c r="F50" s="44"/>
      <c r="G50" s="44"/>
      <c r="H50" s="44"/>
      <c r="I50" s="44"/>
    </row>
    <row r="51" spans="2:9">
      <c r="B51" s="44"/>
      <c r="C51" s="44"/>
      <c r="D51" s="44"/>
      <c r="E51" s="44"/>
      <c r="F51" s="44"/>
      <c r="G51" s="44"/>
      <c r="H51" s="44"/>
      <c r="I51" s="44"/>
    </row>
    <row r="52" spans="2:9">
      <c r="B52" s="44"/>
      <c r="C52" s="44"/>
      <c r="D52" s="44"/>
      <c r="E52" s="44"/>
      <c r="F52" s="44"/>
      <c r="G52" s="44"/>
      <c r="H52" s="44"/>
      <c r="I52" s="44"/>
    </row>
    <row r="53" spans="2:9">
      <c r="B53" s="44"/>
      <c r="C53" s="44"/>
      <c r="D53" s="44"/>
      <c r="E53" s="44"/>
      <c r="F53" s="44"/>
      <c r="G53" s="44"/>
      <c r="H53" s="44"/>
      <c r="I53" s="44"/>
    </row>
    <row r="54" spans="2:9">
      <c r="B54" s="44"/>
      <c r="C54" s="44"/>
      <c r="D54" s="44"/>
      <c r="E54" s="44"/>
      <c r="F54" s="44"/>
      <c r="G54" s="44"/>
      <c r="H54" s="44"/>
      <c r="I54" s="44"/>
    </row>
    <row r="55" spans="2:9">
      <c r="B55" s="44"/>
      <c r="C55" s="44"/>
      <c r="D55" s="44"/>
      <c r="E55" s="44"/>
      <c r="F55" s="44"/>
      <c r="G55" s="44"/>
      <c r="H55" s="44"/>
      <c r="I55" s="44"/>
    </row>
    <row r="56" spans="2:9">
      <c r="B56" s="44"/>
      <c r="C56" s="44"/>
      <c r="D56" s="44"/>
      <c r="E56" s="44"/>
      <c r="F56" s="44"/>
      <c r="G56" s="44"/>
      <c r="H56" s="44"/>
      <c r="I56" s="44"/>
    </row>
    <row r="57" spans="2:9">
      <c r="B57" s="44"/>
      <c r="C57" s="44"/>
      <c r="D57" s="44"/>
      <c r="E57" s="44"/>
      <c r="F57" s="44"/>
      <c r="G57" s="44"/>
      <c r="H57" s="44"/>
      <c r="I57" s="44"/>
    </row>
    <row r="58" spans="2:9">
      <c r="B58" s="44"/>
      <c r="C58" s="44"/>
      <c r="D58" s="44"/>
      <c r="E58" s="44"/>
      <c r="F58" s="44"/>
      <c r="G58" s="44"/>
      <c r="H58" s="44"/>
      <c r="I58" s="44"/>
    </row>
    <row r="59" spans="2:9">
      <c r="B59" s="44"/>
      <c r="C59" s="44"/>
      <c r="D59" s="44"/>
      <c r="E59" s="44"/>
      <c r="F59" s="44"/>
      <c r="G59" s="44"/>
      <c r="H59" s="44"/>
      <c r="I59" s="44"/>
    </row>
    <row r="60" spans="2:9">
      <c r="B60" s="44"/>
      <c r="C60" s="44"/>
      <c r="D60" s="44"/>
      <c r="E60" s="44"/>
      <c r="F60" s="44"/>
      <c r="G60" s="44"/>
      <c r="H60" s="44"/>
      <c r="I60" s="44"/>
    </row>
    <row r="61" spans="2:9">
      <c r="B61" s="44"/>
      <c r="C61" s="44"/>
      <c r="D61" s="44"/>
      <c r="E61" s="44"/>
      <c r="F61" s="44"/>
      <c r="G61" s="44"/>
      <c r="H61" s="44"/>
      <c r="I61" s="44"/>
    </row>
    <row r="62" spans="2:9">
      <c r="B62" s="44"/>
      <c r="C62" s="44"/>
      <c r="D62" s="44"/>
      <c r="E62" s="44"/>
      <c r="F62" s="44"/>
      <c r="G62" s="44"/>
      <c r="H62" s="44"/>
      <c r="I62" s="44"/>
    </row>
    <row r="63" spans="2:9">
      <c r="B63" s="44"/>
      <c r="C63" s="44"/>
      <c r="D63" s="44"/>
      <c r="E63" s="44"/>
      <c r="F63" s="44"/>
      <c r="G63" s="44"/>
      <c r="H63" s="44"/>
      <c r="I63" s="44"/>
    </row>
    <row r="64" spans="2:9">
      <c r="B64" s="44"/>
      <c r="C64" s="44"/>
      <c r="D64" s="44"/>
      <c r="E64" s="44"/>
      <c r="F64" s="44"/>
      <c r="G64" s="44"/>
      <c r="H64" s="44"/>
      <c r="I64" s="44"/>
    </row>
    <row r="65" spans="2:9">
      <c r="B65" s="44"/>
      <c r="C65" s="44"/>
      <c r="D65" s="44"/>
      <c r="E65" s="44"/>
      <c r="F65" s="44"/>
      <c r="G65" s="44"/>
      <c r="H65" s="44"/>
      <c r="I65" s="44"/>
    </row>
    <row r="66" spans="2:9">
      <c r="B66" s="44"/>
      <c r="C66" s="44"/>
      <c r="D66" s="44"/>
      <c r="E66" s="44"/>
      <c r="F66" s="44"/>
      <c r="G66" s="44"/>
      <c r="H66" s="44"/>
      <c r="I66" s="44"/>
    </row>
    <row r="67" spans="2:9">
      <c r="B67" s="44"/>
      <c r="C67" s="44"/>
      <c r="D67" s="44"/>
      <c r="E67" s="44"/>
      <c r="F67" s="44"/>
      <c r="G67" s="44"/>
      <c r="H67" s="44"/>
      <c r="I67" s="44"/>
    </row>
    <row r="68" spans="2:9">
      <c r="B68" s="44"/>
      <c r="C68" s="44"/>
      <c r="D68" s="44"/>
      <c r="E68" s="44"/>
      <c r="F68" s="44"/>
    </row>
    <row r="69" spans="2:9">
      <c r="B69" s="44"/>
      <c r="C69" s="44"/>
      <c r="D69" s="44"/>
      <c r="E69" s="44"/>
      <c r="F69" s="44"/>
    </row>
    <row r="70" spans="2:9">
      <c r="B70" s="44"/>
      <c r="C70" s="44"/>
      <c r="D70" s="44"/>
      <c r="E70" s="44"/>
      <c r="F70" s="44"/>
    </row>
    <row r="71" spans="2:9">
      <c r="B71" s="44"/>
      <c r="C71" s="44"/>
      <c r="D71" s="44"/>
      <c r="E71" s="44"/>
      <c r="F71" s="44"/>
    </row>
    <row r="72" spans="2:9">
      <c r="B72" s="44"/>
      <c r="C72" s="44"/>
      <c r="D72" s="44"/>
      <c r="E72" s="44"/>
      <c r="F72" s="44"/>
    </row>
    <row r="73" spans="2:9">
      <c r="B73" s="44"/>
      <c r="C73" s="44"/>
      <c r="D73" s="44"/>
      <c r="E73" s="44"/>
      <c r="F73" s="44"/>
    </row>
    <row r="74" spans="2:9">
      <c r="B74" s="44"/>
      <c r="C74" s="44"/>
      <c r="D74" s="44"/>
      <c r="E74" s="44"/>
      <c r="F74" s="44"/>
    </row>
    <row r="75" spans="2:9">
      <c r="B75" s="44"/>
      <c r="C75" s="44"/>
      <c r="D75" s="44"/>
      <c r="E75" s="44"/>
      <c r="F75" s="44"/>
    </row>
    <row r="76" spans="2:9">
      <c r="B76" s="44"/>
      <c r="C76" s="44"/>
      <c r="D76" s="44"/>
      <c r="E76" s="44"/>
      <c r="F76" s="44"/>
    </row>
    <row r="77" spans="2:9">
      <c r="B77" s="44"/>
      <c r="C77" s="44"/>
      <c r="D77" s="44"/>
      <c r="E77" s="44"/>
      <c r="F77" s="44"/>
    </row>
    <row r="78" spans="2:9">
      <c r="B78" s="44"/>
      <c r="C78" s="44"/>
      <c r="D78" s="44"/>
      <c r="E78" s="44"/>
      <c r="F78" s="44"/>
    </row>
    <row r="79" spans="2:9">
      <c r="B79" s="44"/>
      <c r="C79" s="44"/>
      <c r="D79" s="44"/>
      <c r="E79" s="44"/>
      <c r="F79" s="44"/>
    </row>
    <row r="80" spans="2:9">
      <c r="B80" s="44"/>
      <c r="C80" s="44"/>
      <c r="D80" s="44"/>
      <c r="E80" s="44"/>
      <c r="F80" s="44"/>
    </row>
    <row r="81" spans="2:6">
      <c r="B81" s="44"/>
      <c r="C81" s="44"/>
      <c r="D81" s="44"/>
      <c r="E81" s="44"/>
      <c r="F81" s="44"/>
    </row>
    <row r="82" spans="2:6">
      <c r="B82" s="44"/>
      <c r="C82" s="44"/>
      <c r="D82" s="44"/>
      <c r="E82" s="44"/>
      <c r="F82" s="44"/>
    </row>
    <row r="83" spans="2:6">
      <c r="B83" s="44"/>
      <c r="C83" s="44"/>
      <c r="D83" s="44"/>
      <c r="E83" s="44"/>
      <c r="F83" s="44"/>
    </row>
    <row r="84" spans="2:6">
      <c r="B84" s="44"/>
      <c r="C84" s="44"/>
      <c r="D84" s="44"/>
      <c r="E84" s="44"/>
      <c r="F84" s="44"/>
    </row>
    <row r="85" spans="2:6">
      <c r="B85" s="44"/>
      <c r="C85" s="44"/>
      <c r="D85" s="44"/>
      <c r="E85" s="44"/>
      <c r="F85" s="44"/>
    </row>
    <row r="86" spans="2:6">
      <c r="B86" s="44"/>
      <c r="C86" s="44"/>
      <c r="D86" s="44"/>
      <c r="E86" s="44"/>
      <c r="F86" s="44"/>
    </row>
    <row r="87" spans="2:6">
      <c r="B87" s="44"/>
      <c r="C87" s="44"/>
      <c r="D87" s="44"/>
      <c r="E87" s="44"/>
      <c r="F87" s="44"/>
    </row>
    <row r="88" spans="2:6">
      <c r="B88" s="44"/>
      <c r="C88" s="44"/>
      <c r="D88" s="44"/>
      <c r="E88" s="44"/>
      <c r="F88" s="44"/>
    </row>
    <row r="89" spans="2:6">
      <c r="B89" s="44"/>
      <c r="C89" s="44"/>
      <c r="D89" s="44"/>
      <c r="E89" s="44"/>
      <c r="F89" s="44"/>
    </row>
    <row r="90" spans="2:6">
      <c r="B90" s="44"/>
      <c r="C90" s="44"/>
      <c r="D90" s="44"/>
      <c r="E90" s="44"/>
      <c r="F90" s="44"/>
    </row>
    <row r="91" spans="2:6">
      <c r="B91" s="44"/>
      <c r="C91" s="44"/>
      <c r="D91" s="44"/>
      <c r="E91" s="44"/>
      <c r="F91" s="44"/>
    </row>
    <row r="92" spans="2:6">
      <c r="B92" s="44"/>
      <c r="C92" s="44"/>
      <c r="D92" s="44"/>
      <c r="E92" s="44"/>
      <c r="F92" s="44"/>
    </row>
    <row r="93" spans="2:6">
      <c r="B93" s="44"/>
      <c r="C93" s="44"/>
      <c r="D93" s="44"/>
      <c r="E93" s="44"/>
      <c r="F93" s="44"/>
    </row>
    <row r="94" spans="2:6">
      <c r="B94" s="44"/>
      <c r="C94" s="44"/>
      <c r="D94" s="44"/>
      <c r="E94" s="44"/>
      <c r="F94" s="44"/>
    </row>
    <row r="95" spans="2:6">
      <c r="B95" s="44"/>
      <c r="C95" s="44"/>
      <c r="D95" s="44"/>
      <c r="E95" s="44"/>
      <c r="F95" s="44"/>
    </row>
    <row r="96" spans="2:6">
      <c r="B96" s="44"/>
      <c r="C96" s="44"/>
      <c r="D96" s="44"/>
      <c r="E96" s="44"/>
      <c r="F96" s="44"/>
    </row>
    <row r="97" spans="2:6">
      <c r="B97" s="44"/>
      <c r="C97" s="44"/>
      <c r="D97" s="44"/>
      <c r="E97" s="44"/>
      <c r="F97" s="44"/>
    </row>
    <row r="98" spans="2:6">
      <c r="B98" s="44"/>
      <c r="C98" s="44"/>
      <c r="D98" s="44"/>
      <c r="E98" s="44"/>
      <c r="F98" s="44"/>
    </row>
    <row r="99" spans="2:6">
      <c r="B99" s="44"/>
      <c r="C99" s="44"/>
      <c r="D99" s="44"/>
      <c r="E99" s="44"/>
      <c r="F99" s="44"/>
    </row>
    <row r="100" spans="2:6">
      <c r="B100" s="44"/>
      <c r="C100" s="44"/>
      <c r="D100" s="44"/>
      <c r="E100" s="44"/>
      <c r="F100" s="44"/>
    </row>
    <row r="101" spans="2:6">
      <c r="B101" s="44"/>
      <c r="C101" s="44"/>
      <c r="D101" s="44"/>
      <c r="E101" s="44"/>
      <c r="F101" s="44"/>
    </row>
    <row r="102" spans="2:6">
      <c r="B102" s="44"/>
      <c r="C102" s="44"/>
      <c r="D102" s="44"/>
      <c r="E102" s="44"/>
      <c r="F102" s="44"/>
    </row>
    <row r="103" spans="2:6">
      <c r="B103" s="44"/>
      <c r="C103" s="44"/>
      <c r="D103" s="44"/>
      <c r="E103" s="44"/>
      <c r="F103" s="44"/>
    </row>
    <row r="104" spans="2:6">
      <c r="B104" s="44"/>
      <c r="C104" s="44"/>
      <c r="D104" s="44"/>
      <c r="E104" s="44"/>
      <c r="F104" s="44"/>
    </row>
    <row r="105" spans="2:6">
      <c r="B105" s="44"/>
      <c r="C105" s="44"/>
      <c r="D105" s="44"/>
      <c r="E105" s="44"/>
      <c r="F105" s="44"/>
    </row>
    <row r="106" spans="2:6">
      <c r="B106" s="44"/>
      <c r="C106" s="44"/>
      <c r="D106" s="44"/>
      <c r="E106" s="44"/>
      <c r="F106" s="44"/>
    </row>
    <row r="107" spans="2:6">
      <c r="B107" s="44"/>
      <c r="C107" s="44"/>
      <c r="D107" s="44"/>
      <c r="E107" s="44"/>
      <c r="F107" s="44"/>
    </row>
    <row r="108" spans="2:6">
      <c r="B108" s="44"/>
      <c r="C108" s="44"/>
      <c r="D108" s="44"/>
      <c r="E108" s="44"/>
      <c r="F108" s="44"/>
    </row>
    <row r="109" spans="2:6">
      <c r="B109" s="44"/>
      <c r="C109" s="44"/>
      <c r="D109" s="44"/>
      <c r="E109" s="44"/>
      <c r="F109" s="44"/>
    </row>
    <row r="110" spans="2:6">
      <c r="B110" s="44"/>
      <c r="C110" s="44"/>
      <c r="D110" s="44"/>
      <c r="E110" s="44"/>
      <c r="F110" s="44"/>
    </row>
    <row r="111" spans="2:6">
      <c r="B111" s="44"/>
      <c r="C111" s="44"/>
      <c r="D111" s="44"/>
      <c r="E111" s="44"/>
      <c r="F111" s="44"/>
    </row>
    <row r="112" spans="2:6">
      <c r="B112" s="44"/>
      <c r="C112" s="44"/>
      <c r="D112" s="44"/>
      <c r="E112" s="44"/>
      <c r="F112" s="44"/>
    </row>
    <row r="113" spans="2:6">
      <c r="B113" s="44"/>
      <c r="C113" s="44"/>
      <c r="D113" s="44"/>
      <c r="E113" s="44"/>
      <c r="F113" s="44"/>
    </row>
    <row r="114" spans="2:6">
      <c r="B114" s="44"/>
      <c r="C114" s="44"/>
      <c r="D114" s="44"/>
      <c r="E114" s="44"/>
      <c r="F114" s="44"/>
    </row>
    <row r="115" spans="2:6">
      <c r="B115" s="44"/>
      <c r="C115" s="44"/>
      <c r="D115" s="44"/>
      <c r="E115" s="44"/>
      <c r="F115" s="44"/>
    </row>
    <row r="116" spans="2:6">
      <c r="B116" s="44"/>
      <c r="C116" s="44"/>
      <c r="D116" s="44"/>
      <c r="E116" s="44"/>
      <c r="F116" s="44"/>
    </row>
    <row r="117" spans="2:6">
      <c r="B117" s="44"/>
      <c r="C117" s="44"/>
      <c r="D117" s="44"/>
      <c r="E117" s="44"/>
      <c r="F117" s="44"/>
    </row>
    <row r="118" spans="2:6">
      <c r="B118" s="44"/>
      <c r="C118" s="44"/>
      <c r="D118" s="44"/>
      <c r="E118" s="44"/>
      <c r="F118" s="44"/>
    </row>
    <row r="119" spans="2:6">
      <c r="B119" s="44"/>
      <c r="C119" s="44"/>
      <c r="D119" s="44"/>
      <c r="E119" s="44"/>
      <c r="F119" s="44"/>
    </row>
    <row r="120" spans="2:6">
      <c r="B120" s="44"/>
      <c r="C120" s="44"/>
      <c r="D120" s="44"/>
      <c r="E120" s="44"/>
      <c r="F120" s="44"/>
    </row>
    <row r="121" spans="2:6">
      <c r="B121" s="44"/>
      <c r="C121" s="44"/>
      <c r="D121" s="44"/>
      <c r="E121" s="44"/>
      <c r="F121" s="44"/>
    </row>
    <row r="122" spans="2:6">
      <c r="B122" s="44"/>
      <c r="C122" s="44"/>
      <c r="D122" s="44"/>
      <c r="E122" s="44"/>
      <c r="F122" s="44"/>
    </row>
    <row r="123" spans="2:6">
      <c r="B123" s="44"/>
      <c r="C123" s="44"/>
      <c r="D123" s="44"/>
      <c r="E123" s="44"/>
      <c r="F123" s="44"/>
    </row>
    <row r="124" spans="2:6">
      <c r="B124" s="44"/>
      <c r="C124" s="44"/>
      <c r="D124" s="44"/>
      <c r="E124" s="44"/>
      <c r="F124" s="44"/>
    </row>
    <row r="125" spans="2:6">
      <c r="B125" s="44"/>
      <c r="C125" s="44"/>
      <c r="D125" s="44"/>
      <c r="E125" s="44"/>
      <c r="F125" s="44"/>
    </row>
    <row r="126" spans="2:6">
      <c r="B126" s="44"/>
      <c r="C126" s="44"/>
      <c r="D126" s="44"/>
      <c r="E126" s="44"/>
      <c r="F126" s="44"/>
    </row>
    <row r="127" spans="2:6">
      <c r="B127" s="44"/>
      <c r="C127" s="44"/>
      <c r="D127" s="44"/>
      <c r="E127" s="44"/>
      <c r="F127" s="44"/>
    </row>
    <row r="128" spans="2:6">
      <c r="B128" s="44"/>
      <c r="C128" s="44"/>
      <c r="D128" s="44"/>
      <c r="E128" s="44"/>
      <c r="F128" s="44"/>
    </row>
    <row r="129" spans="2:6">
      <c r="B129" s="44"/>
      <c r="C129" s="44"/>
      <c r="D129" s="44"/>
      <c r="E129" s="44"/>
      <c r="F129" s="44"/>
    </row>
    <row r="130" spans="2:6">
      <c r="B130" s="44"/>
      <c r="C130" s="44"/>
      <c r="D130" s="44"/>
      <c r="E130" s="44"/>
      <c r="F130" s="44"/>
    </row>
    <row r="131" spans="2:6">
      <c r="B131" s="44"/>
      <c r="C131" s="44"/>
      <c r="D131" s="44"/>
      <c r="E131" s="44"/>
      <c r="F131" s="44"/>
    </row>
    <row r="132" spans="2:6">
      <c r="B132" s="44"/>
      <c r="C132" s="44"/>
      <c r="D132" s="44"/>
      <c r="E132" s="44"/>
    </row>
  </sheetData>
  <mergeCells count="5">
    <mergeCell ref="M14:O15"/>
    <mergeCell ref="G13:G14"/>
    <mergeCell ref="H13:H14"/>
    <mergeCell ref="J14:L15"/>
    <mergeCell ref="P14:R15"/>
  </mergeCells>
  <conditionalFormatting sqref="D28">
    <cfRule type="cellIs" dxfId="66" priority="1" operator="equal">
      <formula>FALSE</formula>
    </cfRule>
  </conditionalFormatting>
  <dataValidations count="1">
    <dataValidation allowBlank="1" sqref="J1:J4 P1:P4 J13:R13" xr:uid="{46B1140E-A596-4FAB-B2CA-0E9CCC9176DF}"/>
  </dataValidations>
  <pageMargins left="0.70866141732283472" right="0.70866141732283472" top="0.74803149606299213" bottom="0.74803149606299213" header="0.31496062992125984" footer="0.31496062992125984"/>
  <pageSetup paperSize="8" scale="10" fitToHeight="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A4824-D79E-48A0-B3DA-0FB5F14F9A5B}">
  <sheetPr codeName="Sheet16">
    <tabColor theme="3" tint="-0.249977111117893"/>
  </sheetPr>
  <dimension ref="A1:AN48"/>
  <sheetViews>
    <sheetView workbookViewId="0"/>
  </sheetViews>
  <sheetFormatPr defaultColWidth="9.140625" defaultRowHeight="15"/>
  <cols>
    <col min="1" max="1" width="21.85546875" style="44" customWidth="1"/>
    <col min="2" max="2" width="21" style="44" customWidth="1"/>
    <col min="3" max="3" width="22.28515625" style="44" customWidth="1"/>
    <col min="4" max="4" width="7.42578125" style="44" customWidth="1"/>
    <col min="5" max="9" width="14.42578125" style="44" customWidth="1"/>
    <col min="10" max="10" width="21.7109375" style="44" customWidth="1"/>
    <col min="11" max="11" width="25.28515625" style="44" customWidth="1"/>
    <col min="12" max="12" width="35.140625" style="44" customWidth="1"/>
    <col min="13" max="13" width="20.140625" style="44" customWidth="1"/>
    <col min="14" max="14" width="37.28515625" style="44" customWidth="1"/>
    <col min="15" max="15" width="8.28515625" style="44" customWidth="1"/>
    <col min="16" max="19" width="3.7109375" style="44" customWidth="1"/>
    <col min="20" max="20" width="4" style="44" customWidth="1"/>
    <col min="21" max="40" width="3.7109375" style="44" customWidth="1"/>
    <col min="41" max="16384" width="9.140625" style="44"/>
  </cols>
  <sheetData>
    <row r="1" spans="2:40" s="1007" customFormat="1" ht="20.100000000000001" customHeight="1">
      <c r="B1" s="975"/>
      <c r="C1" s="1002" t="str">
        <f>dms_SheetHeading1</f>
        <v>ANNUAL INFORMATION ORDER</v>
      </c>
      <c r="D1" s="1219"/>
      <c r="E1" s="976"/>
      <c r="F1" s="976"/>
      <c r="G1" s="976"/>
      <c r="H1" s="976"/>
      <c r="I1" s="976"/>
      <c r="J1" s="976"/>
      <c r="K1" s="976"/>
      <c r="L1" s="976"/>
      <c r="M1" s="976"/>
      <c r="N1" s="976"/>
      <c r="O1" s="1100"/>
      <c r="P1" s="1658" t="s">
        <v>1040</v>
      </c>
      <c r="Q1" s="1323"/>
      <c r="R1" s="1323"/>
      <c r="S1" s="1323"/>
      <c r="T1" s="1323"/>
      <c r="U1" s="1323"/>
      <c r="V1" s="1657" t="s">
        <v>1039</v>
      </c>
      <c r="W1" s="1323"/>
      <c r="X1" s="1323"/>
      <c r="Y1" s="1323"/>
      <c r="Z1" s="1323"/>
      <c r="AA1" s="1323"/>
      <c r="AB1" s="1323"/>
    </row>
    <row r="2" spans="2:40" s="1007" customFormat="1" ht="27" customHeight="1">
      <c r="B2" s="977"/>
      <c r="C2" s="1003" t="str">
        <f>dms_SheetHeading2</f>
        <v>Australian Transmission Co.</v>
      </c>
      <c r="D2" s="1003"/>
      <c r="E2" s="976"/>
      <c r="F2" s="976"/>
      <c r="G2" s="976"/>
      <c r="H2" s="976"/>
      <c r="I2" s="976"/>
      <c r="J2" s="976"/>
      <c r="K2" s="976"/>
      <c r="L2" s="976"/>
      <c r="M2" s="976"/>
      <c r="N2" s="976"/>
      <c r="O2" s="1100"/>
      <c r="P2" s="1659" t="s">
        <v>1041</v>
      </c>
      <c r="Q2" s="1324"/>
      <c r="R2" s="1324"/>
      <c r="S2" s="1324"/>
      <c r="T2" s="1324"/>
      <c r="U2" s="1324"/>
      <c r="V2" s="1379" t="s">
        <v>202</v>
      </c>
      <c r="W2" s="1324"/>
      <c r="X2" s="1324"/>
      <c r="Y2" s="1324"/>
      <c r="Z2" s="1324"/>
      <c r="AA2" s="1324"/>
      <c r="AB2" s="1324"/>
    </row>
    <row r="3" spans="2:40" s="1007" customFormat="1" ht="20.100000000000001" customHeight="1">
      <c r="B3" s="976"/>
      <c r="C3" s="1004" t="str">
        <f>dms_SheetHeading3</f>
        <v>REPORTING STATEMENT: 2024-25</v>
      </c>
      <c r="D3" s="1004"/>
      <c r="E3" s="976"/>
      <c r="F3" s="976"/>
      <c r="G3" s="976"/>
      <c r="H3" s="976"/>
      <c r="I3" s="976"/>
      <c r="J3" s="976"/>
      <c r="K3" s="976"/>
      <c r="L3" s="976"/>
      <c r="M3" s="976"/>
      <c r="N3" s="976"/>
      <c r="O3" s="1100"/>
      <c r="P3" s="1660" t="s">
        <v>1042</v>
      </c>
      <c r="Q3" s="1325"/>
      <c r="R3" s="1325"/>
      <c r="S3" s="1325"/>
      <c r="T3" s="1325"/>
      <c r="U3" s="1325"/>
      <c r="V3" s="1380" t="s">
        <v>203</v>
      </c>
      <c r="W3" s="1325"/>
      <c r="X3" s="1325"/>
      <c r="Y3" s="1325"/>
      <c r="Z3" s="1325"/>
      <c r="AA3" s="1325"/>
      <c r="AB3" s="1325"/>
    </row>
    <row r="4" spans="2:40" s="50" customFormat="1" ht="20.100000000000001" customHeight="1">
      <c r="B4" s="979"/>
      <c r="C4" s="1005" t="s">
        <v>1888</v>
      </c>
      <c r="D4" s="1005"/>
      <c r="E4" s="979"/>
      <c r="F4" s="979"/>
      <c r="G4" s="979"/>
      <c r="H4" s="979"/>
      <c r="I4" s="979"/>
      <c r="J4" s="979"/>
      <c r="K4" s="979"/>
      <c r="L4" s="979"/>
      <c r="M4" s="979"/>
      <c r="N4" s="979"/>
      <c r="O4" s="1018"/>
      <c r="P4" s="1662" t="s">
        <v>1044</v>
      </c>
      <c r="Q4" s="1692"/>
      <c r="R4" s="1693"/>
      <c r="S4" s="1498"/>
      <c r="T4" s="1498"/>
      <c r="U4" s="1498"/>
      <c r="V4" s="1497" t="s">
        <v>1043</v>
      </c>
      <c r="W4" s="1498"/>
      <c r="X4" s="1498"/>
      <c r="Y4" s="1498"/>
      <c r="Z4" s="1498"/>
      <c r="AA4" s="1498"/>
      <c r="AB4" s="1498"/>
    </row>
    <row r="5" spans="2:40" s="648" customFormat="1" ht="13.5" customHeight="1">
      <c r="C5" s="44"/>
      <c r="D5" s="44"/>
      <c r="E5" s="44"/>
      <c r="F5" s="44"/>
      <c r="G5" s="44"/>
      <c r="H5" s="44"/>
      <c r="I5" s="44"/>
      <c r="J5" s="44"/>
      <c r="K5" s="44"/>
      <c r="L5" s="44"/>
      <c r="M5" s="44"/>
      <c r="N5" s="44"/>
      <c r="O5" s="1018"/>
      <c r="P5" s="44"/>
      <c r="Q5" s="44"/>
      <c r="R5" s="44"/>
      <c r="S5" s="44"/>
      <c r="T5" s="44"/>
    </row>
    <row r="6" spans="2:40" s="648" customFormat="1" ht="15.95" customHeight="1">
      <c r="B6" s="628" t="s">
        <v>1497</v>
      </c>
      <c r="C6" s="622"/>
      <c r="D6" s="622"/>
      <c r="E6" s="622"/>
      <c r="F6" s="622"/>
      <c r="G6" s="622"/>
      <c r="H6" s="622"/>
      <c r="I6" s="622"/>
      <c r="J6" s="622"/>
      <c r="K6" s="622"/>
      <c r="L6" s="622"/>
      <c r="M6" s="622"/>
      <c r="N6" s="622"/>
      <c r="O6" s="1018"/>
      <c r="P6" s="44"/>
      <c r="Q6" s="44"/>
      <c r="R6" s="44"/>
      <c r="S6" s="44"/>
      <c r="T6" s="44"/>
    </row>
    <row r="7" spans="2:40" s="1034" customFormat="1" ht="15.95" customHeight="1">
      <c r="B7" s="1032" t="s">
        <v>1263</v>
      </c>
      <c r="C7" s="1033"/>
      <c r="D7" s="1033"/>
      <c r="E7" s="1033"/>
      <c r="F7" s="1033"/>
      <c r="G7" s="1033"/>
      <c r="H7" s="1033"/>
      <c r="I7" s="1033"/>
      <c r="J7" s="1033"/>
      <c r="K7" s="1033"/>
      <c r="L7" s="1033"/>
      <c r="M7" s="1033"/>
      <c r="N7" s="1033"/>
      <c r="O7" s="1018"/>
    </row>
    <row r="8" spans="2:40" s="1034" customFormat="1" ht="15.95" customHeight="1">
      <c r="B8" s="628" t="s">
        <v>1218</v>
      </c>
      <c r="C8" s="620"/>
      <c r="D8" s="620"/>
      <c r="E8" s="620"/>
      <c r="F8" s="620"/>
      <c r="G8" s="620"/>
      <c r="H8" s="620"/>
      <c r="I8" s="620"/>
      <c r="J8" s="620"/>
      <c r="K8" s="620"/>
      <c r="L8" s="620"/>
      <c r="M8" s="620"/>
      <c r="N8" s="620"/>
      <c r="O8" s="1018"/>
    </row>
    <row r="9" spans="2:40" s="1034" customFormat="1" ht="15.95" customHeight="1">
      <c r="B9" s="1032" t="s">
        <v>1262</v>
      </c>
      <c r="C9" s="1033"/>
      <c r="D9" s="1033"/>
      <c r="E9" s="1033"/>
      <c r="F9" s="1033"/>
      <c r="G9" s="1033"/>
      <c r="H9" s="1033"/>
      <c r="I9" s="1033"/>
      <c r="J9" s="1033"/>
      <c r="K9" s="1033"/>
      <c r="L9" s="1033"/>
      <c r="M9" s="1033"/>
      <c r="N9" s="1033"/>
      <c r="O9" s="1018"/>
    </row>
    <row r="10" spans="2:40" ht="14.25" customHeight="1">
      <c r="O10" s="1018"/>
      <c r="P10" s="1034"/>
    </row>
    <row r="11" spans="2:40" s="51" customFormat="1" ht="21">
      <c r="C11" s="959" t="s">
        <v>1492</v>
      </c>
      <c r="D11" s="47"/>
      <c r="E11" s="47"/>
      <c r="F11" s="47"/>
      <c r="G11" s="47"/>
      <c r="H11" s="47"/>
      <c r="I11" s="47"/>
      <c r="J11" s="47"/>
      <c r="K11" s="47"/>
      <c r="L11" s="47"/>
      <c r="M11" s="47"/>
      <c r="N11" s="47"/>
      <c r="O11" s="1018"/>
      <c r="P11" s="1034"/>
      <c r="Q11" s="1101"/>
      <c r="R11" s="1101"/>
      <c r="S11" s="1101"/>
      <c r="T11" s="1101"/>
    </row>
    <row r="12" spans="2:40" s="51" customFormat="1" ht="12" customHeight="1">
      <c r="O12" s="1018"/>
      <c r="P12" s="1034"/>
      <c r="Q12" s="1101"/>
      <c r="R12" s="1101"/>
      <c r="S12" s="1101"/>
      <c r="T12" s="1101"/>
    </row>
    <row r="13" spans="2:40" ht="21" customHeight="1">
      <c r="C13" s="51"/>
      <c r="D13" s="51"/>
      <c r="E13" s="2024" t="s">
        <v>1500</v>
      </c>
      <c r="F13" s="2025"/>
      <c r="G13" s="2025"/>
      <c r="H13" s="2025"/>
      <c r="I13" s="2025"/>
      <c r="J13" s="2025"/>
      <c r="K13" s="2026" t="s">
        <v>1519</v>
      </c>
      <c r="L13" s="2027"/>
      <c r="M13" s="2027"/>
      <c r="N13" s="2028"/>
      <c r="O13" s="1018"/>
      <c r="P13" s="2031" t="s">
        <v>1443</v>
      </c>
      <c r="Q13" s="2033" t="s">
        <v>1432</v>
      </c>
      <c r="R13" s="2031" t="s">
        <v>1443</v>
      </c>
      <c r="S13" s="2033" t="s">
        <v>1440</v>
      </c>
      <c r="T13" s="2031" t="s">
        <v>1443</v>
      </c>
      <c r="U13" s="2033" t="s">
        <v>1440</v>
      </c>
      <c r="V13" s="2031" t="s">
        <v>1443</v>
      </c>
      <c r="W13" s="2033" t="s">
        <v>1440</v>
      </c>
      <c r="X13" s="2035" t="s">
        <v>1430</v>
      </c>
      <c r="Y13" s="2037" t="s">
        <v>1431</v>
      </c>
      <c r="Z13" s="2033" t="s">
        <v>1440</v>
      </c>
      <c r="AA13" s="2029" t="s">
        <v>1522</v>
      </c>
      <c r="AB13" s="2033" t="s">
        <v>1440</v>
      </c>
      <c r="AC13" s="2029" t="s">
        <v>1522</v>
      </c>
      <c r="AD13" s="2039" t="s">
        <v>1440</v>
      </c>
      <c r="AE13" s="2031" t="s">
        <v>1443</v>
      </c>
      <c r="AF13" s="2033" t="s">
        <v>1440</v>
      </c>
      <c r="AG13" s="2042" t="s">
        <v>1443</v>
      </c>
      <c r="AH13" s="2033" t="s">
        <v>1440</v>
      </c>
      <c r="AI13" s="2044" t="s">
        <v>1430</v>
      </c>
      <c r="AJ13" s="2037" t="s">
        <v>1431</v>
      </c>
      <c r="AK13" s="2033" t="s">
        <v>1440</v>
      </c>
      <c r="AL13" s="2044" t="s">
        <v>1430</v>
      </c>
      <c r="AM13" s="2037" t="s">
        <v>1431</v>
      </c>
      <c r="AN13" s="2033" t="s">
        <v>1440</v>
      </c>
    </row>
    <row r="14" spans="2:40" ht="42" customHeight="1">
      <c r="D14" s="51"/>
      <c r="E14" s="1786" t="s">
        <v>1266</v>
      </c>
      <c r="F14" s="1766" t="s">
        <v>1267</v>
      </c>
      <c r="G14" s="1766" t="s">
        <v>1269</v>
      </c>
      <c r="H14" s="1766" t="s">
        <v>1268</v>
      </c>
      <c r="I14" s="1766" t="s">
        <v>1498</v>
      </c>
      <c r="J14" s="1787" t="s">
        <v>1496</v>
      </c>
      <c r="K14" s="1788" t="s">
        <v>1520</v>
      </c>
      <c r="L14" s="1788" t="s">
        <v>1521</v>
      </c>
      <c r="M14" s="1788" t="s">
        <v>1493</v>
      </c>
      <c r="N14" s="1789" t="s">
        <v>1499</v>
      </c>
      <c r="P14" s="2032"/>
      <c r="Q14" s="2034"/>
      <c r="R14" s="2032"/>
      <c r="S14" s="2034"/>
      <c r="T14" s="2032"/>
      <c r="U14" s="2034"/>
      <c r="V14" s="2032"/>
      <c r="W14" s="2034"/>
      <c r="X14" s="2036"/>
      <c r="Y14" s="2038"/>
      <c r="Z14" s="2034"/>
      <c r="AA14" s="2030"/>
      <c r="AB14" s="2034"/>
      <c r="AC14" s="2030"/>
      <c r="AD14" s="2040"/>
      <c r="AE14" s="2032"/>
      <c r="AF14" s="2034"/>
      <c r="AG14" s="2043"/>
      <c r="AH14" s="2034"/>
      <c r="AI14" s="2045"/>
      <c r="AJ14" s="2038"/>
      <c r="AK14" s="2034"/>
      <c r="AL14" s="2045"/>
      <c r="AM14" s="2038"/>
      <c r="AN14" s="2034"/>
    </row>
    <row r="15" spans="2:40" ht="21" customHeight="1">
      <c r="D15" s="958" t="s">
        <v>1192</v>
      </c>
      <c r="E15" s="1782" t="s">
        <v>1088</v>
      </c>
      <c r="F15" s="1783" t="s">
        <v>1088</v>
      </c>
      <c r="G15" s="1783" t="s">
        <v>1088</v>
      </c>
      <c r="H15" s="1783" t="s">
        <v>1264</v>
      </c>
      <c r="I15" s="1783" t="s">
        <v>1501</v>
      </c>
      <c r="J15" s="1783" t="s">
        <v>1501</v>
      </c>
      <c r="K15" s="1783" t="s">
        <v>1088</v>
      </c>
      <c r="L15" s="1784" t="s">
        <v>1436</v>
      </c>
      <c r="M15" s="1783" t="s">
        <v>1018</v>
      </c>
      <c r="N15" s="1785" t="s">
        <v>1509</v>
      </c>
      <c r="P15" s="2020" t="s">
        <v>1219</v>
      </c>
      <c r="Q15" s="2021"/>
      <c r="R15" s="2020" t="s">
        <v>1266</v>
      </c>
      <c r="S15" s="2021"/>
      <c r="T15" s="2020" t="s">
        <v>1267</v>
      </c>
      <c r="U15" s="2021"/>
      <c r="V15" s="2020" t="s">
        <v>1269</v>
      </c>
      <c r="W15" s="2021"/>
      <c r="X15" s="2022" t="s">
        <v>1412</v>
      </c>
      <c r="Y15" s="2023"/>
      <c r="Z15" s="2021"/>
      <c r="AA15" s="2020" t="s">
        <v>1498</v>
      </c>
      <c r="AB15" s="2021"/>
      <c r="AC15" s="2020" t="s">
        <v>1496</v>
      </c>
      <c r="AD15" s="2041"/>
      <c r="AE15" s="2020" t="s">
        <v>1520</v>
      </c>
      <c r="AF15" s="2021"/>
      <c r="AG15" s="2020" t="s">
        <v>1467</v>
      </c>
      <c r="AH15" s="2021"/>
      <c r="AI15" s="2020" t="s">
        <v>1493</v>
      </c>
      <c r="AJ15" s="2023"/>
      <c r="AK15" s="2021"/>
      <c r="AL15" s="2020" t="s">
        <v>1515</v>
      </c>
      <c r="AM15" s="2023"/>
      <c r="AN15" s="2021"/>
    </row>
    <row r="16" spans="2:40">
      <c r="C16" s="1774" t="s">
        <v>1518</v>
      </c>
      <c r="D16" s="1777"/>
      <c r="E16" s="1752"/>
      <c r="F16" s="1752"/>
      <c r="G16" s="1752"/>
      <c r="H16" s="1752"/>
      <c r="I16" s="1791"/>
      <c r="J16" s="1792"/>
      <c r="K16" s="1775" t="s">
        <v>1517</v>
      </c>
      <c r="L16" s="1752" t="s">
        <v>1516</v>
      </c>
      <c r="M16" s="1752"/>
      <c r="N16" s="1772"/>
      <c r="P16" s="1813"/>
      <c r="Q16" s="1808"/>
      <c r="R16" s="1814"/>
      <c r="S16" s="1749" t="str">
        <f>IF(AND($C16&lt;&gt;"",LEFT($C16,5)&lt;&gt;"&lt;Proj",ISBLANK(E16))=TRUE,"X","")</f>
        <v/>
      </c>
      <c r="T16" s="1813"/>
      <c r="U16" s="1749" t="str">
        <f>IF(AND($C16&lt;&gt;"",LEFT($C16,5)&lt;&gt;"&lt;Proj",ISBLANK(F16))=TRUE,"X","")</f>
        <v/>
      </c>
      <c r="V16" s="1813"/>
      <c r="W16" s="1749" t="str">
        <f>IF(AND($C16&lt;&gt;"",LEFT($C16,5)&lt;&gt;"&lt;Proj",ISBLANK(G16))=TRUE,"X","")</f>
        <v/>
      </c>
      <c r="X16" s="1800" t="str">
        <f>IF(ISNONTEXT(H16)=TRUE,"","X")</f>
        <v/>
      </c>
      <c r="Y16" s="1790" t="str">
        <f>IF(AND(H16&gt;=0)=TRUE,"","X")</f>
        <v/>
      </c>
      <c r="Z16" s="1749" t="str">
        <f>IF(AND($C16&lt;&gt;"",LEFT($C16,5)&lt;&gt;"&lt;Proj",ISBLANK(H16))=TRUE,"X","")</f>
        <v/>
      </c>
      <c r="AA16" s="1801" t="str" cm="1">
        <f t="array" aca="1" ref="AA16" ca="1">IF(CELL("format",I16)="D1","","X")</f>
        <v/>
      </c>
      <c r="AB16" s="1749" t="str">
        <f>IF(AND($C16&lt;&gt;"",LEFT($C16,5)&lt;&gt;"&lt;Proj",ISBLANK(I16))=TRUE,"X","")</f>
        <v/>
      </c>
      <c r="AC16" s="1801" t="str" cm="1">
        <f t="array" aca="1" ref="AC16" ca="1">IF(CELL("format",J16)="D1","","X")</f>
        <v/>
      </c>
      <c r="AD16" s="1797" t="str">
        <f>IF(AND($C16&lt;&gt;"",LEFT($C16,5)&lt;&gt;"&lt;Proj",ISBLANK(J16))=TRUE,"X","")</f>
        <v/>
      </c>
      <c r="AE16" s="1561"/>
      <c r="AF16" s="1560" t="str">
        <f>IF(AND($C$16&lt;&gt;"",LEFT($C$16,5)&lt;&gt;"&lt;Proj",ISBLANK(K16))=TRUE,"X","")</f>
        <v/>
      </c>
      <c r="AG16" s="1561"/>
      <c r="AH16" s="1560" t="str">
        <f>IF(AND($C$16&lt;&gt;"",LEFT($C$16,5)&lt;&gt;"&lt;Proj",ISBLANK(L16))=TRUE,"X","")</f>
        <v/>
      </c>
      <c r="AI16" s="1561" t="str">
        <f>IF(ISNONTEXT(M16)=TRUE,"","X")</f>
        <v/>
      </c>
      <c r="AJ16" s="1559" t="str">
        <f>IF(AND(M16&gt;=0)=TRUE,"","X")</f>
        <v/>
      </c>
      <c r="AK16" s="1560" t="str">
        <f>IF(AND($C$16&lt;&gt;"",LEFT($C$16,5)&lt;&gt;"&lt;Proj",ISBLANK(M16))=TRUE,"X","")</f>
        <v/>
      </c>
      <c r="AL16" s="1561" t="str">
        <f>IF(ISNONTEXT(N16)=TRUE,"","X")</f>
        <v/>
      </c>
      <c r="AM16" s="1559" t="str">
        <f>IF(AND(N16&gt;=0)=TRUE,"","X")</f>
        <v/>
      </c>
      <c r="AN16" s="1560" t="str">
        <f>IF(AND($C$16&lt;&gt;"",LEFT($C$16,5)&lt;&gt;"&lt;Proj",ISBLANK(N16))=TRUE,"X","")</f>
        <v/>
      </c>
    </row>
    <row r="17" spans="1:40">
      <c r="C17" s="1779"/>
      <c r="D17" s="1756"/>
      <c r="E17" s="1756"/>
      <c r="F17" s="1756"/>
      <c r="G17" s="1756"/>
      <c r="H17" s="1756"/>
      <c r="I17" s="1756"/>
      <c r="J17" s="1756"/>
      <c r="K17" s="1771" t="s">
        <v>1517</v>
      </c>
      <c r="L17" s="1106" t="s">
        <v>1516</v>
      </c>
      <c r="M17" s="1106"/>
      <c r="N17" s="1753"/>
      <c r="P17" s="1795"/>
      <c r="Q17" s="1809"/>
      <c r="R17" s="1811"/>
      <c r="S17" s="1805"/>
      <c r="T17" s="1795"/>
      <c r="U17" s="1805"/>
      <c r="V17" s="1795"/>
      <c r="W17" s="1805"/>
      <c r="X17" s="1802"/>
      <c r="Y17" s="1793"/>
      <c r="Z17" s="1805"/>
      <c r="AA17" s="1804"/>
      <c r="AB17" s="1805"/>
      <c r="AC17" s="1804"/>
      <c r="AD17" s="1798"/>
      <c r="AE17" s="1540"/>
      <c r="AF17" s="1539" t="str">
        <f>IF(AND($C$16&lt;&gt;"",LEFT($C$16,5)&lt;&gt;"&lt;Proj",ISBLANK(K17))=TRUE,"X","")</f>
        <v/>
      </c>
      <c r="AG17" s="1540"/>
      <c r="AH17" s="1539" t="str">
        <f>IF(AND($C$16&lt;&gt;"",LEFT($C$16,5)&lt;&gt;"&lt;Proj",ISBLANK(L17))=TRUE,"X","")</f>
        <v/>
      </c>
      <c r="AI17" s="1540" t="str">
        <f t="shared" ref="AI17:AI38" si="0">IF(ISNONTEXT(M17)=TRUE,"","X")</f>
        <v/>
      </c>
      <c r="AJ17" s="1534" t="str">
        <f t="shared" ref="AJ17:AJ38" si="1">IF(AND(M17&gt;=0)=TRUE,"","X")</f>
        <v/>
      </c>
      <c r="AK17" s="1539" t="str">
        <f>IF(AND($C$16&lt;&gt;"",LEFT($C$16,5)&lt;&gt;"&lt;Proj",ISBLANK(M17))=TRUE,"X","")</f>
        <v/>
      </c>
      <c r="AL17" s="1540" t="str">
        <f t="shared" ref="AL17:AL39" si="2">IF(ISNONTEXT(N17)=TRUE,"","X")</f>
        <v/>
      </c>
      <c r="AM17" s="1534" t="str">
        <f t="shared" ref="AM17:AM39" si="3">IF(AND(N17&gt;=0)=TRUE,"","X")</f>
        <v/>
      </c>
      <c r="AN17" s="1539" t="str">
        <f>IF(AND($C$16&lt;&gt;"",LEFT($C$16,5)&lt;&gt;"&lt;Proj",ISBLANK(N17))=TRUE,"X","")</f>
        <v/>
      </c>
    </row>
    <row r="18" spans="1:40">
      <c r="A18" s="1665" t="s">
        <v>1470</v>
      </c>
      <c r="C18" s="1779"/>
      <c r="D18" s="1756"/>
      <c r="E18" s="1756"/>
      <c r="F18" s="1756"/>
      <c r="G18" s="1756"/>
      <c r="H18" s="1756"/>
      <c r="I18" s="1756"/>
      <c r="J18" s="1756"/>
      <c r="K18" s="1771" t="s">
        <v>1517</v>
      </c>
      <c r="L18" s="1106" t="s">
        <v>1516</v>
      </c>
      <c r="M18" s="1106"/>
      <c r="N18" s="1753"/>
      <c r="P18" s="1795"/>
      <c r="Q18" s="1809"/>
      <c r="R18" s="1811"/>
      <c r="S18" s="1805"/>
      <c r="T18" s="1795"/>
      <c r="U18" s="1805"/>
      <c r="V18" s="1795"/>
      <c r="W18" s="1805"/>
      <c r="X18" s="1802"/>
      <c r="Y18" s="1793"/>
      <c r="Z18" s="1805"/>
      <c r="AA18" s="1804"/>
      <c r="AB18" s="1805"/>
      <c r="AC18" s="1804"/>
      <c r="AD18" s="1798"/>
      <c r="AE18" s="1858"/>
      <c r="AF18" s="1539" t="str">
        <f>IF(AND($C$16&lt;&gt;"",LEFT($C$16,5)&lt;&gt;"&lt;Proj",ISBLANK(K18))=TRUE,"X","")</f>
        <v/>
      </c>
      <c r="AG18" s="1858"/>
      <c r="AH18" s="1539" t="str">
        <f>IF(AND($C$16&lt;&gt;"",LEFT($C$16,5)&lt;&gt;"&lt;Proj",ISBLANK(L18))=TRUE,"X","")</f>
        <v/>
      </c>
      <c r="AI18" s="1540" t="str">
        <f t="shared" si="0"/>
        <v/>
      </c>
      <c r="AJ18" s="1534" t="str">
        <f t="shared" si="1"/>
        <v/>
      </c>
      <c r="AK18" s="1539" t="str">
        <f>IF(AND($C$16&lt;&gt;"",LEFT($C$16,5)&lt;&gt;"&lt;Proj",ISBLANK(M18))=TRUE,"X","")</f>
        <v/>
      </c>
      <c r="AL18" s="1540" t="str">
        <f t="shared" si="2"/>
        <v/>
      </c>
      <c r="AM18" s="1534" t="str">
        <f t="shared" si="3"/>
        <v/>
      </c>
      <c r="AN18" s="1539" t="str">
        <f>IF(AND($C$16&lt;&gt;"",LEFT($C$16,5)&lt;&gt;"&lt;Proj",ISBLANK(N18))=TRUE,"X","")</f>
        <v/>
      </c>
    </row>
    <row r="19" spans="1:40">
      <c r="C19" s="1780"/>
      <c r="D19" s="1770"/>
      <c r="E19" s="1770"/>
      <c r="F19" s="1770"/>
      <c r="G19" s="1770"/>
      <c r="H19" s="1770"/>
      <c r="I19" s="1770"/>
      <c r="J19" s="1770"/>
      <c r="K19" s="1781" t="s">
        <v>1517</v>
      </c>
      <c r="L19" s="1754" t="s">
        <v>1516</v>
      </c>
      <c r="M19" s="1754"/>
      <c r="N19" s="1755"/>
      <c r="P19" s="1796"/>
      <c r="Q19" s="1810"/>
      <c r="R19" s="1812"/>
      <c r="S19" s="1807"/>
      <c r="T19" s="1796"/>
      <c r="U19" s="1807"/>
      <c r="V19" s="1796"/>
      <c r="W19" s="1807"/>
      <c r="X19" s="1803"/>
      <c r="Y19" s="1794"/>
      <c r="Z19" s="1807"/>
      <c r="AA19" s="1806"/>
      <c r="AB19" s="1807"/>
      <c r="AC19" s="1806"/>
      <c r="AD19" s="1799"/>
      <c r="AE19" s="1859"/>
      <c r="AF19" s="1541" t="str">
        <f>IF(AND($C$16&lt;&gt;"",LEFT($C$16,5)&lt;&gt;"&lt;Proj",ISBLANK(K19))=TRUE,"X","")</f>
        <v/>
      </c>
      <c r="AG19" s="1859"/>
      <c r="AH19" s="1541" t="str">
        <f>IF(AND($C$16&lt;&gt;"",LEFT($C$16,5)&lt;&gt;"&lt;Proj",ISBLANK(L19))=TRUE,"X","")</f>
        <v/>
      </c>
      <c r="AI19" s="1542" t="str">
        <f t="shared" si="0"/>
        <v/>
      </c>
      <c r="AJ19" s="1551" t="str">
        <f t="shared" si="1"/>
        <v/>
      </c>
      <c r="AK19" s="1541" t="str">
        <f>IF(AND($C$16&lt;&gt;"",LEFT($C$16,5)&lt;&gt;"&lt;Proj",ISBLANK(M19))=TRUE,"X","")</f>
        <v/>
      </c>
      <c r="AL19" s="1542" t="str">
        <f t="shared" si="2"/>
        <v/>
      </c>
      <c r="AM19" s="1551" t="str">
        <f t="shared" si="3"/>
        <v/>
      </c>
      <c r="AN19" s="1541" t="str">
        <f>IF(AND($C$16&lt;&gt;"",LEFT($C$16,5)&lt;&gt;"&lt;Proj",ISBLANK(N19))=TRUE,"X","")</f>
        <v/>
      </c>
    </row>
    <row r="20" spans="1:40">
      <c r="C20" s="1774" t="s">
        <v>1518</v>
      </c>
      <c r="D20" s="1777"/>
      <c r="E20" s="1752"/>
      <c r="F20" s="1752"/>
      <c r="G20" s="1752"/>
      <c r="H20" s="1752"/>
      <c r="I20" s="1791"/>
      <c r="J20" s="1792"/>
      <c r="K20" s="1778" t="s">
        <v>1517</v>
      </c>
      <c r="L20" s="1752" t="s">
        <v>1516</v>
      </c>
      <c r="M20" s="1752"/>
      <c r="N20" s="1772"/>
      <c r="P20" s="1813"/>
      <c r="Q20" s="1808"/>
      <c r="R20" s="1814"/>
      <c r="S20" s="1749" t="str">
        <f>IF(AND($C20&lt;&gt;"",LEFT($C20,5)&lt;&gt;"&lt;Proj",ISBLANK(E20))=TRUE,"X","")</f>
        <v/>
      </c>
      <c r="T20" s="1813"/>
      <c r="U20" s="1749" t="str">
        <f>IF(AND($C20&lt;&gt;"",LEFT($C20,5)&lt;&gt;"&lt;Proj",ISBLANK(F20))=TRUE,"X","")</f>
        <v/>
      </c>
      <c r="V20" s="1813"/>
      <c r="W20" s="1749" t="str">
        <f>IF(AND($C20&lt;&gt;"",LEFT($C20,5)&lt;&gt;"&lt;Proj",ISBLANK(G20))=TRUE,"X","")</f>
        <v/>
      </c>
      <c r="X20" s="1800" t="str">
        <f>IF(ISNONTEXT(H20)=TRUE,"","X")</f>
        <v/>
      </c>
      <c r="Y20" s="1790" t="str">
        <f>IF(AND(H20&gt;=0)=TRUE,"","X")</f>
        <v/>
      </c>
      <c r="Z20" s="1749" t="str">
        <f>IF(AND($C20&lt;&gt;"",LEFT($C20,5)&lt;&gt;"&lt;Proj",ISBLANK(H20))=TRUE,"X","")</f>
        <v/>
      </c>
      <c r="AA20" s="1801" t="str" cm="1">
        <f t="array" aca="1" ref="AA20" ca="1">IF(CELL("format",I20)="D1","","X")</f>
        <v/>
      </c>
      <c r="AB20" s="1749" t="str">
        <f>IF(AND($C20&lt;&gt;"",LEFT($C20,5)&lt;&gt;"&lt;Proj",ISBLANK(I20))=TRUE,"X","")</f>
        <v/>
      </c>
      <c r="AC20" s="1801" t="str" cm="1">
        <f t="array" aca="1" ref="AC20" ca="1">IF(CELL("format",J20)="D1","","X")</f>
        <v/>
      </c>
      <c r="AD20" s="1797" t="str">
        <f>IF(AND($C20&lt;&gt;"",LEFT($C20,5)&lt;&gt;"&lt;Proj",ISBLANK(J20))=TRUE,"X","")</f>
        <v/>
      </c>
      <c r="AE20" s="1860"/>
      <c r="AF20" s="1560" t="str">
        <f>IF(AND($C$20&lt;&gt;"",LEFT($C$20,5)&lt;&gt;"&lt;Proj",ISBLANK(K20))=TRUE,"X","")</f>
        <v/>
      </c>
      <c r="AG20" s="1860"/>
      <c r="AH20" s="1560" t="str">
        <f>IF(AND($C$20&lt;&gt;"",LEFT($C$20,5)&lt;&gt;"&lt;Proj",ISBLANK(L20))=TRUE,"X","")</f>
        <v/>
      </c>
      <c r="AI20" s="1561" t="str">
        <f t="shared" si="0"/>
        <v/>
      </c>
      <c r="AJ20" s="1559" t="str">
        <f t="shared" si="1"/>
        <v/>
      </c>
      <c r="AK20" s="1560" t="str">
        <f>IF(AND($C$20&lt;&gt;"",LEFT($C$20,5)&lt;&gt;"&lt;Proj",ISBLANK(M20))=TRUE,"X","")</f>
        <v/>
      </c>
      <c r="AL20" s="1561" t="str">
        <f t="shared" si="2"/>
        <v/>
      </c>
      <c r="AM20" s="1559" t="str">
        <f t="shared" si="3"/>
        <v/>
      </c>
      <c r="AN20" s="1560" t="str">
        <f>IF(AND($C$20&lt;&gt;"",LEFT($C$20,5)&lt;&gt;"&lt;Proj",ISBLANK(N20))=TRUE,"X","")</f>
        <v/>
      </c>
    </row>
    <row r="21" spans="1:40">
      <c r="C21" s="1779"/>
      <c r="D21" s="1756"/>
      <c r="E21" s="1756"/>
      <c r="F21" s="1756"/>
      <c r="G21" s="1756"/>
      <c r="H21" s="1756"/>
      <c r="I21" s="1756"/>
      <c r="J21" s="1756"/>
      <c r="K21" s="1771" t="s">
        <v>1517</v>
      </c>
      <c r="L21" s="1106" t="s">
        <v>1516</v>
      </c>
      <c r="M21" s="1106"/>
      <c r="N21" s="1753"/>
      <c r="P21" s="1795"/>
      <c r="Q21" s="1809"/>
      <c r="R21" s="1811"/>
      <c r="S21" s="1805"/>
      <c r="T21" s="1795"/>
      <c r="U21" s="1805"/>
      <c r="V21" s="1795"/>
      <c r="W21" s="1805"/>
      <c r="X21" s="1802"/>
      <c r="Y21" s="1793"/>
      <c r="Z21" s="1805"/>
      <c r="AA21" s="1804"/>
      <c r="AB21" s="1805"/>
      <c r="AC21" s="1804"/>
      <c r="AD21" s="1798"/>
      <c r="AE21" s="1858"/>
      <c r="AF21" s="1539" t="str">
        <f>IF(AND($C$20&lt;&gt;"",LEFT($C$20,5)&lt;&gt;"&lt;Proj",ISBLANK(K21))=TRUE,"X","")</f>
        <v/>
      </c>
      <c r="AG21" s="1858"/>
      <c r="AH21" s="1539" t="str">
        <f>IF(AND($C$20&lt;&gt;"",LEFT($C$20,5)&lt;&gt;"&lt;Proj",ISBLANK(L21))=TRUE,"X","")</f>
        <v/>
      </c>
      <c r="AI21" s="1540" t="str">
        <f t="shared" si="0"/>
        <v/>
      </c>
      <c r="AJ21" s="1534" t="str">
        <f t="shared" si="1"/>
        <v/>
      </c>
      <c r="AK21" s="1539" t="str">
        <f>IF(AND($C$20&lt;&gt;"",LEFT($C$20,5)&lt;&gt;"&lt;Proj",ISBLANK(M21))=TRUE,"X","")</f>
        <v/>
      </c>
      <c r="AL21" s="1540" t="str">
        <f t="shared" si="2"/>
        <v/>
      </c>
      <c r="AM21" s="1534" t="str">
        <f t="shared" si="3"/>
        <v/>
      </c>
      <c r="AN21" s="1539" t="str">
        <f>IF(AND($C$20&lt;&gt;"",LEFT($C$20,5)&lt;&gt;"&lt;Proj",ISBLANK(N21))=TRUE,"X","")</f>
        <v/>
      </c>
    </row>
    <row r="22" spans="1:40">
      <c r="A22" s="1665" t="s">
        <v>1470</v>
      </c>
      <c r="C22" s="1779"/>
      <c r="D22" s="1756"/>
      <c r="E22" s="1756"/>
      <c r="F22" s="1756"/>
      <c r="G22" s="1756"/>
      <c r="H22" s="1756"/>
      <c r="I22" s="1756"/>
      <c r="J22" s="1756"/>
      <c r="K22" s="1771" t="s">
        <v>1517</v>
      </c>
      <c r="L22" s="1106" t="s">
        <v>1516</v>
      </c>
      <c r="M22" s="1106"/>
      <c r="N22" s="1753"/>
      <c r="P22" s="1795"/>
      <c r="Q22" s="1809"/>
      <c r="R22" s="1811"/>
      <c r="S22" s="1805"/>
      <c r="T22" s="1795"/>
      <c r="U22" s="1805"/>
      <c r="V22" s="1795"/>
      <c r="W22" s="1805"/>
      <c r="X22" s="1802"/>
      <c r="Y22" s="1793"/>
      <c r="Z22" s="1805"/>
      <c r="AA22" s="1804"/>
      <c r="AB22" s="1805"/>
      <c r="AC22" s="1804"/>
      <c r="AD22" s="1798"/>
      <c r="AE22" s="1858"/>
      <c r="AF22" s="1539" t="str">
        <f>IF(AND($C$20&lt;&gt;"",LEFT($C$20,5)&lt;&gt;"&lt;Proj",ISBLANK(K22))=TRUE,"X","")</f>
        <v/>
      </c>
      <c r="AG22" s="1858"/>
      <c r="AH22" s="1539" t="str">
        <f>IF(AND($C$20&lt;&gt;"",LEFT($C$20,5)&lt;&gt;"&lt;Proj",ISBLANK(L22))=TRUE,"X","")</f>
        <v/>
      </c>
      <c r="AI22" s="1540" t="str">
        <f>IF(ISNONTEXT(M22)=TRUE,"","X")</f>
        <v/>
      </c>
      <c r="AJ22" s="1534" t="str">
        <f t="shared" si="1"/>
        <v/>
      </c>
      <c r="AK22" s="1539" t="str">
        <f>IF(AND($C$20&lt;&gt;"",LEFT($C$20,5)&lt;&gt;"&lt;Proj",ISBLANK(M22))=TRUE,"X","")</f>
        <v/>
      </c>
      <c r="AL22" s="1540" t="str">
        <f t="shared" si="2"/>
        <v/>
      </c>
      <c r="AM22" s="1534" t="str">
        <f t="shared" si="3"/>
        <v/>
      </c>
      <c r="AN22" s="1539" t="str">
        <f>IF(AND($C$20&lt;&gt;"",LEFT($C$20,5)&lt;&gt;"&lt;Proj",ISBLANK(N22))=TRUE,"X","")</f>
        <v/>
      </c>
    </row>
    <row r="23" spans="1:40">
      <c r="C23" s="1780"/>
      <c r="D23" s="1770"/>
      <c r="E23" s="1770"/>
      <c r="F23" s="1770"/>
      <c r="G23" s="1770"/>
      <c r="H23" s="1770"/>
      <c r="I23" s="1770"/>
      <c r="J23" s="1770"/>
      <c r="K23" s="1781" t="s">
        <v>1517</v>
      </c>
      <c r="L23" s="1754" t="s">
        <v>1516</v>
      </c>
      <c r="M23" s="1754"/>
      <c r="N23" s="1755"/>
      <c r="P23" s="1796"/>
      <c r="Q23" s="1810"/>
      <c r="R23" s="1812"/>
      <c r="S23" s="1807"/>
      <c r="T23" s="1796"/>
      <c r="U23" s="1807"/>
      <c r="V23" s="1796"/>
      <c r="W23" s="1807"/>
      <c r="X23" s="1803"/>
      <c r="Y23" s="1794"/>
      <c r="Z23" s="1807"/>
      <c r="AA23" s="1806"/>
      <c r="AB23" s="1807"/>
      <c r="AC23" s="1806"/>
      <c r="AD23" s="1799"/>
      <c r="AE23" s="1859"/>
      <c r="AF23" s="1541" t="str">
        <f>IF(AND($C$20&lt;&gt;"",LEFT($C$20,5)&lt;&gt;"&lt;Proj",ISBLANK(K23))=TRUE,"X","")</f>
        <v/>
      </c>
      <c r="AG23" s="1859"/>
      <c r="AH23" s="1541" t="str">
        <f>IF(AND($C$20&lt;&gt;"",LEFT($C$20,5)&lt;&gt;"&lt;Proj",ISBLANK(L23))=TRUE,"X","")</f>
        <v/>
      </c>
      <c r="AI23" s="1542" t="str">
        <f t="shared" si="0"/>
        <v/>
      </c>
      <c r="AJ23" s="1551" t="str">
        <f t="shared" si="1"/>
        <v/>
      </c>
      <c r="AK23" s="1541" t="str">
        <f>IF(AND($C$20&lt;&gt;"",LEFT($C$20,5)&lt;&gt;"&lt;Proj",ISBLANK(M23))=TRUE,"X","")</f>
        <v/>
      </c>
      <c r="AL23" s="1542" t="str">
        <f t="shared" si="2"/>
        <v/>
      </c>
      <c r="AM23" s="1551" t="str">
        <f t="shared" si="3"/>
        <v/>
      </c>
      <c r="AN23" s="1541" t="str">
        <f>IF(AND($C$20&lt;&gt;"",LEFT($C$20,5)&lt;&gt;"&lt;Proj",ISBLANK(N23))=TRUE,"X","")</f>
        <v/>
      </c>
    </row>
    <row r="24" spans="1:40">
      <c r="C24" s="1774" t="s">
        <v>1518</v>
      </c>
      <c r="D24" s="1777"/>
      <c r="E24" s="1752"/>
      <c r="F24" s="1752"/>
      <c r="G24" s="1752"/>
      <c r="H24" s="1752"/>
      <c r="I24" s="1791"/>
      <c r="J24" s="1792"/>
      <c r="K24" s="1778" t="s">
        <v>1517</v>
      </c>
      <c r="L24" s="1752" t="s">
        <v>1516</v>
      </c>
      <c r="M24" s="1752"/>
      <c r="N24" s="1772"/>
      <c r="P24" s="1813"/>
      <c r="Q24" s="1808"/>
      <c r="R24" s="1814"/>
      <c r="S24" s="1749" t="str">
        <f>IF(AND($C24&lt;&gt;"",LEFT($C24,5)&lt;&gt;"&lt;Proj",ISBLANK(E24))=TRUE,"X","")</f>
        <v/>
      </c>
      <c r="T24" s="1813"/>
      <c r="U24" s="1749" t="str">
        <f>IF(AND($C24&lt;&gt;"",LEFT($C24,5)&lt;&gt;"&lt;Proj",ISBLANK(F24))=TRUE,"X","")</f>
        <v/>
      </c>
      <c r="V24" s="1813"/>
      <c r="W24" s="1749" t="str">
        <f>IF(AND($C24&lt;&gt;"",LEFT($C24,5)&lt;&gt;"&lt;Proj",ISBLANK(G24))=TRUE,"X","")</f>
        <v/>
      </c>
      <c r="X24" s="1800" t="str">
        <f>IF(ISNONTEXT(H24)=TRUE,"","X")</f>
        <v/>
      </c>
      <c r="Y24" s="1790" t="str">
        <f>IF(AND(H24&gt;=0)=TRUE,"","X")</f>
        <v/>
      </c>
      <c r="Z24" s="1749" t="str">
        <f>IF(AND($C24&lt;&gt;"",LEFT($C24,5)&lt;&gt;"&lt;Proj",ISBLANK(H24))=TRUE,"X","")</f>
        <v/>
      </c>
      <c r="AA24" s="1801" t="str" cm="1">
        <f t="array" aca="1" ref="AA24" ca="1">IF(CELL("format",I24)="D1","","X")</f>
        <v/>
      </c>
      <c r="AB24" s="1749" t="str">
        <f>IF(AND($C24&lt;&gt;"",LEFT($C24,5)&lt;&gt;"&lt;Proj",ISBLANK(I24))=TRUE,"X","")</f>
        <v/>
      </c>
      <c r="AC24" s="1801" t="str" cm="1">
        <f t="array" aca="1" ref="AC24" ca="1">IF(CELL("format",J24)="D1","","X")</f>
        <v/>
      </c>
      <c r="AD24" s="1797" t="str">
        <f>IF(AND($C24&lt;&gt;"",LEFT($C24,5)&lt;&gt;"&lt;Proj",ISBLANK(J24))=TRUE,"X","")</f>
        <v/>
      </c>
      <c r="AE24" s="1860"/>
      <c r="AF24" s="1560" t="str">
        <f>IF(AND($C$24&lt;&gt;"",LEFT($C$24,5)&lt;&gt;"&lt;Proj",ISBLANK(K24))=TRUE,"X","")</f>
        <v/>
      </c>
      <c r="AG24" s="1860"/>
      <c r="AH24" s="1560" t="str">
        <f>IF(AND($C$24&lt;&gt;"",LEFT($C$24,5)&lt;&gt;"&lt;Proj",ISBLANK(L24))=TRUE,"X","")</f>
        <v/>
      </c>
      <c r="AI24" s="1561" t="str">
        <f t="shared" si="0"/>
        <v/>
      </c>
      <c r="AJ24" s="1559" t="str">
        <f t="shared" si="1"/>
        <v/>
      </c>
      <c r="AK24" s="1560" t="str">
        <f>IF(AND($C$24&lt;&gt;"",LEFT($C$24,5)&lt;&gt;"&lt;Proj",ISBLANK(M24))=TRUE,"X","")</f>
        <v/>
      </c>
      <c r="AL24" s="1561" t="str">
        <f t="shared" si="2"/>
        <v/>
      </c>
      <c r="AM24" s="1559" t="str">
        <f t="shared" si="3"/>
        <v/>
      </c>
      <c r="AN24" s="1560" t="str">
        <f>IF(AND($C$24&lt;&gt;"",LEFT($C$24,5)&lt;&gt;"&lt;Proj",ISBLANK(N24))=TRUE,"X","")</f>
        <v/>
      </c>
    </row>
    <row r="25" spans="1:40">
      <c r="C25" s="1779"/>
      <c r="D25" s="1756"/>
      <c r="E25" s="1756"/>
      <c r="F25" s="1756"/>
      <c r="G25" s="1756"/>
      <c r="H25" s="1756"/>
      <c r="I25" s="1756"/>
      <c r="J25" s="1756"/>
      <c r="K25" s="1771" t="s">
        <v>1517</v>
      </c>
      <c r="L25" s="1106" t="s">
        <v>1516</v>
      </c>
      <c r="M25" s="1106"/>
      <c r="N25" s="1753"/>
      <c r="P25" s="1795"/>
      <c r="Q25" s="1809"/>
      <c r="R25" s="1811"/>
      <c r="S25" s="1805"/>
      <c r="T25" s="1795"/>
      <c r="U25" s="1805"/>
      <c r="V25" s="1795"/>
      <c r="W25" s="1805"/>
      <c r="X25" s="1802"/>
      <c r="Y25" s="1793"/>
      <c r="Z25" s="1805"/>
      <c r="AA25" s="1804"/>
      <c r="AB25" s="1805"/>
      <c r="AC25" s="1804"/>
      <c r="AD25" s="1798"/>
      <c r="AE25" s="1858"/>
      <c r="AF25" s="1539" t="str">
        <f>IF(AND($C$24&lt;&gt;"",LEFT($C$24,5)&lt;&gt;"&lt;Proj",ISBLANK(K25))=TRUE,"X","")</f>
        <v/>
      </c>
      <c r="AG25" s="1858"/>
      <c r="AH25" s="1539" t="str">
        <f>IF(AND($C$24&lt;&gt;"",LEFT($C$24,5)&lt;&gt;"&lt;Proj",ISBLANK(L25))=TRUE,"X","")</f>
        <v/>
      </c>
      <c r="AI25" s="1540" t="str">
        <f t="shared" si="0"/>
        <v/>
      </c>
      <c r="AJ25" s="1534" t="str">
        <f t="shared" si="1"/>
        <v/>
      </c>
      <c r="AK25" s="1539" t="str">
        <f>IF(AND($C$24&lt;&gt;"",LEFT($C$24,5)&lt;&gt;"&lt;Proj",ISBLANK(M25))=TRUE,"X","")</f>
        <v/>
      </c>
      <c r="AL25" s="1540" t="str">
        <f t="shared" si="2"/>
        <v/>
      </c>
      <c r="AM25" s="1534" t="str">
        <f t="shared" si="3"/>
        <v/>
      </c>
      <c r="AN25" s="1539" t="str">
        <f>IF(AND($C$24&lt;&gt;"",LEFT($C$24,5)&lt;&gt;"&lt;Proj",ISBLANK(N25))=TRUE,"X","")</f>
        <v/>
      </c>
    </row>
    <row r="26" spans="1:40">
      <c r="A26" s="1665" t="s">
        <v>1470</v>
      </c>
      <c r="C26" s="1779"/>
      <c r="D26" s="1756"/>
      <c r="E26" s="1756"/>
      <c r="F26" s="1756"/>
      <c r="G26" s="1756"/>
      <c r="H26" s="1756"/>
      <c r="I26" s="1756"/>
      <c r="J26" s="1756"/>
      <c r="K26" s="1771" t="s">
        <v>1517</v>
      </c>
      <c r="L26" s="1106" t="s">
        <v>1516</v>
      </c>
      <c r="M26" s="1106"/>
      <c r="N26" s="1753"/>
      <c r="P26" s="1795"/>
      <c r="Q26" s="1809"/>
      <c r="R26" s="1811"/>
      <c r="S26" s="1805"/>
      <c r="T26" s="1795"/>
      <c r="U26" s="1805"/>
      <c r="V26" s="1795"/>
      <c r="W26" s="1805"/>
      <c r="X26" s="1802"/>
      <c r="Y26" s="1793"/>
      <c r="Z26" s="1805"/>
      <c r="AA26" s="1804"/>
      <c r="AB26" s="1805"/>
      <c r="AC26" s="1804"/>
      <c r="AD26" s="1798"/>
      <c r="AE26" s="1858"/>
      <c r="AF26" s="1539" t="str">
        <f>IF(AND($C$24&lt;&gt;"",LEFT($C$24,5)&lt;&gt;"&lt;Proj",ISBLANK(K26))=TRUE,"X","")</f>
        <v/>
      </c>
      <c r="AG26" s="1858"/>
      <c r="AH26" s="1539" t="str">
        <f>IF(AND($C$24&lt;&gt;"",LEFT($C$24,5)&lt;&gt;"&lt;Proj",ISBLANK(L26))=TRUE,"X","")</f>
        <v/>
      </c>
      <c r="AI26" s="1540" t="str">
        <f t="shared" si="0"/>
        <v/>
      </c>
      <c r="AJ26" s="1534" t="str">
        <f t="shared" si="1"/>
        <v/>
      </c>
      <c r="AK26" s="1539" t="str">
        <f>IF(AND($C$24&lt;&gt;"",LEFT($C$24,5)&lt;&gt;"&lt;Proj",ISBLANK(M26))=TRUE,"X","")</f>
        <v/>
      </c>
      <c r="AL26" s="1540" t="str">
        <f t="shared" si="2"/>
        <v/>
      </c>
      <c r="AM26" s="1534" t="str">
        <f t="shared" si="3"/>
        <v/>
      </c>
      <c r="AN26" s="1539" t="str">
        <f>IF(AND($C$24&lt;&gt;"",LEFT($C$24,5)&lt;&gt;"&lt;Proj",ISBLANK(N26))=TRUE,"X","")</f>
        <v/>
      </c>
    </row>
    <row r="27" spans="1:40">
      <c r="C27" s="1780"/>
      <c r="D27" s="1770"/>
      <c r="E27" s="1770"/>
      <c r="F27" s="1770"/>
      <c r="G27" s="1770"/>
      <c r="H27" s="1770"/>
      <c r="I27" s="1770"/>
      <c r="J27" s="1770"/>
      <c r="K27" s="1781" t="s">
        <v>1517</v>
      </c>
      <c r="L27" s="1754" t="s">
        <v>1516</v>
      </c>
      <c r="M27" s="1754"/>
      <c r="N27" s="1755"/>
      <c r="P27" s="1796"/>
      <c r="Q27" s="1810"/>
      <c r="R27" s="1812"/>
      <c r="S27" s="1807"/>
      <c r="T27" s="1796"/>
      <c r="U27" s="1807"/>
      <c r="V27" s="1796"/>
      <c r="W27" s="1807"/>
      <c r="X27" s="1803"/>
      <c r="Y27" s="1794"/>
      <c r="Z27" s="1807"/>
      <c r="AA27" s="1806"/>
      <c r="AB27" s="1807"/>
      <c r="AC27" s="1806"/>
      <c r="AD27" s="1799"/>
      <c r="AE27" s="1859"/>
      <c r="AF27" s="1541" t="str">
        <f>IF(AND($C$24&lt;&gt;"",LEFT($C$24,5)&lt;&gt;"&lt;Proj",ISBLANK(K27))=TRUE,"X","")</f>
        <v/>
      </c>
      <c r="AG27" s="1859"/>
      <c r="AH27" s="1541" t="str">
        <f>IF(AND($C$24&lt;&gt;"",LEFT($C$24,5)&lt;&gt;"&lt;Proj",ISBLANK(L27))=TRUE,"X","")</f>
        <v/>
      </c>
      <c r="AI27" s="1542" t="str">
        <f t="shared" si="0"/>
        <v/>
      </c>
      <c r="AJ27" s="1551" t="str">
        <f t="shared" si="1"/>
        <v/>
      </c>
      <c r="AK27" s="1541" t="str">
        <f>IF(AND($C$24&lt;&gt;"",LEFT($C$24,5)&lt;&gt;"&lt;Proj",ISBLANK(M27))=TRUE,"X","")</f>
        <v/>
      </c>
      <c r="AL27" s="1542" t="str">
        <f t="shared" si="2"/>
        <v/>
      </c>
      <c r="AM27" s="1551" t="str">
        <f t="shared" si="3"/>
        <v/>
      </c>
      <c r="AN27" s="1541" t="str">
        <f>IF(AND($C$24&lt;&gt;"",LEFT($C$24,5)&lt;&gt;"&lt;Proj",ISBLANK(N27))=TRUE,"X","")</f>
        <v/>
      </c>
    </row>
    <row r="28" spans="1:40">
      <c r="C28" s="1774" t="s">
        <v>1518</v>
      </c>
      <c r="D28" s="1777"/>
      <c r="E28" s="1752"/>
      <c r="F28" s="1752"/>
      <c r="G28" s="1752"/>
      <c r="H28" s="1752"/>
      <c r="I28" s="1791"/>
      <c r="J28" s="1792"/>
      <c r="K28" s="1778" t="s">
        <v>1517</v>
      </c>
      <c r="L28" s="1752" t="s">
        <v>1516</v>
      </c>
      <c r="M28" s="1752"/>
      <c r="N28" s="1772"/>
      <c r="P28" s="1813"/>
      <c r="Q28" s="1808"/>
      <c r="R28" s="1814"/>
      <c r="S28" s="1749" t="str">
        <f>IF(AND($C28&lt;&gt;"",LEFT($C28,5)&lt;&gt;"&lt;Proj",ISBLANK(E28))=TRUE,"X","")</f>
        <v/>
      </c>
      <c r="T28" s="1813"/>
      <c r="U28" s="1749" t="str">
        <f>IF(AND($C28&lt;&gt;"",LEFT($C28,5)&lt;&gt;"&lt;Proj",ISBLANK(F28))=TRUE,"X","")</f>
        <v/>
      </c>
      <c r="V28" s="1813"/>
      <c r="W28" s="1749" t="str">
        <f>IF(AND($C28&lt;&gt;"",LEFT($C28,5)&lt;&gt;"&lt;Proj",ISBLANK(G28))=TRUE,"X","")</f>
        <v/>
      </c>
      <c r="X28" s="1800" t="str">
        <f>IF(ISNONTEXT(H28)=TRUE,"","X")</f>
        <v/>
      </c>
      <c r="Y28" s="1790" t="str">
        <f>IF(AND(H28&gt;=0)=TRUE,"","X")</f>
        <v/>
      </c>
      <c r="Z28" s="1749" t="str">
        <f>IF(AND($C28&lt;&gt;"",LEFT($C28,5)&lt;&gt;"&lt;Proj",ISBLANK(H28))=TRUE,"X","")</f>
        <v/>
      </c>
      <c r="AA28" s="1801" t="str" cm="1">
        <f t="array" aca="1" ref="AA28" ca="1">IF(CELL("format",I28)="D1","","X")</f>
        <v/>
      </c>
      <c r="AB28" s="1749" t="str">
        <f>IF(AND($C28&lt;&gt;"",LEFT($C28,5)&lt;&gt;"&lt;Proj",ISBLANK(I28))=TRUE,"X","")</f>
        <v/>
      </c>
      <c r="AC28" s="1801" t="str" cm="1">
        <f t="array" aca="1" ref="AC28" ca="1">IF(CELL("format",J28)="D1","","X")</f>
        <v/>
      </c>
      <c r="AD28" s="1797" t="str">
        <f>IF(AND($C28&lt;&gt;"",LEFT($C28,5)&lt;&gt;"&lt;Proj",ISBLANK(J28))=TRUE,"X","")</f>
        <v/>
      </c>
      <c r="AE28" s="1860"/>
      <c r="AF28" s="1560" t="str">
        <f>IF(AND($C$28&lt;&gt;"",LEFT($C$28,5)&lt;&gt;"&lt;Proj",ISBLANK(K28))=TRUE,"X","")</f>
        <v/>
      </c>
      <c r="AG28" s="1860"/>
      <c r="AH28" s="1560" t="str">
        <f>IF(AND($C$28&lt;&gt;"",LEFT($C$28,5)&lt;&gt;"&lt;Proj",ISBLANK(L28))=TRUE,"X","")</f>
        <v/>
      </c>
      <c r="AI28" s="1561" t="str">
        <f t="shared" si="0"/>
        <v/>
      </c>
      <c r="AJ28" s="1559" t="str">
        <f t="shared" si="1"/>
        <v/>
      </c>
      <c r="AK28" s="1560" t="str">
        <f>IF(AND($C$28&lt;&gt;"",LEFT($C$28,5)&lt;&gt;"&lt;Proj",ISBLANK(M28))=TRUE,"X","")</f>
        <v/>
      </c>
      <c r="AL28" s="1561" t="str">
        <f t="shared" si="2"/>
        <v/>
      </c>
      <c r="AM28" s="1559" t="str">
        <f t="shared" si="3"/>
        <v/>
      </c>
      <c r="AN28" s="1560" t="str">
        <f>IF(AND($C$28&lt;&gt;"",LEFT($C$28,5)&lt;&gt;"&lt;Proj",ISBLANK(N28))=TRUE,"X","")</f>
        <v/>
      </c>
    </row>
    <row r="29" spans="1:40">
      <c r="C29" s="1779"/>
      <c r="D29" s="1756"/>
      <c r="E29" s="1756"/>
      <c r="F29" s="1756"/>
      <c r="G29" s="1756"/>
      <c r="H29" s="1756"/>
      <c r="I29" s="1756"/>
      <c r="J29" s="1756"/>
      <c r="K29" s="1771" t="s">
        <v>1517</v>
      </c>
      <c r="L29" s="1106" t="s">
        <v>1516</v>
      </c>
      <c r="M29" s="1106"/>
      <c r="N29" s="1753"/>
      <c r="P29" s="1795"/>
      <c r="Q29" s="1809"/>
      <c r="R29" s="1811"/>
      <c r="S29" s="1805"/>
      <c r="T29" s="1795"/>
      <c r="U29" s="1805"/>
      <c r="V29" s="1795"/>
      <c r="W29" s="1805"/>
      <c r="X29" s="1802"/>
      <c r="Y29" s="1793"/>
      <c r="Z29" s="1805"/>
      <c r="AA29" s="1804"/>
      <c r="AB29" s="1805"/>
      <c r="AC29" s="1804"/>
      <c r="AD29" s="1798"/>
      <c r="AE29" s="1858"/>
      <c r="AF29" s="1539" t="str">
        <f>IF(AND($C$28&lt;&gt;"",LEFT($C$28,5)&lt;&gt;"&lt;Proj",ISBLANK(K29))=TRUE,"X","")</f>
        <v/>
      </c>
      <c r="AG29" s="1858"/>
      <c r="AH29" s="1539" t="str">
        <f>IF(AND($C$28&lt;&gt;"",LEFT($C$28,5)&lt;&gt;"&lt;Proj",ISBLANK(L29))=TRUE,"X","")</f>
        <v/>
      </c>
      <c r="AI29" s="1540" t="str">
        <f t="shared" si="0"/>
        <v/>
      </c>
      <c r="AJ29" s="1534" t="str">
        <f t="shared" si="1"/>
        <v/>
      </c>
      <c r="AK29" s="1539" t="str">
        <f>IF(AND($C$28&lt;&gt;"",LEFT($C$28,5)&lt;&gt;"&lt;Proj",ISBLANK(M29))=TRUE,"X","")</f>
        <v/>
      </c>
      <c r="AL29" s="1540" t="str">
        <f t="shared" si="2"/>
        <v/>
      </c>
      <c r="AM29" s="1534" t="str">
        <f t="shared" si="3"/>
        <v/>
      </c>
      <c r="AN29" s="1539" t="str">
        <f>IF(AND($C$28&lt;&gt;"",LEFT($C$28,5)&lt;&gt;"&lt;Proj",ISBLANK(N29))=TRUE,"X","")</f>
        <v/>
      </c>
    </row>
    <row r="30" spans="1:40">
      <c r="A30" s="1665" t="s">
        <v>1470</v>
      </c>
      <c r="C30" s="1779"/>
      <c r="D30" s="1756"/>
      <c r="E30" s="1756"/>
      <c r="F30" s="1756"/>
      <c r="G30" s="1756"/>
      <c r="H30" s="1756"/>
      <c r="I30" s="1756"/>
      <c r="J30" s="1756"/>
      <c r="K30" s="1771" t="s">
        <v>1517</v>
      </c>
      <c r="L30" s="1106" t="s">
        <v>1516</v>
      </c>
      <c r="M30" s="1106"/>
      <c r="N30" s="1753"/>
      <c r="P30" s="1795"/>
      <c r="Q30" s="1809"/>
      <c r="R30" s="1811"/>
      <c r="S30" s="1805"/>
      <c r="T30" s="1795"/>
      <c r="U30" s="1805"/>
      <c r="V30" s="1795"/>
      <c r="W30" s="1805"/>
      <c r="X30" s="1802"/>
      <c r="Y30" s="1793"/>
      <c r="Z30" s="1805"/>
      <c r="AA30" s="1804"/>
      <c r="AB30" s="1805"/>
      <c r="AC30" s="1804"/>
      <c r="AD30" s="1798"/>
      <c r="AE30" s="1858"/>
      <c r="AF30" s="1539" t="str">
        <f>IF(AND($C$28&lt;&gt;"",LEFT($C$28,5)&lt;&gt;"&lt;Proj",ISBLANK(K30))=TRUE,"X","")</f>
        <v/>
      </c>
      <c r="AG30" s="1858"/>
      <c r="AH30" s="1539" t="str">
        <f>IF(AND($C$28&lt;&gt;"",LEFT($C$28,5)&lt;&gt;"&lt;Proj",ISBLANK(L30))=TRUE,"X","")</f>
        <v/>
      </c>
      <c r="AI30" s="1540" t="str">
        <f t="shared" si="0"/>
        <v/>
      </c>
      <c r="AJ30" s="1534" t="str">
        <f t="shared" si="1"/>
        <v/>
      </c>
      <c r="AK30" s="1539" t="str">
        <f>IF(AND($C$28&lt;&gt;"",LEFT($C$28,5)&lt;&gt;"&lt;Proj",ISBLANK(M30))=TRUE,"X","")</f>
        <v/>
      </c>
      <c r="AL30" s="1540" t="str">
        <f t="shared" si="2"/>
        <v/>
      </c>
      <c r="AM30" s="1534" t="str">
        <f t="shared" si="3"/>
        <v/>
      </c>
      <c r="AN30" s="1539" t="str">
        <f>IF(AND($C$28&lt;&gt;"",LEFT($C$28,5)&lt;&gt;"&lt;Proj",ISBLANK(N30))=TRUE,"X","")</f>
        <v/>
      </c>
    </row>
    <row r="31" spans="1:40">
      <c r="C31" s="1780"/>
      <c r="D31" s="1770"/>
      <c r="E31" s="1770"/>
      <c r="F31" s="1770"/>
      <c r="G31" s="1770"/>
      <c r="H31" s="1770"/>
      <c r="I31" s="1770"/>
      <c r="J31" s="1770"/>
      <c r="K31" s="1781" t="s">
        <v>1517</v>
      </c>
      <c r="L31" s="1754" t="s">
        <v>1516</v>
      </c>
      <c r="M31" s="1754"/>
      <c r="N31" s="1755"/>
      <c r="P31" s="1796"/>
      <c r="Q31" s="1810"/>
      <c r="R31" s="1812"/>
      <c r="S31" s="1807"/>
      <c r="T31" s="1796"/>
      <c r="U31" s="1807"/>
      <c r="V31" s="1796"/>
      <c r="W31" s="1807"/>
      <c r="X31" s="1803"/>
      <c r="Y31" s="1794"/>
      <c r="Z31" s="1807"/>
      <c r="AA31" s="1806"/>
      <c r="AB31" s="1807"/>
      <c r="AC31" s="1806"/>
      <c r="AD31" s="1799"/>
      <c r="AE31" s="1859"/>
      <c r="AF31" s="1541" t="str">
        <f>IF(AND($C$28&lt;&gt;"",LEFT($C$28,5)&lt;&gt;"&lt;Proj",ISBLANK(K31))=TRUE,"X","")</f>
        <v/>
      </c>
      <c r="AG31" s="1859"/>
      <c r="AH31" s="1541" t="str">
        <f>IF(AND($C$28&lt;&gt;"",LEFT($C$28,5)&lt;&gt;"&lt;Proj",ISBLANK(L31))=TRUE,"X","")</f>
        <v/>
      </c>
      <c r="AI31" s="1542" t="str">
        <f t="shared" si="0"/>
        <v/>
      </c>
      <c r="AJ31" s="1551" t="str">
        <f t="shared" si="1"/>
        <v/>
      </c>
      <c r="AK31" s="1541" t="str">
        <f>IF(AND($C$28&lt;&gt;"",LEFT($C$28,5)&lt;&gt;"&lt;Proj",ISBLANK(M31))=TRUE,"X","")</f>
        <v/>
      </c>
      <c r="AL31" s="1542" t="str">
        <f t="shared" si="2"/>
        <v/>
      </c>
      <c r="AM31" s="1551" t="str">
        <f t="shared" si="3"/>
        <v/>
      </c>
      <c r="AN31" s="1541" t="str">
        <f>IF(AND($C$28&lt;&gt;"",LEFT($C$28,5)&lt;&gt;"&lt;Proj",ISBLANK(N31))=TRUE,"X","")</f>
        <v/>
      </c>
    </row>
    <row r="32" spans="1:40">
      <c r="C32" s="1774" t="s">
        <v>1518</v>
      </c>
      <c r="D32" s="1777"/>
      <c r="E32" s="1752"/>
      <c r="F32" s="1752"/>
      <c r="G32" s="1752"/>
      <c r="H32" s="1752"/>
      <c r="I32" s="1791"/>
      <c r="J32" s="1792"/>
      <c r="K32" s="1778" t="s">
        <v>1517</v>
      </c>
      <c r="L32" s="1752" t="s">
        <v>1516</v>
      </c>
      <c r="M32" s="1752"/>
      <c r="N32" s="1772"/>
      <c r="P32" s="1813"/>
      <c r="Q32" s="1808"/>
      <c r="R32" s="1814"/>
      <c r="S32" s="1749" t="str">
        <f>IF(AND($C32&lt;&gt;"",LEFT($C32,5)&lt;&gt;"&lt;Proj",ISBLANK(E32))=TRUE,"X","")</f>
        <v/>
      </c>
      <c r="T32" s="1813"/>
      <c r="U32" s="1749" t="str">
        <f>IF(AND($C32&lt;&gt;"",LEFT($C32,5)&lt;&gt;"&lt;Proj",ISBLANK(F32))=TRUE,"X","")</f>
        <v/>
      </c>
      <c r="V32" s="1813"/>
      <c r="W32" s="1749" t="str">
        <f>IF(AND($C32&lt;&gt;"",LEFT($C32,5)&lt;&gt;"&lt;Proj",ISBLANK(G32))=TRUE,"X","")</f>
        <v/>
      </c>
      <c r="X32" s="1800" t="str">
        <f>IF(ISNONTEXT(H32)=TRUE,"","X")</f>
        <v/>
      </c>
      <c r="Y32" s="1790" t="str">
        <f>IF(AND(H32&gt;=0)=TRUE,"","X")</f>
        <v/>
      </c>
      <c r="Z32" s="1749" t="str">
        <f>IF(AND($C32&lt;&gt;"",LEFT($C32,5)&lt;&gt;"&lt;Proj",ISBLANK(H32))=TRUE,"X","")</f>
        <v/>
      </c>
      <c r="AA32" s="1801" t="str" cm="1">
        <f t="array" aca="1" ref="AA32" ca="1">IF(CELL("format",I32)="D1","","X")</f>
        <v/>
      </c>
      <c r="AB32" s="1749" t="str">
        <f>IF(AND($C32&lt;&gt;"",LEFT($C32,5)&lt;&gt;"&lt;Proj",ISBLANK(I32))=TRUE,"X","")</f>
        <v/>
      </c>
      <c r="AC32" s="1801" t="str" cm="1">
        <f t="array" aca="1" ref="AC32" ca="1">IF(CELL("format",J32)="D1","","X")</f>
        <v/>
      </c>
      <c r="AD32" s="1797" t="str">
        <f>IF(AND($C32&lt;&gt;"",LEFT($C32,5)&lt;&gt;"&lt;Proj",ISBLANK(J32))=TRUE,"X","")</f>
        <v/>
      </c>
      <c r="AE32" s="1860"/>
      <c r="AF32" s="1560" t="str">
        <f>IF(AND($C$32&lt;&gt;"",LEFT($C$32,5)&lt;&gt;"&lt;Proj",ISBLANK(K32))=TRUE,"X","")</f>
        <v/>
      </c>
      <c r="AG32" s="1860"/>
      <c r="AH32" s="1560" t="str">
        <f>IF(AND($C$32&lt;&gt;"",LEFT($C$32,5)&lt;&gt;"&lt;Proj",ISBLANK(L32))=TRUE,"X","")</f>
        <v/>
      </c>
      <c r="AI32" s="1561" t="str">
        <f t="shared" si="0"/>
        <v/>
      </c>
      <c r="AJ32" s="1559" t="str">
        <f t="shared" si="1"/>
        <v/>
      </c>
      <c r="AK32" s="1560" t="str">
        <f>IF(AND($C$32&lt;&gt;"",LEFT($C$32,5)&lt;&gt;"&lt;Proj",ISBLANK(M32))=TRUE,"X","")</f>
        <v/>
      </c>
      <c r="AL32" s="1561" t="str">
        <f t="shared" si="2"/>
        <v/>
      </c>
      <c r="AM32" s="1559" t="str">
        <f t="shared" si="3"/>
        <v/>
      </c>
      <c r="AN32" s="1560" t="str">
        <f>IF(AND($C$32&lt;&gt;"",LEFT($C$32,5)&lt;&gt;"&lt;Proj",ISBLANK(N32))=TRUE,"X","")</f>
        <v/>
      </c>
    </row>
    <row r="33" spans="1:40">
      <c r="C33" s="1779"/>
      <c r="D33" s="1756"/>
      <c r="E33" s="1756"/>
      <c r="F33" s="1756"/>
      <c r="G33" s="1756"/>
      <c r="H33" s="1756"/>
      <c r="I33" s="1756"/>
      <c r="J33" s="1756"/>
      <c r="K33" s="1771" t="s">
        <v>1517</v>
      </c>
      <c r="L33" s="1106" t="s">
        <v>1516</v>
      </c>
      <c r="M33" s="1106"/>
      <c r="N33" s="1753"/>
      <c r="P33" s="1795"/>
      <c r="Q33" s="1809"/>
      <c r="R33" s="1811"/>
      <c r="S33" s="1805"/>
      <c r="T33" s="1795"/>
      <c r="U33" s="1805"/>
      <c r="V33" s="1795"/>
      <c r="W33" s="1805"/>
      <c r="X33" s="1802"/>
      <c r="Y33" s="1793"/>
      <c r="Z33" s="1805"/>
      <c r="AA33" s="1804"/>
      <c r="AB33" s="1805"/>
      <c r="AC33" s="1804"/>
      <c r="AD33" s="1798"/>
      <c r="AE33" s="1858"/>
      <c r="AF33" s="1539" t="str">
        <f>IF(AND($C$32&lt;&gt;"",LEFT($C$32,5)&lt;&gt;"&lt;Proj",ISBLANK(K33))=TRUE,"X","")</f>
        <v/>
      </c>
      <c r="AG33" s="1858"/>
      <c r="AH33" s="1539" t="str">
        <f>IF(AND($C$32&lt;&gt;"",LEFT($C$32,5)&lt;&gt;"&lt;Proj",ISBLANK(L33))=TRUE,"X","")</f>
        <v/>
      </c>
      <c r="AI33" s="1540" t="str">
        <f t="shared" si="0"/>
        <v/>
      </c>
      <c r="AJ33" s="1534" t="str">
        <f t="shared" si="1"/>
        <v/>
      </c>
      <c r="AK33" s="1539" t="str">
        <f>IF(AND($C$32&lt;&gt;"",LEFT($C$32,5)&lt;&gt;"&lt;Proj",ISBLANK(M33))=TRUE,"X","")</f>
        <v/>
      </c>
      <c r="AL33" s="1540" t="str">
        <f t="shared" si="2"/>
        <v/>
      </c>
      <c r="AM33" s="1534" t="str">
        <f t="shared" si="3"/>
        <v/>
      </c>
      <c r="AN33" s="1539" t="str">
        <f>IF(AND($C$32&lt;&gt;"",LEFT($C$32,5)&lt;&gt;"&lt;Proj",ISBLANK(N33))=TRUE,"X","")</f>
        <v/>
      </c>
    </row>
    <row r="34" spans="1:40">
      <c r="A34" s="1665" t="s">
        <v>1470</v>
      </c>
      <c r="C34" s="1779"/>
      <c r="D34" s="1756"/>
      <c r="E34" s="1756"/>
      <c r="F34" s="1756"/>
      <c r="G34" s="1756"/>
      <c r="H34" s="1756"/>
      <c r="I34" s="1756"/>
      <c r="J34" s="1756"/>
      <c r="K34" s="1771" t="s">
        <v>1517</v>
      </c>
      <c r="L34" s="1106" t="s">
        <v>1516</v>
      </c>
      <c r="M34" s="1106"/>
      <c r="N34" s="1753"/>
      <c r="P34" s="1795"/>
      <c r="Q34" s="1809"/>
      <c r="R34" s="1811"/>
      <c r="S34" s="1805"/>
      <c r="T34" s="1795"/>
      <c r="U34" s="1805"/>
      <c r="V34" s="1795"/>
      <c r="W34" s="1805"/>
      <c r="X34" s="1802"/>
      <c r="Y34" s="1793"/>
      <c r="Z34" s="1805"/>
      <c r="AA34" s="1804"/>
      <c r="AB34" s="1805"/>
      <c r="AC34" s="1804"/>
      <c r="AD34" s="1798"/>
      <c r="AE34" s="1858"/>
      <c r="AF34" s="1539" t="str">
        <f>IF(AND($C$32&lt;&gt;"",LEFT($C$32,5)&lt;&gt;"&lt;Proj",ISBLANK(K34))=TRUE,"X","")</f>
        <v/>
      </c>
      <c r="AG34" s="1858"/>
      <c r="AH34" s="1539" t="str">
        <f>IF(AND($C$32&lt;&gt;"",LEFT($C$32,5)&lt;&gt;"&lt;Proj",ISBLANK(L34))=TRUE,"X","")</f>
        <v/>
      </c>
      <c r="AI34" s="1540" t="str">
        <f t="shared" si="0"/>
        <v/>
      </c>
      <c r="AJ34" s="1534" t="str">
        <f t="shared" si="1"/>
        <v/>
      </c>
      <c r="AK34" s="1539" t="str">
        <f>IF(AND($C$32&lt;&gt;"",LEFT($C$32,5)&lt;&gt;"&lt;Proj",ISBLANK(M34))=TRUE,"X","")</f>
        <v/>
      </c>
      <c r="AL34" s="1540" t="str">
        <f t="shared" si="2"/>
        <v/>
      </c>
      <c r="AM34" s="1534" t="str">
        <f t="shared" si="3"/>
        <v/>
      </c>
      <c r="AN34" s="1539" t="str">
        <f>IF(AND($C$32&lt;&gt;"",LEFT($C$32,5)&lt;&gt;"&lt;Proj",ISBLANK(N34))=TRUE,"X","")</f>
        <v/>
      </c>
    </row>
    <row r="35" spans="1:40">
      <c r="C35" s="1780"/>
      <c r="D35" s="1770"/>
      <c r="E35" s="1770"/>
      <c r="F35" s="1770"/>
      <c r="G35" s="1770"/>
      <c r="H35" s="1770"/>
      <c r="I35" s="1770"/>
      <c r="J35" s="1770"/>
      <c r="K35" s="1781" t="s">
        <v>1517</v>
      </c>
      <c r="L35" s="1754" t="s">
        <v>1516</v>
      </c>
      <c r="M35" s="1754"/>
      <c r="N35" s="1755"/>
      <c r="P35" s="1796"/>
      <c r="Q35" s="1810"/>
      <c r="R35" s="1812"/>
      <c r="S35" s="1807"/>
      <c r="T35" s="1796"/>
      <c r="U35" s="1807"/>
      <c r="V35" s="1796"/>
      <c r="W35" s="1807"/>
      <c r="X35" s="1803"/>
      <c r="Y35" s="1794"/>
      <c r="Z35" s="1807"/>
      <c r="AA35" s="1806"/>
      <c r="AB35" s="1807"/>
      <c r="AC35" s="1806"/>
      <c r="AD35" s="1799"/>
      <c r="AE35" s="1859"/>
      <c r="AF35" s="1541" t="str">
        <f>IF(AND($C$32&lt;&gt;"",LEFT($C$32,5)&lt;&gt;"&lt;Proj",ISBLANK(K35))=TRUE,"X","")</f>
        <v/>
      </c>
      <c r="AG35" s="1859"/>
      <c r="AH35" s="1541" t="str">
        <f>IF(AND($C$32&lt;&gt;"",LEFT($C$32,5)&lt;&gt;"&lt;Proj",ISBLANK(L35))=TRUE,"X","")</f>
        <v/>
      </c>
      <c r="AI35" s="1542" t="str">
        <f t="shared" si="0"/>
        <v/>
      </c>
      <c r="AJ35" s="1551" t="str">
        <f t="shared" si="1"/>
        <v/>
      </c>
      <c r="AK35" s="1541" t="str">
        <f>IF(AND($C$32&lt;&gt;"",LEFT($C$32,5)&lt;&gt;"&lt;Proj",ISBLANK(M35))=TRUE,"X","")</f>
        <v/>
      </c>
      <c r="AL35" s="1542" t="str">
        <f t="shared" si="2"/>
        <v/>
      </c>
      <c r="AM35" s="1551" t="str">
        <f t="shared" si="3"/>
        <v/>
      </c>
      <c r="AN35" s="1541" t="str">
        <f>IF(AND($C$32&lt;&gt;"",LEFT($C$32,5)&lt;&gt;"&lt;Proj",ISBLANK(N35))=TRUE,"X","")</f>
        <v/>
      </c>
    </row>
    <row r="36" spans="1:40">
      <c r="C36" s="1774" t="s">
        <v>1518</v>
      </c>
      <c r="D36" s="1777"/>
      <c r="E36" s="1752"/>
      <c r="F36" s="1752"/>
      <c r="G36" s="1752"/>
      <c r="H36" s="1752"/>
      <c r="I36" s="1791"/>
      <c r="J36" s="1792"/>
      <c r="K36" s="1778" t="s">
        <v>1517</v>
      </c>
      <c r="L36" s="1752" t="s">
        <v>1516</v>
      </c>
      <c r="M36" s="1752"/>
      <c r="N36" s="1772"/>
      <c r="P36" s="1813"/>
      <c r="Q36" s="1808"/>
      <c r="R36" s="1814"/>
      <c r="S36" s="1749" t="str">
        <f>IF(AND($C36&lt;&gt;"",LEFT($C36,5)&lt;&gt;"&lt;Proj",ISBLANK(E36))=TRUE,"X","")</f>
        <v/>
      </c>
      <c r="T36" s="1813"/>
      <c r="U36" s="1749" t="str">
        <f>IF(AND($C36&lt;&gt;"",LEFT($C36,5)&lt;&gt;"&lt;Proj",ISBLANK(F36))=TRUE,"X","")</f>
        <v/>
      </c>
      <c r="V36" s="1813"/>
      <c r="W36" s="1749" t="str">
        <f>IF(AND($C36&lt;&gt;"",LEFT($C36,5)&lt;&gt;"&lt;Proj",ISBLANK(G36))=TRUE,"X","")</f>
        <v/>
      </c>
      <c r="X36" s="1800" t="str">
        <f>IF(ISNONTEXT(H36)=TRUE,"","X")</f>
        <v/>
      </c>
      <c r="Y36" s="1790" t="str">
        <f>IF(AND(H36&gt;=0)=TRUE,"","X")</f>
        <v/>
      </c>
      <c r="Z36" s="1749" t="str">
        <f>IF(AND($C36&lt;&gt;"",LEFT($C36,5)&lt;&gt;"&lt;Proj",ISBLANK(H36))=TRUE,"X","")</f>
        <v/>
      </c>
      <c r="AA36" s="1801" t="str" cm="1">
        <f t="array" aca="1" ref="AA36" ca="1">IF(CELL("format",I36)="D1","","X")</f>
        <v/>
      </c>
      <c r="AB36" s="1749" t="str">
        <f>IF(AND($C36&lt;&gt;"",LEFT($C36,5)&lt;&gt;"&lt;Proj",ISBLANK(I36))=TRUE,"X","")</f>
        <v/>
      </c>
      <c r="AC36" s="1801" t="str" cm="1">
        <f t="array" aca="1" ref="AC36" ca="1">IF(CELL("format",J36)="D1","","X")</f>
        <v/>
      </c>
      <c r="AD36" s="1797" t="str">
        <f>IF(AND($C36&lt;&gt;"",LEFT($C36,5)&lt;&gt;"&lt;Proj",ISBLANK(J36))=TRUE,"X","")</f>
        <v/>
      </c>
      <c r="AE36" s="1860"/>
      <c r="AF36" s="1560" t="str">
        <f>IF(AND($C$36&lt;&gt;"",LEFT($C$36,5)&lt;&gt;"&lt;Proj",ISBLANK(K36))=TRUE,"X","")</f>
        <v/>
      </c>
      <c r="AG36" s="1860"/>
      <c r="AH36" s="1560" t="str">
        <f>IF(AND($C$36&lt;&gt;"",LEFT($C$36,5)&lt;&gt;"&lt;Proj",ISBLANK(L36))=TRUE,"X","")</f>
        <v/>
      </c>
      <c r="AI36" s="1561" t="str">
        <f t="shared" si="0"/>
        <v/>
      </c>
      <c r="AJ36" s="1559" t="str">
        <f t="shared" si="1"/>
        <v/>
      </c>
      <c r="AK36" s="1560" t="str">
        <f>IF(AND($C$36&lt;&gt;"",LEFT($C$36,5)&lt;&gt;"&lt;Proj",ISBLANK(M36))=TRUE,"X","")</f>
        <v/>
      </c>
      <c r="AL36" s="1561" t="str">
        <f t="shared" si="2"/>
        <v/>
      </c>
      <c r="AM36" s="1559" t="str">
        <f t="shared" si="3"/>
        <v/>
      </c>
      <c r="AN36" s="1560" t="str">
        <f>IF(AND($C$36&lt;&gt;"",LEFT($C$36,5)&lt;&gt;"&lt;Proj",ISBLANK(N36))=TRUE,"X","")</f>
        <v/>
      </c>
    </row>
    <row r="37" spans="1:40">
      <c r="C37" s="1779"/>
      <c r="D37" s="1756"/>
      <c r="E37" s="1756"/>
      <c r="F37" s="1756"/>
      <c r="G37" s="1756"/>
      <c r="H37" s="1756"/>
      <c r="I37" s="1756"/>
      <c r="J37" s="1756"/>
      <c r="K37" s="1771" t="s">
        <v>1517</v>
      </c>
      <c r="L37" s="1106" t="s">
        <v>1516</v>
      </c>
      <c r="M37" s="1106"/>
      <c r="N37" s="1753"/>
      <c r="P37" s="1795"/>
      <c r="Q37" s="1809"/>
      <c r="R37" s="1811"/>
      <c r="S37" s="1805"/>
      <c r="T37" s="1795"/>
      <c r="U37" s="1805"/>
      <c r="V37" s="1795"/>
      <c r="W37" s="1805"/>
      <c r="X37" s="1802"/>
      <c r="Y37" s="1793"/>
      <c r="Z37" s="1805"/>
      <c r="AA37" s="1804"/>
      <c r="AB37" s="1805"/>
      <c r="AC37" s="1804"/>
      <c r="AD37" s="1798"/>
      <c r="AE37" s="1858"/>
      <c r="AF37" s="1539" t="str">
        <f>IF(AND($C$36&lt;&gt;"",LEFT($C$36,5)&lt;&gt;"&lt;Proj",ISBLANK(K37))=TRUE,"X","")</f>
        <v/>
      </c>
      <c r="AG37" s="1858"/>
      <c r="AH37" s="1539" t="str">
        <f>IF(AND($C$36&lt;&gt;"",LEFT($C$36,5)&lt;&gt;"&lt;Proj",ISBLANK(L37))=TRUE,"X","")</f>
        <v/>
      </c>
      <c r="AI37" s="1540" t="str">
        <f t="shared" si="0"/>
        <v/>
      </c>
      <c r="AJ37" s="1534" t="str">
        <f t="shared" si="1"/>
        <v/>
      </c>
      <c r="AK37" s="1539" t="str">
        <f>IF(AND($C$36&lt;&gt;"",LEFT($C$36,5)&lt;&gt;"&lt;Proj",ISBLANK(M37))=TRUE,"X","")</f>
        <v/>
      </c>
      <c r="AL37" s="1540" t="str">
        <f t="shared" si="2"/>
        <v/>
      </c>
      <c r="AM37" s="1534" t="str">
        <f t="shared" si="3"/>
        <v/>
      </c>
      <c r="AN37" s="1539" t="str">
        <f>IF(AND($C$36&lt;&gt;"",LEFT($C$36,5)&lt;&gt;"&lt;Proj",ISBLANK(N37))=TRUE,"X","")</f>
        <v/>
      </c>
    </row>
    <row r="38" spans="1:40">
      <c r="A38" s="1665" t="s">
        <v>1470</v>
      </c>
      <c r="C38" s="1779"/>
      <c r="D38" s="1756"/>
      <c r="E38" s="1756"/>
      <c r="F38" s="1756"/>
      <c r="G38" s="1756"/>
      <c r="H38" s="1756"/>
      <c r="I38" s="1756"/>
      <c r="J38" s="1756"/>
      <c r="K38" s="1771" t="s">
        <v>1517</v>
      </c>
      <c r="L38" s="1106" t="s">
        <v>1516</v>
      </c>
      <c r="M38" s="1106"/>
      <c r="N38" s="1753"/>
      <c r="P38" s="1795"/>
      <c r="Q38" s="1809"/>
      <c r="R38" s="1811"/>
      <c r="S38" s="1805"/>
      <c r="T38" s="1795"/>
      <c r="U38" s="1805"/>
      <c r="V38" s="1795"/>
      <c r="W38" s="1805"/>
      <c r="X38" s="1802"/>
      <c r="Y38" s="1793"/>
      <c r="Z38" s="1805"/>
      <c r="AA38" s="1804"/>
      <c r="AB38" s="1805"/>
      <c r="AC38" s="1804"/>
      <c r="AD38" s="1798"/>
      <c r="AE38" s="1858"/>
      <c r="AF38" s="1539" t="str">
        <f>IF(AND($C$36&lt;&gt;"",LEFT($C$36,5)&lt;&gt;"&lt;Proj",ISBLANK(K38))=TRUE,"X","")</f>
        <v/>
      </c>
      <c r="AG38" s="1858"/>
      <c r="AH38" s="1539" t="str">
        <f>IF(AND($C$36&lt;&gt;"",LEFT($C$36,5)&lt;&gt;"&lt;Proj",ISBLANK(L38))=TRUE,"X","")</f>
        <v/>
      </c>
      <c r="AI38" s="1540" t="str">
        <f t="shared" si="0"/>
        <v/>
      </c>
      <c r="AJ38" s="1534" t="str">
        <f t="shared" si="1"/>
        <v/>
      </c>
      <c r="AK38" s="1539" t="str">
        <f>IF(AND($C$36&lt;&gt;"",LEFT($C$36,5)&lt;&gt;"&lt;Proj",ISBLANK(M38))=TRUE,"X","")</f>
        <v/>
      </c>
      <c r="AL38" s="1540" t="str">
        <f t="shared" si="2"/>
        <v/>
      </c>
      <c r="AM38" s="1534" t="str">
        <f t="shared" si="3"/>
        <v/>
      </c>
      <c r="AN38" s="1539" t="str">
        <f>IF(AND($C$36&lt;&gt;"",LEFT($C$36,5)&lt;&gt;"&lt;Proj",ISBLANK(N38))=TRUE,"X","")</f>
        <v/>
      </c>
    </row>
    <row r="39" spans="1:40">
      <c r="C39" s="1780"/>
      <c r="D39" s="1770"/>
      <c r="E39" s="1770"/>
      <c r="F39" s="1770"/>
      <c r="G39" s="1770"/>
      <c r="H39" s="1770"/>
      <c r="I39" s="1770"/>
      <c r="J39" s="1770"/>
      <c r="K39" s="1781" t="s">
        <v>1517</v>
      </c>
      <c r="L39" s="1754" t="s">
        <v>1516</v>
      </c>
      <c r="M39" s="1754"/>
      <c r="N39" s="1755"/>
      <c r="P39" s="1796"/>
      <c r="Q39" s="1810"/>
      <c r="R39" s="1812"/>
      <c r="S39" s="1807"/>
      <c r="T39" s="1796"/>
      <c r="U39" s="1807"/>
      <c r="V39" s="1796"/>
      <c r="W39" s="1807"/>
      <c r="X39" s="1803"/>
      <c r="Y39" s="1794"/>
      <c r="Z39" s="1807"/>
      <c r="AA39" s="1806"/>
      <c r="AB39" s="1807"/>
      <c r="AC39" s="1806"/>
      <c r="AD39" s="1799"/>
      <c r="AE39" s="1859"/>
      <c r="AF39" s="1541" t="str">
        <f>IF(AND($C$36&lt;&gt;"",LEFT($C$36,5)&lt;&gt;"&lt;Proj",ISBLANK(K39))=TRUE,"X","")</f>
        <v/>
      </c>
      <c r="AG39" s="1859"/>
      <c r="AH39" s="1541" t="str">
        <f>IF(AND($C$36&lt;&gt;"",LEFT($C$36,5)&lt;&gt;"&lt;Proj",ISBLANK(L39))=TRUE,"X","")</f>
        <v/>
      </c>
      <c r="AI39" s="1542" t="str">
        <f>IF(ISNONTEXT(M39)=TRUE,"","X")</f>
        <v/>
      </c>
      <c r="AJ39" s="1551" t="str">
        <f>IF(AND(M39&gt;=0)=TRUE,"","X")</f>
        <v/>
      </c>
      <c r="AK39" s="1541" t="str">
        <f>IF(AND($C$36&lt;&gt;"",LEFT($C$36,5)&lt;&gt;"&lt;Proj",ISBLANK(M39))=TRUE,"X","")</f>
        <v/>
      </c>
      <c r="AL39" s="1542" t="str">
        <f t="shared" si="2"/>
        <v/>
      </c>
      <c r="AM39" s="1551" t="str">
        <f t="shared" si="3"/>
        <v/>
      </c>
      <c r="AN39" s="1541" t="str">
        <f>IF(AND($C$36&lt;&gt;"",LEFT($C$36,5)&lt;&gt;"&lt;Proj",ISBLANK(N39))=TRUE,"X","")</f>
        <v/>
      </c>
    </row>
    <row r="40" spans="1:40">
      <c r="A40" s="1665"/>
      <c r="P40" s="1102"/>
      <c r="Q40" s="1102"/>
      <c r="R40" s="1102"/>
    </row>
    <row r="41" spans="1:40">
      <c r="P41" s="1102"/>
      <c r="Q41" s="1102"/>
      <c r="R41" s="1102"/>
    </row>
    <row r="42" spans="1:40">
      <c r="P42" s="1102"/>
      <c r="Q42" s="1102"/>
      <c r="R42" s="1102"/>
    </row>
    <row r="43" spans="1:40">
      <c r="Q43" s="1102"/>
      <c r="R43" s="1102"/>
      <c r="S43" s="1102"/>
      <c r="T43" s="1102"/>
    </row>
    <row r="44" spans="1:40">
      <c r="Q44" s="1102"/>
      <c r="R44" s="1102"/>
      <c r="S44" s="1102"/>
      <c r="T44" s="1102"/>
    </row>
    <row r="45" spans="1:40">
      <c r="Q45" s="1102"/>
      <c r="R45" s="1102"/>
      <c r="S45" s="1102"/>
      <c r="T45" s="1102"/>
    </row>
    <row r="46" spans="1:40">
      <c r="Q46" s="1102"/>
      <c r="R46" s="1102"/>
      <c r="S46" s="1102"/>
      <c r="T46" s="1102"/>
    </row>
    <row r="47" spans="1:40" ht="15.75" customHeight="1">
      <c r="B47" s="1717" t="s">
        <v>1468</v>
      </c>
      <c r="C47" s="1714"/>
      <c r="D47" s="1714"/>
      <c r="E47" s="1715" t="s">
        <v>1488</v>
      </c>
      <c r="Q47" s="1102"/>
      <c r="R47" s="1102"/>
      <c r="S47" s="1102"/>
      <c r="T47" s="1102"/>
    </row>
    <row r="48" spans="1:40">
      <c r="Q48" s="1102"/>
      <c r="R48" s="1102"/>
      <c r="S48" s="1102"/>
      <c r="T48" s="1102"/>
    </row>
  </sheetData>
  <mergeCells count="38">
    <mergeCell ref="AL13:AL14"/>
    <mergeCell ref="AM13:AM14"/>
    <mergeCell ref="AN13:AN14"/>
    <mergeCell ref="AL15:AN15"/>
    <mergeCell ref="AI15:AK15"/>
    <mergeCell ref="AK13:AK14"/>
    <mergeCell ref="AG15:AH15"/>
    <mergeCell ref="AG13:AG14"/>
    <mergeCell ref="AH13:AH14"/>
    <mergeCell ref="AI13:AI14"/>
    <mergeCell ref="AJ13:AJ14"/>
    <mergeCell ref="AD13:AD14"/>
    <mergeCell ref="AC15:AD15"/>
    <mergeCell ref="AE13:AE14"/>
    <mergeCell ref="AF13:AF14"/>
    <mergeCell ref="AE15:AF15"/>
    <mergeCell ref="AA13:AA14"/>
    <mergeCell ref="AA15:AB15"/>
    <mergeCell ref="AC13:AC14"/>
    <mergeCell ref="P13:P14"/>
    <mergeCell ref="Q13:Q14"/>
    <mergeCell ref="R13:R14"/>
    <mergeCell ref="S13:S14"/>
    <mergeCell ref="T13:T14"/>
    <mergeCell ref="U13:U14"/>
    <mergeCell ref="V13:V14"/>
    <mergeCell ref="W13:W14"/>
    <mergeCell ref="X13:X14"/>
    <mergeCell ref="Y13:Y14"/>
    <mergeCell ref="Z13:Z14"/>
    <mergeCell ref="AB13:AB14"/>
    <mergeCell ref="T15:U15"/>
    <mergeCell ref="V15:W15"/>
    <mergeCell ref="X15:Z15"/>
    <mergeCell ref="E13:J13"/>
    <mergeCell ref="P15:Q15"/>
    <mergeCell ref="K13:N13"/>
    <mergeCell ref="R15:S15"/>
  </mergeCells>
  <dataValidations count="2">
    <dataValidation allowBlank="1" showErrorMessage="1" sqref="M14 E14:K14 K13 AA16:AA39 E16:I16 E24:K24 E20:K20 K16:N39 E28:K28 E32:K32 AA13 AC16:AC39 AC13 H15:H16 I15 J15:K16 E36:K36" xr:uid="{DEE3F72F-2555-4E64-B4BA-EAC871EF546C}"/>
    <dataValidation allowBlank="1" sqref="AH13:AN13 Q13 S13 U13 AB13 AD13 W13:Z13 AF13 V1:V4 P1:P4" xr:uid="{1EA25573-30F7-4316-960B-9981E3C28A5A}"/>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4ABE6-7E47-4099-AB0D-BE5DE5A23DEF}">
  <sheetPr codeName="Sheet7">
    <tabColor theme="3" tint="-0.249977111117893"/>
    <pageSetUpPr fitToPage="1"/>
  </sheetPr>
  <dimension ref="A1:W46"/>
  <sheetViews>
    <sheetView workbookViewId="0"/>
  </sheetViews>
  <sheetFormatPr defaultColWidth="9.140625" defaultRowHeight="15" outlineLevelRow="1"/>
  <cols>
    <col min="1" max="1" width="26.42578125" style="46" customWidth="1"/>
    <col min="2" max="2" width="12.85546875" style="46" customWidth="1"/>
    <col min="3" max="3" width="2.5703125" style="46" customWidth="1"/>
    <col min="4" max="4" width="31" style="46" customWidth="1"/>
    <col min="5" max="5" width="6.85546875" style="46" bestFit="1" customWidth="1"/>
    <col min="6" max="6" width="27.42578125" style="46" customWidth="1"/>
    <col min="7" max="9" width="18.7109375" style="46" customWidth="1"/>
    <col min="10" max="10" width="11.28515625" style="46" customWidth="1"/>
    <col min="11" max="23" width="3.7109375" style="46" customWidth="1"/>
    <col min="24" max="27" width="11.7109375" style="46" customWidth="1"/>
    <col min="28" max="28" width="9.140625" style="46"/>
    <col min="29" max="39" width="12.28515625" style="46" customWidth="1"/>
    <col min="40" max="40" width="9.140625" style="46"/>
    <col min="41" max="51" width="7.7109375" style="46" customWidth="1"/>
    <col min="52" max="52" width="9.140625" style="46"/>
    <col min="53" max="63" width="7.7109375" style="46" customWidth="1"/>
    <col min="64" max="64" width="9.140625" style="46"/>
    <col min="65" max="75" width="8.28515625" style="46" customWidth="1"/>
    <col min="76" max="76" width="9.140625" style="46"/>
    <col min="77" max="87" width="7.7109375" style="46" customWidth="1"/>
    <col min="88" max="88" width="9.140625" style="46"/>
    <col min="89" max="99" width="7.5703125" style="46" customWidth="1"/>
    <col min="100" max="100" width="9.140625" style="46"/>
    <col min="101" max="111" width="7.28515625" style="46" customWidth="1"/>
    <col min="112" max="16384" width="9.140625" style="46"/>
  </cols>
  <sheetData>
    <row r="1" spans="1:23" s="42" customFormat="1" ht="20.100000000000001" customHeight="1">
      <c r="B1" s="975"/>
      <c r="C1" s="975"/>
      <c r="D1" s="1002" t="str">
        <f>dms_SheetHeading1</f>
        <v>ANNUAL INFORMATION ORDER</v>
      </c>
      <c r="E1" s="976"/>
      <c r="F1" s="41"/>
      <c r="G1" s="41"/>
      <c r="H1" s="41"/>
      <c r="I1" s="41"/>
      <c r="K1" s="1658" t="s">
        <v>1040</v>
      </c>
      <c r="L1" s="1323"/>
      <c r="M1" s="1323"/>
      <c r="N1" s="1323"/>
      <c r="O1" s="1323"/>
      <c r="P1" s="1323"/>
      <c r="Q1" s="1657" t="s">
        <v>1039</v>
      </c>
      <c r="R1" s="1323"/>
      <c r="S1" s="1323"/>
      <c r="T1" s="1323"/>
      <c r="U1" s="1323"/>
      <c r="V1" s="1323"/>
      <c r="W1" s="1323"/>
    </row>
    <row r="2" spans="1:23" s="42" customFormat="1" ht="20.100000000000001" customHeight="1">
      <c r="B2" s="977"/>
      <c r="C2" s="977"/>
      <c r="D2" s="1003" t="str">
        <f>dms_SheetHeading2</f>
        <v>Australian Transmission Co.</v>
      </c>
      <c r="E2" s="977"/>
      <c r="F2" s="41"/>
      <c r="G2" s="41"/>
      <c r="H2" s="41"/>
      <c r="I2" s="41"/>
      <c r="K2" s="1659" t="s">
        <v>1041</v>
      </c>
      <c r="L2" s="1324"/>
      <c r="M2" s="1324"/>
      <c r="N2" s="1324"/>
      <c r="O2" s="1324"/>
      <c r="P2" s="1324"/>
      <c r="Q2" s="1379" t="s">
        <v>202</v>
      </c>
      <c r="R2" s="1324"/>
      <c r="S2" s="1324"/>
      <c r="T2" s="1324"/>
      <c r="U2" s="1324"/>
      <c r="V2" s="1324"/>
      <c r="W2" s="1324"/>
    </row>
    <row r="3" spans="1:23" s="42" customFormat="1" ht="20.100000000000001" customHeight="1">
      <c r="B3" s="976"/>
      <c r="C3" s="976"/>
      <c r="D3" s="1004" t="str">
        <f>dms_SheetHeading3</f>
        <v>REPORTING STATEMENT: 2024-25</v>
      </c>
      <c r="E3" s="976"/>
      <c r="F3" s="43"/>
      <c r="G3" s="43"/>
      <c r="H3" s="43"/>
      <c r="I3" s="43"/>
      <c r="K3" s="1660" t="s">
        <v>1042</v>
      </c>
      <c r="L3" s="1325"/>
      <c r="M3" s="1325"/>
      <c r="N3" s="1325"/>
      <c r="O3" s="1325"/>
      <c r="P3" s="1325"/>
      <c r="Q3" s="1380" t="s">
        <v>203</v>
      </c>
      <c r="R3" s="1325"/>
      <c r="S3" s="1325"/>
      <c r="T3" s="1325"/>
      <c r="U3" s="1325"/>
      <c r="V3" s="1325"/>
      <c r="W3" s="1325"/>
    </row>
    <row r="4" spans="1:23" s="42" customFormat="1" ht="20.100000000000001" customHeight="1">
      <c r="B4" s="1040"/>
      <c r="C4" s="1040"/>
      <c r="D4" s="1108" t="s">
        <v>1256</v>
      </c>
      <c r="E4" s="1040"/>
      <c r="F4" s="1040"/>
      <c r="G4" s="1040"/>
      <c r="H4" s="1040"/>
      <c r="I4" s="1040"/>
      <c r="K4" s="1662" t="s">
        <v>1044</v>
      </c>
      <c r="L4" s="1692"/>
      <c r="M4" s="1693"/>
      <c r="N4" s="1498"/>
      <c r="O4" s="1498"/>
      <c r="P4" s="1498"/>
      <c r="Q4" s="1497" t="s">
        <v>1043</v>
      </c>
      <c r="R4" s="1498"/>
      <c r="S4" s="1498"/>
      <c r="T4" s="1498"/>
      <c r="U4" s="1498"/>
      <c r="V4" s="1498"/>
      <c r="W4" s="1498"/>
    </row>
    <row r="5" spans="1:23" ht="13.5" customHeight="1">
      <c r="B5" s="44"/>
      <c r="C5" s="44"/>
      <c r="D5" s="44"/>
      <c r="E5" s="44"/>
      <c r="F5" s="44"/>
      <c r="G5" s="44"/>
      <c r="H5" s="44"/>
      <c r="I5" s="44"/>
      <c r="R5" s="1085"/>
      <c r="S5" s="1086"/>
      <c r="T5" s="1086"/>
    </row>
    <row r="6" spans="1:23">
      <c r="K6" s="44"/>
      <c r="L6" s="44"/>
      <c r="M6" s="44"/>
      <c r="N6" s="44"/>
      <c r="O6" s="44"/>
      <c r="P6" s="44"/>
    </row>
    <row r="7" spans="1:23" s="44" customFormat="1" ht="18.75">
      <c r="B7" s="973" t="s">
        <v>1271</v>
      </c>
      <c r="C7" s="619"/>
      <c r="D7" s="619"/>
      <c r="E7" s="619"/>
      <c r="F7" s="619"/>
      <c r="G7" s="619"/>
      <c r="H7" s="619"/>
      <c r="I7" s="619"/>
      <c r="K7" s="633"/>
      <c r="L7" s="633"/>
      <c r="M7" s="633"/>
      <c r="N7" s="633"/>
      <c r="O7" s="633"/>
      <c r="P7" s="633"/>
    </row>
    <row r="8" spans="1:23" s="633" customFormat="1" ht="15.75">
      <c r="B8" s="1032" t="s">
        <v>1075</v>
      </c>
      <c r="C8" s="1032"/>
      <c r="D8" s="1032"/>
      <c r="E8" s="1032"/>
      <c r="F8" s="1032"/>
      <c r="G8" s="1032"/>
      <c r="H8" s="1032"/>
      <c r="I8" s="1032"/>
    </row>
    <row r="9" spans="1:23" s="633" customFormat="1" ht="18.75">
      <c r="D9" s="1114"/>
      <c r="K9" s="1109"/>
      <c r="L9" s="1109"/>
      <c r="M9" s="1109"/>
      <c r="N9" s="1109"/>
      <c r="O9" s="1109"/>
      <c r="P9" s="1109"/>
    </row>
    <row r="10" spans="1:23" s="1109" customFormat="1" ht="18" customHeight="1">
      <c r="A10" s="44"/>
      <c r="D10" s="959" t="s">
        <v>62</v>
      </c>
      <c r="E10" s="47"/>
      <c r="F10" s="47"/>
      <c r="G10" s="47"/>
      <c r="H10" s="47"/>
      <c r="I10" s="47"/>
      <c r="K10" s="646"/>
      <c r="L10" s="646"/>
      <c r="M10" s="646"/>
      <c r="N10" s="646"/>
      <c r="O10" s="646"/>
      <c r="P10" s="646"/>
    </row>
    <row r="11" spans="1:23" s="646" customFormat="1" ht="12.75" customHeight="1" outlineLevel="1">
      <c r="D11" s="1089"/>
      <c r="E11" s="1089"/>
      <c r="F11" s="633"/>
      <c r="G11" s="1089"/>
      <c r="H11" s="1089"/>
      <c r="I11" s="1089"/>
    </row>
    <row r="12" spans="1:23" s="646" customFormat="1" ht="43.5" customHeight="1" outlineLevel="1">
      <c r="E12" s="1089"/>
      <c r="F12" s="1093" t="s">
        <v>1272</v>
      </c>
      <c r="G12" s="1093" t="s">
        <v>1273</v>
      </c>
      <c r="H12" s="1093" t="s">
        <v>1077</v>
      </c>
      <c r="I12" s="1093" t="s">
        <v>1274</v>
      </c>
      <c r="K12" s="2048" t="s">
        <v>1437</v>
      </c>
      <c r="L12" s="2049"/>
      <c r="M12" s="2050"/>
      <c r="N12" s="1545" t="s">
        <v>1430</v>
      </c>
      <c r="O12" s="1546" t="s">
        <v>1431</v>
      </c>
      <c r="P12" s="1533" t="s">
        <v>1440</v>
      </c>
      <c r="Q12" s="1545" t="s">
        <v>1430</v>
      </c>
      <c r="R12" s="1546" t="s">
        <v>1431</v>
      </c>
      <c r="S12" s="1533" t="s">
        <v>1440</v>
      </c>
      <c r="T12" s="1566" t="s">
        <v>1088</v>
      </c>
      <c r="U12" s="1533" t="s">
        <v>1440</v>
      </c>
      <c r="V12" s="1566" t="s">
        <v>1434</v>
      </c>
      <c r="W12" s="1557" t="s">
        <v>1440</v>
      </c>
    </row>
    <row r="13" spans="1:23" s="646" customFormat="1" ht="18.75" customHeight="1" outlineLevel="1">
      <c r="D13" s="970" t="s">
        <v>1219</v>
      </c>
      <c r="E13" s="958" t="s">
        <v>1192</v>
      </c>
      <c r="F13" s="1115" t="s">
        <v>107</v>
      </c>
      <c r="G13" s="1115" t="s">
        <v>1076</v>
      </c>
      <c r="H13" s="1115" t="s">
        <v>1077</v>
      </c>
      <c r="I13" s="1115" t="s">
        <v>1078</v>
      </c>
      <c r="K13" s="2051" t="s">
        <v>1436</v>
      </c>
      <c r="L13" s="2052"/>
      <c r="M13" s="2053"/>
      <c r="N13" s="2051" t="s">
        <v>1272</v>
      </c>
      <c r="O13" s="2052"/>
      <c r="P13" s="2053"/>
      <c r="Q13" s="2051" t="s">
        <v>1438</v>
      </c>
      <c r="R13" s="2052"/>
      <c r="S13" s="2053"/>
      <c r="T13" s="2060" t="s">
        <v>1439</v>
      </c>
      <c r="U13" s="2061"/>
      <c r="V13" s="2046" t="s">
        <v>1078</v>
      </c>
      <c r="W13" s="2047"/>
    </row>
    <row r="14" spans="1:23" outlineLevel="1">
      <c r="D14" s="1757"/>
      <c r="E14" s="1116"/>
      <c r="F14" s="1042"/>
      <c r="G14" s="1042"/>
      <c r="H14" s="1043"/>
      <c r="I14" s="1597"/>
      <c r="K14" s="2054"/>
      <c r="L14" s="2055"/>
      <c r="M14" s="2056"/>
      <c r="N14" s="1540" t="str">
        <f>IF(ISNONTEXT(F14)=TRUE,"","X")</f>
        <v/>
      </c>
      <c r="O14" s="1534" t="str">
        <f>IF(F14&gt;=0=TRUE,"","X")</f>
        <v/>
      </c>
      <c r="P14" s="1539" t="str">
        <f>IF(AND(D14&lt;&gt;"",ISBLANK(F14))=TRUE,"X","")</f>
        <v/>
      </c>
      <c r="Q14" s="1540" t="str">
        <f>IF(ISNONTEXT(G14)=TRUE,"","X")</f>
        <v/>
      </c>
      <c r="R14" s="1534" t="str">
        <f>IF(G14&gt;=0=TRUE,"","X")</f>
        <v/>
      </c>
      <c r="S14" s="1539" t="str">
        <f>IF(AND(D14&lt;&gt;"",ISBLANK(G14))=TRUE,"X","")</f>
        <v/>
      </c>
      <c r="T14" s="1540" t="str">
        <f>IF(H14="","",AND(OR(H14="Underground",H14="Overhead")))</f>
        <v/>
      </c>
      <c r="U14" s="1539" t="str">
        <f>IF(AND(D14&lt;&gt;"",ISBLANK(H14))=TRUE,"X","")</f>
        <v/>
      </c>
      <c r="V14" s="1540" t="str">
        <f>IF(I14="","",IF(LEN(I14)=4=TRUE,"","X"))</f>
        <v/>
      </c>
      <c r="W14" s="1539" t="str">
        <f>IF(AND(D14&lt;&gt;"",ISBLANK(I14))=TRUE,"X","")</f>
        <v/>
      </c>
    </row>
    <row r="15" spans="1:23" outlineLevel="1">
      <c r="D15" s="1758"/>
      <c r="E15" s="1117"/>
      <c r="F15" s="1044"/>
      <c r="G15" s="1044"/>
      <c r="H15" s="1045"/>
      <c r="I15" s="1046"/>
      <c r="K15" s="2054"/>
      <c r="L15" s="2055"/>
      <c r="M15" s="2056"/>
      <c r="N15" s="1540" t="str">
        <f t="shared" ref="N15:N43" si="0">IF(ISNONTEXT(F15)=TRUE,"","X")</f>
        <v/>
      </c>
      <c r="O15" s="1534" t="str">
        <f t="shared" ref="O15:O43" si="1">IF(F15&gt;=0=TRUE,"","X")</f>
        <v/>
      </c>
      <c r="P15" s="1539" t="str">
        <f t="shared" ref="P15:P43" si="2">IF(AND(D15&lt;&gt;"",ISBLANK(F15))=TRUE,"X","")</f>
        <v/>
      </c>
      <c r="Q15" s="1540" t="str">
        <f t="shared" ref="Q15:Q43" si="3">IF(ISNONTEXT(G15)=TRUE,"","X")</f>
        <v/>
      </c>
      <c r="R15" s="1534" t="str">
        <f t="shared" ref="R15:R43" si="4">IF(G15&gt;=0=TRUE,"","X")</f>
        <v/>
      </c>
      <c r="S15" s="1539" t="str">
        <f t="shared" ref="S15:S43" si="5">IF(AND(D15&lt;&gt;"",ISBLANK(G15))=TRUE,"X","")</f>
        <v/>
      </c>
      <c r="T15" s="1540" t="str">
        <f t="shared" ref="T15:T43" si="6">IF(H15="","",AND(OR(H15="Underground",H15="Overhead")))</f>
        <v/>
      </c>
      <c r="U15" s="1539" t="str">
        <f t="shared" ref="U15:U43" si="7">IF(AND(D15&lt;&gt;"",ISBLANK(H15))=TRUE,"X","")</f>
        <v/>
      </c>
      <c r="V15" s="1540" t="str">
        <f t="shared" ref="V15:V43" si="8">IF(I15="","",IF(LEN(I15)=4=TRUE,"","X"))</f>
        <v/>
      </c>
      <c r="W15" s="1539" t="str">
        <f t="shared" ref="W15:W43" si="9">IF(AND(D15&lt;&gt;"",ISBLANK(I15))=TRUE,"X","")</f>
        <v/>
      </c>
    </row>
    <row r="16" spans="1:23" outlineLevel="1">
      <c r="D16" s="1758"/>
      <c r="E16" s="1117"/>
      <c r="F16" s="1044"/>
      <c r="G16" s="1044"/>
      <c r="H16" s="1045"/>
      <c r="I16" s="1046"/>
      <c r="K16" s="2054"/>
      <c r="L16" s="2055"/>
      <c r="M16" s="2056"/>
      <c r="N16" s="1540" t="str">
        <f t="shared" si="0"/>
        <v/>
      </c>
      <c r="O16" s="1534" t="str">
        <f t="shared" si="1"/>
        <v/>
      </c>
      <c r="P16" s="1539" t="str">
        <f t="shared" si="2"/>
        <v/>
      </c>
      <c r="Q16" s="1540" t="str">
        <f t="shared" si="3"/>
        <v/>
      </c>
      <c r="R16" s="1534" t="str">
        <f t="shared" si="4"/>
        <v/>
      </c>
      <c r="S16" s="1539" t="str">
        <f t="shared" si="5"/>
        <v/>
      </c>
      <c r="T16" s="1540" t="str">
        <f t="shared" si="6"/>
        <v/>
      </c>
      <c r="U16" s="1539" t="str">
        <f t="shared" si="7"/>
        <v/>
      </c>
      <c r="V16" s="1540" t="str">
        <f t="shared" si="8"/>
        <v/>
      </c>
      <c r="W16" s="1539" t="str">
        <f t="shared" si="9"/>
        <v/>
      </c>
    </row>
    <row r="17" spans="4:23" outlineLevel="1">
      <c r="D17" s="1758"/>
      <c r="E17" s="1117"/>
      <c r="F17" s="1044"/>
      <c r="G17" s="1044"/>
      <c r="H17" s="1045"/>
      <c r="I17" s="1046"/>
      <c r="K17" s="2054"/>
      <c r="L17" s="2055"/>
      <c r="M17" s="2056"/>
      <c r="N17" s="1540" t="str">
        <f t="shared" si="0"/>
        <v/>
      </c>
      <c r="O17" s="1534" t="str">
        <f t="shared" si="1"/>
        <v/>
      </c>
      <c r="P17" s="1539" t="str">
        <f t="shared" si="2"/>
        <v/>
      </c>
      <c r="Q17" s="1540" t="str">
        <f t="shared" si="3"/>
        <v/>
      </c>
      <c r="R17" s="1534" t="str">
        <f t="shared" si="4"/>
        <v/>
      </c>
      <c r="S17" s="1539" t="str">
        <f t="shared" si="5"/>
        <v/>
      </c>
      <c r="T17" s="1540" t="str">
        <f t="shared" si="6"/>
        <v/>
      </c>
      <c r="U17" s="1539" t="str">
        <f t="shared" si="7"/>
        <v/>
      </c>
      <c r="V17" s="1540" t="str">
        <f t="shared" si="8"/>
        <v/>
      </c>
      <c r="W17" s="1539" t="str">
        <f t="shared" si="9"/>
        <v/>
      </c>
    </row>
    <row r="18" spans="4:23" outlineLevel="1">
      <c r="D18" s="1758"/>
      <c r="E18" s="1117"/>
      <c r="F18" s="1044"/>
      <c r="G18" s="1044"/>
      <c r="H18" s="1045"/>
      <c r="I18" s="1046"/>
      <c r="K18" s="2057"/>
      <c r="L18" s="2058"/>
      <c r="M18" s="2059"/>
      <c r="N18" s="1540" t="str">
        <f t="shared" si="0"/>
        <v/>
      </c>
      <c r="O18" s="1534" t="str">
        <f t="shared" si="1"/>
        <v/>
      </c>
      <c r="P18" s="1539" t="str">
        <f t="shared" si="2"/>
        <v/>
      </c>
      <c r="Q18" s="1540" t="str">
        <f t="shared" si="3"/>
        <v/>
      </c>
      <c r="R18" s="1534" t="str">
        <f t="shared" si="4"/>
        <v/>
      </c>
      <c r="S18" s="1539" t="str">
        <f t="shared" si="5"/>
        <v/>
      </c>
      <c r="T18" s="1540" t="str">
        <f t="shared" si="6"/>
        <v/>
      </c>
      <c r="U18" s="1539" t="str">
        <f t="shared" si="7"/>
        <v/>
      </c>
      <c r="V18" s="1540" t="str">
        <f t="shared" si="8"/>
        <v/>
      </c>
      <c r="W18" s="1539" t="str">
        <f t="shared" si="9"/>
        <v/>
      </c>
    </row>
    <row r="19" spans="4:23" outlineLevel="1">
      <c r="D19" s="1758"/>
      <c r="E19" s="1117"/>
      <c r="F19" s="1044"/>
      <c r="G19" s="1044"/>
      <c r="H19" s="1045"/>
      <c r="I19" s="1046"/>
      <c r="K19" s="1568"/>
      <c r="L19" s="1052"/>
      <c r="M19" s="1563"/>
      <c r="N19" s="1540" t="str">
        <f t="shared" si="0"/>
        <v/>
      </c>
      <c r="O19" s="1534" t="str">
        <f t="shared" si="1"/>
        <v/>
      </c>
      <c r="P19" s="1539" t="str">
        <f t="shared" si="2"/>
        <v/>
      </c>
      <c r="Q19" s="1540" t="str">
        <f t="shared" si="3"/>
        <v/>
      </c>
      <c r="R19" s="1534" t="str">
        <f t="shared" si="4"/>
        <v/>
      </c>
      <c r="S19" s="1539" t="str">
        <f t="shared" si="5"/>
        <v/>
      </c>
      <c r="T19" s="1540" t="str">
        <f t="shared" si="6"/>
        <v/>
      </c>
      <c r="U19" s="1539" t="str">
        <f t="shared" si="7"/>
        <v/>
      </c>
      <c r="V19" s="1540" t="str">
        <f t="shared" si="8"/>
        <v/>
      </c>
      <c r="W19" s="1539" t="str">
        <f t="shared" si="9"/>
        <v/>
      </c>
    </row>
    <row r="20" spans="4:23" outlineLevel="1">
      <c r="D20" s="1758"/>
      <c r="E20" s="1117"/>
      <c r="F20" s="1044"/>
      <c r="G20" s="1044"/>
      <c r="H20" s="1045"/>
      <c r="I20" s="1046"/>
      <c r="K20" s="1568"/>
      <c r="L20" s="1052"/>
      <c r="M20" s="1563"/>
      <c r="N20" s="1540" t="str">
        <f t="shared" ref="N20:N25" si="10">IF(ISNONTEXT(F20)=TRUE,"","X")</f>
        <v/>
      </c>
      <c r="O20" s="1534" t="str">
        <f t="shared" ref="O20:O25" si="11">IF(F20&gt;=0=TRUE,"","X")</f>
        <v/>
      </c>
      <c r="P20" s="1539" t="str">
        <f t="shared" ref="P20:P25" si="12">IF(AND(D20&lt;&gt;"",ISBLANK(F20))=TRUE,"X","")</f>
        <v/>
      </c>
      <c r="Q20" s="1540" t="str">
        <f t="shared" ref="Q20:Q25" si="13">IF(ISNONTEXT(G20)=TRUE,"","X")</f>
        <v/>
      </c>
      <c r="R20" s="1534" t="str">
        <f t="shared" ref="R20:R25" si="14">IF(G20&gt;=0=TRUE,"","X")</f>
        <v/>
      </c>
      <c r="S20" s="1539" t="str">
        <f t="shared" ref="S20:S25" si="15">IF(AND(D20&lt;&gt;"",ISBLANK(G20))=TRUE,"X","")</f>
        <v/>
      </c>
      <c r="T20" s="1540" t="str">
        <f t="shared" ref="T20:T25" si="16">IF(H20="","",AND(OR(H20="Underground",H20="Overhead")))</f>
        <v/>
      </c>
      <c r="U20" s="1539" t="str">
        <f t="shared" ref="U20:U25" si="17">IF(AND(D20&lt;&gt;"",ISBLANK(H20))=TRUE,"X","")</f>
        <v/>
      </c>
      <c r="V20" s="1540" t="str">
        <f t="shared" ref="V20:V25" si="18">IF(I20="","",IF(LEN(I20)=4=TRUE,"","X"))</f>
        <v/>
      </c>
      <c r="W20" s="1539" t="str">
        <f t="shared" ref="W20:W25" si="19">IF(AND(D20&lt;&gt;"",ISBLANK(I20))=TRUE,"X","")</f>
        <v/>
      </c>
    </row>
    <row r="21" spans="4:23" outlineLevel="1">
      <c r="D21" s="1758"/>
      <c r="E21" s="1117"/>
      <c r="F21" s="1044"/>
      <c r="G21" s="1044"/>
      <c r="H21" s="1045"/>
      <c r="I21" s="1046"/>
      <c r="K21" s="1568"/>
      <c r="L21" s="1052"/>
      <c r="M21" s="1563"/>
      <c r="N21" s="1540" t="str">
        <f t="shared" si="10"/>
        <v/>
      </c>
      <c r="O21" s="1534" t="str">
        <f t="shared" si="11"/>
        <v/>
      </c>
      <c r="P21" s="1539" t="str">
        <f t="shared" si="12"/>
        <v/>
      </c>
      <c r="Q21" s="1540" t="str">
        <f t="shared" si="13"/>
        <v/>
      </c>
      <c r="R21" s="1534" t="str">
        <f t="shared" si="14"/>
        <v/>
      </c>
      <c r="S21" s="1539" t="str">
        <f t="shared" si="15"/>
        <v/>
      </c>
      <c r="T21" s="1540" t="str">
        <f t="shared" si="16"/>
        <v/>
      </c>
      <c r="U21" s="1539" t="str">
        <f t="shared" si="17"/>
        <v/>
      </c>
      <c r="V21" s="1540" t="str">
        <f t="shared" si="18"/>
        <v/>
      </c>
      <c r="W21" s="1539" t="str">
        <f t="shared" si="19"/>
        <v/>
      </c>
    </row>
    <row r="22" spans="4:23" outlineLevel="1">
      <c r="D22" s="1758"/>
      <c r="E22" s="1117"/>
      <c r="F22" s="1044"/>
      <c r="G22" s="1044"/>
      <c r="H22" s="1045"/>
      <c r="I22" s="1046"/>
      <c r="K22" s="1568"/>
      <c r="L22" s="1052"/>
      <c r="M22" s="1563"/>
      <c r="N22" s="1540" t="str">
        <f t="shared" si="10"/>
        <v/>
      </c>
      <c r="O22" s="1534" t="str">
        <f t="shared" si="11"/>
        <v/>
      </c>
      <c r="P22" s="1539" t="str">
        <f t="shared" si="12"/>
        <v/>
      </c>
      <c r="Q22" s="1540" t="str">
        <f t="shared" si="13"/>
        <v/>
      </c>
      <c r="R22" s="1534" t="str">
        <f t="shared" si="14"/>
        <v/>
      </c>
      <c r="S22" s="1539" t="str">
        <f t="shared" si="15"/>
        <v/>
      </c>
      <c r="T22" s="1540" t="str">
        <f t="shared" si="16"/>
        <v/>
      </c>
      <c r="U22" s="1539" t="str">
        <f t="shared" si="17"/>
        <v/>
      </c>
      <c r="V22" s="1540" t="str">
        <f t="shared" si="18"/>
        <v/>
      </c>
      <c r="W22" s="1539" t="str">
        <f t="shared" si="19"/>
        <v/>
      </c>
    </row>
    <row r="23" spans="4:23" outlineLevel="1">
      <c r="D23" s="1758"/>
      <c r="E23" s="1117"/>
      <c r="F23" s="1044"/>
      <c r="G23" s="1044"/>
      <c r="H23" s="1045"/>
      <c r="I23" s="1046"/>
      <c r="K23" s="1568"/>
      <c r="L23" s="1052"/>
      <c r="M23" s="1563"/>
      <c r="N23" s="1540" t="str">
        <f t="shared" si="10"/>
        <v/>
      </c>
      <c r="O23" s="1534" t="str">
        <f t="shared" si="11"/>
        <v/>
      </c>
      <c r="P23" s="1539" t="str">
        <f t="shared" si="12"/>
        <v/>
      </c>
      <c r="Q23" s="1540" t="str">
        <f t="shared" si="13"/>
        <v/>
      </c>
      <c r="R23" s="1534" t="str">
        <f t="shared" si="14"/>
        <v/>
      </c>
      <c r="S23" s="1539" t="str">
        <f t="shared" si="15"/>
        <v/>
      </c>
      <c r="T23" s="1540" t="str">
        <f t="shared" si="16"/>
        <v/>
      </c>
      <c r="U23" s="1539" t="str">
        <f t="shared" si="17"/>
        <v/>
      </c>
      <c r="V23" s="1540" t="str">
        <f t="shared" si="18"/>
        <v/>
      </c>
      <c r="W23" s="1539" t="str">
        <f t="shared" si="19"/>
        <v/>
      </c>
    </row>
    <row r="24" spans="4:23" outlineLevel="1">
      <c r="D24" s="1758"/>
      <c r="E24" s="1117"/>
      <c r="F24" s="1044"/>
      <c r="G24" s="1044"/>
      <c r="H24" s="1045"/>
      <c r="I24" s="1046"/>
      <c r="K24" s="1568"/>
      <c r="L24" s="1052"/>
      <c r="M24" s="1563"/>
      <c r="N24" s="1540" t="str">
        <f t="shared" si="10"/>
        <v/>
      </c>
      <c r="O24" s="1534" t="str">
        <f t="shared" si="11"/>
        <v/>
      </c>
      <c r="P24" s="1539" t="str">
        <f t="shared" si="12"/>
        <v/>
      </c>
      <c r="Q24" s="1540" t="str">
        <f t="shared" si="13"/>
        <v/>
      </c>
      <c r="R24" s="1534" t="str">
        <f t="shared" si="14"/>
        <v/>
      </c>
      <c r="S24" s="1539" t="str">
        <f t="shared" si="15"/>
        <v/>
      </c>
      <c r="T24" s="1540" t="str">
        <f t="shared" si="16"/>
        <v/>
      </c>
      <c r="U24" s="1539" t="str">
        <f t="shared" si="17"/>
        <v/>
      </c>
      <c r="V24" s="1540" t="str">
        <f t="shared" si="18"/>
        <v/>
      </c>
      <c r="W24" s="1539" t="str">
        <f t="shared" si="19"/>
        <v/>
      </c>
    </row>
    <row r="25" spans="4:23" outlineLevel="1">
      <c r="D25" s="1758"/>
      <c r="E25" s="1117"/>
      <c r="F25" s="1044"/>
      <c r="G25" s="1044"/>
      <c r="H25" s="1045"/>
      <c r="I25" s="1046"/>
      <c r="K25" s="1568"/>
      <c r="L25" s="1052"/>
      <c r="M25" s="1563"/>
      <c r="N25" s="1540" t="str">
        <f t="shared" si="10"/>
        <v/>
      </c>
      <c r="O25" s="1534" t="str">
        <f t="shared" si="11"/>
        <v/>
      </c>
      <c r="P25" s="1539" t="str">
        <f t="shared" si="12"/>
        <v/>
      </c>
      <c r="Q25" s="1540" t="str">
        <f t="shared" si="13"/>
        <v/>
      </c>
      <c r="R25" s="1534" t="str">
        <f t="shared" si="14"/>
        <v/>
      </c>
      <c r="S25" s="1539" t="str">
        <f t="shared" si="15"/>
        <v/>
      </c>
      <c r="T25" s="1540" t="str">
        <f t="shared" si="16"/>
        <v/>
      </c>
      <c r="U25" s="1539" t="str">
        <f t="shared" si="17"/>
        <v/>
      </c>
      <c r="V25" s="1540" t="str">
        <f t="shared" si="18"/>
        <v/>
      </c>
      <c r="W25" s="1539" t="str">
        <f t="shared" si="19"/>
        <v/>
      </c>
    </row>
    <row r="26" spans="4:23" outlineLevel="1">
      <c r="D26" s="1758"/>
      <c r="E26" s="1117"/>
      <c r="F26" s="1044"/>
      <c r="G26" s="1044"/>
      <c r="H26" s="1045"/>
      <c r="I26" s="1046"/>
      <c r="K26" s="1568"/>
      <c r="L26" s="1052"/>
      <c r="M26" s="1563"/>
      <c r="N26" s="1540" t="str">
        <f t="shared" si="0"/>
        <v/>
      </c>
      <c r="O26" s="1534" t="str">
        <f t="shared" si="1"/>
        <v/>
      </c>
      <c r="P26" s="1539" t="str">
        <f t="shared" si="2"/>
        <v/>
      </c>
      <c r="Q26" s="1540" t="str">
        <f t="shared" si="3"/>
        <v/>
      </c>
      <c r="R26" s="1534" t="str">
        <f t="shared" si="4"/>
        <v/>
      </c>
      <c r="S26" s="1539" t="str">
        <f t="shared" si="5"/>
        <v/>
      </c>
      <c r="T26" s="1540" t="str">
        <f t="shared" si="6"/>
        <v/>
      </c>
      <c r="U26" s="1539" t="str">
        <f t="shared" si="7"/>
        <v/>
      </c>
      <c r="V26" s="1540" t="str">
        <f t="shared" si="8"/>
        <v/>
      </c>
      <c r="W26" s="1539" t="str">
        <f t="shared" si="9"/>
        <v/>
      </c>
    </row>
    <row r="27" spans="4:23" outlineLevel="1">
      <c r="D27" s="1758"/>
      <c r="E27" s="1117"/>
      <c r="F27" s="1044"/>
      <c r="G27" s="1044"/>
      <c r="H27" s="1045"/>
      <c r="I27" s="1046"/>
      <c r="K27" s="1568"/>
      <c r="L27" s="1052"/>
      <c r="M27" s="1563"/>
      <c r="N27" s="1540" t="str">
        <f t="shared" si="0"/>
        <v/>
      </c>
      <c r="O27" s="1534" t="str">
        <f t="shared" si="1"/>
        <v/>
      </c>
      <c r="P27" s="1539" t="str">
        <f t="shared" si="2"/>
        <v/>
      </c>
      <c r="Q27" s="1540" t="str">
        <f t="shared" si="3"/>
        <v/>
      </c>
      <c r="R27" s="1534" t="str">
        <f t="shared" si="4"/>
        <v/>
      </c>
      <c r="S27" s="1539" t="str">
        <f t="shared" si="5"/>
        <v/>
      </c>
      <c r="T27" s="1540" t="str">
        <f t="shared" si="6"/>
        <v/>
      </c>
      <c r="U27" s="1539" t="str">
        <f t="shared" si="7"/>
        <v/>
      </c>
      <c r="V27" s="1540" t="str">
        <f t="shared" si="8"/>
        <v/>
      </c>
      <c r="W27" s="1539" t="str">
        <f t="shared" si="9"/>
        <v/>
      </c>
    </row>
    <row r="28" spans="4:23" outlineLevel="1">
      <c r="D28" s="1758"/>
      <c r="E28" s="1117"/>
      <c r="F28" s="1044"/>
      <c r="G28" s="1044"/>
      <c r="H28" s="1045"/>
      <c r="I28" s="1046"/>
      <c r="K28" s="1568"/>
      <c r="L28" s="1052"/>
      <c r="M28" s="1563"/>
      <c r="N28" s="1540" t="str">
        <f t="shared" si="0"/>
        <v/>
      </c>
      <c r="O28" s="1534" t="str">
        <f t="shared" si="1"/>
        <v/>
      </c>
      <c r="P28" s="1539" t="str">
        <f t="shared" si="2"/>
        <v/>
      </c>
      <c r="Q28" s="1540" t="str">
        <f t="shared" si="3"/>
        <v/>
      </c>
      <c r="R28" s="1534" t="str">
        <f t="shared" si="4"/>
        <v/>
      </c>
      <c r="S28" s="1539" t="str">
        <f t="shared" si="5"/>
        <v/>
      </c>
      <c r="T28" s="1540" t="str">
        <f t="shared" si="6"/>
        <v/>
      </c>
      <c r="U28" s="1539" t="str">
        <f t="shared" si="7"/>
        <v/>
      </c>
      <c r="V28" s="1540" t="str">
        <f t="shared" si="8"/>
        <v/>
      </c>
      <c r="W28" s="1539" t="str">
        <f t="shared" si="9"/>
        <v/>
      </c>
    </row>
    <row r="29" spans="4:23" outlineLevel="1">
      <c r="D29" s="1758"/>
      <c r="E29" s="1117"/>
      <c r="F29" s="1044"/>
      <c r="G29" s="1044"/>
      <c r="H29" s="1045"/>
      <c r="I29" s="1046"/>
      <c r="K29" s="1568"/>
      <c r="L29" s="1052"/>
      <c r="M29" s="1563"/>
      <c r="N29" s="1540" t="str">
        <f t="shared" si="0"/>
        <v/>
      </c>
      <c r="O29" s="1534" t="str">
        <f t="shared" si="1"/>
        <v/>
      </c>
      <c r="P29" s="1539" t="str">
        <f t="shared" si="2"/>
        <v/>
      </c>
      <c r="Q29" s="1540" t="str">
        <f t="shared" si="3"/>
        <v/>
      </c>
      <c r="R29" s="1534" t="str">
        <f t="shared" si="4"/>
        <v/>
      </c>
      <c r="S29" s="1539" t="str">
        <f t="shared" si="5"/>
        <v/>
      </c>
      <c r="T29" s="1540" t="str">
        <f t="shared" si="6"/>
        <v/>
      </c>
      <c r="U29" s="1539" t="str">
        <f t="shared" si="7"/>
        <v/>
      </c>
      <c r="V29" s="1540" t="str">
        <f t="shared" si="8"/>
        <v/>
      </c>
      <c r="W29" s="1539" t="str">
        <f t="shared" si="9"/>
        <v/>
      </c>
    </row>
    <row r="30" spans="4:23" outlineLevel="1">
      <c r="D30" s="1758"/>
      <c r="E30" s="1117"/>
      <c r="F30" s="1044"/>
      <c r="G30" s="1044"/>
      <c r="H30" s="1045"/>
      <c r="I30" s="1046"/>
      <c r="K30" s="1568"/>
      <c r="L30" s="1052"/>
      <c r="M30" s="1563"/>
      <c r="N30" s="1540" t="str">
        <f t="shared" si="0"/>
        <v/>
      </c>
      <c r="O30" s="1534" t="str">
        <f t="shared" si="1"/>
        <v/>
      </c>
      <c r="P30" s="1539" t="str">
        <f t="shared" si="2"/>
        <v/>
      </c>
      <c r="Q30" s="1540" t="str">
        <f t="shared" si="3"/>
        <v/>
      </c>
      <c r="R30" s="1534" t="str">
        <f t="shared" si="4"/>
        <v/>
      </c>
      <c r="S30" s="1539" t="str">
        <f t="shared" si="5"/>
        <v/>
      </c>
      <c r="T30" s="1540" t="str">
        <f t="shared" si="6"/>
        <v/>
      </c>
      <c r="U30" s="1539" t="str">
        <f t="shared" si="7"/>
        <v/>
      </c>
      <c r="V30" s="1540" t="str">
        <f t="shared" si="8"/>
        <v/>
      </c>
      <c r="W30" s="1539" t="str">
        <f t="shared" si="9"/>
        <v/>
      </c>
    </row>
    <row r="31" spans="4:23" outlineLevel="1">
      <c r="D31" s="1758"/>
      <c r="E31" s="1117"/>
      <c r="F31" s="1044"/>
      <c r="G31" s="1044"/>
      <c r="H31" s="1045"/>
      <c r="I31" s="1046"/>
      <c r="K31" s="1568"/>
      <c r="L31" s="1052"/>
      <c r="M31" s="1563"/>
      <c r="N31" s="1540" t="str">
        <f t="shared" si="0"/>
        <v/>
      </c>
      <c r="O31" s="1534" t="str">
        <f t="shared" si="1"/>
        <v/>
      </c>
      <c r="P31" s="1539" t="str">
        <f t="shared" si="2"/>
        <v/>
      </c>
      <c r="Q31" s="1540" t="str">
        <f t="shared" si="3"/>
        <v/>
      </c>
      <c r="R31" s="1534" t="str">
        <f t="shared" si="4"/>
        <v/>
      </c>
      <c r="S31" s="1539" t="str">
        <f t="shared" si="5"/>
        <v/>
      </c>
      <c r="T31" s="1540" t="str">
        <f t="shared" si="6"/>
        <v/>
      </c>
      <c r="U31" s="1539" t="str">
        <f t="shared" si="7"/>
        <v/>
      </c>
      <c r="V31" s="1540" t="str">
        <f t="shared" si="8"/>
        <v/>
      </c>
      <c r="W31" s="1539" t="str">
        <f t="shared" si="9"/>
        <v/>
      </c>
    </row>
    <row r="32" spans="4:23" outlineLevel="1">
      <c r="D32" s="1758"/>
      <c r="E32" s="1117"/>
      <c r="F32" s="1044"/>
      <c r="G32" s="1044"/>
      <c r="H32" s="1045"/>
      <c r="I32" s="1046"/>
      <c r="K32" s="1568"/>
      <c r="L32" s="1052"/>
      <c r="M32" s="1563"/>
      <c r="N32" s="1540" t="str">
        <f t="shared" si="0"/>
        <v/>
      </c>
      <c r="O32" s="1534" t="str">
        <f t="shared" si="1"/>
        <v/>
      </c>
      <c r="P32" s="1539" t="str">
        <f t="shared" si="2"/>
        <v/>
      </c>
      <c r="Q32" s="1540" t="str">
        <f t="shared" si="3"/>
        <v/>
      </c>
      <c r="R32" s="1534" t="str">
        <f t="shared" si="4"/>
        <v/>
      </c>
      <c r="S32" s="1539" t="str">
        <f t="shared" si="5"/>
        <v/>
      </c>
      <c r="T32" s="1540" t="str">
        <f t="shared" si="6"/>
        <v/>
      </c>
      <c r="U32" s="1539" t="str">
        <f t="shared" si="7"/>
        <v/>
      </c>
      <c r="V32" s="1540" t="str">
        <f t="shared" si="8"/>
        <v/>
      </c>
      <c r="W32" s="1539" t="str">
        <f t="shared" si="9"/>
        <v/>
      </c>
    </row>
    <row r="33" spans="1:23" outlineLevel="1">
      <c r="D33" s="1758"/>
      <c r="E33" s="1117"/>
      <c r="F33" s="1044"/>
      <c r="G33" s="1044"/>
      <c r="H33" s="1045"/>
      <c r="I33" s="1046"/>
      <c r="K33" s="1568"/>
      <c r="L33" s="1052"/>
      <c r="M33" s="1563"/>
      <c r="N33" s="1540" t="str">
        <f t="shared" si="0"/>
        <v/>
      </c>
      <c r="O33" s="1534" t="str">
        <f t="shared" si="1"/>
        <v/>
      </c>
      <c r="P33" s="1539" t="str">
        <f t="shared" si="2"/>
        <v/>
      </c>
      <c r="Q33" s="1540" t="str">
        <f t="shared" si="3"/>
        <v/>
      </c>
      <c r="R33" s="1534" t="str">
        <f t="shared" si="4"/>
        <v/>
      </c>
      <c r="S33" s="1539" t="str">
        <f t="shared" si="5"/>
        <v/>
      </c>
      <c r="T33" s="1540" t="str">
        <f t="shared" si="6"/>
        <v/>
      </c>
      <c r="U33" s="1539" t="str">
        <f t="shared" si="7"/>
        <v/>
      </c>
      <c r="V33" s="1540" t="str">
        <f t="shared" si="8"/>
        <v/>
      </c>
      <c r="W33" s="1539" t="str">
        <f t="shared" si="9"/>
        <v/>
      </c>
    </row>
    <row r="34" spans="1:23" outlineLevel="1">
      <c r="D34" s="1758"/>
      <c r="E34" s="1117"/>
      <c r="F34" s="1044"/>
      <c r="G34" s="1044"/>
      <c r="H34" s="1045"/>
      <c r="I34" s="1046"/>
      <c r="K34" s="1568"/>
      <c r="L34" s="1052"/>
      <c r="M34" s="1563"/>
      <c r="N34" s="1540" t="str">
        <f t="shared" si="0"/>
        <v/>
      </c>
      <c r="O34" s="1534" t="str">
        <f t="shared" si="1"/>
        <v/>
      </c>
      <c r="P34" s="1539" t="str">
        <f t="shared" si="2"/>
        <v/>
      </c>
      <c r="Q34" s="1540" t="str">
        <f t="shared" si="3"/>
        <v/>
      </c>
      <c r="R34" s="1534" t="str">
        <f t="shared" si="4"/>
        <v/>
      </c>
      <c r="S34" s="1539" t="str">
        <f t="shared" si="5"/>
        <v/>
      </c>
      <c r="T34" s="1540" t="str">
        <f t="shared" si="6"/>
        <v/>
      </c>
      <c r="U34" s="1539" t="str">
        <f t="shared" si="7"/>
        <v/>
      </c>
      <c r="V34" s="1540" t="str">
        <f t="shared" si="8"/>
        <v/>
      </c>
      <c r="W34" s="1539" t="str">
        <f t="shared" si="9"/>
        <v/>
      </c>
    </row>
    <row r="35" spans="1:23" outlineLevel="1">
      <c r="D35" s="1758"/>
      <c r="E35" s="1117"/>
      <c r="F35" s="1044"/>
      <c r="G35" s="1044"/>
      <c r="H35" s="1045"/>
      <c r="I35" s="1046"/>
      <c r="K35" s="1568"/>
      <c r="L35" s="1052"/>
      <c r="M35" s="1563"/>
      <c r="N35" s="1540" t="str">
        <f t="shared" si="0"/>
        <v/>
      </c>
      <c r="O35" s="1534" t="str">
        <f t="shared" si="1"/>
        <v/>
      </c>
      <c r="P35" s="1539" t="str">
        <f t="shared" si="2"/>
        <v/>
      </c>
      <c r="Q35" s="1540" t="str">
        <f t="shared" si="3"/>
        <v/>
      </c>
      <c r="R35" s="1534" t="str">
        <f t="shared" si="4"/>
        <v/>
      </c>
      <c r="S35" s="1539" t="str">
        <f t="shared" si="5"/>
        <v/>
      </c>
      <c r="T35" s="1540" t="str">
        <f t="shared" si="6"/>
        <v/>
      </c>
      <c r="U35" s="1539" t="str">
        <f t="shared" si="7"/>
        <v/>
      </c>
      <c r="V35" s="1540" t="str">
        <f t="shared" si="8"/>
        <v/>
      </c>
      <c r="W35" s="1539" t="str">
        <f t="shared" si="9"/>
        <v/>
      </c>
    </row>
    <row r="36" spans="1:23" outlineLevel="1">
      <c r="D36" s="1758"/>
      <c r="E36" s="1117"/>
      <c r="F36" s="1044"/>
      <c r="G36" s="1044"/>
      <c r="H36" s="1045"/>
      <c r="I36" s="1046"/>
      <c r="K36" s="1568"/>
      <c r="L36" s="1052"/>
      <c r="M36" s="1563"/>
      <c r="N36" s="1540" t="str">
        <f t="shared" si="0"/>
        <v/>
      </c>
      <c r="O36" s="1534" t="str">
        <f t="shared" si="1"/>
        <v/>
      </c>
      <c r="P36" s="1539" t="str">
        <f t="shared" si="2"/>
        <v/>
      </c>
      <c r="Q36" s="1540" t="str">
        <f t="shared" si="3"/>
        <v/>
      </c>
      <c r="R36" s="1534" t="str">
        <f t="shared" si="4"/>
        <v/>
      </c>
      <c r="S36" s="1539" t="str">
        <f t="shared" si="5"/>
        <v/>
      </c>
      <c r="T36" s="1540" t="str">
        <f t="shared" si="6"/>
        <v/>
      </c>
      <c r="U36" s="1539" t="str">
        <f t="shared" si="7"/>
        <v/>
      </c>
      <c r="V36" s="1540" t="str">
        <f t="shared" si="8"/>
        <v/>
      </c>
      <c r="W36" s="1539" t="str">
        <f t="shared" si="9"/>
        <v/>
      </c>
    </row>
    <row r="37" spans="1:23" outlineLevel="1">
      <c r="D37" s="1758"/>
      <c r="E37" s="1117"/>
      <c r="F37" s="1044"/>
      <c r="G37" s="1044"/>
      <c r="H37" s="1045"/>
      <c r="I37" s="1046"/>
      <c r="K37" s="1568"/>
      <c r="L37" s="1052"/>
      <c r="M37" s="1563"/>
      <c r="N37" s="1540" t="str">
        <f t="shared" si="0"/>
        <v/>
      </c>
      <c r="O37" s="1534" t="str">
        <f t="shared" si="1"/>
        <v/>
      </c>
      <c r="P37" s="1539" t="str">
        <f t="shared" si="2"/>
        <v/>
      </c>
      <c r="Q37" s="1540" t="str">
        <f t="shared" si="3"/>
        <v/>
      </c>
      <c r="R37" s="1534" t="str">
        <f t="shared" si="4"/>
        <v/>
      </c>
      <c r="S37" s="1539" t="str">
        <f t="shared" si="5"/>
        <v/>
      </c>
      <c r="T37" s="1540" t="str">
        <f t="shared" si="6"/>
        <v/>
      </c>
      <c r="U37" s="1539" t="str">
        <f t="shared" si="7"/>
        <v/>
      </c>
      <c r="V37" s="1540" t="str">
        <f t="shared" si="8"/>
        <v/>
      </c>
      <c r="W37" s="1539" t="str">
        <f t="shared" si="9"/>
        <v/>
      </c>
    </row>
    <row r="38" spans="1:23" outlineLevel="1">
      <c r="D38" s="1758"/>
      <c r="E38" s="1117"/>
      <c r="F38" s="1044"/>
      <c r="G38" s="1044"/>
      <c r="H38" s="1045"/>
      <c r="I38" s="1046"/>
      <c r="K38" s="1568"/>
      <c r="L38" s="1052"/>
      <c r="M38" s="1563"/>
      <c r="N38" s="1540" t="str">
        <f t="shared" si="0"/>
        <v/>
      </c>
      <c r="O38" s="1534" t="str">
        <f t="shared" si="1"/>
        <v/>
      </c>
      <c r="P38" s="1539" t="str">
        <f t="shared" si="2"/>
        <v/>
      </c>
      <c r="Q38" s="1540" t="str">
        <f t="shared" si="3"/>
        <v/>
      </c>
      <c r="R38" s="1534" t="str">
        <f t="shared" si="4"/>
        <v/>
      </c>
      <c r="S38" s="1539" t="str">
        <f t="shared" si="5"/>
        <v/>
      </c>
      <c r="T38" s="1540" t="str">
        <f t="shared" si="6"/>
        <v/>
      </c>
      <c r="U38" s="1539" t="str">
        <f t="shared" si="7"/>
        <v/>
      </c>
      <c r="V38" s="1540" t="str">
        <f t="shared" si="8"/>
        <v/>
      </c>
      <c r="W38" s="1539" t="str">
        <f t="shared" si="9"/>
        <v/>
      </c>
    </row>
    <row r="39" spans="1:23" outlineLevel="1">
      <c r="D39" s="1758"/>
      <c r="E39" s="1117"/>
      <c r="F39" s="1044"/>
      <c r="G39" s="1044"/>
      <c r="H39" s="1045"/>
      <c r="I39" s="1046"/>
      <c r="K39" s="1568"/>
      <c r="L39" s="1052"/>
      <c r="M39" s="1563"/>
      <c r="N39" s="1540" t="str">
        <f t="shared" si="0"/>
        <v/>
      </c>
      <c r="O39" s="1534" t="str">
        <f t="shared" si="1"/>
        <v/>
      </c>
      <c r="P39" s="1539" t="str">
        <f t="shared" si="2"/>
        <v/>
      </c>
      <c r="Q39" s="1540" t="str">
        <f t="shared" si="3"/>
        <v/>
      </c>
      <c r="R39" s="1534" t="str">
        <f t="shared" si="4"/>
        <v/>
      </c>
      <c r="S39" s="1539" t="str">
        <f t="shared" si="5"/>
        <v/>
      </c>
      <c r="T39" s="1540" t="str">
        <f t="shared" si="6"/>
        <v/>
      </c>
      <c r="U39" s="1539" t="str">
        <f t="shared" si="7"/>
        <v/>
      </c>
      <c r="V39" s="1540" t="str">
        <f t="shared" si="8"/>
        <v/>
      </c>
      <c r="W39" s="1539" t="str">
        <f t="shared" si="9"/>
        <v/>
      </c>
    </row>
    <row r="40" spans="1:23" outlineLevel="1">
      <c r="A40" s="1665" t="s">
        <v>1470</v>
      </c>
      <c r="D40" s="1758"/>
      <c r="E40" s="1117"/>
      <c r="F40" s="1044"/>
      <c r="G40" s="1044"/>
      <c r="H40" s="1045"/>
      <c r="I40" s="1046"/>
      <c r="K40" s="1568"/>
      <c r="L40" s="1052"/>
      <c r="M40" s="1563"/>
      <c r="N40" s="1540" t="str">
        <f t="shared" si="0"/>
        <v/>
      </c>
      <c r="O40" s="1534" t="str">
        <f t="shared" si="1"/>
        <v/>
      </c>
      <c r="P40" s="1539" t="str">
        <f t="shared" si="2"/>
        <v/>
      </c>
      <c r="Q40" s="1540" t="str">
        <f t="shared" si="3"/>
        <v/>
      </c>
      <c r="R40" s="1534" t="str">
        <f t="shared" si="4"/>
        <v/>
      </c>
      <c r="S40" s="1539" t="str">
        <f t="shared" si="5"/>
        <v/>
      </c>
      <c r="T40" s="1540" t="str">
        <f t="shared" si="6"/>
        <v/>
      </c>
      <c r="U40" s="1539" t="str">
        <f t="shared" si="7"/>
        <v/>
      </c>
      <c r="V40" s="1540" t="str">
        <f t="shared" si="8"/>
        <v/>
      </c>
      <c r="W40" s="1539" t="str">
        <f t="shared" si="9"/>
        <v/>
      </c>
    </row>
    <row r="41" spans="1:23" outlineLevel="1">
      <c r="D41" s="1758"/>
      <c r="E41" s="1117"/>
      <c r="F41" s="1044"/>
      <c r="G41" s="1044"/>
      <c r="H41" s="1045"/>
      <c r="I41" s="1046"/>
      <c r="K41" s="1568"/>
      <c r="L41" s="1052"/>
      <c r="M41" s="1563"/>
      <c r="N41" s="1540" t="str">
        <f t="shared" si="0"/>
        <v/>
      </c>
      <c r="O41" s="1534" t="str">
        <f t="shared" si="1"/>
        <v/>
      </c>
      <c r="P41" s="1539" t="str">
        <f t="shared" si="2"/>
        <v/>
      </c>
      <c r="Q41" s="1540" t="str">
        <f t="shared" si="3"/>
        <v/>
      </c>
      <c r="R41" s="1534" t="str">
        <f t="shared" si="4"/>
        <v/>
      </c>
      <c r="S41" s="1539" t="str">
        <f t="shared" si="5"/>
        <v/>
      </c>
      <c r="T41" s="1540" t="str">
        <f t="shared" si="6"/>
        <v/>
      </c>
      <c r="U41" s="1539" t="str">
        <f t="shared" si="7"/>
        <v/>
      </c>
      <c r="V41" s="1540" t="str">
        <f t="shared" si="8"/>
        <v/>
      </c>
      <c r="W41" s="1539" t="str">
        <f t="shared" si="9"/>
        <v/>
      </c>
    </row>
    <row r="42" spans="1:23" outlineLevel="1">
      <c r="D42" s="1758"/>
      <c r="E42" s="1117"/>
      <c r="F42" s="1044"/>
      <c r="G42" s="1044"/>
      <c r="H42" s="1045"/>
      <c r="I42" s="1046"/>
      <c r="K42" s="1568"/>
      <c r="L42" s="1052"/>
      <c r="M42" s="1563"/>
      <c r="N42" s="1540" t="str">
        <f t="shared" si="0"/>
        <v/>
      </c>
      <c r="O42" s="1534" t="str">
        <f t="shared" si="1"/>
        <v/>
      </c>
      <c r="P42" s="1539" t="str">
        <f t="shared" si="2"/>
        <v/>
      </c>
      <c r="Q42" s="1540" t="str">
        <f t="shared" si="3"/>
        <v/>
      </c>
      <c r="R42" s="1534" t="str">
        <f t="shared" si="4"/>
        <v/>
      </c>
      <c r="S42" s="1539" t="str">
        <f t="shared" si="5"/>
        <v/>
      </c>
      <c r="T42" s="1540" t="str">
        <f t="shared" si="6"/>
        <v/>
      </c>
      <c r="U42" s="1539" t="str">
        <f t="shared" si="7"/>
        <v/>
      </c>
      <c r="V42" s="1540" t="str">
        <f t="shared" si="8"/>
        <v/>
      </c>
      <c r="W42" s="1539" t="str">
        <f t="shared" si="9"/>
        <v/>
      </c>
    </row>
    <row r="43" spans="1:23" outlineLevel="1">
      <c r="D43" s="1759"/>
      <c r="E43" s="1118"/>
      <c r="F43" s="1047"/>
      <c r="G43" s="1047"/>
      <c r="H43" s="1048"/>
      <c r="I43" s="1049"/>
      <c r="K43" s="1569"/>
      <c r="L43" s="1564"/>
      <c r="M43" s="1565"/>
      <c r="N43" s="1542" t="str">
        <f t="shared" si="0"/>
        <v/>
      </c>
      <c r="O43" s="1551" t="str">
        <f t="shared" si="1"/>
        <v/>
      </c>
      <c r="P43" s="1541" t="str">
        <f t="shared" si="2"/>
        <v/>
      </c>
      <c r="Q43" s="1542" t="str">
        <f t="shared" si="3"/>
        <v/>
      </c>
      <c r="R43" s="1551" t="str">
        <f t="shared" si="4"/>
        <v/>
      </c>
      <c r="S43" s="1541" t="str">
        <f t="shared" si="5"/>
        <v/>
      </c>
      <c r="T43" s="1542" t="str">
        <f t="shared" si="6"/>
        <v/>
      </c>
      <c r="U43" s="1541" t="str">
        <f t="shared" si="7"/>
        <v/>
      </c>
      <c r="V43" s="1542" t="str">
        <f t="shared" si="8"/>
        <v/>
      </c>
      <c r="W43" s="1541" t="str">
        <f t="shared" si="9"/>
        <v/>
      </c>
    </row>
    <row r="46" spans="1:23" ht="16.5" customHeight="1">
      <c r="B46" s="1717" t="s">
        <v>1468</v>
      </c>
      <c r="C46" s="1714"/>
      <c r="D46" s="1715" t="s">
        <v>1488</v>
      </c>
    </row>
  </sheetData>
  <mergeCells count="7">
    <mergeCell ref="V13:W13"/>
    <mergeCell ref="K12:M12"/>
    <mergeCell ref="K13:M13"/>
    <mergeCell ref="N13:P13"/>
    <mergeCell ref="K14:M18"/>
    <mergeCell ref="Q13:S13"/>
    <mergeCell ref="T13:U13"/>
  </mergeCells>
  <conditionalFormatting sqref="D46">
    <cfRule type="cellIs" dxfId="65" priority="1" operator="equal">
      <formula>FALSE</formula>
    </cfRule>
  </conditionalFormatting>
  <dataValidations count="4">
    <dataValidation type="textLength" operator="lessThanOrEqual" allowBlank="1" showInputMessage="1" showErrorMessage="1" promptTitle="Project" prompt="Enter project description" sqref="E14:E43" xr:uid="{C323371C-F55E-4DE7-BEF9-0D8EDFDA213A}">
      <formula1>150</formula1>
    </dataValidation>
    <dataValidation allowBlank="1" sqref="U12 K12 N12:S12 W12 Q1:Q4 K1:K4" xr:uid="{95992194-B16B-46D0-894E-365D25878E35}"/>
    <dataValidation allowBlank="1" showErrorMessage="1" sqref="F14:I43" xr:uid="{88F0FD38-A6FE-47FD-AD05-8866B3847ACD}"/>
    <dataValidation type="textLength" operator="lessThanOrEqual" allowBlank="1" showErrorMessage="1" promptTitle="Project" prompt="Enter project description" sqref="D14:D43" xr:uid="{71F994E3-0245-47CF-A9A1-DF9053B49E62}">
      <formula1>150</formula1>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BE00F-4400-4F99-B102-5D0F029B9E4F}">
  <sheetPr codeName="Sheet8">
    <tabColor theme="3" tint="-0.249977111117893"/>
    <pageSetUpPr fitToPage="1"/>
  </sheetPr>
  <dimension ref="A1:AC65"/>
  <sheetViews>
    <sheetView workbookViewId="0"/>
  </sheetViews>
  <sheetFormatPr defaultColWidth="9.140625" defaultRowHeight="15" outlineLevelRow="2"/>
  <cols>
    <col min="1" max="1" width="10.85546875" style="46" customWidth="1"/>
    <col min="2" max="2" width="16" style="955" customWidth="1"/>
    <col min="3" max="3" width="2.5703125" style="46" customWidth="1"/>
    <col min="4" max="4" width="65.7109375" style="46" customWidth="1"/>
    <col min="5" max="5" width="16" style="46" bestFit="1" customWidth="1"/>
    <col min="6" max="6" width="29.140625" style="46" customWidth="1"/>
    <col min="7" max="7" width="10.85546875" style="46" customWidth="1"/>
    <col min="8" max="20" width="3.7109375" style="46" customWidth="1"/>
    <col min="21" max="21" width="9.140625" style="46" customWidth="1"/>
    <col min="22" max="25" width="9.140625" style="46"/>
    <col min="26" max="35" width="9.140625" style="46" customWidth="1"/>
    <col min="36" max="46" width="9.140625" style="46"/>
    <col min="47" max="56" width="5.42578125" style="46" customWidth="1"/>
    <col min="57" max="16384" width="9.140625" style="46"/>
  </cols>
  <sheetData>
    <row r="1" spans="2:20" s="42" customFormat="1" ht="20.100000000000001" customHeight="1">
      <c r="B1" s="1002"/>
      <c r="C1" s="1002"/>
      <c r="D1" s="1002" t="str">
        <f>dms_SheetHeading1</f>
        <v>ANNUAL INFORMATION ORDER</v>
      </c>
      <c r="E1" s="1122"/>
      <c r="F1" s="1122"/>
      <c r="H1" s="1658" t="s">
        <v>1040</v>
      </c>
      <c r="I1" s="1323"/>
      <c r="J1" s="1323"/>
      <c r="K1" s="1323"/>
      <c r="L1" s="1323"/>
      <c r="M1" s="1323"/>
      <c r="N1" s="1657" t="s">
        <v>1039</v>
      </c>
      <c r="O1" s="1323"/>
      <c r="P1" s="1323"/>
      <c r="Q1" s="1323"/>
      <c r="R1" s="1323"/>
      <c r="S1" s="1323"/>
      <c r="T1" s="1323"/>
    </row>
    <row r="2" spans="2:20" s="42" customFormat="1" ht="20.100000000000001" customHeight="1">
      <c r="B2" s="1003"/>
      <c r="C2" s="1003"/>
      <c r="D2" s="1003" t="str">
        <f>dms_SheetHeading2</f>
        <v>Australian Transmission Co.</v>
      </c>
      <c r="E2" s="1122"/>
      <c r="F2" s="1122"/>
      <c r="H2" s="1659" t="s">
        <v>1041</v>
      </c>
      <c r="I2" s="1324"/>
      <c r="J2" s="1324"/>
      <c r="K2" s="1324"/>
      <c r="L2" s="1324"/>
      <c r="M2" s="1324"/>
      <c r="N2" s="1379" t="s">
        <v>202</v>
      </c>
      <c r="O2" s="1324"/>
      <c r="P2" s="1324"/>
      <c r="Q2" s="1324"/>
      <c r="R2" s="1324"/>
      <c r="S2" s="1324"/>
      <c r="T2" s="1324"/>
    </row>
    <row r="3" spans="2:20" s="42" customFormat="1" ht="20.100000000000001" customHeight="1">
      <c r="B3" s="1004"/>
      <c r="C3" s="1004"/>
      <c r="D3" s="1004" t="str">
        <f>dms_SheetHeading3</f>
        <v>REPORTING STATEMENT: 2024-25</v>
      </c>
      <c r="E3" s="1122"/>
      <c r="F3" s="1122"/>
      <c r="H3" s="1660" t="s">
        <v>1042</v>
      </c>
      <c r="I3" s="1325"/>
      <c r="J3" s="1325"/>
      <c r="K3" s="1325"/>
      <c r="L3" s="1325"/>
      <c r="M3" s="1325"/>
      <c r="N3" s="1380" t="s">
        <v>203</v>
      </c>
      <c r="O3" s="1325"/>
      <c r="P3" s="1325"/>
      <c r="Q3" s="1325"/>
      <c r="R3" s="1325"/>
      <c r="S3" s="1325"/>
      <c r="T3" s="1325"/>
    </row>
    <row r="4" spans="2:20" s="42" customFormat="1" ht="20.100000000000001" customHeight="1">
      <c r="B4" s="1005"/>
      <c r="C4" s="1005"/>
      <c r="D4" s="1005" t="s">
        <v>1257</v>
      </c>
      <c r="E4" s="1005"/>
      <c r="F4" s="1005"/>
      <c r="H4" s="1662" t="s">
        <v>1044</v>
      </c>
      <c r="I4" s="1692"/>
      <c r="J4" s="1693"/>
      <c r="K4" s="1498"/>
      <c r="L4" s="1498"/>
      <c r="M4" s="1498"/>
      <c r="N4" s="1497" t="s">
        <v>1043</v>
      </c>
      <c r="O4" s="1498"/>
      <c r="P4" s="1498"/>
      <c r="Q4" s="1498"/>
      <c r="R4" s="1498"/>
      <c r="S4" s="1498"/>
      <c r="T4" s="1498"/>
    </row>
    <row r="5" spans="2:20" ht="13.5" customHeight="1">
      <c r="B5" s="954"/>
      <c r="C5" s="44"/>
      <c r="D5" s="44"/>
      <c r="E5" s="44"/>
      <c r="F5" s="44"/>
    </row>
    <row r="6" spans="2:20">
      <c r="B6" s="628" t="s">
        <v>1286</v>
      </c>
      <c r="C6" s="628"/>
      <c r="D6" s="628"/>
      <c r="E6" s="628"/>
      <c r="F6" s="628"/>
      <c r="G6" s="44"/>
      <c r="H6" s="44"/>
      <c r="I6" s="44"/>
    </row>
    <row r="7" spans="2:20">
      <c r="B7" s="628" t="s">
        <v>1446</v>
      </c>
      <c r="C7" s="628"/>
      <c r="D7" s="628"/>
      <c r="E7" s="628"/>
      <c r="F7" s="628"/>
      <c r="G7" s="44"/>
      <c r="H7" s="44"/>
      <c r="I7" s="44"/>
    </row>
    <row r="8" spans="2:20" ht="22.5" customHeight="1">
      <c r="B8" s="972" t="s">
        <v>1069</v>
      </c>
      <c r="C8" s="1098"/>
      <c r="D8" s="1098"/>
      <c r="E8" s="1098"/>
      <c r="F8" s="1099"/>
    </row>
    <row r="9" spans="2:20" s="632" customFormat="1" ht="22.5" customHeight="1">
      <c r="B9" s="954"/>
      <c r="C9" s="633"/>
      <c r="D9" s="633"/>
      <c r="E9" s="633"/>
      <c r="F9" s="633"/>
    </row>
    <row r="10" spans="2:20" s="44" customFormat="1" ht="18.75">
      <c r="B10" s="957"/>
      <c r="C10" s="46"/>
      <c r="D10" s="959" t="s">
        <v>63</v>
      </c>
      <c r="E10" s="47"/>
      <c r="F10" s="47"/>
      <c r="G10" s="632"/>
    </row>
    <row r="11" spans="2:20" s="44" customFormat="1">
      <c r="B11" s="955"/>
      <c r="C11" s="955"/>
      <c r="D11" s="955"/>
      <c r="E11" s="955"/>
      <c r="F11" s="955"/>
      <c r="G11" s="955"/>
      <c r="H11" s="955"/>
      <c r="I11" s="955"/>
    </row>
    <row r="12" spans="2:20" s="633" customFormat="1" ht="33">
      <c r="B12" s="955"/>
      <c r="C12" s="632"/>
      <c r="D12" s="970"/>
      <c r="E12" s="627"/>
      <c r="F12" s="1041" t="s">
        <v>1275</v>
      </c>
      <c r="H12" s="2062" t="s">
        <v>1442</v>
      </c>
      <c r="I12" s="2049"/>
      <c r="J12" s="2063"/>
      <c r="K12" s="1557" t="s">
        <v>1432</v>
      </c>
      <c r="L12" s="1851" t="s">
        <v>1430</v>
      </c>
      <c r="M12" s="1556" t="s">
        <v>1431</v>
      </c>
      <c r="N12" s="1682" t="s">
        <v>1432</v>
      </c>
      <c r="O12" s="1557" t="s">
        <v>1440</v>
      </c>
    </row>
    <row r="13" spans="2:20" s="44" customFormat="1" ht="15" customHeight="1">
      <c r="B13" s="955"/>
      <c r="C13" s="46"/>
      <c r="D13" s="970"/>
      <c r="E13" s="958" t="s">
        <v>1192</v>
      </c>
      <c r="F13" s="1097" t="s">
        <v>1270</v>
      </c>
      <c r="H13" s="2014" t="s">
        <v>1436</v>
      </c>
      <c r="I13" s="2015"/>
      <c r="J13" s="2015"/>
      <c r="K13" s="2019"/>
      <c r="L13" s="2065" t="s">
        <v>1213</v>
      </c>
      <c r="M13" s="2066"/>
      <c r="N13" s="2066"/>
      <c r="O13" s="2067"/>
      <c r="P13" s="968"/>
      <c r="Q13" s="968"/>
      <c r="R13" s="968"/>
      <c r="S13" s="968"/>
      <c r="T13" s="968"/>
    </row>
    <row r="14" spans="2:20" s="44" customFormat="1">
      <c r="B14" s="955"/>
      <c r="C14" s="46"/>
      <c r="D14" s="1142" t="s">
        <v>1019</v>
      </c>
      <c r="E14" s="1143"/>
      <c r="F14" s="1144"/>
      <c r="P14" s="1570"/>
      <c r="Q14" s="1571"/>
      <c r="R14" s="1570"/>
      <c r="S14" s="1570"/>
      <c r="T14" s="1571"/>
    </row>
    <row r="15" spans="2:20" s="44" customFormat="1" outlineLevel="1">
      <c r="B15" s="955"/>
      <c r="C15" s="46"/>
      <c r="D15" s="970" t="s">
        <v>1070</v>
      </c>
      <c r="F15" s="627"/>
      <c r="P15" s="1574"/>
      <c r="Q15" s="1574"/>
      <c r="R15" s="2064"/>
      <c r="S15" s="2064"/>
      <c r="T15" s="2064"/>
    </row>
    <row r="16" spans="2:20" s="44" customFormat="1" ht="15" customHeight="1" outlineLevel="1">
      <c r="B16" s="955"/>
      <c r="C16" s="46"/>
      <c r="D16" s="1123" t="s">
        <v>1052</v>
      </c>
      <c r="E16" s="1124" t="s">
        <v>88</v>
      </c>
      <c r="F16" s="1111"/>
      <c r="H16" s="2081"/>
      <c r="I16" s="2082"/>
      <c r="J16" s="2082"/>
      <c r="K16" s="1584" t="str">
        <f>IF(D16&lt;&gt;""=TRUE,"","X")</f>
        <v/>
      </c>
      <c r="L16" s="1852" t="str">
        <f>IF(ISNONTEXT(F16)=TRUE,"","X")</f>
        <v/>
      </c>
      <c r="M16" s="1559" t="str">
        <f>IF(AND(F16&gt;=0)=TRUE,"","X")</f>
        <v/>
      </c>
      <c r="N16" s="1559" t="str">
        <f>IF(F16&lt;&gt;""=TRUE,"","X")</f>
        <v>X</v>
      </c>
      <c r="O16" s="1584"/>
      <c r="P16" s="1572"/>
      <c r="Q16" s="1572"/>
      <c r="R16" s="1572"/>
      <c r="S16" s="1572"/>
      <c r="T16" s="1572"/>
    </row>
    <row r="17" spans="1:20" s="44" customFormat="1" outlineLevel="1">
      <c r="B17" s="955"/>
      <c r="C17" s="46"/>
      <c r="D17" s="1125" t="s">
        <v>1020</v>
      </c>
      <c r="E17" s="1126" t="s">
        <v>88</v>
      </c>
      <c r="F17" s="1145">
        <f>SUM(F18:F32)</f>
        <v>0</v>
      </c>
      <c r="H17" s="2079"/>
      <c r="I17" s="2080"/>
      <c r="J17" s="2080"/>
      <c r="K17" s="1537" t="str">
        <f>IF(D17&lt;&gt;""=TRUE,"","X")</f>
        <v/>
      </c>
      <c r="L17" s="1853"/>
      <c r="M17" s="1535"/>
      <c r="N17" s="1709"/>
      <c r="O17" s="1537"/>
      <c r="P17" s="1572"/>
      <c r="Q17" s="1572"/>
      <c r="R17" s="1572"/>
      <c r="S17" s="1572"/>
      <c r="T17" s="1572"/>
    </row>
    <row r="18" spans="1:20" s="44" customFormat="1" outlineLevel="1">
      <c r="B18" s="955"/>
      <c r="C18" s="46"/>
      <c r="D18" s="1146" t="s">
        <v>1053</v>
      </c>
      <c r="E18" s="1126" t="s">
        <v>88</v>
      </c>
      <c r="F18" s="1112"/>
      <c r="H18" s="2070" t="s">
        <v>1526</v>
      </c>
      <c r="I18" s="2071"/>
      <c r="J18" s="2072"/>
      <c r="K18" s="1539" t="str">
        <f>IF(OR(ISBLANK(D18),LEFT(D18,5)="&lt;TNSP"),"X","")</f>
        <v>X</v>
      </c>
      <c r="L18" s="1536" t="str">
        <f t="shared" ref="L18:L22" si="0">IF(ISNONTEXT(F18)=TRUE,"","X")</f>
        <v/>
      </c>
      <c r="M18" s="1534" t="str">
        <f t="shared" ref="M18:M22" si="1">IF(AND(F18&gt;=0)=TRUE,"","X")</f>
        <v/>
      </c>
      <c r="N18" s="1842" t="str">
        <f>IF(ISBLANK(F18),"X","")</f>
        <v>X</v>
      </c>
      <c r="O18" s="1537"/>
      <c r="P18" s="1572"/>
      <c r="Q18" s="1572"/>
      <c r="R18" s="1572"/>
      <c r="S18" s="1572"/>
      <c r="T18" s="1572"/>
    </row>
    <row r="19" spans="1:20" s="44" customFormat="1" outlineLevel="1">
      <c r="B19" s="955"/>
      <c r="C19" s="46"/>
      <c r="D19" s="1146" t="s">
        <v>1053</v>
      </c>
      <c r="E19" s="1126" t="s">
        <v>88</v>
      </c>
      <c r="F19" s="1112"/>
      <c r="H19" s="2073"/>
      <c r="I19" s="2074"/>
      <c r="J19" s="2075"/>
      <c r="K19" s="1537"/>
      <c r="L19" s="1536" t="str">
        <f t="shared" si="0"/>
        <v/>
      </c>
      <c r="M19" s="1534" t="str">
        <f t="shared" si="1"/>
        <v/>
      </c>
      <c r="N19" s="1535"/>
      <c r="O19" s="1539" t="str">
        <f t="shared" ref="O19:O32" si="2">IF(AND(D19&lt;&gt;"",LEFT(D19,5)&lt;&gt;"&lt;TNSP",ISBLANK(F19)),"X","")</f>
        <v/>
      </c>
      <c r="P19" s="1572"/>
      <c r="Q19" s="1572"/>
      <c r="R19" s="1572"/>
      <c r="S19" s="1572"/>
      <c r="T19" s="1572"/>
    </row>
    <row r="20" spans="1:20" s="44" customFormat="1" outlineLevel="1">
      <c r="B20" s="955"/>
      <c r="C20" s="46"/>
      <c r="D20" s="1146" t="s">
        <v>1053</v>
      </c>
      <c r="E20" s="1126" t="s">
        <v>88</v>
      </c>
      <c r="F20" s="1112"/>
      <c r="H20" s="2073"/>
      <c r="I20" s="2074"/>
      <c r="J20" s="2075"/>
      <c r="K20" s="1537"/>
      <c r="L20" s="1536" t="str">
        <f t="shared" si="0"/>
        <v/>
      </c>
      <c r="M20" s="1534" t="str">
        <f t="shared" si="1"/>
        <v/>
      </c>
      <c r="N20" s="1535"/>
      <c r="O20" s="1539" t="str">
        <f t="shared" si="2"/>
        <v/>
      </c>
      <c r="P20" s="1572"/>
      <c r="Q20" s="1572"/>
      <c r="R20" s="1572"/>
      <c r="S20" s="1572"/>
      <c r="T20" s="1572"/>
    </row>
    <row r="21" spans="1:20" s="44" customFormat="1" outlineLevel="1">
      <c r="B21" s="955"/>
      <c r="C21" s="46"/>
      <c r="D21" s="1146" t="s">
        <v>1053</v>
      </c>
      <c r="E21" s="1126" t="s">
        <v>88</v>
      </c>
      <c r="F21" s="1112"/>
      <c r="H21" s="2073"/>
      <c r="I21" s="2074"/>
      <c r="J21" s="2075"/>
      <c r="K21" s="1537"/>
      <c r="L21" s="1536" t="str">
        <f t="shared" si="0"/>
        <v/>
      </c>
      <c r="M21" s="1534" t="str">
        <f t="shared" si="1"/>
        <v/>
      </c>
      <c r="N21" s="1535"/>
      <c r="O21" s="1539" t="str">
        <f t="shared" si="2"/>
        <v/>
      </c>
      <c r="P21" s="968"/>
      <c r="Q21" s="968"/>
      <c r="R21" s="968"/>
      <c r="S21" s="968"/>
      <c r="T21" s="968"/>
    </row>
    <row r="22" spans="1:20" s="44" customFormat="1" outlineLevel="1">
      <c r="B22" s="955"/>
      <c r="C22" s="46"/>
      <c r="D22" s="1146" t="s">
        <v>1053</v>
      </c>
      <c r="E22" s="1126" t="s">
        <v>88</v>
      </c>
      <c r="F22" s="1112"/>
      <c r="H22" s="2073"/>
      <c r="I22" s="2074"/>
      <c r="J22" s="2075"/>
      <c r="K22" s="1537"/>
      <c r="L22" s="1536" t="str">
        <f t="shared" si="0"/>
        <v/>
      </c>
      <c r="M22" s="1534" t="str">
        <f t="shared" si="1"/>
        <v/>
      </c>
      <c r="N22" s="1535"/>
      <c r="O22" s="1539" t="str">
        <f t="shared" si="2"/>
        <v/>
      </c>
    </row>
    <row r="23" spans="1:20" s="44" customFormat="1" ht="14.45" hidden="1" customHeight="1" outlineLevel="2">
      <c r="B23" s="955"/>
      <c r="C23" s="46"/>
      <c r="D23" s="1146" t="s">
        <v>1053</v>
      </c>
      <c r="E23" s="1126" t="s">
        <v>88</v>
      </c>
      <c r="F23" s="1112"/>
      <c r="H23" s="2073"/>
      <c r="I23" s="2074"/>
      <c r="J23" s="2075"/>
      <c r="K23" s="1537"/>
      <c r="L23" s="1536" t="str">
        <f t="shared" ref="L23:L32" si="3">IF(ISNONTEXT(F23)=TRUE,"","X")</f>
        <v/>
      </c>
      <c r="M23" s="1534" t="str">
        <f t="shared" ref="M23:M32" si="4">IF(AND(F23&gt;=0)=TRUE,"","X")</f>
        <v/>
      </c>
      <c r="N23" s="1535"/>
      <c r="O23" s="1539" t="str">
        <f t="shared" si="2"/>
        <v/>
      </c>
      <c r="P23" s="1572"/>
      <c r="Q23" s="1572"/>
      <c r="R23" s="1572"/>
      <c r="S23" s="1572"/>
      <c r="T23" s="1572"/>
    </row>
    <row r="24" spans="1:20" s="44" customFormat="1" hidden="1" outlineLevel="2">
      <c r="B24" s="955"/>
      <c r="C24" s="46"/>
      <c r="D24" s="1146" t="s">
        <v>1053</v>
      </c>
      <c r="E24" s="1126" t="s">
        <v>88</v>
      </c>
      <c r="F24" s="1112"/>
      <c r="H24" s="2073"/>
      <c r="I24" s="2074"/>
      <c r="J24" s="2075"/>
      <c r="K24" s="1537"/>
      <c r="L24" s="1536" t="str">
        <f t="shared" si="3"/>
        <v/>
      </c>
      <c r="M24" s="1534" t="str">
        <f t="shared" si="4"/>
        <v/>
      </c>
      <c r="N24" s="1535"/>
      <c r="O24" s="1539" t="str">
        <f t="shared" si="2"/>
        <v/>
      </c>
      <c r="P24" s="1572"/>
      <c r="Q24" s="1572"/>
      <c r="R24" s="1572"/>
      <c r="S24" s="1572"/>
      <c r="T24" s="1572"/>
    </row>
    <row r="25" spans="1:20" s="44" customFormat="1" hidden="1" outlineLevel="2">
      <c r="B25" s="955"/>
      <c r="C25" s="46"/>
      <c r="D25" s="1146" t="s">
        <v>1053</v>
      </c>
      <c r="E25" s="1126" t="s">
        <v>88</v>
      </c>
      <c r="F25" s="1112"/>
      <c r="H25" s="2073"/>
      <c r="I25" s="2074"/>
      <c r="J25" s="2075"/>
      <c r="K25" s="1537"/>
      <c r="L25" s="1536" t="str">
        <f t="shared" si="3"/>
        <v/>
      </c>
      <c r="M25" s="1534" t="str">
        <f t="shared" si="4"/>
        <v/>
      </c>
      <c r="N25" s="1535"/>
      <c r="O25" s="1539" t="str">
        <f t="shared" si="2"/>
        <v/>
      </c>
      <c r="P25" s="1572"/>
      <c r="Q25" s="1572"/>
      <c r="R25" s="1572"/>
      <c r="S25" s="1572"/>
      <c r="T25" s="1572"/>
    </row>
    <row r="26" spans="1:20" s="44" customFormat="1" hidden="1" outlineLevel="2">
      <c r="B26" s="955"/>
      <c r="C26" s="46"/>
      <c r="D26" s="1146" t="s">
        <v>1053</v>
      </c>
      <c r="E26" s="1126" t="s">
        <v>88</v>
      </c>
      <c r="F26" s="1112"/>
      <c r="H26" s="2073"/>
      <c r="I26" s="2074"/>
      <c r="J26" s="2075"/>
      <c r="K26" s="1537"/>
      <c r="L26" s="1536" t="str">
        <f t="shared" si="3"/>
        <v/>
      </c>
      <c r="M26" s="1534" t="str">
        <f t="shared" si="4"/>
        <v/>
      </c>
      <c r="N26" s="1535"/>
      <c r="O26" s="1539" t="str">
        <f t="shared" si="2"/>
        <v/>
      </c>
      <c r="P26" s="968"/>
      <c r="Q26" s="968"/>
      <c r="R26" s="968"/>
      <c r="S26" s="968"/>
      <c r="T26" s="968"/>
    </row>
    <row r="27" spans="1:20" s="44" customFormat="1" hidden="1" outlineLevel="2">
      <c r="B27" s="955"/>
      <c r="C27" s="46"/>
      <c r="D27" s="1146" t="s">
        <v>1053</v>
      </c>
      <c r="E27" s="1126" t="s">
        <v>88</v>
      </c>
      <c r="F27" s="1112"/>
      <c r="H27" s="2073"/>
      <c r="I27" s="2074"/>
      <c r="J27" s="2075"/>
      <c r="K27" s="1537"/>
      <c r="L27" s="1536" t="str">
        <f t="shared" si="3"/>
        <v/>
      </c>
      <c r="M27" s="1534" t="str">
        <f t="shared" si="4"/>
        <v/>
      </c>
      <c r="N27" s="1535"/>
      <c r="O27" s="1539" t="str">
        <f t="shared" si="2"/>
        <v/>
      </c>
    </row>
    <row r="28" spans="1:20" s="44" customFormat="1" hidden="1" outlineLevel="2">
      <c r="B28" s="955"/>
      <c r="C28" s="46"/>
      <c r="D28" s="1146" t="s">
        <v>1053</v>
      </c>
      <c r="E28" s="1126" t="s">
        <v>88</v>
      </c>
      <c r="F28" s="1112"/>
      <c r="H28" s="2073"/>
      <c r="I28" s="2074"/>
      <c r="J28" s="2075"/>
      <c r="K28" s="1537"/>
      <c r="L28" s="1536" t="str">
        <f t="shared" si="3"/>
        <v/>
      </c>
      <c r="M28" s="1534" t="str">
        <f t="shared" si="4"/>
        <v/>
      </c>
      <c r="N28" s="1535"/>
      <c r="O28" s="1539" t="str">
        <f t="shared" si="2"/>
        <v/>
      </c>
    </row>
    <row r="29" spans="1:20" s="44" customFormat="1" hidden="1" outlineLevel="2">
      <c r="B29" s="955"/>
      <c r="C29" s="46"/>
      <c r="D29" s="1146" t="s">
        <v>1053</v>
      </c>
      <c r="E29" s="1126" t="s">
        <v>88</v>
      </c>
      <c r="F29" s="1112"/>
      <c r="H29" s="2073"/>
      <c r="I29" s="2074"/>
      <c r="J29" s="2075"/>
      <c r="K29" s="1537"/>
      <c r="L29" s="1536" t="str">
        <f t="shared" si="3"/>
        <v/>
      </c>
      <c r="M29" s="1534" t="str">
        <f t="shared" si="4"/>
        <v/>
      </c>
      <c r="N29" s="1535"/>
      <c r="O29" s="1539" t="str">
        <f t="shared" si="2"/>
        <v/>
      </c>
    </row>
    <row r="30" spans="1:20" s="44" customFormat="1" hidden="1" outlineLevel="2">
      <c r="B30" s="955"/>
      <c r="C30" s="46"/>
      <c r="D30" s="1146" t="s">
        <v>1053</v>
      </c>
      <c r="E30" s="1126" t="s">
        <v>88</v>
      </c>
      <c r="F30" s="1112"/>
      <c r="H30" s="2073"/>
      <c r="I30" s="2074"/>
      <c r="J30" s="2075"/>
      <c r="K30" s="1537"/>
      <c r="L30" s="1536" t="str">
        <f t="shared" si="3"/>
        <v/>
      </c>
      <c r="M30" s="1534" t="str">
        <f t="shared" si="4"/>
        <v/>
      </c>
      <c r="N30" s="1535"/>
      <c r="O30" s="1539" t="str">
        <f t="shared" si="2"/>
        <v/>
      </c>
    </row>
    <row r="31" spans="1:20" s="44" customFormat="1" hidden="1" outlineLevel="2">
      <c r="A31" s="1665" t="s">
        <v>1470</v>
      </c>
      <c r="B31" s="955"/>
      <c r="C31" s="46"/>
      <c r="D31" s="1146" t="s">
        <v>1053</v>
      </c>
      <c r="E31" s="1126" t="s">
        <v>88</v>
      </c>
      <c r="F31" s="1112"/>
      <c r="H31" s="2073"/>
      <c r="I31" s="2074"/>
      <c r="J31" s="2075"/>
      <c r="K31" s="1537"/>
      <c r="L31" s="1536" t="str">
        <f t="shared" si="3"/>
        <v/>
      </c>
      <c r="M31" s="1534" t="str">
        <f t="shared" si="4"/>
        <v/>
      </c>
      <c r="N31" s="1535"/>
      <c r="O31" s="1539" t="str">
        <f t="shared" si="2"/>
        <v/>
      </c>
    </row>
    <row r="32" spans="1:20" s="44" customFormat="1" hidden="1" outlineLevel="2">
      <c r="B32" s="955"/>
      <c r="C32" s="46"/>
      <c r="D32" s="1146" t="s">
        <v>1053</v>
      </c>
      <c r="E32" s="1126" t="s">
        <v>88</v>
      </c>
      <c r="F32" s="1112"/>
      <c r="H32" s="2076"/>
      <c r="I32" s="2077"/>
      <c r="J32" s="2078"/>
      <c r="K32" s="1537"/>
      <c r="L32" s="1536" t="str">
        <f t="shared" si="3"/>
        <v/>
      </c>
      <c r="M32" s="1534" t="str">
        <f t="shared" si="4"/>
        <v/>
      </c>
      <c r="N32" s="1535"/>
      <c r="O32" s="1539" t="str">
        <f t="shared" si="2"/>
        <v/>
      </c>
    </row>
    <row r="33" spans="1:15" s="44" customFormat="1" outlineLevel="1" collapsed="1">
      <c r="B33" s="955"/>
      <c r="C33" s="46"/>
      <c r="D33" s="1125" t="s">
        <v>1021</v>
      </c>
      <c r="E33" s="1126" t="s">
        <v>88</v>
      </c>
      <c r="F33" s="1145">
        <f>SUM(F34:F48)</f>
        <v>0</v>
      </c>
      <c r="H33" s="2086"/>
      <c r="I33" s="2087"/>
      <c r="J33" s="2087"/>
      <c r="K33" s="1537" t="str">
        <f>IF(D33&lt;&gt;""=TRUE,"","X")</f>
        <v/>
      </c>
      <c r="L33" s="1853"/>
      <c r="M33" s="1535"/>
      <c r="N33" s="1535"/>
      <c r="O33" s="1537"/>
    </row>
    <row r="34" spans="1:15" s="44" customFormat="1" outlineLevel="1">
      <c r="B34" s="955"/>
      <c r="C34" s="46"/>
      <c r="D34" s="1146" t="s">
        <v>1053</v>
      </c>
      <c r="E34" s="1126" t="s">
        <v>88</v>
      </c>
      <c r="F34" s="1112"/>
      <c r="H34" s="2070" t="s">
        <v>1526</v>
      </c>
      <c r="I34" s="2071"/>
      <c r="J34" s="2072"/>
      <c r="K34" s="1539" t="str">
        <f t="shared" ref="K34" si="5">IF(D34&lt;&gt;""=TRUE,"","X")</f>
        <v/>
      </c>
      <c r="L34" s="1536" t="str">
        <f t="shared" ref="L34:L38" si="6">IF(ISNONTEXT(F34)=TRUE,"","X")</f>
        <v/>
      </c>
      <c r="M34" s="1534" t="str">
        <f t="shared" ref="M34:M38" si="7">IF(AND(F34&gt;=0)=TRUE,"","X")</f>
        <v/>
      </c>
      <c r="N34" s="1842" t="str">
        <f>IF(ISBLANK(F34),"X","")</f>
        <v>X</v>
      </c>
      <c r="O34" s="1537"/>
    </row>
    <row r="35" spans="1:15" s="44" customFormat="1" outlineLevel="1">
      <c r="B35" s="955"/>
      <c r="C35" s="46"/>
      <c r="D35" s="1146" t="s">
        <v>1053</v>
      </c>
      <c r="E35" s="1126" t="s">
        <v>88</v>
      </c>
      <c r="F35" s="1112"/>
      <c r="H35" s="2073"/>
      <c r="I35" s="2074"/>
      <c r="J35" s="2075"/>
      <c r="K35" s="1537"/>
      <c r="L35" s="1536" t="str">
        <f t="shared" si="6"/>
        <v/>
      </c>
      <c r="M35" s="1534" t="str">
        <f t="shared" si="7"/>
        <v/>
      </c>
      <c r="N35" s="1535"/>
      <c r="O35" s="1539" t="str">
        <f t="shared" ref="O35:O48" si="8">IF(AND(D35&lt;&gt;"",LEFT(D35,5)&lt;&gt;"&lt;TNSP",ISBLANK(F35)),"X","")</f>
        <v/>
      </c>
    </row>
    <row r="36" spans="1:15" s="44" customFormat="1" outlineLevel="1">
      <c r="B36" s="955"/>
      <c r="C36" s="46"/>
      <c r="D36" s="1146" t="s">
        <v>1053</v>
      </c>
      <c r="E36" s="1126" t="s">
        <v>88</v>
      </c>
      <c r="F36" s="1112"/>
      <c r="H36" s="2073"/>
      <c r="I36" s="2074"/>
      <c r="J36" s="2075"/>
      <c r="K36" s="1537"/>
      <c r="L36" s="1536" t="str">
        <f t="shared" si="6"/>
        <v/>
      </c>
      <c r="M36" s="1534" t="str">
        <f t="shared" si="7"/>
        <v/>
      </c>
      <c r="N36" s="1535"/>
      <c r="O36" s="1539" t="str">
        <f t="shared" si="8"/>
        <v/>
      </c>
    </row>
    <row r="37" spans="1:15" s="44" customFormat="1" outlineLevel="1">
      <c r="B37" s="955"/>
      <c r="C37" s="46"/>
      <c r="D37" s="1146" t="s">
        <v>1053</v>
      </c>
      <c r="E37" s="1126" t="s">
        <v>88</v>
      </c>
      <c r="F37" s="1112"/>
      <c r="H37" s="2073"/>
      <c r="I37" s="2074"/>
      <c r="J37" s="2075"/>
      <c r="K37" s="1537"/>
      <c r="L37" s="1536" t="str">
        <f t="shared" si="6"/>
        <v/>
      </c>
      <c r="M37" s="1534" t="str">
        <f t="shared" si="7"/>
        <v/>
      </c>
      <c r="N37" s="1535"/>
      <c r="O37" s="1539" t="str">
        <f t="shared" si="8"/>
        <v/>
      </c>
    </row>
    <row r="38" spans="1:15" s="44" customFormat="1" outlineLevel="1">
      <c r="B38" s="955"/>
      <c r="C38" s="46"/>
      <c r="D38" s="1147" t="s">
        <v>1053</v>
      </c>
      <c r="E38" s="1129" t="s">
        <v>88</v>
      </c>
      <c r="F38" s="1113"/>
      <c r="H38" s="2073"/>
      <c r="I38" s="2074"/>
      <c r="J38" s="2075"/>
      <c r="K38" s="1537"/>
      <c r="L38" s="1536" t="str">
        <f t="shared" si="6"/>
        <v/>
      </c>
      <c r="M38" s="1534" t="str">
        <f t="shared" si="7"/>
        <v/>
      </c>
      <c r="N38" s="1535"/>
      <c r="O38" s="1539" t="str">
        <f t="shared" si="8"/>
        <v/>
      </c>
    </row>
    <row r="39" spans="1:15" s="44" customFormat="1" ht="14.45" hidden="1" customHeight="1" outlineLevel="2">
      <c r="B39" s="955"/>
      <c r="C39" s="46"/>
      <c r="D39" s="1926" t="s">
        <v>1053</v>
      </c>
      <c r="E39" s="1927" t="s">
        <v>88</v>
      </c>
      <c r="F39" s="1928"/>
      <c r="H39" s="2073"/>
      <c r="I39" s="2074"/>
      <c r="J39" s="2075"/>
      <c r="K39" s="1537"/>
      <c r="L39" s="1536" t="str">
        <f t="shared" ref="L39:L48" si="9">IF(ISNONTEXT(F39)=TRUE,"","X")</f>
        <v/>
      </c>
      <c r="M39" s="1534" t="str">
        <f t="shared" ref="M39:M48" si="10">IF(AND(F39&gt;=0)=TRUE,"","X")</f>
        <v/>
      </c>
      <c r="N39" s="1535"/>
      <c r="O39" s="1539" t="str">
        <f t="shared" si="8"/>
        <v/>
      </c>
    </row>
    <row r="40" spans="1:15" s="44" customFormat="1" hidden="1" outlineLevel="2">
      <c r="B40" s="955"/>
      <c r="C40" s="46"/>
      <c r="D40" s="1146" t="s">
        <v>1053</v>
      </c>
      <c r="E40" s="1126" t="s">
        <v>88</v>
      </c>
      <c r="F40" s="1112"/>
      <c r="H40" s="2073"/>
      <c r="I40" s="2074"/>
      <c r="J40" s="2075"/>
      <c r="K40" s="1537"/>
      <c r="L40" s="1536" t="str">
        <f t="shared" si="9"/>
        <v/>
      </c>
      <c r="M40" s="1534" t="str">
        <f t="shared" si="10"/>
        <v/>
      </c>
      <c r="N40" s="1535"/>
      <c r="O40" s="1539" t="str">
        <f t="shared" si="8"/>
        <v/>
      </c>
    </row>
    <row r="41" spans="1:15" s="44" customFormat="1" hidden="1" outlineLevel="2">
      <c r="B41" s="955"/>
      <c r="C41" s="46"/>
      <c r="D41" s="1146" t="s">
        <v>1053</v>
      </c>
      <c r="E41" s="1126" t="s">
        <v>88</v>
      </c>
      <c r="F41" s="1112"/>
      <c r="H41" s="2073"/>
      <c r="I41" s="2074"/>
      <c r="J41" s="2075"/>
      <c r="K41" s="1537"/>
      <c r="L41" s="1536" t="str">
        <f t="shared" si="9"/>
        <v/>
      </c>
      <c r="M41" s="1534" t="str">
        <f t="shared" si="10"/>
        <v/>
      </c>
      <c r="N41" s="1535"/>
      <c r="O41" s="1539" t="str">
        <f t="shared" si="8"/>
        <v/>
      </c>
    </row>
    <row r="42" spans="1:15" s="44" customFormat="1" hidden="1" outlineLevel="2">
      <c r="B42" s="955"/>
      <c r="C42" s="46"/>
      <c r="D42" s="1146" t="s">
        <v>1053</v>
      </c>
      <c r="E42" s="1126" t="s">
        <v>88</v>
      </c>
      <c r="F42" s="1112"/>
      <c r="H42" s="2073"/>
      <c r="I42" s="2074"/>
      <c r="J42" s="2075"/>
      <c r="K42" s="1537"/>
      <c r="L42" s="1536" t="str">
        <f t="shared" si="9"/>
        <v/>
      </c>
      <c r="M42" s="1534" t="str">
        <f t="shared" si="10"/>
        <v/>
      </c>
      <c r="N42" s="1535"/>
      <c r="O42" s="1539" t="str">
        <f t="shared" si="8"/>
        <v/>
      </c>
    </row>
    <row r="43" spans="1:15" s="44" customFormat="1" hidden="1" outlineLevel="2">
      <c r="B43" s="955"/>
      <c r="C43" s="46"/>
      <c r="D43" s="1146" t="s">
        <v>1053</v>
      </c>
      <c r="E43" s="1126" t="s">
        <v>88</v>
      </c>
      <c r="F43" s="1112"/>
      <c r="H43" s="2073"/>
      <c r="I43" s="2074"/>
      <c r="J43" s="2075"/>
      <c r="K43" s="1537"/>
      <c r="L43" s="1536" t="str">
        <f t="shared" si="9"/>
        <v/>
      </c>
      <c r="M43" s="1534" t="str">
        <f t="shared" si="10"/>
        <v/>
      </c>
      <c r="N43" s="1535"/>
      <c r="O43" s="1539" t="str">
        <f t="shared" si="8"/>
        <v/>
      </c>
    </row>
    <row r="44" spans="1:15" s="44" customFormat="1" hidden="1" outlineLevel="2">
      <c r="B44" s="955"/>
      <c r="C44" s="46"/>
      <c r="D44" s="1146" t="s">
        <v>1053</v>
      </c>
      <c r="E44" s="1126" t="s">
        <v>88</v>
      </c>
      <c r="F44" s="1112"/>
      <c r="H44" s="2073"/>
      <c r="I44" s="2074"/>
      <c r="J44" s="2075"/>
      <c r="K44" s="1537"/>
      <c r="L44" s="1536" t="str">
        <f t="shared" si="9"/>
        <v/>
      </c>
      <c r="M44" s="1534" t="str">
        <f t="shared" si="10"/>
        <v/>
      </c>
      <c r="N44" s="1535"/>
      <c r="O44" s="1539" t="str">
        <f t="shared" si="8"/>
        <v/>
      </c>
    </row>
    <row r="45" spans="1:15" s="44" customFormat="1" hidden="1" outlineLevel="2">
      <c r="B45" s="955"/>
      <c r="C45" s="46"/>
      <c r="D45" s="1146" t="s">
        <v>1053</v>
      </c>
      <c r="E45" s="1126" t="s">
        <v>88</v>
      </c>
      <c r="F45" s="1112"/>
      <c r="H45" s="2073"/>
      <c r="I45" s="2074"/>
      <c r="J45" s="2075"/>
      <c r="K45" s="1537"/>
      <c r="L45" s="1536" t="str">
        <f t="shared" si="9"/>
        <v/>
      </c>
      <c r="M45" s="1534" t="str">
        <f t="shared" si="10"/>
        <v/>
      </c>
      <c r="N45" s="1535"/>
      <c r="O45" s="1539" t="str">
        <f t="shared" si="8"/>
        <v/>
      </c>
    </row>
    <row r="46" spans="1:15" s="44" customFormat="1" hidden="1" outlineLevel="2">
      <c r="B46" s="955"/>
      <c r="C46" s="46"/>
      <c r="D46" s="1146" t="s">
        <v>1053</v>
      </c>
      <c r="E46" s="1126" t="s">
        <v>88</v>
      </c>
      <c r="F46" s="1112"/>
      <c r="H46" s="2073"/>
      <c r="I46" s="2074"/>
      <c r="J46" s="2075"/>
      <c r="K46" s="1537"/>
      <c r="L46" s="1536" t="str">
        <f t="shared" si="9"/>
        <v/>
      </c>
      <c r="M46" s="1534" t="str">
        <f t="shared" si="10"/>
        <v/>
      </c>
      <c r="N46" s="1535"/>
      <c r="O46" s="1539" t="str">
        <f t="shared" si="8"/>
        <v/>
      </c>
    </row>
    <row r="47" spans="1:15" s="44" customFormat="1" hidden="1" outlineLevel="2">
      <c r="A47" s="1665" t="s">
        <v>1470</v>
      </c>
      <c r="B47" s="955"/>
      <c r="C47" s="46"/>
      <c r="D47" s="1146" t="s">
        <v>1053</v>
      </c>
      <c r="E47" s="1126" t="s">
        <v>88</v>
      </c>
      <c r="F47" s="1112"/>
      <c r="H47" s="2073"/>
      <c r="I47" s="2074"/>
      <c r="J47" s="2075"/>
      <c r="K47" s="1537"/>
      <c r="L47" s="1536" t="str">
        <f t="shared" si="9"/>
        <v/>
      </c>
      <c r="M47" s="1534" t="str">
        <f t="shared" si="10"/>
        <v/>
      </c>
      <c r="N47" s="1535"/>
      <c r="O47" s="1539" t="str">
        <f t="shared" si="8"/>
        <v/>
      </c>
    </row>
    <row r="48" spans="1:15" s="44" customFormat="1" hidden="1" outlineLevel="2">
      <c r="B48" s="955"/>
      <c r="C48" s="46"/>
      <c r="D48" s="1147" t="s">
        <v>1053</v>
      </c>
      <c r="E48" s="1129" t="s">
        <v>88</v>
      </c>
      <c r="F48" s="1113"/>
      <c r="H48" s="2076"/>
      <c r="I48" s="2077"/>
      <c r="J48" s="2078"/>
      <c r="K48" s="1537" t="str">
        <f>IF(D48&lt;&gt;""=TRUE,"","X")</f>
        <v/>
      </c>
      <c r="L48" s="1536" t="str">
        <f t="shared" si="9"/>
        <v/>
      </c>
      <c r="M48" s="1534" t="str">
        <f t="shared" si="10"/>
        <v/>
      </c>
      <c r="N48" s="1535"/>
      <c r="O48" s="1539" t="str">
        <f t="shared" si="8"/>
        <v/>
      </c>
    </row>
    <row r="49" spans="2:29" s="44" customFormat="1" outlineLevel="1" collapsed="1">
      <c r="B49" s="955"/>
      <c r="C49" s="955"/>
      <c r="D49" s="1139" t="s">
        <v>1276</v>
      </c>
      <c r="E49" s="1141" t="s">
        <v>88</v>
      </c>
      <c r="F49" s="1127">
        <f>F16+F17+F33</f>
        <v>0</v>
      </c>
      <c r="H49" s="2084"/>
      <c r="I49" s="2085"/>
      <c r="J49" s="2085"/>
      <c r="K49" s="1850" t="str">
        <f>IF(D49&lt;&gt;""=TRUE,"","X")</f>
        <v/>
      </c>
      <c r="L49" s="1538"/>
      <c r="M49" s="1535"/>
      <c r="N49" s="1535"/>
      <c r="O49" s="1537"/>
    </row>
    <row r="50" spans="2:29" s="1109" customFormat="1" ht="15" customHeight="1" outlineLevel="1">
      <c r="B50" s="1121"/>
      <c r="C50" s="46"/>
      <c r="D50" s="1843" t="s">
        <v>1525</v>
      </c>
      <c r="E50" s="1844" t="s">
        <v>88</v>
      </c>
      <c r="F50" s="1845"/>
      <c r="G50" s="44"/>
      <c r="H50" s="2086"/>
      <c r="I50" s="2087"/>
      <c r="J50" s="2087"/>
      <c r="K50" s="1854"/>
      <c r="L50" s="1540" t="str">
        <f>IF(ISNONTEXT(F50)=TRUE,"","X")</f>
        <v/>
      </c>
      <c r="M50" s="1534" t="str">
        <f>IF(AND(F50&gt;=0)=TRUE,"","X")</f>
        <v/>
      </c>
      <c r="N50" s="1534" t="str">
        <f t="shared" ref="N50" si="11">IF(F50&lt;&gt;""=TRUE,"","X")</f>
        <v>X</v>
      </c>
      <c r="O50" s="1537"/>
    </row>
    <row r="51" spans="2:29" ht="15" customHeight="1" outlineLevel="1">
      <c r="D51" s="1846" t="s">
        <v>1401</v>
      </c>
      <c r="E51" s="1847" t="s">
        <v>88</v>
      </c>
      <c r="F51" s="992"/>
      <c r="G51" s="44"/>
      <c r="H51" s="2086"/>
      <c r="I51" s="2087"/>
      <c r="J51" s="2087"/>
      <c r="K51" s="1854"/>
      <c r="L51" s="1540" t="str">
        <f>IF(ISNONTEXT(F51)=TRUE,"","X")</f>
        <v/>
      </c>
      <c r="M51" s="1534" t="str">
        <f>IF(AND(F51&gt;=0)=TRUE,"","X")</f>
        <v/>
      </c>
      <c r="N51" s="1534" t="str">
        <f t="shared" ref="N51" si="12">IF(F51&lt;&gt;""=TRUE,"","X")</f>
        <v>X</v>
      </c>
      <c r="O51" s="1537"/>
    </row>
    <row r="52" spans="2:29" ht="15" customHeight="1" outlineLevel="1">
      <c r="D52" s="1848" t="s">
        <v>1022</v>
      </c>
      <c r="E52" s="1849" t="s">
        <v>88</v>
      </c>
      <c r="F52" s="997"/>
      <c r="G52" s="44"/>
      <c r="H52" s="2086"/>
      <c r="I52" s="2087"/>
      <c r="J52" s="2087"/>
      <c r="K52" s="1854"/>
      <c r="L52" s="1540" t="str">
        <f>IF(ISNONTEXT(F52)=TRUE,"","X")</f>
        <v/>
      </c>
      <c r="M52" s="1534" t="str">
        <f>IF(AND(F52&gt;=0)=TRUE,"","X")</f>
        <v/>
      </c>
      <c r="N52" s="1534" t="str">
        <f t="shared" ref="N52" si="13">IF(F52&lt;&gt;""=TRUE,"","X")</f>
        <v>X</v>
      </c>
      <c r="O52" s="1537"/>
    </row>
    <row r="53" spans="2:29" outlineLevel="1">
      <c r="D53" s="1139" t="s">
        <v>1278</v>
      </c>
      <c r="E53" s="1141" t="s">
        <v>88</v>
      </c>
      <c r="F53" s="1107">
        <f>F50+F51+F52+F49</f>
        <v>0</v>
      </c>
      <c r="G53" s="44"/>
      <c r="H53" s="2088"/>
      <c r="I53" s="2089"/>
      <c r="J53" s="2089"/>
      <c r="K53" s="1590"/>
      <c r="L53" s="1577"/>
      <c r="M53" s="1578"/>
      <c r="N53" s="1578"/>
      <c r="O53" s="1579"/>
    </row>
    <row r="54" spans="2:29" ht="19.5" customHeight="1">
      <c r="D54" s="1139"/>
      <c r="E54" s="1141"/>
      <c r="F54" s="1141"/>
      <c r="G54" s="1141"/>
      <c r="H54" s="44"/>
      <c r="I54" s="44"/>
    </row>
    <row r="55" spans="2:29">
      <c r="D55" s="1142" t="s">
        <v>1038</v>
      </c>
      <c r="E55" s="1143"/>
      <c r="F55" s="1144"/>
      <c r="G55" s="968"/>
      <c r="H55" s="2083"/>
      <c r="I55" s="2083"/>
      <c r="J55" s="2083"/>
      <c r="K55" s="1571"/>
      <c r="L55" s="1570"/>
      <c r="M55" s="1570"/>
      <c r="N55" s="1571"/>
      <c r="O55" s="1571"/>
    </row>
    <row r="56" spans="2:29" outlineLevel="1">
      <c r="D56" s="1917" t="s">
        <v>1070</v>
      </c>
      <c r="E56" s="1918" t="s">
        <v>88</v>
      </c>
      <c r="F56" s="1919">
        <f>SUM(F57:F58)</f>
        <v>0</v>
      </c>
      <c r="G56" s="968"/>
      <c r="H56" s="2092"/>
      <c r="I56" s="2093"/>
      <c r="J56" s="2093"/>
      <c r="K56" s="1857"/>
      <c r="L56" s="1620"/>
      <c r="M56" s="1589"/>
      <c r="N56" s="1589"/>
      <c r="O56" s="1856"/>
      <c r="P56" s="968"/>
      <c r="Q56" s="968"/>
      <c r="R56" s="968"/>
      <c r="S56" s="968"/>
      <c r="T56" s="968"/>
    </row>
    <row r="57" spans="2:29" s="1110" customFormat="1" outlineLevel="1">
      <c r="B57" s="955"/>
      <c r="D57" s="1920" t="s">
        <v>1020</v>
      </c>
      <c r="E57" s="1855" t="s">
        <v>88</v>
      </c>
      <c r="F57" s="1921"/>
      <c r="G57" s="44"/>
      <c r="H57" s="2068"/>
      <c r="I57" s="2069"/>
      <c r="J57" s="2069"/>
      <c r="K57" s="1694"/>
      <c r="L57" s="1540" t="str">
        <f>IF(ISNONTEXT(F57)=TRUE,"","X")</f>
        <v/>
      </c>
      <c r="M57" s="1534" t="str">
        <f>IF(AND(F57&gt;=0)=TRUE,"","X")</f>
        <v/>
      </c>
      <c r="N57" s="1534" t="str">
        <f t="shared" ref="N57" si="14">IF(F57&lt;&gt;""=TRUE,"","X")</f>
        <v>X</v>
      </c>
      <c r="O57" s="1537"/>
      <c r="P57" s="1119"/>
      <c r="Q57" s="1119"/>
      <c r="R57" s="1119"/>
      <c r="S57" s="1119"/>
      <c r="T57" s="1119"/>
      <c r="U57" s="1119"/>
      <c r="V57" s="1119"/>
      <c r="W57" s="1119"/>
      <c r="X57" s="1119"/>
      <c r="Y57" s="1119"/>
      <c r="Z57" s="1119"/>
      <c r="AA57" s="1119"/>
      <c r="AB57" s="1119"/>
      <c r="AC57" s="1119"/>
    </row>
    <row r="58" spans="2:29" s="44" customFormat="1" outlineLevel="1">
      <c r="B58" s="624"/>
      <c r="D58" s="1920" t="s">
        <v>1021</v>
      </c>
      <c r="E58" s="1855" t="s">
        <v>88</v>
      </c>
      <c r="F58" s="1921"/>
      <c r="G58" s="1573"/>
      <c r="H58" s="2068"/>
      <c r="I58" s="2069"/>
      <c r="J58" s="2069"/>
      <c r="K58" s="1694"/>
      <c r="L58" s="1540" t="str">
        <f t="shared" ref="L58:L61" si="15">IF(ISNONTEXT(F58)=TRUE,"","X")</f>
        <v/>
      </c>
      <c r="M58" s="1534" t="str">
        <f t="shared" ref="M58:M61" si="16">IF(AND(F58&gt;=0)=TRUE,"","X")</f>
        <v/>
      </c>
      <c r="N58" s="1534" t="str">
        <f t="shared" ref="N58:N61" si="17">IF(F58&lt;&gt;""=TRUE,"","X")</f>
        <v>X</v>
      </c>
      <c r="O58" s="1537"/>
    </row>
    <row r="59" spans="2:29" s="44" customFormat="1" outlineLevel="1">
      <c r="B59" s="1051"/>
      <c r="D59" s="1922" t="s">
        <v>64</v>
      </c>
      <c r="E59" s="1855" t="s">
        <v>88</v>
      </c>
      <c r="F59" s="1921"/>
      <c r="H59" s="2068"/>
      <c r="I59" s="2069"/>
      <c r="J59" s="2069"/>
      <c r="K59" s="1694"/>
      <c r="L59" s="1540" t="str">
        <f t="shared" si="15"/>
        <v/>
      </c>
      <c r="M59" s="1534" t="str">
        <f t="shared" si="16"/>
        <v/>
      </c>
      <c r="N59" s="1534" t="str">
        <f t="shared" si="17"/>
        <v>X</v>
      </c>
      <c r="O59" s="1537"/>
    </row>
    <row r="60" spans="2:29" s="1109" customFormat="1" ht="18.75" outlineLevel="1">
      <c r="B60" s="1050"/>
      <c r="C60" s="46"/>
      <c r="D60" s="1922" t="s">
        <v>65</v>
      </c>
      <c r="E60" s="1855" t="s">
        <v>88</v>
      </c>
      <c r="F60" s="1921"/>
      <c r="G60" s="44"/>
      <c r="H60" s="2068"/>
      <c r="I60" s="2069"/>
      <c r="J60" s="2069"/>
      <c r="K60" s="1694"/>
      <c r="L60" s="1540" t="str">
        <f t="shared" si="15"/>
        <v/>
      </c>
      <c r="M60" s="1534" t="str">
        <f t="shared" si="16"/>
        <v/>
      </c>
      <c r="N60" s="1534" t="str">
        <f t="shared" si="17"/>
        <v>X</v>
      </c>
      <c r="O60" s="1537"/>
    </row>
    <row r="61" spans="2:29" s="42" customFormat="1" outlineLevel="1">
      <c r="B61" s="956"/>
      <c r="D61" s="1923" t="s">
        <v>1277</v>
      </c>
      <c r="E61" s="1924" t="s">
        <v>88</v>
      </c>
      <c r="F61" s="1925"/>
      <c r="G61" s="44"/>
      <c r="H61" s="2068"/>
      <c r="I61" s="2069"/>
      <c r="J61" s="2069"/>
      <c r="K61" s="1694"/>
      <c r="L61" s="1540" t="str">
        <f t="shared" si="15"/>
        <v/>
      </c>
      <c r="M61" s="1534" t="str">
        <f t="shared" si="16"/>
        <v/>
      </c>
      <c r="N61" s="1534" t="str">
        <f t="shared" si="17"/>
        <v>X</v>
      </c>
      <c r="O61" s="1537"/>
      <c r="P61" s="1120"/>
      <c r="Q61" s="1120"/>
      <c r="R61" s="1120"/>
    </row>
    <row r="62" spans="2:29" outlineLevel="1">
      <c r="C62" s="955"/>
      <c r="D62" s="1139" t="s">
        <v>1279</v>
      </c>
      <c r="E62" s="1141" t="s">
        <v>88</v>
      </c>
      <c r="F62" s="1107">
        <f>SUM(F57:F61)</f>
        <v>0</v>
      </c>
      <c r="G62" s="44"/>
      <c r="H62" s="2090"/>
      <c r="I62" s="2091"/>
      <c r="J62" s="2091"/>
      <c r="K62" s="1699"/>
      <c r="L62" s="1577"/>
      <c r="M62" s="1578"/>
      <c r="N62" s="1578"/>
      <c r="O62" s="1590"/>
    </row>
    <row r="63" spans="2:29">
      <c r="D63" s="971"/>
      <c r="E63" s="971"/>
      <c r="F63" s="971"/>
      <c r="G63" s="44"/>
      <c r="H63" s="44"/>
      <c r="I63" s="44"/>
    </row>
    <row r="65" spans="2:4">
      <c r="B65" s="1717" t="s">
        <v>1468</v>
      </c>
      <c r="C65" s="1714"/>
      <c r="D65" s="1715" t="s">
        <v>1488</v>
      </c>
    </row>
  </sheetData>
  <mergeCells count="22">
    <mergeCell ref="H52:J52"/>
    <mergeCell ref="H53:J53"/>
    <mergeCell ref="H60:J60"/>
    <mergeCell ref="H61:J61"/>
    <mergeCell ref="H62:J62"/>
    <mergeCell ref="H56:J56"/>
    <mergeCell ref="H12:J12"/>
    <mergeCell ref="R15:T15"/>
    <mergeCell ref="L13:O13"/>
    <mergeCell ref="H13:K13"/>
    <mergeCell ref="H59:J59"/>
    <mergeCell ref="H18:J32"/>
    <mergeCell ref="H34:J48"/>
    <mergeCell ref="H17:J17"/>
    <mergeCell ref="H16:J16"/>
    <mergeCell ref="H55:J55"/>
    <mergeCell ref="H58:J58"/>
    <mergeCell ref="H57:J57"/>
    <mergeCell ref="H49:J49"/>
    <mergeCell ref="H33:J33"/>
    <mergeCell ref="H50:J50"/>
    <mergeCell ref="H51:J51"/>
  </mergeCells>
  <conditionalFormatting sqref="D65">
    <cfRule type="cellIs" dxfId="64" priority="1" operator="equal">
      <formula>FALSE</formula>
    </cfRule>
  </conditionalFormatting>
  <dataValidations count="1">
    <dataValidation allowBlank="1" showErrorMessage="1" sqref="U1:XFD1048576 K12:O13 K1:T11 P12:T15 I1:J13 A16:T1048576 H12:H13 A1:H11 A12:G15" xr:uid="{268BA159-FEE4-4037-A4E4-CABBFB06F1D4}"/>
  </dataValidations>
  <pageMargins left="0.70866141732283472" right="0.70866141732283472" top="0.74803149606299213" bottom="0.74803149606299213" header="0.31496062992125984" footer="0.31496062992125984"/>
  <pageSetup paperSize="9" scale="1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84229-7181-439C-85B4-858A2F132017}">
  <sheetPr codeName="Sheet15">
    <tabColor theme="3" tint="-0.249977111117893"/>
    <pageSetUpPr fitToPage="1"/>
  </sheetPr>
  <dimension ref="B1:S21"/>
  <sheetViews>
    <sheetView workbookViewId="0"/>
  </sheetViews>
  <sheetFormatPr defaultColWidth="9.140625" defaultRowHeight="15"/>
  <cols>
    <col min="1" max="1" width="16.140625" style="46" customWidth="1"/>
    <col min="2" max="2" width="16.7109375" style="46" customWidth="1"/>
    <col min="3" max="3" width="2.5703125" style="46" customWidth="1"/>
    <col min="4" max="4" width="59.42578125" style="46" customWidth="1"/>
    <col min="5" max="5" width="8.28515625" style="46" customWidth="1"/>
    <col min="6" max="6" width="28.28515625" style="46" customWidth="1"/>
    <col min="7" max="7" width="7" style="46" customWidth="1"/>
    <col min="8" max="18" width="3.7109375" style="46" customWidth="1"/>
    <col min="19" max="16384" width="9.140625" style="46"/>
  </cols>
  <sheetData>
    <row r="1" spans="2:19" s="42" customFormat="1" ht="20.100000000000001" customHeight="1">
      <c r="B1" s="975"/>
      <c r="C1" s="975"/>
      <c r="D1" s="1002" t="str">
        <f>dms_SheetHeading1</f>
        <v>ANNUAL INFORMATION ORDER</v>
      </c>
      <c r="E1" s="61"/>
      <c r="F1" s="61"/>
      <c r="H1" s="1658" t="s">
        <v>1040</v>
      </c>
      <c r="I1" s="1323"/>
      <c r="J1" s="1323"/>
      <c r="K1" s="1323"/>
      <c r="L1" s="1323"/>
      <c r="M1" s="1323"/>
      <c r="N1" s="1323"/>
      <c r="O1" s="1657" t="s">
        <v>1039</v>
      </c>
      <c r="P1" s="1323"/>
      <c r="Q1" s="1323"/>
      <c r="R1" s="1323"/>
      <c r="S1" s="1323"/>
    </row>
    <row r="2" spans="2:19" s="42" customFormat="1" ht="20.100000000000001" customHeight="1">
      <c r="B2" s="977"/>
      <c r="C2" s="977"/>
      <c r="D2" s="1003" t="str">
        <f>dms_SheetHeading2</f>
        <v>Australian Transmission Co.</v>
      </c>
      <c r="E2" s="61"/>
      <c r="F2" s="61"/>
      <c r="H2" s="1659" t="s">
        <v>1041</v>
      </c>
      <c r="I2" s="1324"/>
      <c r="J2" s="1324"/>
      <c r="K2" s="1324"/>
      <c r="L2" s="1324"/>
      <c r="M2" s="1324"/>
      <c r="N2" s="1324"/>
      <c r="O2" s="1379" t="s">
        <v>202</v>
      </c>
      <c r="P2" s="1324"/>
      <c r="Q2" s="1324"/>
      <c r="R2" s="1324"/>
      <c r="S2" s="1324"/>
    </row>
    <row r="3" spans="2:19" s="42" customFormat="1" ht="20.100000000000001" customHeight="1">
      <c r="B3" s="976"/>
      <c r="C3" s="976"/>
      <c r="D3" s="1004" t="str">
        <f>dms_SheetHeading3</f>
        <v>REPORTING STATEMENT: 2024-25</v>
      </c>
      <c r="E3" s="61"/>
      <c r="F3" s="61"/>
      <c r="H3" s="1660" t="s">
        <v>1042</v>
      </c>
      <c r="I3" s="1325"/>
      <c r="J3" s="1325"/>
      <c r="K3" s="1325"/>
      <c r="L3" s="1325"/>
      <c r="M3" s="1325"/>
      <c r="N3" s="1325"/>
      <c r="O3" s="1380" t="s">
        <v>203</v>
      </c>
      <c r="P3" s="1325"/>
      <c r="Q3" s="1325"/>
      <c r="R3" s="1325"/>
      <c r="S3" s="1325"/>
    </row>
    <row r="4" spans="2:19" s="42" customFormat="1" ht="20.100000000000001" customHeight="1">
      <c r="B4" s="1040"/>
      <c r="C4" s="1040"/>
      <c r="D4" s="1108" t="s">
        <v>1258</v>
      </c>
      <c r="E4" s="1040"/>
      <c r="F4" s="1040"/>
      <c r="H4" s="1662" t="s">
        <v>1044</v>
      </c>
      <c r="I4" s="1692"/>
      <c r="J4" s="1498"/>
      <c r="K4" s="1498"/>
      <c r="L4" s="1498"/>
      <c r="M4" s="1498"/>
      <c r="N4" s="1498"/>
      <c r="O4" s="1497" t="s">
        <v>1043</v>
      </c>
      <c r="P4" s="1498"/>
      <c r="Q4" s="1498"/>
      <c r="R4" s="1498"/>
      <c r="S4" s="1498"/>
    </row>
    <row r="5" spans="2:19" ht="13.5" customHeight="1">
      <c r="B5" s="44"/>
      <c r="C5" s="44"/>
      <c r="D5" s="44"/>
      <c r="E5" s="44"/>
      <c r="F5" s="44"/>
      <c r="G5" s="44"/>
      <c r="H5" s="44"/>
      <c r="I5" s="44"/>
      <c r="J5" s="44"/>
    </row>
    <row r="6" spans="2:19">
      <c r="B6" s="628" t="s">
        <v>1286</v>
      </c>
      <c r="C6" s="973"/>
      <c r="D6" s="973"/>
      <c r="E6" s="973"/>
      <c r="F6" s="973"/>
    </row>
    <row r="7" spans="2:19" s="44" customFormat="1">
      <c r="B7" s="1032" t="s">
        <v>1067</v>
      </c>
      <c r="C7" s="1032"/>
      <c r="D7" s="1032"/>
      <c r="E7" s="1032"/>
      <c r="F7" s="1032"/>
    </row>
    <row r="8" spans="2:19" s="633" customFormat="1" ht="15.75">
      <c r="B8" s="44"/>
      <c r="C8" s="44"/>
      <c r="D8" s="1154"/>
      <c r="E8" s="44"/>
      <c r="F8" s="44"/>
    </row>
    <row r="9" spans="2:19" s="44" customFormat="1" ht="18" customHeight="1">
      <c r="D9" s="959" t="s">
        <v>1220</v>
      </c>
      <c r="E9" s="959"/>
      <c r="F9" s="959"/>
      <c r="G9" s="1152"/>
      <c r="H9" s="1152"/>
      <c r="I9" s="1152"/>
      <c r="J9" s="1152"/>
    </row>
    <row r="10" spans="2:19" s="633" customFormat="1" ht="17.25" customHeight="1">
      <c r="D10" s="1089"/>
      <c r="E10" s="1006"/>
    </row>
    <row r="11" spans="2:19" s="44" customFormat="1" ht="25.5">
      <c r="F11" s="1930" t="s">
        <v>1275</v>
      </c>
      <c r="H11" s="1732" t="s">
        <v>1430</v>
      </c>
      <c r="I11" s="1546" t="s">
        <v>1431</v>
      </c>
      <c r="J11" s="1552" t="s">
        <v>1432</v>
      </c>
    </row>
    <row r="12" spans="2:19" s="968" customFormat="1">
      <c r="D12" s="1929" t="s">
        <v>1067</v>
      </c>
      <c r="E12" s="958" t="s">
        <v>1192</v>
      </c>
      <c r="F12" s="1931" t="s">
        <v>1270</v>
      </c>
      <c r="H12" s="2094" t="s">
        <v>88</v>
      </c>
      <c r="I12" s="2095"/>
      <c r="J12" s="2096"/>
    </row>
    <row r="13" spans="2:19" ht="15.75" customHeight="1">
      <c r="D13" s="1155" t="s">
        <v>1062</v>
      </c>
      <c r="E13" s="1156" t="s">
        <v>88</v>
      </c>
      <c r="F13" s="1157"/>
      <c r="H13" s="1540" t="str">
        <f t="shared" ref="H13:H18" si="0">IF(ISNONTEXT(F13)=TRUE,"","X")</f>
        <v/>
      </c>
      <c r="I13" s="1534" t="str">
        <f t="shared" ref="I13:I18" si="1">IF(AND(F13&gt;=0)=TRUE,"","X")</f>
        <v/>
      </c>
      <c r="J13" s="1539" t="str">
        <f>IF(F13&lt;&gt;"","","X")</f>
        <v>X</v>
      </c>
    </row>
    <row r="14" spans="2:19" ht="15.75" customHeight="1">
      <c r="D14" s="1158" t="s">
        <v>1063</v>
      </c>
      <c r="E14" s="1159" t="s">
        <v>88</v>
      </c>
      <c r="F14" s="1160"/>
      <c r="H14" s="1540" t="str">
        <f t="shared" si="0"/>
        <v/>
      </c>
      <c r="I14" s="1534" t="str">
        <f t="shared" si="1"/>
        <v/>
      </c>
      <c r="J14" s="1539" t="str">
        <f t="shared" ref="J14:J18" si="2">IF(F14&lt;&gt;"","","X")</f>
        <v>X</v>
      </c>
    </row>
    <row r="15" spans="2:19" ht="15.75" customHeight="1">
      <c r="D15" s="1158" t="s">
        <v>1064</v>
      </c>
      <c r="E15" s="1159" t="s">
        <v>88</v>
      </c>
      <c r="F15" s="1160"/>
      <c r="H15" s="1540" t="str">
        <f t="shared" si="0"/>
        <v/>
      </c>
      <c r="I15" s="1534" t="str">
        <f t="shared" si="1"/>
        <v/>
      </c>
      <c r="J15" s="1539" t="str">
        <f t="shared" si="2"/>
        <v>X</v>
      </c>
    </row>
    <row r="16" spans="2:19" ht="15.75" customHeight="1">
      <c r="D16" s="1158" t="s">
        <v>1400</v>
      </c>
      <c r="E16" s="1159" t="s">
        <v>88</v>
      </c>
      <c r="F16" s="1160"/>
      <c r="H16" s="1540" t="str">
        <f t="shared" si="0"/>
        <v/>
      </c>
      <c r="I16" s="1534" t="str">
        <f t="shared" si="1"/>
        <v/>
      </c>
      <c r="J16" s="1539" t="str">
        <f t="shared" si="2"/>
        <v>X</v>
      </c>
    </row>
    <row r="17" spans="2:11" ht="15.75" customHeight="1">
      <c r="D17" s="1158" t="s">
        <v>1065</v>
      </c>
      <c r="E17" s="1159" t="s">
        <v>88</v>
      </c>
      <c r="F17" s="1160"/>
      <c r="H17" s="1540" t="str">
        <f t="shared" si="0"/>
        <v/>
      </c>
      <c r="I17" s="1534" t="str">
        <f t="shared" si="1"/>
        <v/>
      </c>
      <c r="J17" s="1539" t="str">
        <f t="shared" si="2"/>
        <v>X</v>
      </c>
    </row>
    <row r="18" spans="2:11" ht="15.75" customHeight="1">
      <c r="D18" s="1161" t="s">
        <v>1066</v>
      </c>
      <c r="E18" s="1162" t="s">
        <v>88</v>
      </c>
      <c r="F18" s="1163"/>
      <c r="H18" s="1542" t="str">
        <f t="shared" si="0"/>
        <v/>
      </c>
      <c r="I18" s="1551" t="str">
        <f t="shared" si="1"/>
        <v/>
      </c>
      <c r="J18" s="1541" t="str">
        <f t="shared" si="2"/>
        <v>X</v>
      </c>
    </row>
    <row r="19" spans="2:11">
      <c r="G19" s="968"/>
      <c r="H19" s="44"/>
      <c r="I19" s="44"/>
      <c r="J19" s="44"/>
      <c r="K19" s="44"/>
    </row>
    <row r="21" spans="2:11">
      <c r="B21" s="1717" t="s">
        <v>1468</v>
      </c>
      <c r="C21" s="1714"/>
      <c r="D21" s="1715" t="s">
        <v>1488</v>
      </c>
    </row>
  </sheetData>
  <mergeCells count="1">
    <mergeCell ref="H12:J12"/>
  </mergeCells>
  <phoneticPr fontId="98" type="noConversion"/>
  <conditionalFormatting sqref="D21">
    <cfRule type="cellIs" dxfId="63" priority="1" operator="equal">
      <formula>FALSE</formula>
    </cfRule>
  </conditionalFormatting>
  <dataValidations count="1">
    <dataValidation allowBlank="1" showErrorMessage="1" sqref="J19:O19 M10:O18 P10:U19 V6:XFD19 J20:XFD1048576 I11:J18 H1:XFD5 E12:F12 A13:G1048576 A11:D12 F11 A1:G9 A10:E10 G10:G12 H11:I1048576 H6:U9" xr:uid="{A713FE5C-77E6-4B0C-BC72-CA47D1F26EA9}"/>
  </dataValidations>
  <pageMargins left="0.7" right="0.7" top="0.75" bottom="0.75" header="0.3" footer="0.3"/>
  <pageSetup paperSize="8"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5CB74-3440-4D40-AD7E-9BCDB8BCD3D8}">
  <sheetPr codeName="Sheet17">
    <tabColor theme="3" tint="-0.249977111117893"/>
    <pageSetUpPr fitToPage="1"/>
  </sheetPr>
  <dimension ref="B1:Y35"/>
  <sheetViews>
    <sheetView workbookViewId="0"/>
  </sheetViews>
  <sheetFormatPr defaultColWidth="9.140625" defaultRowHeight="15" outlineLevelRow="1"/>
  <cols>
    <col min="1" max="1" width="16" style="46" customWidth="1"/>
    <col min="2" max="2" width="15.7109375" style="46" customWidth="1"/>
    <col min="3" max="3" width="2.5703125" style="46" customWidth="1"/>
    <col min="4" max="4" width="63.140625" style="46" customWidth="1"/>
    <col min="5" max="5" width="16.28515625" style="46" bestFit="1" customWidth="1"/>
    <col min="6" max="7" width="15.5703125" style="46" customWidth="1"/>
    <col min="8" max="8" width="21.42578125" style="46" customWidth="1"/>
    <col min="9" max="22" width="3.7109375" style="46" customWidth="1"/>
    <col min="23" max="73" width="12.5703125" style="46" customWidth="1"/>
    <col min="74" max="16384" width="9.140625" style="46"/>
  </cols>
  <sheetData>
    <row r="1" spans="2:22" s="1212" customFormat="1" ht="20.100000000000001" customHeight="1">
      <c r="B1" s="1002"/>
      <c r="C1" s="1002"/>
      <c r="D1" s="1002" t="str">
        <f>dms_SheetHeading1</f>
        <v>ANNUAL INFORMATION ORDER</v>
      </c>
      <c r="E1" s="1203"/>
      <c r="F1" s="1204"/>
      <c r="G1" s="1204"/>
      <c r="I1" s="1658" t="s">
        <v>1040</v>
      </c>
      <c r="J1" s="1323"/>
      <c r="K1" s="1323"/>
      <c r="L1" s="1323"/>
      <c r="M1" s="1323"/>
      <c r="N1" s="1323"/>
      <c r="O1" s="1323"/>
      <c r="P1" s="1657" t="s">
        <v>1039</v>
      </c>
      <c r="Q1" s="1323"/>
      <c r="R1" s="1323"/>
      <c r="S1" s="1323"/>
      <c r="T1" s="1323"/>
      <c r="U1" s="1323"/>
      <c r="V1" s="1323"/>
    </row>
    <row r="2" spans="2:22" s="1212" customFormat="1" ht="20.100000000000001" customHeight="1">
      <c r="B2" s="1003"/>
      <c r="C2" s="1003"/>
      <c r="D2" s="1003" t="str">
        <f>dms_SheetHeading2</f>
        <v>Australian Transmission Co.</v>
      </c>
      <c r="E2" s="1203"/>
      <c r="F2" s="1204"/>
      <c r="G2" s="1204"/>
      <c r="I2" s="1659" t="s">
        <v>1041</v>
      </c>
      <c r="J2" s="1324"/>
      <c r="K2" s="1324"/>
      <c r="L2" s="1324"/>
      <c r="M2" s="1324"/>
      <c r="N2" s="1324"/>
      <c r="O2" s="1324"/>
      <c r="P2" s="1379" t="s">
        <v>202</v>
      </c>
      <c r="Q2" s="1324"/>
      <c r="R2" s="1324"/>
      <c r="S2" s="1324"/>
      <c r="T2" s="1324"/>
      <c r="U2" s="1324"/>
      <c r="V2" s="1324"/>
    </row>
    <row r="3" spans="2:22" s="1212" customFormat="1" ht="20.100000000000001" customHeight="1">
      <c r="B3" s="1004"/>
      <c r="C3" s="1004"/>
      <c r="D3" s="1004" t="str">
        <f>dms_SheetHeading3</f>
        <v>REPORTING STATEMENT: 2024-25</v>
      </c>
      <c r="E3" s="1203"/>
      <c r="F3" s="1204"/>
      <c r="G3" s="1204"/>
      <c r="I3" s="1660" t="s">
        <v>1042</v>
      </c>
      <c r="J3" s="1325"/>
      <c r="K3" s="1325"/>
      <c r="L3" s="1325"/>
      <c r="M3" s="1325"/>
      <c r="N3" s="1325"/>
      <c r="O3" s="1325"/>
      <c r="P3" s="1380" t="s">
        <v>203</v>
      </c>
      <c r="Q3" s="1325"/>
      <c r="R3" s="1325"/>
      <c r="S3" s="1325"/>
      <c r="T3" s="1325"/>
      <c r="U3" s="1325"/>
      <c r="V3" s="1325"/>
    </row>
    <row r="4" spans="2:22" s="1212" customFormat="1" ht="20.100000000000001" customHeight="1">
      <c r="B4" s="1108"/>
      <c r="C4" s="1108"/>
      <c r="D4" s="1108" t="s">
        <v>1259</v>
      </c>
      <c r="E4" s="1108"/>
      <c r="F4" s="1108"/>
      <c r="G4" s="1108"/>
      <c r="I4" s="1662" t="s">
        <v>1044</v>
      </c>
      <c r="J4" s="1692"/>
      <c r="K4" s="1693"/>
      <c r="L4" s="1498"/>
      <c r="M4" s="1498"/>
      <c r="N4" s="1498"/>
      <c r="O4" s="1498"/>
      <c r="P4" s="1497" t="s">
        <v>1043</v>
      </c>
      <c r="Q4" s="1498"/>
      <c r="R4" s="1498"/>
      <c r="S4" s="1498"/>
      <c r="T4" s="1498"/>
      <c r="U4" s="1498"/>
      <c r="V4" s="1498"/>
    </row>
    <row r="5" spans="2:22" ht="13.5" customHeight="1">
      <c r="B5" s="44"/>
      <c r="C5" s="44"/>
      <c r="D5" s="1232"/>
      <c r="E5" s="1233"/>
      <c r="F5" s="1233"/>
      <c r="G5" s="1233"/>
      <c r="H5" s="44"/>
      <c r="I5" s="44"/>
      <c r="J5" s="44"/>
      <c r="K5" s="44"/>
    </row>
    <row r="6" spans="2:22" s="1007" customFormat="1" ht="18" customHeight="1">
      <c r="B6" s="1231" t="s">
        <v>1217</v>
      </c>
      <c r="C6" s="1231"/>
      <c r="D6" s="1231"/>
      <c r="E6" s="1231"/>
      <c r="F6" s="1231"/>
      <c r="G6" s="1231"/>
    </row>
    <row r="7" spans="2:22" ht="18" customHeight="1">
      <c r="B7" s="1032" t="s">
        <v>1074</v>
      </c>
      <c r="C7" s="1032"/>
      <c r="D7" s="1032"/>
      <c r="E7" s="1032"/>
      <c r="F7" s="1032"/>
      <c r="G7" s="1032"/>
    </row>
    <row r="8" spans="2:22" ht="20.25" customHeight="1">
      <c r="B8" s="44"/>
      <c r="C8" s="44"/>
      <c r="D8" s="1232"/>
      <c r="E8" s="1233"/>
      <c r="F8" s="1233"/>
      <c r="G8" s="1233"/>
    </row>
    <row r="9" spans="2:22" s="42" customFormat="1" ht="18" customHeight="1">
      <c r="B9" s="1258"/>
      <c r="C9" s="48"/>
      <c r="D9" s="1267" t="s">
        <v>78</v>
      </c>
      <c r="E9" s="1268"/>
      <c r="F9" s="1268"/>
      <c r="G9" s="1269"/>
      <c r="I9" s="46"/>
      <c r="J9" s="46"/>
      <c r="K9" s="46"/>
      <c r="S9" s="46"/>
      <c r="T9" s="46"/>
      <c r="U9" s="46"/>
    </row>
    <row r="10" spans="2:22" s="44" customFormat="1" ht="34.5" customHeight="1" outlineLevel="1">
      <c r="D10" s="627"/>
      <c r="E10" s="627"/>
      <c r="F10" s="627"/>
      <c r="G10" s="627"/>
      <c r="I10" s="1545" t="s">
        <v>1430</v>
      </c>
      <c r="J10" s="1546" t="s">
        <v>1431</v>
      </c>
      <c r="K10" s="1552" t="s">
        <v>1432</v>
      </c>
      <c r="L10" s="1545" t="s">
        <v>1430</v>
      </c>
      <c r="M10" s="1546" t="s">
        <v>1431</v>
      </c>
      <c r="N10" s="1552" t="s">
        <v>1432</v>
      </c>
      <c r="O10" s="1571"/>
      <c r="S10" s="46"/>
      <c r="T10" s="46"/>
      <c r="U10" s="46"/>
    </row>
    <row r="11" spans="2:22" s="44" customFormat="1" ht="27" customHeight="1" outlineLevel="1">
      <c r="D11" s="1102"/>
      <c r="E11" s="958" t="s">
        <v>1192</v>
      </c>
      <c r="F11" s="1260" t="s">
        <v>1305</v>
      </c>
      <c r="G11" s="1261" t="s">
        <v>1306</v>
      </c>
      <c r="H11" s="1259"/>
      <c r="I11" s="2094" t="s">
        <v>1305</v>
      </c>
      <c r="J11" s="2095"/>
      <c r="K11" s="2096"/>
      <c r="L11" s="2094" t="s">
        <v>1306</v>
      </c>
      <c r="M11" s="2095"/>
      <c r="N11" s="2096"/>
      <c r="O11" s="1571"/>
      <c r="S11" s="46"/>
      <c r="T11" s="46"/>
      <c r="U11" s="46"/>
    </row>
    <row r="12" spans="2:22" outlineLevel="1">
      <c r="D12" s="1191" t="s">
        <v>79</v>
      </c>
      <c r="E12" s="1262" t="s">
        <v>1018</v>
      </c>
      <c r="F12" s="1193"/>
      <c r="G12" s="1194"/>
      <c r="I12" s="1540" t="str">
        <f>IF(ISNONTEXT(F12)=TRUE,"","X")</f>
        <v/>
      </c>
      <c r="J12" s="1534" t="str">
        <f>IF(AND(F12&gt;=0)=TRUE,"","X")</f>
        <v/>
      </c>
      <c r="K12" s="1539" t="str">
        <f>IF(AND(F12&lt;&gt;"")=TRUE,"","X")</f>
        <v>X</v>
      </c>
      <c r="L12" s="1540" t="str">
        <f>IF(ISNONTEXT(G12)=TRUE,"","X")</f>
        <v/>
      </c>
      <c r="M12" s="1534" t="str">
        <f>IF(AND(G12&gt;=0)=TRUE,"","X")</f>
        <v/>
      </c>
      <c r="N12" s="1539" t="str">
        <f>IF(AND(G12&lt;&gt;"")=TRUE,"","X")</f>
        <v>X</v>
      </c>
      <c r="O12" s="1571"/>
    </row>
    <row r="13" spans="2:22" outlineLevel="1">
      <c r="D13" s="1195" t="s">
        <v>80</v>
      </c>
      <c r="E13" s="1263" t="s">
        <v>1018</v>
      </c>
      <c r="F13" s="1197"/>
      <c r="G13" s="1198"/>
      <c r="I13" s="1540" t="str">
        <f t="shared" ref="I13:I19" si="0">IF(ISNONTEXT(F13)=TRUE,"","X")</f>
        <v/>
      </c>
      <c r="J13" s="1534" t="str">
        <f t="shared" ref="J13:J19" si="1">IF(AND(F13&gt;=0)=TRUE,"","X")</f>
        <v/>
      </c>
      <c r="K13" s="1539" t="str">
        <f t="shared" ref="K13:K19" si="2">IF(AND(F13&lt;&gt;"")=TRUE,"","X")</f>
        <v>X</v>
      </c>
      <c r="L13" s="1540" t="str">
        <f t="shared" ref="L13:L19" si="3">IF(ISNONTEXT(G13)=TRUE,"","X")</f>
        <v/>
      </c>
      <c r="M13" s="1534" t="str">
        <f t="shared" ref="M13:M19" si="4">IF(AND(G13&gt;=0)=TRUE,"","X")</f>
        <v/>
      </c>
      <c r="N13" s="1539" t="str">
        <f t="shared" ref="N13:N19" si="5">IF(AND(G13&lt;&gt;"")=TRUE,"","X")</f>
        <v>X</v>
      </c>
      <c r="O13" s="1571"/>
    </row>
    <row r="14" spans="2:22" outlineLevel="1">
      <c r="D14" s="1195" t="s">
        <v>81</v>
      </c>
      <c r="E14" s="1264" t="s">
        <v>67</v>
      </c>
      <c r="F14" s="1197"/>
      <c r="G14" s="1198"/>
      <c r="I14" s="1540" t="str">
        <f t="shared" si="0"/>
        <v/>
      </c>
      <c r="J14" s="1534" t="str">
        <f t="shared" si="1"/>
        <v/>
      </c>
      <c r="K14" s="1539" t="str">
        <f t="shared" si="2"/>
        <v>X</v>
      </c>
      <c r="L14" s="1540" t="str">
        <f t="shared" si="3"/>
        <v/>
      </c>
      <c r="M14" s="1534" t="str">
        <f t="shared" si="4"/>
        <v/>
      </c>
      <c r="N14" s="1539" t="str">
        <f t="shared" si="5"/>
        <v>X</v>
      </c>
      <c r="O14" s="1571"/>
    </row>
    <row r="15" spans="2:22" outlineLevel="1">
      <c r="D15" s="1195" t="s">
        <v>82</v>
      </c>
      <c r="E15" s="1264" t="s">
        <v>67</v>
      </c>
      <c r="F15" s="1197"/>
      <c r="G15" s="1198"/>
      <c r="I15" s="1540" t="str">
        <f t="shared" si="0"/>
        <v/>
      </c>
      <c r="J15" s="1534" t="str">
        <f t="shared" si="1"/>
        <v/>
      </c>
      <c r="K15" s="1539" t="str">
        <f t="shared" si="2"/>
        <v>X</v>
      </c>
      <c r="L15" s="1540" t="str">
        <f t="shared" si="3"/>
        <v/>
      </c>
      <c r="M15" s="1534" t="str">
        <f t="shared" si="4"/>
        <v/>
      </c>
      <c r="N15" s="1539" t="str">
        <f t="shared" si="5"/>
        <v>X</v>
      </c>
      <c r="O15" s="1571"/>
    </row>
    <row r="16" spans="2:22" outlineLevel="1">
      <c r="D16" s="1195" t="s">
        <v>1028</v>
      </c>
      <c r="E16" s="1263" t="s">
        <v>1018</v>
      </c>
      <c r="F16" s="1197"/>
      <c r="G16" s="1198"/>
      <c r="I16" s="1540" t="str">
        <f t="shared" si="0"/>
        <v/>
      </c>
      <c r="J16" s="1534" t="str">
        <f t="shared" si="1"/>
        <v/>
      </c>
      <c r="K16" s="1539" t="str">
        <f t="shared" si="2"/>
        <v>X</v>
      </c>
      <c r="L16" s="1540" t="str">
        <f t="shared" si="3"/>
        <v/>
      </c>
      <c r="M16" s="1534" t="str">
        <f t="shared" si="4"/>
        <v/>
      </c>
      <c r="N16" s="1539" t="str">
        <f t="shared" si="5"/>
        <v>X</v>
      </c>
      <c r="O16" s="1571"/>
    </row>
    <row r="17" spans="2:25" outlineLevel="1">
      <c r="D17" s="1195" t="s">
        <v>83</v>
      </c>
      <c r="E17" s="1263" t="s">
        <v>1018</v>
      </c>
      <c r="F17" s="1197"/>
      <c r="G17" s="1198"/>
      <c r="I17" s="1540" t="str">
        <f t="shared" si="0"/>
        <v/>
      </c>
      <c r="J17" s="1534" t="str">
        <f t="shared" si="1"/>
        <v/>
      </c>
      <c r="K17" s="1539" t="str">
        <f t="shared" si="2"/>
        <v>X</v>
      </c>
      <c r="L17" s="1540" t="str">
        <f t="shared" si="3"/>
        <v/>
      </c>
      <c r="M17" s="1534" t="str">
        <f t="shared" si="4"/>
        <v/>
      </c>
      <c r="N17" s="1539" t="str">
        <f t="shared" si="5"/>
        <v>X</v>
      </c>
      <c r="O17" s="1571"/>
    </row>
    <row r="18" spans="2:25" outlineLevel="1">
      <c r="D18" s="1195" t="s">
        <v>1221</v>
      </c>
      <c r="E18" s="1263" t="s">
        <v>1018</v>
      </c>
      <c r="F18" s="1197"/>
      <c r="G18" s="1198"/>
      <c r="I18" s="1540" t="str">
        <f t="shared" si="0"/>
        <v/>
      </c>
      <c r="J18" s="1534" t="str">
        <f t="shared" si="1"/>
        <v/>
      </c>
      <c r="K18" s="1539" t="str">
        <f t="shared" si="2"/>
        <v>X</v>
      </c>
      <c r="L18" s="1540" t="str">
        <f t="shared" si="3"/>
        <v/>
      </c>
      <c r="M18" s="1534" t="str">
        <f t="shared" si="4"/>
        <v/>
      </c>
      <c r="N18" s="1539" t="str">
        <f t="shared" si="5"/>
        <v>X</v>
      </c>
      <c r="O18" s="1571"/>
    </row>
    <row r="19" spans="2:25" outlineLevel="1">
      <c r="D19" s="1195" t="s">
        <v>1029</v>
      </c>
      <c r="E19" s="1263" t="s">
        <v>1018</v>
      </c>
      <c r="F19" s="1197"/>
      <c r="G19" s="1198"/>
      <c r="I19" s="1540" t="str">
        <f t="shared" si="0"/>
        <v/>
      </c>
      <c r="J19" s="1534" t="str">
        <f t="shared" si="1"/>
        <v/>
      </c>
      <c r="K19" s="1539" t="str">
        <f t="shared" si="2"/>
        <v>X</v>
      </c>
      <c r="L19" s="1540" t="str">
        <f t="shared" si="3"/>
        <v/>
      </c>
      <c r="M19" s="1534" t="str">
        <f t="shared" si="4"/>
        <v/>
      </c>
      <c r="N19" s="1539" t="str">
        <f t="shared" si="5"/>
        <v>X</v>
      </c>
      <c r="O19" s="1571"/>
    </row>
    <row r="20" spans="2:25" outlineLevel="1">
      <c r="D20" s="1265" t="s">
        <v>1045</v>
      </c>
      <c r="E20" s="1266" t="s">
        <v>1018</v>
      </c>
      <c r="F20" s="1200"/>
      <c r="G20" s="1201"/>
      <c r="I20" s="1542" t="str">
        <f t="shared" ref="I20" si="6">IF(ISNONTEXT(F20)=TRUE,"","X")</f>
        <v/>
      </c>
      <c r="J20" s="1551" t="str">
        <f t="shared" ref="J20" si="7">IF(AND(F20&gt;=0)=TRUE,"","X")</f>
        <v/>
      </c>
      <c r="K20" s="1541" t="str">
        <f t="shared" ref="K20" si="8">IF(AND(F20&lt;&gt;"")=TRUE,"","X")</f>
        <v>X</v>
      </c>
      <c r="L20" s="1542" t="str">
        <f t="shared" ref="L20" si="9">IF(ISNONTEXT(G20)=TRUE,"","X")</f>
        <v/>
      </c>
      <c r="M20" s="1551" t="str">
        <f t="shared" ref="M20" si="10">IF(AND(G20&gt;=0)=TRUE,"","X")</f>
        <v/>
      </c>
      <c r="N20" s="1541" t="str">
        <f t="shared" ref="N20" si="11">IF(AND(G20&lt;&gt;"")=TRUE,"","X")</f>
        <v>X</v>
      </c>
      <c r="O20" s="1571"/>
    </row>
    <row r="21" spans="2:25">
      <c r="H21" s="1244"/>
      <c r="I21" s="1244"/>
      <c r="J21" s="1244"/>
    </row>
    <row r="22" spans="2:25" s="1007" customFormat="1" ht="18" customHeight="1">
      <c r="B22" s="628" t="s">
        <v>1222</v>
      </c>
      <c r="C22" s="628"/>
      <c r="D22" s="628"/>
      <c r="E22" s="628"/>
      <c r="F22" s="628"/>
      <c r="G22" s="628"/>
    </row>
    <row r="23" spans="2:25" s="44" customFormat="1" ht="18" customHeight="1">
      <c r="B23" s="1032" t="s">
        <v>1068</v>
      </c>
      <c r="C23" s="1032"/>
      <c r="D23" s="1032"/>
      <c r="E23" s="1032"/>
      <c r="F23" s="1032"/>
      <c r="G23" s="1032"/>
    </row>
    <row r="24" spans="2:25" s="44" customFormat="1">
      <c r="D24" s="1154"/>
    </row>
    <row r="25" spans="2:25" s="44" customFormat="1" ht="18" customHeight="1">
      <c r="D25" s="1267" t="s">
        <v>1223</v>
      </c>
      <c r="E25" s="1268"/>
      <c r="F25" s="1268"/>
      <c r="G25" s="1269"/>
    </row>
    <row r="26" spans="2:25" s="633" customFormat="1" ht="40.5" customHeight="1" outlineLevel="1">
      <c r="D26" s="1006"/>
      <c r="S26" s="44"/>
      <c r="T26" s="44"/>
      <c r="U26" s="44"/>
      <c r="Y26" s="44"/>
    </row>
    <row r="27" spans="2:25" ht="43.5" customHeight="1" outlineLevel="1">
      <c r="D27" s="971"/>
      <c r="E27" s="627"/>
      <c r="F27" s="1271" t="s">
        <v>1527</v>
      </c>
      <c r="G27" s="1271"/>
      <c r="I27" s="1732" t="s">
        <v>1430</v>
      </c>
      <c r="J27" s="1546" t="s">
        <v>1431</v>
      </c>
      <c r="K27" s="1552" t="s">
        <v>1432</v>
      </c>
      <c r="L27" s="1732" t="s">
        <v>1430</v>
      </c>
      <c r="M27" s="1546" t="s">
        <v>1431</v>
      </c>
      <c r="N27" s="1552" t="s">
        <v>1432</v>
      </c>
      <c r="T27" s="44"/>
      <c r="U27" s="44"/>
      <c r="W27" s="44"/>
      <c r="X27" s="44"/>
      <c r="Y27" s="44"/>
    </row>
    <row r="28" spans="2:25" ht="23.25" customHeight="1" outlineLevel="1">
      <c r="B28" s="44"/>
      <c r="C28" s="44"/>
      <c r="E28" s="958" t="s">
        <v>1192</v>
      </c>
      <c r="F28" s="1933" t="s">
        <v>1307</v>
      </c>
      <c r="G28" s="1934" t="s">
        <v>1308</v>
      </c>
      <c r="I28" s="2051" t="s">
        <v>1307</v>
      </c>
      <c r="J28" s="2052"/>
      <c r="K28" s="2053"/>
      <c r="L28" s="2051" t="s">
        <v>1444</v>
      </c>
      <c r="M28" s="2052"/>
      <c r="N28" s="2053"/>
      <c r="T28" s="44"/>
      <c r="U28" s="44"/>
      <c r="W28" s="633"/>
      <c r="X28" s="633"/>
      <c r="Y28" s="44"/>
    </row>
    <row r="29" spans="2:25" ht="15" customHeight="1" outlineLevel="1">
      <c r="D29" s="1191" t="s">
        <v>1023</v>
      </c>
      <c r="E29" s="1234" t="s">
        <v>88</v>
      </c>
      <c r="F29" s="1932"/>
      <c r="G29" s="1928"/>
      <c r="I29" s="1561" t="str">
        <f>IF(ISNONTEXT(F29)=TRUE,"","X")</f>
        <v/>
      </c>
      <c r="J29" s="1559" t="str">
        <f>IF(AND(F29&gt;=0)=TRUE,"","X")</f>
        <v/>
      </c>
      <c r="K29" s="1560" t="str">
        <f>IF(F29&lt;&gt;"","","X")</f>
        <v>X</v>
      </c>
      <c r="L29" s="1561" t="str">
        <f>IF(ISNONTEXT(G29)=TRUE,"","X")</f>
        <v/>
      </c>
      <c r="M29" s="1559" t="str">
        <f>IF(AND(G29&gt;=0)=TRUE,"","X")</f>
        <v/>
      </c>
      <c r="N29" s="1560" t="str">
        <f>IF(G29&lt;&gt;"","","X")</f>
        <v>X</v>
      </c>
      <c r="T29" s="44"/>
      <c r="U29" s="44"/>
      <c r="W29" s="44"/>
      <c r="X29" s="44"/>
      <c r="Y29" s="44"/>
    </row>
    <row r="30" spans="2:25" ht="15.75" outlineLevel="1">
      <c r="D30" s="1195" t="s">
        <v>1024</v>
      </c>
      <c r="E30" s="1236" t="s">
        <v>88</v>
      </c>
      <c r="F30" s="1128"/>
      <c r="G30" s="1112"/>
      <c r="I30" s="1540" t="str">
        <f>IF(ISNONTEXT(F30)=TRUE,"","X")</f>
        <v/>
      </c>
      <c r="J30" s="1534" t="str">
        <f>IF(AND(F30&gt;=0)=TRUE,"","X")</f>
        <v/>
      </c>
      <c r="K30" s="1539" t="str">
        <f t="shared" ref="K30:K33" si="12">IF(F30&lt;&gt;"","","X")</f>
        <v>X</v>
      </c>
      <c r="L30" s="1540" t="str">
        <f>IF(ISNONTEXT(G30)=TRUE,"","X")</f>
        <v/>
      </c>
      <c r="M30" s="1534" t="str">
        <f>IF(AND(G30&gt;=0)=TRUE,"","X")</f>
        <v/>
      </c>
      <c r="N30" s="1539" t="str">
        <f t="shared" ref="N30:N33" si="13">IF(G30&lt;&gt;"","","X")</f>
        <v>X</v>
      </c>
      <c r="T30" s="44"/>
      <c r="U30" s="44"/>
      <c r="W30" s="633"/>
      <c r="X30" s="633"/>
      <c r="Y30" s="44"/>
    </row>
    <row r="31" spans="2:25" outlineLevel="1">
      <c r="D31" s="1195" t="s">
        <v>1025</v>
      </c>
      <c r="E31" s="1236" t="s">
        <v>88</v>
      </c>
      <c r="F31" s="1128"/>
      <c r="G31" s="1112"/>
      <c r="I31" s="1540" t="str">
        <f>IF(ISNONTEXT(F31)=TRUE,"","X")</f>
        <v/>
      </c>
      <c r="J31" s="1534" t="str">
        <f>IF(AND(F31&gt;=0)=TRUE,"","X")</f>
        <v/>
      </c>
      <c r="K31" s="1539" t="str">
        <f t="shared" si="12"/>
        <v>X</v>
      </c>
      <c r="L31" s="1540" t="str">
        <f>IF(ISNONTEXT(G31)=TRUE,"","X")</f>
        <v/>
      </c>
      <c r="M31" s="1534" t="str">
        <f>IF(AND(G31&gt;=0)=TRUE,"","X")</f>
        <v/>
      </c>
      <c r="N31" s="1539" t="str">
        <f t="shared" si="13"/>
        <v>X</v>
      </c>
      <c r="T31" s="44"/>
      <c r="U31" s="44"/>
      <c r="W31" s="44"/>
      <c r="X31" s="44"/>
      <c r="Y31" s="44"/>
    </row>
    <row r="32" spans="2:25" ht="15.75" customHeight="1" outlineLevel="1">
      <c r="D32" s="1195" t="s">
        <v>1026</v>
      </c>
      <c r="E32" s="1236" t="s">
        <v>88</v>
      </c>
      <c r="F32" s="1128"/>
      <c r="G32" s="1112"/>
      <c r="I32" s="1540" t="str">
        <f>IF(ISNONTEXT(F32)=TRUE,"","X")</f>
        <v/>
      </c>
      <c r="J32" s="1534" t="str">
        <f>IF(AND(F32&gt;=0)=TRUE,"","X")</f>
        <v/>
      </c>
      <c r="K32" s="1539" t="str">
        <f t="shared" si="12"/>
        <v>X</v>
      </c>
      <c r="L32" s="1540" t="str">
        <f>IF(ISNONTEXT(G32)=TRUE,"","X")</f>
        <v/>
      </c>
      <c r="M32" s="1534" t="str">
        <f>IF(AND(G32&gt;=0)=TRUE,"","X")</f>
        <v/>
      </c>
      <c r="N32" s="1539" t="str">
        <f t="shared" si="13"/>
        <v>X</v>
      </c>
      <c r="T32" s="44"/>
      <c r="U32" s="44"/>
      <c r="W32" s="633"/>
      <c r="X32" s="633"/>
      <c r="Y32" s="44"/>
    </row>
    <row r="33" spans="2:18" s="44" customFormat="1" ht="15.75" outlineLevel="1">
      <c r="D33" s="1265" t="s">
        <v>1027</v>
      </c>
      <c r="E33" s="1153" t="s">
        <v>88</v>
      </c>
      <c r="F33" s="1130"/>
      <c r="G33" s="1113"/>
      <c r="I33" s="1542" t="str">
        <f>IF(ISNONTEXT(F33)=TRUE,"","X")</f>
        <v/>
      </c>
      <c r="J33" s="1551" t="str">
        <f>IF(AND(F33&gt;=0)=TRUE,"","X")</f>
        <v/>
      </c>
      <c r="K33" s="1541" t="str">
        <f t="shared" si="12"/>
        <v>X</v>
      </c>
      <c r="L33" s="1542" t="str">
        <f>IF(ISNONTEXT(G33)=TRUE,"","X")</f>
        <v/>
      </c>
      <c r="M33" s="1551" t="str">
        <f>IF(AND(G33&gt;=0)=TRUE,"","X")</f>
        <v/>
      </c>
      <c r="N33" s="1541" t="str">
        <f t="shared" si="13"/>
        <v>X</v>
      </c>
      <c r="P33" s="633"/>
      <c r="Q33" s="1576"/>
      <c r="R33" s="1576"/>
    </row>
    <row r="34" spans="2:18" ht="15.75">
      <c r="I34" s="633"/>
      <c r="J34" s="633"/>
      <c r="K34" s="633"/>
      <c r="L34" s="633"/>
      <c r="P34" s="633"/>
    </row>
    <row r="35" spans="2:18" ht="15.75">
      <c r="B35" s="1717" t="s">
        <v>1468</v>
      </c>
      <c r="C35" s="1714"/>
      <c r="D35" s="1715" t="s">
        <v>1488</v>
      </c>
      <c r="L35" s="633"/>
      <c r="P35" s="633"/>
    </row>
  </sheetData>
  <mergeCells count="4">
    <mergeCell ref="I28:K28"/>
    <mergeCell ref="L28:N28"/>
    <mergeCell ref="I11:K11"/>
    <mergeCell ref="L11:N11"/>
  </mergeCells>
  <conditionalFormatting sqref="D35">
    <cfRule type="cellIs" dxfId="62" priority="1" operator="equal">
      <formula>FALSE</formula>
    </cfRule>
  </conditionalFormatting>
  <dataValidations count="1">
    <dataValidation allowBlank="1" showErrorMessage="1" sqref="A28:C28 M29:N33 E28:H28 G1:XFD26 G27:H27 T27:XFD32 A44:XFD1048576 A38:D43 A29:H33 P33:XFD33 M41:XFD43 Q35:XFD40 A35:H37 L35 A34:XFD34 P35 I27:I33 J29:K33 J27:K27 L27:L33 M27:N27 A1:F27" xr:uid="{21EB8C8E-885E-477B-B0B6-A3C693E77762}"/>
  </dataValidations>
  <pageMargins left="0.70866141732283472" right="0.70866141732283472" top="0.74803149606299213" bottom="0.74803149606299213" header="0.31496062992125984" footer="0.31496062992125984"/>
  <pageSetup paperSize="8" scale="1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F0E4-9410-4A94-8948-26FE6596BD32}">
  <sheetPr codeName="Sheet27">
    <tabColor theme="3" tint="-0.249977111117893"/>
    <pageSetUpPr fitToPage="1"/>
  </sheetPr>
  <dimension ref="B1:AP35"/>
  <sheetViews>
    <sheetView workbookViewId="0"/>
  </sheetViews>
  <sheetFormatPr defaultColWidth="9.140625" defaultRowHeight="15" outlineLevelRow="1"/>
  <cols>
    <col min="1" max="1" width="20.7109375" style="44" customWidth="1"/>
    <col min="2" max="2" width="17.28515625" style="1272" customWidth="1"/>
    <col min="3" max="3" width="2.5703125" style="1272" customWidth="1"/>
    <col min="4" max="4" width="40.85546875" style="44" customWidth="1"/>
    <col min="5" max="5" width="12.5703125" style="44" customWidth="1"/>
    <col min="6" max="6" width="20.5703125" style="44" customWidth="1"/>
    <col min="7" max="7" width="16.42578125" style="44" customWidth="1"/>
    <col min="8" max="8" width="18" style="44" customWidth="1"/>
    <col min="9" max="9" width="18.5703125" style="44" customWidth="1"/>
    <col min="10" max="10" width="16.42578125" style="44" customWidth="1"/>
    <col min="11" max="11" width="17.28515625" style="44" customWidth="1"/>
    <col min="12" max="12" width="14" style="44" customWidth="1"/>
    <col min="13" max="14" width="16.28515625" style="44" customWidth="1"/>
    <col min="15" max="15" width="9.140625" style="44"/>
    <col min="16" max="42" width="3.7109375" style="44" customWidth="1"/>
    <col min="43" max="16384" width="9.140625" style="44"/>
  </cols>
  <sheetData>
    <row r="1" spans="2:42" s="1084" customFormat="1" ht="20.100000000000001" customHeight="1">
      <c r="B1" s="1002"/>
      <c r="C1" s="1002"/>
      <c r="D1" s="1002" t="str">
        <f>dms_SheetHeading1</f>
        <v>ANNUAL INFORMATION ORDER</v>
      </c>
      <c r="E1" s="1205"/>
      <c r="F1" s="1205"/>
      <c r="G1" s="1205"/>
      <c r="H1" s="1205"/>
      <c r="I1" s="1205"/>
      <c r="J1" s="1205"/>
      <c r="K1" s="1205"/>
      <c r="L1" s="1205"/>
      <c r="M1" s="1205"/>
      <c r="N1" s="1205"/>
      <c r="P1" s="1658" t="s">
        <v>1040</v>
      </c>
      <c r="Q1" s="1323"/>
      <c r="R1" s="1323"/>
      <c r="S1" s="1323"/>
      <c r="T1" s="1323"/>
      <c r="U1" s="1323"/>
      <c r="V1" s="1657" t="s">
        <v>1039</v>
      </c>
      <c r="W1" s="1323"/>
      <c r="X1" s="1323"/>
      <c r="Y1" s="1323"/>
      <c r="Z1" s="1323"/>
      <c r="AA1" s="1323"/>
      <c r="AB1" s="1323"/>
    </row>
    <row r="2" spans="2:42" s="1084" customFormat="1" ht="20.100000000000001" customHeight="1">
      <c r="B2" s="1003"/>
      <c r="C2" s="1003"/>
      <c r="D2" s="1003" t="str">
        <f>dms_SheetHeading2</f>
        <v>Australian Transmission Co.</v>
      </c>
      <c r="E2" s="1205"/>
      <c r="F2" s="1205"/>
      <c r="G2" s="1205"/>
      <c r="H2" s="1205"/>
      <c r="I2" s="1205"/>
      <c r="J2" s="1205"/>
      <c r="K2" s="1205"/>
      <c r="L2" s="1205"/>
      <c r="M2" s="1205"/>
      <c r="N2" s="1205"/>
      <c r="P2" s="1659" t="s">
        <v>1041</v>
      </c>
      <c r="Q2" s="1324"/>
      <c r="R2" s="1324"/>
      <c r="S2" s="1324"/>
      <c r="T2" s="1324"/>
      <c r="U2" s="1324"/>
      <c r="V2" s="1379" t="s">
        <v>202</v>
      </c>
      <c r="W2" s="1324"/>
      <c r="X2" s="1324"/>
      <c r="Y2" s="1324"/>
      <c r="Z2" s="1324"/>
      <c r="AA2" s="1324"/>
      <c r="AB2" s="1324"/>
    </row>
    <row r="3" spans="2:42" s="1084" customFormat="1" ht="20.100000000000001" customHeight="1">
      <c r="B3" s="1004"/>
      <c r="C3" s="1004"/>
      <c r="D3" s="1004" t="str">
        <f>dms_SheetHeading3</f>
        <v>REPORTING STATEMENT: 2024-25</v>
      </c>
      <c r="E3" s="1205"/>
      <c r="F3" s="1205"/>
      <c r="G3" s="1205"/>
      <c r="H3" s="1205"/>
      <c r="I3" s="1205"/>
      <c r="J3" s="1205"/>
      <c r="K3" s="1205"/>
      <c r="L3" s="1205"/>
      <c r="M3" s="1205"/>
      <c r="N3" s="1205"/>
      <c r="P3" s="1660" t="s">
        <v>1042</v>
      </c>
      <c r="Q3" s="1325"/>
      <c r="R3" s="1325"/>
      <c r="S3" s="1325"/>
      <c r="T3" s="1325"/>
      <c r="U3" s="1325"/>
      <c r="V3" s="1380" t="s">
        <v>203</v>
      </c>
      <c r="W3" s="1325"/>
      <c r="X3" s="1325"/>
      <c r="Y3" s="1325"/>
      <c r="Z3" s="1325"/>
      <c r="AA3" s="1325"/>
      <c r="AB3" s="1325"/>
    </row>
    <row r="4" spans="2:42" s="1084" customFormat="1" ht="20.100000000000001" customHeight="1">
      <c r="B4" s="1206"/>
      <c r="C4" s="1206"/>
      <c r="D4" s="1206" t="s">
        <v>1260</v>
      </c>
      <c r="E4" s="1207"/>
      <c r="F4" s="1207"/>
      <c r="G4" s="1207"/>
      <c r="H4" s="1207"/>
      <c r="I4" s="1207"/>
      <c r="J4" s="1207"/>
      <c r="K4" s="1207"/>
      <c r="L4" s="1207"/>
      <c r="M4" s="1207"/>
      <c r="N4" s="1207"/>
      <c r="P4" s="1662" t="s">
        <v>1044</v>
      </c>
      <c r="Q4" s="1692"/>
      <c r="R4" s="1693"/>
      <c r="S4" s="1498"/>
      <c r="T4" s="1498"/>
      <c r="U4" s="1498"/>
      <c r="V4" s="1497" t="s">
        <v>1043</v>
      </c>
      <c r="W4" s="1498"/>
      <c r="X4" s="1498"/>
      <c r="Y4" s="1498"/>
      <c r="Z4" s="1498"/>
      <c r="AA4" s="1498"/>
      <c r="AB4" s="1498"/>
    </row>
    <row r="5" spans="2:42" ht="13.5" customHeight="1">
      <c r="B5" s="44"/>
      <c r="C5" s="44"/>
      <c r="D5" s="1087"/>
    </row>
    <row r="6" spans="2:42" s="46" customFormat="1">
      <c r="B6" s="628" t="s">
        <v>1896</v>
      </c>
      <c r="C6" s="628"/>
      <c r="D6" s="628"/>
      <c r="E6" s="628"/>
      <c r="F6" s="973"/>
      <c r="G6" s="973"/>
      <c r="H6" s="973"/>
      <c r="I6" s="973"/>
      <c r="J6" s="973"/>
      <c r="K6" s="973"/>
      <c r="L6" s="973"/>
      <c r="M6" s="973"/>
      <c r="N6" s="973"/>
    </row>
    <row r="7" spans="2:42" s="46" customFormat="1">
      <c r="B7" s="628" t="s">
        <v>1228</v>
      </c>
      <c r="C7" s="628"/>
      <c r="D7" s="628"/>
      <c r="E7" s="628"/>
      <c r="F7" s="973"/>
      <c r="G7" s="973"/>
      <c r="H7" s="973"/>
      <c r="I7" s="973"/>
      <c r="J7" s="973"/>
      <c r="K7" s="973"/>
      <c r="L7" s="973"/>
      <c r="M7" s="973"/>
      <c r="N7" s="973"/>
    </row>
    <row r="8" spans="2:42" s="46" customFormat="1">
      <c r="B8" s="628" t="s">
        <v>1897</v>
      </c>
      <c r="C8" s="628"/>
      <c r="D8" s="628"/>
      <c r="E8" s="628"/>
      <c r="F8" s="973"/>
      <c r="G8" s="973"/>
      <c r="H8" s="973"/>
      <c r="I8" s="973"/>
      <c r="J8" s="973"/>
      <c r="K8" s="973"/>
      <c r="L8" s="973"/>
      <c r="M8" s="973"/>
      <c r="N8" s="973"/>
    </row>
    <row r="9" spans="2:42" s="46" customFormat="1">
      <c r="B9" s="628" t="s">
        <v>1898</v>
      </c>
      <c r="C9" s="628"/>
      <c r="D9" s="628"/>
      <c r="E9" s="628"/>
      <c r="F9" s="973"/>
      <c r="G9" s="973"/>
      <c r="H9" s="973"/>
      <c r="I9" s="973"/>
      <c r="J9" s="973"/>
      <c r="K9" s="973"/>
      <c r="L9" s="973"/>
      <c r="M9" s="973"/>
      <c r="N9" s="973"/>
    </row>
    <row r="10" spans="2:42" s="46" customFormat="1">
      <c r="B10" s="1032" t="s">
        <v>1072</v>
      </c>
      <c r="C10" s="1032"/>
      <c r="D10" s="1032"/>
      <c r="E10" s="1032"/>
      <c r="F10" s="1032"/>
      <c r="G10" s="1032"/>
      <c r="H10" s="1032"/>
      <c r="I10" s="1032"/>
      <c r="J10" s="1032"/>
      <c r="K10" s="1032"/>
      <c r="L10" s="1032"/>
      <c r="M10" s="1032"/>
      <c r="N10" s="1032"/>
    </row>
    <row r="11" spans="2:42" s="46" customFormat="1" ht="11.25" customHeight="1">
      <c r="B11" s="44"/>
      <c r="C11" s="44"/>
      <c r="D11" s="631"/>
      <c r="E11" s="44"/>
      <c r="F11" s="44"/>
    </row>
    <row r="12" spans="2:42" ht="18" customHeight="1">
      <c r="D12" s="1277" t="s">
        <v>1224</v>
      </c>
      <c r="E12" s="1277"/>
      <c r="F12" s="1277"/>
      <c r="G12" s="1277"/>
      <c r="H12" s="1277"/>
      <c r="I12" s="1277"/>
      <c r="J12" s="1277"/>
      <c r="K12" s="1277"/>
      <c r="L12" s="1277"/>
      <c r="M12" s="1277"/>
      <c r="N12" s="1277"/>
    </row>
    <row r="13" spans="2:42" ht="35.25" customHeight="1">
      <c r="B13" s="1169"/>
      <c r="C13" s="1169"/>
      <c r="D13" s="627"/>
      <c r="E13" s="627"/>
      <c r="F13" s="627"/>
      <c r="G13" s="627"/>
      <c r="H13" s="627"/>
      <c r="I13" s="627"/>
      <c r="J13" s="627"/>
      <c r="K13" s="627"/>
      <c r="L13" s="627"/>
      <c r="M13" s="627"/>
      <c r="N13" s="627"/>
      <c r="P13" s="1545" t="s">
        <v>1430</v>
      </c>
      <c r="Q13" s="1546" t="s">
        <v>1431</v>
      </c>
      <c r="R13" s="1552" t="s">
        <v>1432</v>
      </c>
      <c r="S13" s="1545" t="s">
        <v>1430</v>
      </c>
      <c r="T13" s="1546" t="s">
        <v>1431</v>
      </c>
      <c r="U13" s="1552" t="s">
        <v>1432</v>
      </c>
      <c r="V13" s="1545" t="s">
        <v>1430</v>
      </c>
      <c r="W13" s="1546" t="s">
        <v>1431</v>
      </c>
      <c r="X13" s="1552" t="s">
        <v>1432</v>
      </c>
      <c r="Y13" s="1545" t="s">
        <v>1430</v>
      </c>
      <c r="Z13" s="1546" t="s">
        <v>1431</v>
      </c>
      <c r="AA13" s="1552" t="s">
        <v>1432</v>
      </c>
      <c r="AB13" s="1545" t="s">
        <v>1430</v>
      </c>
      <c r="AC13" s="1546" t="s">
        <v>1431</v>
      </c>
      <c r="AD13" s="1552" t="s">
        <v>1432</v>
      </c>
      <c r="AE13" s="1545" t="s">
        <v>1430</v>
      </c>
      <c r="AF13" s="1546" t="s">
        <v>1431</v>
      </c>
      <c r="AG13" s="1552" t="s">
        <v>1432</v>
      </c>
      <c r="AH13" s="1545" t="s">
        <v>1430</v>
      </c>
      <c r="AI13" s="1546" t="s">
        <v>1431</v>
      </c>
      <c r="AJ13" s="1552" t="s">
        <v>1432</v>
      </c>
      <c r="AK13" s="1545" t="s">
        <v>1430</v>
      </c>
      <c r="AL13" s="1546" t="s">
        <v>1431</v>
      </c>
      <c r="AM13" s="1552" t="s">
        <v>1432</v>
      </c>
      <c r="AN13" s="1545" t="s">
        <v>1430</v>
      </c>
      <c r="AO13" s="1546" t="s">
        <v>1431</v>
      </c>
      <c r="AP13" s="1552" t="s">
        <v>1432</v>
      </c>
    </row>
    <row r="14" spans="2:42" ht="57.75" customHeight="1">
      <c r="B14" s="1169"/>
      <c r="C14" s="1169"/>
      <c r="D14" s="1273"/>
      <c r="E14" s="958" t="s">
        <v>1192</v>
      </c>
      <c r="F14" s="1291" t="s">
        <v>1296</v>
      </c>
      <c r="G14" s="1292" t="s">
        <v>1255</v>
      </c>
      <c r="H14" s="1292" t="s">
        <v>1297</v>
      </c>
      <c r="I14" s="1292" t="s">
        <v>1298</v>
      </c>
      <c r="J14" s="1292" t="s">
        <v>1299</v>
      </c>
      <c r="K14" s="1293" t="s">
        <v>1300</v>
      </c>
      <c r="L14" s="1293" t="s">
        <v>1301</v>
      </c>
      <c r="M14" s="1293" t="s">
        <v>1471</v>
      </c>
      <c r="N14" s="1294" t="s">
        <v>1472</v>
      </c>
      <c r="P14" s="2094" t="s">
        <v>1296</v>
      </c>
      <c r="Q14" s="2095"/>
      <c r="R14" s="2096"/>
      <c r="S14" s="2094" t="s">
        <v>1255</v>
      </c>
      <c r="T14" s="2095"/>
      <c r="U14" s="2096"/>
      <c r="V14" s="2094" t="s">
        <v>1297</v>
      </c>
      <c r="W14" s="2095"/>
      <c r="X14" s="2096"/>
      <c r="Y14" s="2094" t="s">
        <v>1298</v>
      </c>
      <c r="Z14" s="2095"/>
      <c r="AA14" s="2096"/>
      <c r="AB14" s="2094" t="s">
        <v>1299</v>
      </c>
      <c r="AC14" s="2095"/>
      <c r="AD14" s="2096"/>
      <c r="AE14" s="2094" t="s">
        <v>1300</v>
      </c>
      <c r="AF14" s="2095"/>
      <c r="AG14" s="2096"/>
      <c r="AH14" s="2094" t="s">
        <v>1326</v>
      </c>
      <c r="AI14" s="2095"/>
      <c r="AJ14" s="2096"/>
      <c r="AK14" s="2094" t="s">
        <v>1309</v>
      </c>
      <c r="AL14" s="2095"/>
      <c r="AM14" s="2096"/>
      <c r="AN14" s="2094" t="s">
        <v>1310</v>
      </c>
      <c r="AO14" s="2095"/>
      <c r="AP14" s="2096"/>
    </row>
    <row r="15" spans="2:42" ht="15" customHeight="1">
      <c r="B15" s="1169"/>
      <c r="C15" s="1169"/>
      <c r="D15" s="1280" t="s">
        <v>1226</v>
      </c>
      <c r="E15" s="1281" t="s">
        <v>88</v>
      </c>
      <c r="F15" s="1670">
        <f>SUM(G15:J15)</f>
        <v>0</v>
      </c>
      <c r="G15" s="1282"/>
      <c r="H15" s="1282"/>
      <c r="I15" s="1282"/>
      <c r="J15" s="1282"/>
      <c r="K15" s="1282"/>
      <c r="L15" s="1670">
        <f>G15+K15</f>
        <v>0</v>
      </c>
      <c r="M15" s="1282"/>
      <c r="N15" s="1285"/>
      <c r="P15" s="1538"/>
      <c r="Q15" s="1535"/>
      <c r="R15" s="1537"/>
      <c r="S15" s="1540" t="str">
        <f>IF(ISNONTEXT(G15)=TRUE,"","X")</f>
        <v/>
      </c>
      <c r="T15" s="1534" t="str">
        <f>IF(AND(G15&gt;=0)=TRUE,"","X")</f>
        <v/>
      </c>
      <c r="U15" s="1539" t="str">
        <f>IF(AND(G15&lt;&gt;"")=TRUE,"","X")</f>
        <v>X</v>
      </c>
      <c r="V15" s="1540" t="str">
        <f>IF(ISNONTEXT(H15)=TRUE,"","X")</f>
        <v/>
      </c>
      <c r="W15" s="1534" t="str">
        <f>IF(AND(H15&gt;=0)=TRUE,"","X")</f>
        <v/>
      </c>
      <c r="X15" s="1539" t="str">
        <f>IF(AND(H15&lt;&gt;"")=TRUE,"","X")</f>
        <v>X</v>
      </c>
      <c r="Y15" s="1540" t="str">
        <f>IF(ISNONTEXT(I15)=TRUE,"","X")</f>
        <v/>
      </c>
      <c r="Z15" s="1534" t="str">
        <f>IF(AND(I15&gt;=0)=TRUE,"","X")</f>
        <v/>
      </c>
      <c r="AA15" s="1539" t="str">
        <f>IF(AND(I15&lt;&gt;"")=TRUE,"","X")</f>
        <v>X</v>
      </c>
      <c r="AB15" s="1540" t="str">
        <f>IF(ISNONTEXT(J15)=TRUE,"","X")</f>
        <v/>
      </c>
      <c r="AC15" s="1534" t="str">
        <f>IF(AND(J15&gt;=0)=TRUE,"","X")</f>
        <v/>
      </c>
      <c r="AD15" s="1539" t="str">
        <f>IF(AND(J15&lt;&gt;"")=TRUE,"","X")</f>
        <v>X</v>
      </c>
      <c r="AE15" s="1540" t="str">
        <f>IF(ISNONTEXT(K15)=TRUE,"","X")</f>
        <v/>
      </c>
      <c r="AF15" s="1534" t="str">
        <f>IF(AND(K15&gt;=0)=TRUE,"","X")</f>
        <v/>
      </c>
      <c r="AG15" s="1539" t="str">
        <f>IF(AND(K15&lt;&gt;"")=TRUE,"","X")</f>
        <v>X</v>
      </c>
      <c r="AH15" s="1538"/>
      <c r="AI15" s="1535"/>
      <c r="AJ15" s="1537"/>
      <c r="AK15" s="1540" t="str">
        <f>IF(ISNONTEXT(M15)=TRUE,"","X")</f>
        <v/>
      </c>
      <c r="AL15" s="1534" t="str">
        <f>IF(AND(M15&gt;=0)=TRUE,"","X")</f>
        <v/>
      </c>
      <c r="AM15" s="1539" t="str">
        <f>IF(AND(M15&lt;&gt;"")=TRUE,"","X")</f>
        <v>X</v>
      </c>
      <c r="AN15" s="1540" t="str">
        <f>IF(ISNONTEXT(N15)=TRUE,"","X")</f>
        <v/>
      </c>
      <c r="AO15" s="1534" t="str">
        <f>IF(AND(N15&gt;=0)=TRUE,"","X")</f>
        <v/>
      </c>
      <c r="AP15" s="1539" t="str">
        <f>IF(AND(N15&lt;&gt;"")=TRUE,"","X")</f>
        <v>X</v>
      </c>
    </row>
    <row r="16" spans="2:42" ht="15" customHeight="1">
      <c r="B16" s="1169"/>
      <c r="C16" s="1169"/>
      <c r="D16" s="1283" t="s">
        <v>1227</v>
      </c>
      <c r="E16" s="1284" t="s">
        <v>88</v>
      </c>
      <c r="F16" s="1762"/>
      <c r="G16" s="1763"/>
      <c r="H16" s="1763"/>
      <c r="I16" s="1763"/>
      <c r="J16" s="1763"/>
      <c r="K16" s="1763"/>
      <c r="L16" s="1762"/>
      <c r="M16" s="1760">
        <f>'2.1 Expenditure summary'!G20</f>
        <v>0</v>
      </c>
      <c r="N16" s="1761">
        <f>'2.1 Expenditure summary'!H20</f>
        <v>0</v>
      </c>
      <c r="P16" s="1577"/>
      <c r="Q16" s="1578"/>
      <c r="R16" s="1579"/>
      <c r="S16" s="1577"/>
      <c r="T16" s="1578"/>
      <c r="U16" s="1579"/>
      <c r="V16" s="1577"/>
      <c r="W16" s="1578"/>
      <c r="X16" s="1579"/>
      <c r="Y16" s="1577"/>
      <c r="Z16" s="1578"/>
      <c r="AA16" s="1579"/>
      <c r="AB16" s="1577"/>
      <c r="AC16" s="1578"/>
      <c r="AD16" s="1579"/>
      <c r="AE16" s="1577"/>
      <c r="AF16" s="1578"/>
      <c r="AG16" s="1579"/>
      <c r="AH16" s="1577"/>
      <c r="AI16" s="1578"/>
      <c r="AJ16" s="1579"/>
      <c r="AK16" s="1577"/>
      <c r="AL16" s="1578"/>
      <c r="AM16" s="1579"/>
      <c r="AN16" s="1577"/>
      <c r="AO16" s="1578"/>
      <c r="AP16" s="1579"/>
    </row>
    <row r="17" spans="2:42">
      <c r="B17" s="1169"/>
      <c r="C17" s="1169"/>
      <c r="D17" s="1275"/>
      <c r="E17" s="1275"/>
      <c r="F17" s="1276"/>
      <c r="G17" s="627"/>
      <c r="H17" s="627"/>
      <c r="I17" s="627"/>
      <c r="J17" s="627"/>
      <c r="K17" s="627"/>
      <c r="L17" s="627"/>
      <c r="M17" s="627"/>
      <c r="N17" s="627"/>
    </row>
    <row r="18" spans="2:42" ht="18" customHeight="1">
      <c r="D18" s="1277" t="s">
        <v>1225</v>
      </c>
      <c r="E18" s="1278"/>
      <c r="F18" s="1279"/>
      <c r="G18" s="1279"/>
      <c r="H18" s="1279"/>
      <c r="I18" s="1279"/>
      <c r="J18" s="1279"/>
      <c r="K18" s="1279"/>
      <c r="L18" s="1279"/>
      <c r="M18" s="1279"/>
      <c r="N18" s="1279"/>
    </row>
    <row r="19" spans="2:42" ht="35.25" customHeight="1">
      <c r="P19" s="1545" t="s">
        <v>1430</v>
      </c>
      <c r="Q19" s="1546" t="s">
        <v>1431</v>
      </c>
      <c r="R19" s="1552" t="s">
        <v>1432</v>
      </c>
      <c r="S19" s="1545" t="s">
        <v>1430</v>
      </c>
      <c r="T19" s="1546" t="s">
        <v>1431</v>
      </c>
      <c r="U19" s="1552" t="s">
        <v>1432</v>
      </c>
      <c r="V19" s="1545" t="s">
        <v>1430</v>
      </c>
      <c r="W19" s="1546" t="s">
        <v>1431</v>
      </c>
      <c r="X19" s="1552" t="s">
        <v>1432</v>
      </c>
      <c r="Y19" s="1545" t="s">
        <v>1430</v>
      </c>
      <c r="Z19" s="1546" t="s">
        <v>1431</v>
      </c>
      <c r="AA19" s="1552" t="s">
        <v>1432</v>
      </c>
      <c r="AB19" s="1545" t="s">
        <v>1430</v>
      </c>
      <c r="AC19" s="1546" t="s">
        <v>1431</v>
      </c>
      <c r="AD19" s="1552" t="s">
        <v>1432</v>
      </c>
      <c r="AE19" s="1545" t="s">
        <v>1430</v>
      </c>
      <c r="AF19" s="1546" t="s">
        <v>1431</v>
      </c>
      <c r="AG19" s="1552" t="s">
        <v>1432</v>
      </c>
      <c r="AH19" s="1545" t="s">
        <v>1430</v>
      </c>
      <c r="AI19" s="1546" t="s">
        <v>1431</v>
      </c>
      <c r="AJ19" s="1552" t="s">
        <v>1432</v>
      </c>
      <c r="AK19" s="1545" t="s">
        <v>1430</v>
      </c>
      <c r="AL19" s="1546" t="s">
        <v>1431</v>
      </c>
      <c r="AM19" s="1552" t="s">
        <v>1432</v>
      </c>
      <c r="AN19" s="1545" t="s">
        <v>1430</v>
      </c>
      <c r="AO19" s="1546" t="s">
        <v>1431</v>
      </c>
      <c r="AP19" s="1552" t="s">
        <v>1432</v>
      </c>
    </row>
    <row r="20" spans="2:42" ht="48.75" customHeight="1">
      <c r="B20" s="1169"/>
      <c r="C20" s="1169"/>
      <c r="D20" s="1275"/>
      <c r="E20" s="958" t="s">
        <v>1192</v>
      </c>
      <c r="F20" s="1689" t="s">
        <v>1296</v>
      </c>
      <c r="G20" s="1677" t="s">
        <v>1255</v>
      </c>
      <c r="H20" s="1677" t="s">
        <v>1297</v>
      </c>
      <c r="I20" s="1677" t="s">
        <v>1298</v>
      </c>
      <c r="J20" s="1677" t="s">
        <v>1299</v>
      </c>
      <c r="K20" s="1687" t="s">
        <v>1300</v>
      </c>
      <c r="L20" s="1687" t="s">
        <v>1301</v>
      </c>
      <c r="M20" s="1293" t="s">
        <v>1471</v>
      </c>
      <c r="N20" s="1294" t="s">
        <v>1472</v>
      </c>
      <c r="P20" s="2094" t="s">
        <v>1296</v>
      </c>
      <c r="Q20" s="2095"/>
      <c r="R20" s="2096"/>
      <c r="S20" s="2094" t="s">
        <v>1255</v>
      </c>
      <c r="T20" s="2095"/>
      <c r="U20" s="2096"/>
      <c r="V20" s="2094" t="s">
        <v>1297</v>
      </c>
      <c r="W20" s="2095"/>
      <c r="X20" s="2096"/>
      <c r="Y20" s="2094" t="s">
        <v>1298</v>
      </c>
      <c r="Z20" s="2095"/>
      <c r="AA20" s="2096"/>
      <c r="AB20" s="2094" t="s">
        <v>1299</v>
      </c>
      <c r="AC20" s="2095"/>
      <c r="AD20" s="2096"/>
      <c r="AE20" s="2094" t="s">
        <v>1300</v>
      </c>
      <c r="AF20" s="2095"/>
      <c r="AG20" s="2096"/>
      <c r="AH20" s="2094" t="s">
        <v>1326</v>
      </c>
      <c r="AI20" s="2095"/>
      <c r="AJ20" s="2096"/>
      <c r="AK20" s="2094" t="s">
        <v>1309</v>
      </c>
      <c r="AL20" s="2095"/>
      <c r="AM20" s="2096"/>
      <c r="AN20" s="2094" t="s">
        <v>1310</v>
      </c>
      <c r="AO20" s="2095"/>
      <c r="AP20" s="2096"/>
    </row>
    <row r="21" spans="2:42">
      <c r="B21" s="1169"/>
      <c r="C21" s="1169"/>
      <c r="D21" s="1287" t="s">
        <v>1226</v>
      </c>
      <c r="E21" s="1281" t="s">
        <v>88</v>
      </c>
      <c r="F21" s="1683">
        <f>F22+F23</f>
        <v>0</v>
      </c>
      <c r="G21" s="1289">
        <f t="shared" ref="G21" si="0">G22+G23</f>
        <v>0</v>
      </c>
      <c r="H21" s="1289">
        <f t="shared" ref="H21" si="1">H22+H23</f>
        <v>0</v>
      </c>
      <c r="I21" s="1289">
        <f t="shared" ref="I21" si="2">I22+I23</f>
        <v>0</v>
      </c>
      <c r="J21" s="1289">
        <f t="shared" ref="J21" si="3">J22+J23</f>
        <v>0</v>
      </c>
      <c r="K21" s="1685">
        <f t="shared" ref="K21" si="4">K22+K23</f>
        <v>0</v>
      </c>
      <c r="L21" s="1690">
        <f t="shared" ref="L21" si="5">L22+L23</f>
        <v>0</v>
      </c>
      <c r="M21" s="1686">
        <f t="shared" ref="M21" si="6">M22+M23</f>
        <v>0</v>
      </c>
      <c r="N21" s="1290">
        <f t="shared" ref="N21" si="7">N22+N23</f>
        <v>0</v>
      </c>
      <c r="P21" s="1538"/>
      <c r="Q21" s="1535"/>
      <c r="R21" s="1537"/>
      <c r="S21" s="1538"/>
      <c r="T21" s="1535"/>
      <c r="U21" s="1537"/>
      <c r="V21" s="1538"/>
      <c r="W21" s="1535"/>
      <c r="X21" s="1537"/>
      <c r="Y21" s="1538"/>
      <c r="Z21" s="1535"/>
      <c r="AA21" s="1537"/>
      <c r="AB21" s="1538"/>
      <c r="AC21" s="1535"/>
      <c r="AD21" s="1537"/>
      <c r="AE21" s="1538"/>
      <c r="AF21" s="1535"/>
      <c r="AG21" s="1537"/>
      <c r="AH21" s="1538"/>
      <c r="AI21" s="1535"/>
      <c r="AJ21" s="1537"/>
      <c r="AK21" s="1538"/>
      <c r="AL21" s="1535"/>
      <c r="AM21" s="1537"/>
      <c r="AN21" s="1538"/>
      <c r="AO21" s="1535"/>
      <c r="AP21" s="1537"/>
    </row>
    <row r="22" spans="2:42">
      <c r="B22" s="1169"/>
      <c r="C22" s="1169"/>
      <c r="D22" s="1286" t="s">
        <v>1047</v>
      </c>
      <c r="E22" s="1274" t="s">
        <v>88</v>
      </c>
      <c r="F22" s="1684">
        <f>SUM(G22:J22)</f>
        <v>0</v>
      </c>
      <c r="G22" s="1237"/>
      <c r="H22" s="1237"/>
      <c r="I22" s="1237"/>
      <c r="J22" s="1237"/>
      <c r="K22" s="1237"/>
      <c r="L22" s="1688">
        <f>G22+K22</f>
        <v>0</v>
      </c>
      <c r="M22" s="1237"/>
      <c r="N22" s="1288"/>
      <c r="P22" s="1538"/>
      <c r="Q22" s="1535"/>
      <c r="R22" s="1535"/>
      <c r="S22" s="1540" t="str">
        <f t="shared" ref="S22:S23" si="8">IF(ISNONTEXT(G22)=TRUE,"","X")</f>
        <v/>
      </c>
      <c r="T22" s="1534" t="str">
        <f t="shared" ref="T22:T23" si="9">IF(AND(G22&gt;=0)=TRUE,"","X")</f>
        <v/>
      </c>
      <c r="U22" s="1539" t="str">
        <f t="shared" ref="U22:U23" si="10">IF(AND(G22&lt;&gt;"")=TRUE,"","X")</f>
        <v>X</v>
      </c>
      <c r="V22" s="1540" t="str">
        <f t="shared" ref="V22:V23" si="11">IF(ISNONTEXT(H22)=TRUE,"","X")</f>
        <v/>
      </c>
      <c r="W22" s="1534" t="str">
        <f t="shared" ref="W22:W23" si="12">IF(AND(H22&gt;=0)=TRUE,"","X")</f>
        <v/>
      </c>
      <c r="X22" s="1539" t="str">
        <f t="shared" ref="X22:X23" si="13">IF(AND(H22&lt;&gt;"")=TRUE,"","X")</f>
        <v>X</v>
      </c>
      <c r="Y22" s="1540" t="str">
        <f t="shared" ref="Y22:Y23" si="14">IF(ISNONTEXT(I22)=TRUE,"","X")</f>
        <v/>
      </c>
      <c r="Z22" s="1534" t="str">
        <f t="shared" ref="Z22:Z23" si="15">IF(AND(I22&gt;=0)=TRUE,"","X")</f>
        <v/>
      </c>
      <c r="AA22" s="1539" t="str">
        <f t="shared" ref="AA22:AA23" si="16">IF(AND(I22&lt;&gt;"")=TRUE,"","X")</f>
        <v>X</v>
      </c>
      <c r="AB22" s="1540" t="str">
        <f t="shared" ref="AB22:AB23" si="17">IF(ISNONTEXT(J22)=TRUE,"","X")</f>
        <v/>
      </c>
      <c r="AC22" s="1534" t="str">
        <f t="shared" ref="AC22:AC23" si="18">IF(AND(J22&gt;=0)=TRUE,"","X")</f>
        <v/>
      </c>
      <c r="AD22" s="1539" t="str">
        <f t="shared" ref="AD22:AD23" si="19">IF(AND(J22&lt;&gt;"")=TRUE,"","X")</f>
        <v>X</v>
      </c>
      <c r="AE22" s="1540" t="str">
        <f t="shared" ref="AE22:AE23" si="20">IF(ISNONTEXT(K22)=TRUE,"","X")</f>
        <v/>
      </c>
      <c r="AF22" s="1534" t="str">
        <f t="shared" ref="AF22:AF23" si="21">IF(AND(K22&gt;=0)=TRUE,"","X")</f>
        <v/>
      </c>
      <c r="AG22" s="1539" t="str">
        <f t="shared" ref="AG22:AG23" si="22">IF(AND(K22&lt;&gt;"")=TRUE,"","X")</f>
        <v>X</v>
      </c>
      <c r="AH22" s="1538"/>
      <c r="AI22" s="1535"/>
      <c r="AJ22" s="1537"/>
      <c r="AK22" s="1540" t="str">
        <f t="shared" ref="AK22:AK23" si="23">IF(ISNONTEXT(M22)=TRUE,"","X")</f>
        <v/>
      </c>
      <c r="AL22" s="1534" t="str">
        <f t="shared" ref="AL22:AL23" si="24">IF(AND(M22&gt;=0)=TRUE,"","X")</f>
        <v/>
      </c>
      <c r="AM22" s="1539" t="str">
        <f t="shared" ref="AM22:AM23" si="25">IF(AND(M22&lt;&gt;"")=TRUE,"","X")</f>
        <v>X</v>
      </c>
      <c r="AN22" s="1540" t="str">
        <f t="shared" ref="AN22:AN23" si="26">IF(ISNONTEXT(N22)=TRUE,"","X")</f>
        <v/>
      </c>
      <c r="AO22" s="1534" t="str">
        <f t="shared" ref="AO22:AO23" si="27">IF(AND(N22&gt;=0)=TRUE,"","X")</f>
        <v/>
      </c>
      <c r="AP22" s="1539" t="str">
        <f t="shared" ref="AP22:AP23" si="28">IF(AND(N22&lt;&gt;"")=TRUE,"","X")</f>
        <v>X</v>
      </c>
    </row>
    <row r="23" spans="2:42">
      <c r="B23" s="1169"/>
      <c r="C23" s="1169"/>
      <c r="D23" s="1286" t="s">
        <v>1048</v>
      </c>
      <c r="E23" s="1274" t="s">
        <v>88</v>
      </c>
      <c r="F23" s="1684">
        <f>SUM(G23:J23)</f>
        <v>0</v>
      </c>
      <c r="G23" s="1237"/>
      <c r="H23" s="1237"/>
      <c r="I23" s="1237"/>
      <c r="J23" s="1237"/>
      <c r="K23" s="1237"/>
      <c r="L23" s="1684">
        <f>G23+K23</f>
        <v>0</v>
      </c>
      <c r="M23" s="1237"/>
      <c r="N23" s="1288"/>
      <c r="P23" s="1538"/>
      <c r="Q23" s="1535"/>
      <c r="R23" s="1537"/>
      <c r="S23" s="1540" t="str">
        <f t="shared" si="8"/>
        <v/>
      </c>
      <c r="T23" s="1534" t="str">
        <f t="shared" si="9"/>
        <v/>
      </c>
      <c r="U23" s="1539" t="str">
        <f t="shared" si="10"/>
        <v>X</v>
      </c>
      <c r="V23" s="1540" t="str">
        <f t="shared" si="11"/>
        <v/>
      </c>
      <c r="W23" s="1534" t="str">
        <f t="shared" si="12"/>
        <v/>
      </c>
      <c r="X23" s="1539" t="str">
        <f t="shared" si="13"/>
        <v>X</v>
      </c>
      <c r="Y23" s="1540" t="str">
        <f t="shared" si="14"/>
        <v/>
      </c>
      <c r="Z23" s="1534" t="str">
        <f t="shared" si="15"/>
        <v/>
      </c>
      <c r="AA23" s="1539" t="str">
        <f t="shared" si="16"/>
        <v>X</v>
      </c>
      <c r="AB23" s="1540" t="str">
        <f t="shared" si="17"/>
        <v/>
      </c>
      <c r="AC23" s="1534" t="str">
        <f t="shared" si="18"/>
        <v/>
      </c>
      <c r="AD23" s="1539" t="str">
        <f t="shared" si="19"/>
        <v>X</v>
      </c>
      <c r="AE23" s="1540" t="str">
        <f t="shared" si="20"/>
        <v/>
      </c>
      <c r="AF23" s="1534" t="str">
        <f t="shared" si="21"/>
        <v/>
      </c>
      <c r="AG23" s="1539" t="str">
        <f t="shared" si="22"/>
        <v>X</v>
      </c>
      <c r="AH23" s="1538"/>
      <c r="AI23" s="1535"/>
      <c r="AJ23" s="1537"/>
      <c r="AK23" s="1540" t="str">
        <f t="shared" si="23"/>
        <v/>
      </c>
      <c r="AL23" s="1534" t="str">
        <f t="shared" si="24"/>
        <v/>
      </c>
      <c r="AM23" s="1539" t="str">
        <f t="shared" si="25"/>
        <v>X</v>
      </c>
      <c r="AN23" s="1540" t="str">
        <f t="shared" si="26"/>
        <v/>
      </c>
      <c r="AO23" s="1534" t="str">
        <f t="shared" si="27"/>
        <v/>
      </c>
      <c r="AP23" s="1539" t="str">
        <f t="shared" si="28"/>
        <v>X</v>
      </c>
    </row>
    <row r="24" spans="2:42" ht="15" customHeight="1">
      <c r="B24" s="1169"/>
      <c r="C24" s="1169"/>
      <c r="D24" s="1764" t="s">
        <v>1227</v>
      </c>
      <c r="E24" s="1284" t="s">
        <v>88</v>
      </c>
      <c r="F24" s="1762"/>
      <c r="G24" s="1763"/>
      <c r="H24" s="1763"/>
      <c r="I24" s="1763"/>
      <c r="J24" s="1763"/>
      <c r="K24" s="1763"/>
      <c r="L24" s="1762"/>
      <c r="M24" s="1762">
        <f>'2.1 Expenditure summary'!G21</f>
        <v>0</v>
      </c>
      <c r="N24" s="1765">
        <f>'2.1 Expenditure summary'!H21</f>
        <v>0</v>
      </c>
      <c r="P24" s="1577"/>
      <c r="Q24" s="1578"/>
      <c r="R24" s="1579"/>
      <c r="S24" s="1577"/>
      <c r="T24" s="1578"/>
      <c r="U24" s="1579"/>
      <c r="V24" s="1577"/>
      <c r="W24" s="1578"/>
      <c r="X24" s="1579"/>
      <c r="Y24" s="1577"/>
      <c r="Z24" s="1578"/>
      <c r="AA24" s="1579"/>
      <c r="AB24" s="1577"/>
      <c r="AC24" s="1578"/>
      <c r="AD24" s="1579"/>
      <c r="AE24" s="1577"/>
      <c r="AF24" s="1578"/>
      <c r="AG24" s="1579"/>
      <c r="AH24" s="1577"/>
      <c r="AI24" s="1578"/>
      <c r="AJ24" s="1579"/>
      <c r="AK24" s="1577"/>
      <c r="AL24" s="1578"/>
      <c r="AM24" s="1579"/>
      <c r="AN24" s="1577"/>
      <c r="AO24" s="1578"/>
      <c r="AP24" s="1579"/>
    </row>
    <row r="25" spans="2:42">
      <c r="B25" s="1169"/>
      <c r="C25" s="1169"/>
      <c r="D25" s="627"/>
      <c r="E25" s="627"/>
      <c r="F25" s="627"/>
      <c r="G25" s="627"/>
      <c r="H25" s="627"/>
      <c r="I25" s="627"/>
      <c r="J25" s="627"/>
      <c r="K25" s="627"/>
      <c r="L25" s="627"/>
      <c r="M25" s="627"/>
      <c r="N25" s="627"/>
    </row>
    <row r="27" spans="2:42">
      <c r="B27" s="1717" t="s">
        <v>1468</v>
      </c>
      <c r="C27" s="1714"/>
      <c r="D27" s="1716" t="b">
        <f>AND(L29=L32=L33=L34=TRUE)</f>
        <v>1</v>
      </c>
    </row>
    <row r="28" spans="2:42" ht="18.75" hidden="1" outlineLevel="1">
      <c r="D28" s="1710" t="s">
        <v>1224</v>
      </c>
      <c r="E28" s="1711"/>
      <c r="F28" s="1712"/>
      <c r="G28" s="1712"/>
      <c r="H28" s="1712"/>
      <c r="I28" s="1718"/>
      <c r="J28" s="1718"/>
      <c r="K28" s="1718"/>
      <c r="L28" s="1718"/>
      <c r="M28" s="1718"/>
      <c r="N28" s="1718"/>
    </row>
    <row r="29" spans="2:42" hidden="1" outlineLevel="1">
      <c r="D29" s="1713" t="s">
        <v>1226</v>
      </c>
      <c r="E29" s="1567"/>
      <c r="F29" s="1567"/>
      <c r="G29" s="1567"/>
      <c r="H29" s="1567"/>
      <c r="I29" s="1719"/>
      <c r="J29" s="1719"/>
      <c r="K29" s="1719"/>
      <c r="L29" s="1719" t="b">
        <f>dms_021001_07_opex_Values=dms_021001_08_opex_Values+dms_021001_09_opex_Values</f>
        <v>1</v>
      </c>
      <c r="M29" s="1719"/>
      <c r="N29" s="1719"/>
    </row>
    <row r="30" spans="2:42" hidden="1" outlineLevel="1"/>
    <row r="31" spans="2:42" ht="18.75" hidden="1" outlineLevel="1">
      <c r="D31" s="1710" t="s">
        <v>1225</v>
      </c>
      <c r="E31" s="1711"/>
      <c r="F31" s="1712"/>
      <c r="G31" s="1712"/>
      <c r="H31" s="1712"/>
      <c r="I31" s="1718"/>
      <c r="J31" s="1718"/>
      <c r="K31" s="1718"/>
      <c r="L31" s="1718"/>
      <c r="M31" s="1718"/>
      <c r="N31" s="1718"/>
    </row>
    <row r="32" spans="2:42" hidden="1" outlineLevel="1">
      <c r="D32" s="1720" t="s">
        <v>1226</v>
      </c>
      <c r="E32" s="1567"/>
      <c r="F32" s="1567"/>
      <c r="G32" s="1567"/>
      <c r="H32" s="1567"/>
      <c r="I32" s="1719"/>
      <c r="J32" s="1719"/>
      <c r="K32" s="1719"/>
      <c r="L32" s="1719" t="b">
        <f>L21=M21+N21</f>
        <v>1</v>
      </c>
      <c r="M32" s="1719"/>
      <c r="N32" s="1719"/>
    </row>
    <row r="33" spans="4:14" hidden="1" outlineLevel="1">
      <c r="D33" s="1721" t="s">
        <v>1047</v>
      </c>
      <c r="E33" s="1567"/>
      <c r="F33" s="1567"/>
      <c r="G33" s="1567"/>
      <c r="H33" s="1567"/>
      <c r="I33" s="1719"/>
      <c r="J33" s="1719"/>
      <c r="K33" s="1719"/>
      <c r="L33" s="1719" t="b">
        <f>L22=M22+N22</f>
        <v>1</v>
      </c>
      <c r="M33" s="1719"/>
      <c r="N33" s="1719"/>
    </row>
    <row r="34" spans="4:14" hidden="1" outlineLevel="1">
      <c r="D34" s="1721" t="s">
        <v>1048</v>
      </c>
      <c r="E34" s="1567"/>
      <c r="F34" s="1567"/>
      <c r="G34" s="1567"/>
      <c r="H34" s="1567"/>
      <c r="I34" s="1719"/>
      <c r="J34" s="1719"/>
      <c r="K34" s="1719"/>
      <c r="L34" s="1719" t="b">
        <f>L23=M23+N23</f>
        <v>1</v>
      </c>
      <c r="M34" s="1719"/>
      <c r="N34" s="1719"/>
    </row>
    <row r="35" spans="4:14" collapsed="1"/>
  </sheetData>
  <mergeCells count="18">
    <mergeCell ref="P14:R14"/>
    <mergeCell ref="S14:U14"/>
    <mergeCell ref="V14:X14"/>
    <mergeCell ref="Y14:AA14"/>
    <mergeCell ref="P20:R20"/>
    <mergeCell ref="S20:U20"/>
    <mergeCell ref="V20:X20"/>
    <mergeCell ref="Y20:AA20"/>
    <mergeCell ref="AB20:AD20"/>
    <mergeCell ref="AE20:AG20"/>
    <mergeCell ref="AH20:AJ20"/>
    <mergeCell ref="AK20:AM20"/>
    <mergeCell ref="AN20:AP20"/>
    <mergeCell ref="AB14:AD14"/>
    <mergeCell ref="AE14:AG14"/>
    <mergeCell ref="AH14:AJ14"/>
    <mergeCell ref="AK14:AM14"/>
    <mergeCell ref="AN14:AP14"/>
  </mergeCells>
  <conditionalFormatting sqref="F15:N15 M16:N16">
    <cfRule type="expression" dxfId="61" priority="9">
      <formula>dms_worksheet210flag="Worksheet 2.10"</formula>
    </cfRule>
  </conditionalFormatting>
  <conditionalFormatting sqref="F22:N23">
    <cfRule type="expression" dxfId="60" priority="3">
      <formula>dms_worksheet210flag="Worksheet 2.10"</formula>
    </cfRule>
  </conditionalFormatting>
  <conditionalFormatting sqref="R22">
    <cfRule type="expression" dxfId="59" priority="6">
      <formula>$F$22=""</formula>
    </cfRule>
  </conditionalFormatting>
  <dataValidations disablePrompts="1" count="1">
    <dataValidation allowBlank="1" sqref="P13:AP13 P19:AP19 V1:V4 P1:P4" xr:uid="{CCB072BA-397B-4820-B73C-AD7F519866D8}"/>
  </dataValidations>
  <pageMargins left="0.7" right="0.7" top="0.75" bottom="0.75" header="0.3" footer="0.3"/>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EF8DF-C0C5-4B9F-9970-B4D31671CDD3}">
  <sheetPr codeName="Sheet12">
    <tabColor theme="3" tint="-0.249977111117893"/>
    <pageSetUpPr fitToPage="1"/>
  </sheetPr>
  <dimension ref="A1:DV23"/>
  <sheetViews>
    <sheetView workbookViewId="0"/>
  </sheetViews>
  <sheetFormatPr defaultColWidth="9.140625" defaultRowHeight="18.75" customHeight="1" outlineLevelCol="1"/>
  <cols>
    <col min="1" max="1" width="34.5703125" style="46" customWidth="1"/>
    <col min="2" max="2" width="17.7109375" style="46" customWidth="1"/>
    <col min="3" max="3" width="1.85546875" style="46" customWidth="1"/>
    <col min="4" max="4" width="42.5703125" style="46" customWidth="1"/>
    <col min="5" max="5" width="15" style="626" bestFit="1" customWidth="1"/>
    <col min="6" max="12" width="8.7109375" style="46" customWidth="1"/>
    <col min="13" max="21" width="8.7109375" style="46" customWidth="1" outlineLevel="1"/>
    <col min="22" max="22" width="8.7109375" style="46" customWidth="1"/>
    <col min="23" max="31" width="8.7109375" style="46" customWidth="1" outlineLevel="1"/>
    <col min="32" max="32" width="8.7109375" style="46" customWidth="1"/>
    <col min="33" max="35" width="8.7109375" style="46" customWidth="1" outlineLevel="1"/>
    <col min="36" max="36" width="9.140625" style="46"/>
    <col min="37" max="126" width="3.7109375" style="46" customWidth="1"/>
    <col min="127" max="16384" width="9.140625" style="46"/>
  </cols>
  <sheetData>
    <row r="1" spans="1:126" s="1212" customFormat="1" ht="20.100000000000001" customHeight="1">
      <c r="B1" s="1002"/>
      <c r="C1" s="1002"/>
      <c r="D1" s="1002" t="str">
        <f>dms_SheetHeading1</f>
        <v>ANNUAL INFORMATION ORDER</v>
      </c>
      <c r="E1" s="1210"/>
      <c r="F1" s="1208"/>
      <c r="G1" s="1211"/>
      <c r="H1" s="1211"/>
      <c r="I1" s="1211"/>
      <c r="J1" s="1211"/>
      <c r="K1" s="1211"/>
      <c r="L1" s="1211"/>
      <c r="M1" s="1211"/>
      <c r="N1" s="1211"/>
      <c r="O1" s="1211"/>
      <c r="P1" s="1211"/>
      <c r="Q1" s="1211"/>
      <c r="R1" s="1211"/>
      <c r="S1" s="1211"/>
      <c r="T1" s="1211"/>
      <c r="U1" s="1211"/>
      <c r="V1" s="1211"/>
      <c r="W1" s="1211"/>
      <c r="X1" s="1211"/>
      <c r="Y1" s="1211"/>
      <c r="Z1" s="1211"/>
      <c r="AA1" s="1211"/>
      <c r="AB1" s="1211"/>
      <c r="AC1" s="1211"/>
      <c r="AD1" s="1211"/>
      <c r="AE1" s="1211"/>
      <c r="AF1" s="1211"/>
      <c r="AG1" s="1211"/>
      <c r="AH1" s="1211"/>
      <c r="AI1" s="1211"/>
      <c r="AK1" s="1658" t="s">
        <v>1040</v>
      </c>
      <c r="AL1" s="1323"/>
      <c r="AM1" s="1323"/>
      <c r="AN1" s="1323"/>
      <c r="AO1" s="1323"/>
      <c r="AP1" s="1323"/>
      <c r="AQ1" s="1657" t="s">
        <v>1039</v>
      </c>
      <c r="AR1" s="1323"/>
      <c r="AS1" s="1323"/>
      <c r="AT1" s="1323"/>
      <c r="AU1" s="1323"/>
      <c r="AV1" s="1323"/>
      <c r="AW1" s="1323"/>
    </row>
    <row r="2" spans="1:126" s="1212" customFormat="1" ht="20.100000000000001" customHeight="1">
      <c r="B2" s="1003"/>
      <c r="C2" s="1003"/>
      <c r="D2" s="1003" t="str">
        <f>dms_SheetHeading2</f>
        <v>Australian Transmission Co.</v>
      </c>
      <c r="E2" s="1210"/>
      <c r="F2" s="1213"/>
      <c r="G2" s="1211"/>
      <c r="H2" s="1211"/>
      <c r="I2" s="1211"/>
      <c r="J2" s="1211"/>
      <c r="K2" s="1211"/>
      <c r="L2" s="1211"/>
      <c r="M2" s="1211"/>
      <c r="N2" s="1211"/>
      <c r="O2" s="1211"/>
      <c r="P2" s="1211"/>
      <c r="Q2" s="1211"/>
      <c r="R2" s="1211"/>
      <c r="S2" s="1211"/>
      <c r="T2" s="1211"/>
      <c r="U2" s="1211"/>
      <c r="V2" s="1211"/>
      <c r="W2" s="1211"/>
      <c r="X2" s="1211"/>
      <c r="Y2" s="1211"/>
      <c r="Z2" s="1211"/>
      <c r="AA2" s="1211"/>
      <c r="AB2" s="1211"/>
      <c r="AC2" s="1211"/>
      <c r="AD2" s="1211"/>
      <c r="AE2" s="1211"/>
      <c r="AF2" s="1211"/>
      <c r="AG2" s="1211"/>
      <c r="AH2" s="1211"/>
      <c r="AI2" s="1211"/>
      <c r="AK2" s="1659" t="s">
        <v>1041</v>
      </c>
      <c r="AL2" s="1324"/>
      <c r="AM2" s="1324"/>
      <c r="AN2" s="1324"/>
      <c r="AO2" s="1324"/>
      <c r="AP2" s="1324"/>
      <c r="AQ2" s="1379" t="s">
        <v>202</v>
      </c>
      <c r="AR2" s="1324"/>
      <c r="AS2" s="1324"/>
      <c r="AT2" s="1324"/>
      <c r="AU2" s="1324"/>
      <c r="AV2" s="1324"/>
      <c r="AW2" s="1324"/>
    </row>
    <row r="3" spans="1:126" s="1212" customFormat="1" ht="20.100000000000001" customHeight="1">
      <c r="B3" s="1004"/>
      <c r="C3" s="1004"/>
      <c r="D3" s="1004" t="str">
        <f>dms_SheetHeading3</f>
        <v>REPORTING STATEMENT: 2024-25</v>
      </c>
      <c r="E3" s="1210"/>
      <c r="F3" s="1208"/>
      <c r="G3" s="1203"/>
      <c r="H3" s="1203"/>
      <c r="I3" s="1203"/>
      <c r="J3" s="1203"/>
      <c r="K3" s="1203"/>
      <c r="L3" s="1203"/>
      <c r="M3" s="1203"/>
      <c r="N3" s="1203"/>
      <c r="O3" s="1203"/>
      <c r="P3" s="1214"/>
      <c r="Q3" s="1214"/>
      <c r="R3" s="1214"/>
      <c r="S3" s="1214"/>
      <c r="T3" s="1214"/>
      <c r="U3" s="1214"/>
      <c r="V3" s="1214"/>
      <c r="W3" s="1215"/>
      <c r="X3" s="1215"/>
      <c r="Y3" s="1215"/>
      <c r="Z3" s="1215"/>
      <c r="AA3" s="1215"/>
      <c r="AB3" s="1215"/>
      <c r="AC3" s="1215"/>
      <c r="AD3" s="1215"/>
      <c r="AE3" s="1215"/>
      <c r="AF3" s="1215"/>
      <c r="AG3" s="1215"/>
      <c r="AH3" s="1215"/>
      <c r="AI3" s="1215"/>
      <c r="AK3" s="1660" t="s">
        <v>1042</v>
      </c>
      <c r="AL3" s="1325"/>
      <c r="AM3" s="1325"/>
      <c r="AN3" s="1325"/>
      <c r="AO3" s="1325"/>
      <c r="AP3" s="1325"/>
      <c r="AQ3" s="1380" t="s">
        <v>203</v>
      </c>
      <c r="AR3" s="1325"/>
      <c r="AS3" s="1325"/>
      <c r="AT3" s="1325"/>
      <c r="AU3" s="1325"/>
      <c r="AV3" s="1325"/>
      <c r="AW3" s="1325"/>
    </row>
    <row r="4" spans="1:126" s="1212" customFormat="1" ht="20.100000000000001" customHeight="1">
      <c r="B4" s="1216"/>
      <c r="C4" s="1216"/>
      <c r="D4" s="1108" t="s">
        <v>1312</v>
      </c>
      <c r="E4" s="1217"/>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c r="AK4" s="1662" t="s">
        <v>1044</v>
      </c>
      <c r="AL4" s="1692"/>
      <c r="AM4" s="1693"/>
      <c r="AN4" s="1498"/>
      <c r="AO4" s="1498"/>
      <c r="AP4" s="1498"/>
      <c r="AQ4" s="1497" t="s">
        <v>1043</v>
      </c>
      <c r="AR4" s="1498"/>
      <c r="AS4" s="1498"/>
      <c r="AT4" s="1498"/>
      <c r="AU4" s="1498"/>
      <c r="AV4" s="1498"/>
      <c r="AW4" s="1498"/>
    </row>
    <row r="5" spans="1:126" s="44" customFormat="1" ht="13.5" customHeight="1"/>
    <row r="6" spans="1:126" ht="26.25" customHeight="1">
      <c r="B6" s="628" t="s">
        <v>1173</v>
      </c>
      <c r="C6" s="973"/>
      <c r="D6" s="973"/>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c r="AE6" s="1238"/>
      <c r="AF6" s="1238"/>
      <c r="AG6" s="1238"/>
      <c r="AH6" s="1238"/>
      <c r="AI6" s="1238"/>
    </row>
    <row r="7" spans="1:126" s="44" customFormat="1" ht="20.25" customHeight="1">
      <c r="B7" s="1032" t="s">
        <v>1174</v>
      </c>
      <c r="C7" s="1032"/>
      <c r="D7" s="1032"/>
      <c r="E7" s="1032"/>
      <c r="F7" s="1032"/>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2"/>
      <c r="AI7" s="1032"/>
    </row>
    <row r="8" spans="1:126" ht="12" customHeight="1">
      <c r="B8" s="48"/>
      <c r="C8" s="48"/>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row>
    <row r="9" spans="1:126" ht="15">
      <c r="D9" s="959" t="s">
        <v>1311</v>
      </c>
      <c r="E9" s="959"/>
      <c r="F9" s="959"/>
      <c r="G9" s="959"/>
      <c r="H9" s="959"/>
      <c r="I9" s="959"/>
      <c r="J9" s="959"/>
      <c r="K9" s="959"/>
      <c r="L9" s="959"/>
      <c r="M9" s="959"/>
      <c r="N9" s="959"/>
      <c r="O9" s="959"/>
      <c r="P9" s="959"/>
      <c r="Q9" s="959"/>
      <c r="R9" s="959"/>
      <c r="S9" s="959"/>
      <c r="T9" s="959"/>
      <c r="U9" s="959"/>
      <c r="V9" s="959"/>
      <c r="W9" s="959"/>
      <c r="X9" s="959"/>
      <c r="Y9" s="959"/>
      <c r="Z9" s="959"/>
      <c r="AA9" s="959"/>
      <c r="AB9" s="959"/>
      <c r="AC9" s="959"/>
      <c r="AD9" s="959"/>
      <c r="AE9" s="959"/>
      <c r="AF9" s="959"/>
      <c r="AG9" s="959"/>
      <c r="AH9" s="959"/>
      <c r="AI9" s="959"/>
    </row>
    <row r="10" spans="1:126" ht="41.25" customHeight="1">
      <c r="E10" s="46"/>
      <c r="AK10" s="1697" t="s">
        <v>1430</v>
      </c>
      <c r="AL10" s="1546" t="s">
        <v>1431</v>
      </c>
      <c r="AM10" s="1552" t="s">
        <v>1432</v>
      </c>
      <c r="AN10" s="1697" t="s">
        <v>1430</v>
      </c>
      <c r="AO10" s="1546" t="s">
        <v>1431</v>
      </c>
      <c r="AP10" s="1552" t="s">
        <v>1432</v>
      </c>
      <c r="AQ10" s="1697" t="s">
        <v>1430</v>
      </c>
      <c r="AR10" s="1546" t="s">
        <v>1431</v>
      </c>
      <c r="AS10" s="1552" t="s">
        <v>1432</v>
      </c>
      <c r="AT10" s="1697" t="s">
        <v>1430</v>
      </c>
      <c r="AU10" s="1546" t="s">
        <v>1431</v>
      </c>
      <c r="AV10" s="1552" t="s">
        <v>1432</v>
      </c>
      <c r="AW10" s="1697" t="s">
        <v>1430</v>
      </c>
      <c r="AX10" s="1546" t="s">
        <v>1431</v>
      </c>
      <c r="AY10" s="1552" t="s">
        <v>1432</v>
      </c>
      <c r="AZ10" s="1697" t="s">
        <v>1430</v>
      </c>
      <c r="BA10" s="1546" t="s">
        <v>1431</v>
      </c>
      <c r="BB10" s="1733" t="s">
        <v>1432</v>
      </c>
      <c r="BC10" s="1697" t="s">
        <v>1430</v>
      </c>
      <c r="BD10" s="1546" t="s">
        <v>1431</v>
      </c>
      <c r="BE10" s="1552" t="s">
        <v>1432</v>
      </c>
      <c r="BF10" s="1696" t="s">
        <v>1430</v>
      </c>
      <c r="BG10" s="1546" t="s">
        <v>1431</v>
      </c>
      <c r="BH10" s="1733" t="s">
        <v>1432</v>
      </c>
      <c r="BI10" s="1697" t="s">
        <v>1430</v>
      </c>
      <c r="BJ10" s="1546" t="s">
        <v>1431</v>
      </c>
      <c r="BK10" s="1552" t="s">
        <v>1432</v>
      </c>
      <c r="BL10" s="1696" t="s">
        <v>1430</v>
      </c>
      <c r="BM10" s="1546" t="s">
        <v>1431</v>
      </c>
      <c r="BN10" s="1733" t="s">
        <v>1432</v>
      </c>
      <c r="BO10" s="1697" t="s">
        <v>1430</v>
      </c>
      <c r="BP10" s="1546" t="s">
        <v>1431</v>
      </c>
      <c r="BQ10" s="1552" t="s">
        <v>1432</v>
      </c>
      <c r="BR10" s="1696" t="s">
        <v>1430</v>
      </c>
      <c r="BS10" s="1546" t="s">
        <v>1431</v>
      </c>
      <c r="BT10" s="1733" t="s">
        <v>1432</v>
      </c>
      <c r="BU10" s="1697" t="s">
        <v>1430</v>
      </c>
      <c r="BV10" s="1546" t="s">
        <v>1431</v>
      </c>
      <c r="BW10" s="1552" t="s">
        <v>1432</v>
      </c>
      <c r="BX10" s="1696" t="s">
        <v>1430</v>
      </c>
      <c r="BY10" s="1546" t="s">
        <v>1431</v>
      </c>
      <c r="BZ10" s="1733" t="s">
        <v>1432</v>
      </c>
      <c r="CA10" s="1697" t="s">
        <v>1430</v>
      </c>
      <c r="CB10" s="1546" t="s">
        <v>1431</v>
      </c>
      <c r="CC10" s="1552" t="s">
        <v>1432</v>
      </c>
      <c r="CD10" s="1696" t="s">
        <v>1430</v>
      </c>
      <c r="CE10" s="1546" t="s">
        <v>1431</v>
      </c>
      <c r="CF10" s="1733" t="s">
        <v>1432</v>
      </c>
      <c r="CG10" s="1697" t="s">
        <v>1430</v>
      </c>
      <c r="CH10" s="1546" t="s">
        <v>1431</v>
      </c>
      <c r="CI10" s="1552" t="s">
        <v>1432</v>
      </c>
      <c r="CJ10" s="1696" t="s">
        <v>1430</v>
      </c>
      <c r="CK10" s="1546" t="s">
        <v>1431</v>
      </c>
      <c r="CL10" s="1733" t="s">
        <v>1432</v>
      </c>
      <c r="CM10" s="1697" t="s">
        <v>1430</v>
      </c>
      <c r="CN10" s="1546" t="s">
        <v>1431</v>
      </c>
      <c r="CO10" s="1552" t="s">
        <v>1432</v>
      </c>
      <c r="CP10" s="1696" t="s">
        <v>1430</v>
      </c>
      <c r="CQ10" s="1546" t="s">
        <v>1431</v>
      </c>
      <c r="CR10" s="1733" t="s">
        <v>1432</v>
      </c>
      <c r="CS10" s="1697" t="s">
        <v>1430</v>
      </c>
      <c r="CT10" s="1546" t="s">
        <v>1431</v>
      </c>
      <c r="CU10" s="1552" t="s">
        <v>1432</v>
      </c>
      <c r="CV10" s="1696" t="s">
        <v>1430</v>
      </c>
      <c r="CW10" s="1546" t="s">
        <v>1431</v>
      </c>
      <c r="CX10" s="1733" t="s">
        <v>1432</v>
      </c>
      <c r="CY10" s="1697" t="s">
        <v>1430</v>
      </c>
      <c r="CZ10" s="1546" t="s">
        <v>1431</v>
      </c>
      <c r="DA10" s="1552" t="s">
        <v>1432</v>
      </c>
      <c r="DB10" s="1696" t="s">
        <v>1430</v>
      </c>
      <c r="DC10" s="1546" t="s">
        <v>1431</v>
      </c>
      <c r="DD10" s="1733" t="s">
        <v>1432</v>
      </c>
      <c r="DE10" s="1697" t="s">
        <v>1430</v>
      </c>
      <c r="DF10" s="1546" t="s">
        <v>1431</v>
      </c>
      <c r="DG10" s="1552" t="s">
        <v>1432</v>
      </c>
      <c r="DH10" s="1696" t="s">
        <v>1430</v>
      </c>
      <c r="DI10" s="1546" t="s">
        <v>1431</v>
      </c>
      <c r="DJ10" s="1733" t="s">
        <v>1432</v>
      </c>
      <c r="DK10" s="1697" t="s">
        <v>1430</v>
      </c>
      <c r="DL10" s="1546" t="s">
        <v>1431</v>
      </c>
      <c r="DM10" s="1552" t="s">
        <v>1432</v>
      </c>
      <c r="DN10" s="1696" t="s">
        <v>1430</v>
      </c>
      <c r="DO10" s="1546" t="s">
        <v>1431</v>
      </c>
      <c r="DP10" s="1733" t="s">
        <v>1432</v>
      </c>
      <c r="DQ10" s="1697" t="s">
        <v>1430</v>
      </c>
      <c r="DR10" s="1546" t="s">
        <v>1431</v>
      </c>
      <c r="DS10" s="1552" t="s">
        <v>1432</v>
      </c>
      <c r="DT10" s="1696" t="s">
        <v>1430</v>
      </c>
      <c r="DU10" s="1546" t="s">
        <v>1431</v>
      </c>
      <c r="DV10" s="1552" t="s">
        <v>1432</v>
      </c>
    </row>
    <row r="11" spans="1:126" s="1140" customFormat="1" ht="30.75" customHeight="1">
      <c r="B11" s="971"/>
      <c r="C11" s="971"/>
      <c r="D11" s="1092"/>
      <c r="E11" s="958" t="s">
        <v>1192</v>
      </c>
      <c r="F11" s="1300" t="str">
        <f>CRY</f>
        <v>2024-25</v>
      </c>
      <c r="G11" s="1301" t="str">
        <f>IF(dms_RPT="financial",(VALUE(LEFT(F11,4)-1)&amp;"-"&amp;MID(F11,3,2)),VALUE(LEFT(F11,4)-1))</f>
        <v>2023-24</v>
      </c>
      <c r="H11" s="1301" t="str">
        <f t="shared" ref="H11:AI11" si="0">IF(dms_RPT="financial",(VALUE(LEFT(G11,4)-1)&amp;"-"&amp;MID(G11,3,2)),VALUE(LEFT(G11,4)-1))</f>
        <v>2022-23</v>
      </c>
      <c r="I11" s="1301" t="str">
        <f t="shared" si="0"/>
        <v>2021-22</v>
      </c>
      <c r="J11" s="1301" t="str">
        <f t="shared" si="0"/>
        <v>2020-21</v>
      </c>
      <c r="K11" s="1302" t="str">
        <f t="shared" si="0"/>
        <v>2019-20</v>
      </c>
      <c r="L11" s="1299" t="str">
        <f t="shared" si="0"/>
        <v>2018-19</v>
      </c>
      <c r="M11" s="1297" t="str">
        <f t="shared" si="0"/>
        <v>2017-18</v>
      </c>
      <c r="N11" s="1297" t="str">
        <f t="shared" si="0"/>
        <v>2016-17</v>
      </c>
      <c r="O11" s="1297" t="str">
        <f t="shared" si="0"/>
        <v>2015-16</v>
      </c>
      <c r="P11" s="1297" t="str">
        <f t="shared" si="0"/>
        <v>2014-15</v>
      </c>
      <c r="Q11" s="1297" t="str">
        <f t="shared" si="0"/>
        <v>2013-14</v>
      </c>
      <c r="R11" s="1297" t="str">
        <f t="shared" si="0"/>
        <v>2012-13</v>
      </c>
      <c r="S11" s="1297" t="str">
        <f t="shared" si="0"/>
        <v>2011-12</v>
      </c>
      <c r="T11" s="1297" t="str">
        <f t="shared" si="0"/>
        <v>2010-11</v>
      </c>
      <c r="U11" s="1298" t="str">
        <f t="shared" si="0"/>
        <v>2009-10</v>
      </c>
      <c r="V11" s="1299" t="str">
        <f t="shared" si="0"/>
        <v>2008-09</v>
      </c>
      <c r="W11" s="1297" t="str">
        <f t="shared" si="0"/>
        <v>2007-08</v>
      </c>
      <c r="X11" s="1297" t="str">
        <f t="shared" si="0"/>
        <v>2006-07</v>
      </c>
      <c r="Y11" s="1297" t="str">
        <f t="shared" si="0"/>
        <v>2005-06</v>
      </c>
      <c r="Z11" s="1297" t="str">
        <f t="shared" si="0"/>
        <v>2004-05</v>
      </c>
      <c r="AA11" s="1297" t="str">
        <f t="shared" si="0"/>
        <v>2003-04</v>
      </c>
      <c r="AB11" s="1297" t="str">
        <f t="shared" si="0"/>
        <v>2002-03</v>
      </c>
      <c r="AC11" s="1297" t="str">
        <f t="shared" si="0"/>
        <v>2001-02</v>
      </c>
      <c r="AD11" s="1297" t="str">
        <f t="shared" si="0"/>
        <v>2000-01</v>
      </c>
      <c r="AE11" s="1298" t="str">
        <f t="shared" si="0"/>
        <v>1999-00</v>
      </c>
      <c r="AF11" s="1299" t="str">
        <f t="shared" si="0"/>
        <v>1998-99</v>
      </c>
      <c r="AG11" s="1297" t="str">
        <f t="shared" si="0"/>
        <v>1997-98</v>
      </c>
      <c r="AH11" s="1297" t="str">
        <f t="shared" si="0"/>
        <v>1996-97</v>
      </c>
      <c r="AI11" s="1298" t="str">
        <f t="shared" si="0"/>
        <v>1995-96</v>
      </c>
      <c r="AK11" s="2014" t="s">
        <v>740</v>
      </c>
      <c r="AL11" s="2015"/>
      <c r="AM11" s="2015"/>
      <c r="AN11" s="2014" t="s">
        <v>739</v>
      </c>
      <c r="AO11" s="2015"/>
      <c r="AP11" s="2015"/>
      <c r="AQ11" s="2014" t="s">
        <v>37</v>
      </c>
      <c r="AR11" s="2015"/>
      <c r="AS11" s="2015"/>
      <c r="AT11" s="2014" t="s">
        <v>737</v>
      </c>
      <c r="AU11" s="2015"/>
      <c r="AV11" s="2015"/>
      <c r="AW11" s="2014" t="s">
        <v>36</v>
      </c>
      <c r="AX11" s="2015"/>
      <c r="AY11" s="2015"/>
      <c r="AZ11" s="2014" t="s">
        <v>734</v>
      </c>
      <c r="BA11" s="2015"/>
      <c r="BB11" s="2015"/>
      <c r="BC11" s="2014" t="s">
        <v>732</v>
      </c>
      <c r="BD11" s="2015"/>
      <c r="BE11" s="2019"/>
      <c r="BF11" s="2015" t="s">
        <v>730</v>
      </c>
      <c r="BG11" s="2015"/>
      <c r="BH11" s="2015"/>
      <c r="BI11" s="2014" t="s">
        <v>728</v>
      </c>
      <c r="BJ11" s="2015"/>
      <c r="BK11" s="2019"/>
      <c r="BL11" s="2015" t="s">
        <v>726</v>
      </c>
      <c r="BM11" s="2015"/>
      <c r="BN11" s="2015"/>
      <c r="BO11" s="2014" t="s">
        <v>724</v>
      </c>
      <c r="BP11" s="2015"/>
      <c r="BQ11" s="2019"/>
      <c r="BR11" s="2015" t="s">
        <v>722</v>
      </c>
      <c r="BS11" s="2015"/>
      <c r="BT11" s="2015"/>
      <c r="BU11" s="2014" t="s">
        <v>720</v>
      </c>
      <c r="BV11" s="2015"/>
      <c r="BW11" s="2019"/>
      <c r="BX11" s="2015" t="s">
        <v>718</v>
      </c>
      <c r="BY11" s="2015"/>
      <c r="BZ11" s="2015"/>
      <c r="CA11" s="2014" t="s">
        <v>716</v>
      </c>
      <c r="CB11" s="2015"/>
      <c r="CC11" s="2019"/>
      <c r="CD11" s="2015" t="s">
        <v>714</v>
      </c>
      <c r="CE11" s="2015"/>
      <c r="CF11" s="2015"/>
      <c r="CG11" s="2014" t="s">
        <v>711</v>
      </c>
      <c r="CH11" s="2015"/>
      <c r="CI11" s="2019"/>
      <c r="CJ11" s="2015" t="s">
        <v>708</v>
      </c>
      <c r="CK11" s="2015"/>
      <c r="CL11" s="2015"/>
      <c r="CM11" s="2014" t="s">
        <v>705</v>
      </c>
      <c r="CN11" s="2015"/>
      <c r="CO11" s="2019"/>
      <c r="CP11" s="2015" t="s">
        <v>702</v>
      </c>
      <c r="CQ11" s="2015"/>
      <c r="CR11" s="2015"/>
      <c r="CS11" s="2014" t="s">
        <v>700</v>
      </c>
      <c r="CT11" s="2015"/>
      <c r="CU11" s="2019"/>
      <c r="CV11" s="2015" t="s">
        <v>698</v>
      </c>
      <c r="CW11" s="2015"/>
      <c r="CX11" s="2015"/>
      <c r="CY11" s="2014" t="s">
        <v>693</v>
      </c>
      <c r="CZ11" s="2015"/>
      <c r="DA11" s="2019"/>
      <c r="DB11" s="2015" t="s">
        <v>688</v>
      </c>
      <c r="DC11" s="2015"/>
      <c r="DD11" s="2015"/>
      <c r="DE11" s="2014" t="s">
        <v>683</v>
      </c>
      <c r="DF11" s="2015"/>
      <c r="DG11" s="2019"/>
      <c r="DH11" s="2015" t="s">
        <v>678</v>
      </c>
      <c r="DI11" s="2015"/>
      <c r="DJ11" s="2015"/>
      <c r="DK11" s="2014" t="s">
        <v>673</v>
      </c>
      <c r="DL11" s="2015"/>
      <c r="DM11" s="2019"/>
      <c r="DN11" s="2015" t="s">
        <v>668</v>
      </c>
      <c r="DO11" s="2015"/>
      <c r="DP11" s="2015"/>
      <c r="DQ11" s="2014" t="s">
        <v>663</v>
      </c>
      <c r="DR11" s="2015"/>
      <c r="DS11" s="2019"/>
      <c r="DT11" s="2015" t="s">
        <v>658</v>
      </c>
      <c r="DU11" s="2015"/>
      <c r="DV11" s="2019"/>
    </row>
    <row r="12" spans="1:126" s="627" customFormat="1" ht="15" customHeight="1">
      <c r="A12" s="621"/>
      <c r="B12" s="46"/>
      <c r="C12" s="46"/>
      <c r="D12" s="1862" t="s">
        <v>79</v>
      </c>
      <c r="E12" s="1296" t="s">
        <v>1018</v>
      </c>
      <c r="F12" s="1913"/>
      <c r="G12" s="1250"/>
      <c r="H12" s="1250"/>
      <c r="I12" s="1250"/>
      <c r="J12" s="1250"/>
      <c r="K12" s="1250"/>
      <c r="L12" s="1250"/>
      <c r="M12" s="1250"/>
      <c r="N12" s="1250"/>
      <c r="O12" s="1250"/>
      <c r="P12" s="1250"/>
      <c r="Q12" s="1250"/>
      <c r="R12" s="1250"/>
      <c r="S12" s="1250"/>
      <c r="T12" s="1250"/>
      <c r="U12" s="1250"/>
      <c r="V12" s="1250"/>
      <c r="W12" s="1250"/>
      <c r="X12" s="1250"/>
      <c r="Y12" s="1250"/>
      <c r="Z12" s="1250"/>
      <c r="AA12" s="1250"/>
      <c r="AB12" s="1250"/>
      <c r="AC12" s="1250"/>
      <c r="AD12" s="1250"/>
      <c r="AE12" s="1250"/>
      <c r="AF12" s="1250"/>
      <c r="AG12" s="1250"/>
      <c r="AH12" s="1250"/>
      <c r="AI12" s="1131"/>
      <c r="AK12" s="1591" t="str">
        <f>IF(ISNONTEXT(F12)=TRUE,"","X")</f>
        <v/>
      </c>
      <c r="AL12" s="1592" t="str">
        <f>IF(AND(F12&gt;=0)=TRUE,"","X")</f>
        <v/>
      </c>
      <c r="AM12" s="1870"/>
      <c r="AN12" s="1591" t="str">
        <f>IF(ISNONTEXT(G12)=TRUE,"","X")</f>
        <v/>
      </c>
      <c r="AO12" s="1592" t="str">
        <f>IF(AND(G12&gt;=0)=TRUE,"","X")</f>
        <v/>
      </c>
      <c r="AP12" s="1870"/>
      <c r="AQ12" s="1591" t="str">
        <f>IF(ISNONTEXT(H12)=TRUE,"","X")</f>
        <v/>
      </c>
      <c r="AR12" s="1592" t="str">
        <f>IF(AND(H12&gt;=0)=TRUE,"","X")</f>
        <v/>
      </c>
      <c r="AS12" s="1870"/>
      <c r="AT12" s="1591" t="str">
        <f>IF(ISNONTEXT(I12)=TRUE,"","X")</f>
        <v/>
      </c>
      <c r="AU12" s="1592" t="str">
        <f>IF(AND(I12&gt;=0)=TRUE,"","X")</f>
        <v/>
      </c>
      <c r="AV12" s="1870"/>
      <c r="AW12" s="1591" t="str">
        <f>IF(ISNONTEXT(J12)=TRUE,"","X")</f>
        <v/>
      </c>
      <c r="AX12" s="1592" t="str">
        <f>IF(AND(J12&gt;=0)=TRUE,"","X")</f>
        <v/>
      </c>
      <c r="AY12" s="1870"/>
      <c r="AZ12" s="1591" t="str">
        <f>IF(ISNONTEXT(K12)=TRUE,"","X")</f>
        <v/>
      </c>
      <c r="BA12" s="1592" t="str">
        <f>IF(AND(K12&gt;=0)=TRUE,"","X")</f>
        <v/>
      </c>
      <c r="BB12" s="1871"/>
      <c r="BC12" s="1591" t="str">
        <f>IF(ISNONTEXT(L12)=TRUE,"","X")</f>
        <v/>
      </c>
      <c r="BD12" s="1592" t="str">
        <f>IF(AND(L12&gt;=0)=TRUE,"","X")</f>
        <v/>
      </c>
      <c r="BE12" s="1872"/>
      <c r="BF12" s="1599" t="str">
        <f>IF(ISNONTEXT(M12)=TRUE,"","X")</f>
        <v/>
      </c>
      <c r="BG12" s="1592" t="str">
        <f>IF(AND(M12&gt;=0)=TRUE,"","X")</f>
        <v/>
      </c>
      <c r="BH12" s="1873"/>
      <c r="BI12" s="1591" t="str">
        <f>IF(ISNONTEXT(N12)=TRUE,"","X")</f>
        <v/>
      </c>
      <c r="BJ12" s="1592" t="str">
        <f>IF(AND(N12&gt;=0)=TRUE,"","X")</f>
        <v/>
      </c>
      <c r="BK12" s="1872"/>
      <c r="BL12" s="1599" t="str">
        <f>IF(ISNONTEXT(O12)=TRUE,"","X")</f>
        <v/>
      </c>
      <c r="BM12" s="1592" t="str">
        <f>IF(AND(O12&gt;=0)=TRUE,"","X")</f>
        <v/>
      </c>
      <c r="BN12" s="1873"/>
      <c r="BO12" s="1591" t="str">
        <f>IF(ISNONTEXT(P12)=TRUE,"","X")</f>
        <v/>
      </c>
      <c r="BP12" s="1592" t="str">
        <f>IF(AND(P12&gt;=0)=TRUE,"","X")</f>
        <v/>
      </c>
      <c r="BQ12" s="1872"/>
      <c r="BR12" s="1599" t="str">
        <f>IF(ISNONTEXT(Q12)=TRUE,"","X")</f>
        <v/>
      </c>
      <c r="BS12" s="1592" t="str">
        <f>IF(AND(Q12&gt;=0)=TRUE,"","X")</f>
        <v/>
      </c>
      <c r="BT12" s="1873"/>
      <c r="BU12" s="1591" t="str">
        <f>IF(ISNONTEXT(R12)=TRUE,"","X")</f>
        <v/>
      </c>
      <c r="BV12" s="1592" t="str">
        <f>IF(AND(R12&gt;=0)=TRUE,"","X")</f>
        <v/>
      </c>
      <c r="BW12" s="1872"/>
      <c r="BX12" s="1599" t="str">
        <f>IF(ISNONTEXT(S12)=TRUE,"","X")</f>
        <v/>
      </c>
      <c r="BY12" s="1592" t="str">
        <f>IF(AND(S12&gt;=0)=TRUE,"","X")</f>
        <v/>
      </c>
      <c r="BZ12" s="1873"/>
      <c r="CA12" s="1591" t="str">
        <f>IF(ISNONTEXT(T12)=TRUE,"","X")</f>
        <v/>
      </c>
      <c r="CB12" s="1592" t="str">
        <f>IF(AND(T12&gt;=0)=TRUE,"","X")</f>
        <v/>
      </c>
      <c r="CC12" s="1872"/>
      <c r="CD12" s="1599" t="str">
        <f>IF(ISNONTEXT(U12)=TRUE,"","X")</f>
        <v/>
      </c>
      <c r="CE12" s="1592" t="str">
        <f>IF(AND(U12&gt;=0)=TRUE,"","X")</f>
        <v/>
      </c>
      <c r="CF12" s="1873"/>
      <c r="CG12" s="1591" t="str">
        <f>IF(ISNONTEXT(V12)=TRUE,"","X")</f>
        <v/>
      </c>
      <c r="CH12" s="1592" t="str">
        <f>IF(AND(V12&gt;=0)=TRUE,"","X")</f>
        <v/>
      </c>
      <c r="CI12" s="1872"/>
      <c r="CJ12" s="1599" t="str">
        <f>IF(ISNONTEXT(W12)=TRUE,"","X")</f>
        <v/>
      </c>
      <c r="CK12" s="1592" t="str">
        <f>IF(AND(W12&gt;=0)=TRUE,"","X")</f>
        <v/>
      </c>
      <c r="CL12" s="1873"/>
      <c r="CM12" s="1591" t="str">
        <f>IF(ISNONTEXT(X12)=TRUE,"","X")</f>
        <v/>
      </c>
      <c r="CN12" s="1592" t="str">
        <f>IF(AND(X12&gt;=0)=TRUE,"","X")</f>
        <v/>
      </c>
      <c r="CO12" s="1872"/>
      <c r="CP12" s="1599" t="str">
        <f>IF(ISNONTEXT(Y12)=TRUE,"","X")</f>
        <v/>
      </c>
      <c r="CQ12" s="1592" t="str">
        <f>IF(AND(Y12&gt;=0)=TRUE,"","X")</f>
        <v/>
      </c>
      <c r="CR12" s="1873"/>
      <c r="CS12" s="1591" t="str">
        <f>IF(ISNONTEXT(Z12)=TRUE,"","X")</f>
        <v/>
      </c>
      <c r="CT12" s="1592" t="str">
        <f>IF(AND(Z12&gt;=0)=TRUE,"","X")</f>
        <v/>
      </c>
      <c r="CU12" s="1872"/>
      <c r="CV12" s="1599" t="str">
        <f>IF(ISNONTEXT(AA12)=TRUE,"","X")</f>
        <v/>
      </c>
      <c r="CW12" s="1592" t="str">
        <f>IF(AND(AA12&gt;=0)=TRUE,"","X")</f>
        <v/>
      </c>
      <c r="CX12" s="1873"/>
      <c r="CY12" s="1591" t="str">
        <f>IF(ISNONTEXT(AB12)=TRUE,"","X")</f>
        <v/>
      </c>
      <c r="CZ12" s="1592" t="str">
        <f>IF(AND(AB12&gt;=0)=TRUE,"","X")</f>
        <v/>
      </c>
      <c r="DA12" s="1872"/>
      <c r="DB12" s="1599" t="str">
        <f>IF(ISNONTEXT(AC12)=TRUE,"","X")</f>
        <v/>
      </c>
      <c r="DC12" s="1592" t="str">
        <f>IF(AND(AC12&gt;=0)=TRUE,"","X")</f>
        <v/>
      </c>
      <c r="DD12" s="1873"/>
      <c r="DE12" s="1591" t="str">
        <f>IF(ISNONTEXT(AD12)=TRUE,"","X")</f>
        <v/>
      </c>
      <c r="DF12" s="1592" t="str">
        <f>IF(AND(AD12&gt;=0)=TRUE,"","X")</f>
        <v/>
      </c>
      <c r="DG12" s="1872"/>
      <c r="DH12" s="1599" t="str">
        <f>IF(ISNONTEXT(AE12)=TRUE,"","X")</f>
        <v/>
      </c>
      <c r="DI12" s="1592" t="str">
        <f>IF(AND(AE12&gt;=0)=TRUE,"","X")</f>
        <v/>
      </c>
      <c r="DJ12" s="1873"/>
      <c r="DK12" s="1591" t="str">
        <f>IF(ISNONTEXT(AF12)=TRUE,"","X")</f>
        <v/>
      </c>
      <c r="DL12" s="1592" t="str">
        <f>IF(AND(AF12&gt;=0)=TRUE,"","X")</f>
        <v/>
      </c>
      <c r="DM12" s="1872"/>
      <c r="DN12" s="1599" t="str">
        <f>IF(ISNONTEXT(AG12)=TRUE,"","X")</f>
        <v/>
      </c>
      <c r="DO12" s="1592" t="str">
        <f>IF(AND(AG12&gt;=0)=TRUE,"","X")</f>
        <v/>
      </c>
      <c r="DP12" s="1873"/>
      <c r="DQ12" s="1591" t="str">
        <f>IF(ISNONTEXT(AH12)=TRUE,"","X")</f>
        <v/>
      </c>
      <c r="DR12" s="1592" t="str">
        <f>IF(AND(AH12&gt;=0)=TRUE,"","X")</f>
        <v/>
      </c>
      <c r="DS12" s="1872"/>
      <c r="DT12" s="1599" t="str">
        <f>IF(ISNONTEXT(AI12)=TRUE,"","X")</f>
        <v/>
      </c>
      <c r="DU12" s="1592" t="str">
        <f>IF(AND(AI12&gt;=0)=TRUE,"","X")</f>
        <v/>
      </c>
      <c r="DV12" s="1872"/>
    </row>
    <row r="13" spans="1:126" s="971" customFormat="1" ht="15" customHeight="1">
      <c r="A13" s="621"/>
      <c r="B13" s="1084"/>
      <c r="C13" s="1084"/>
      <c r="D13" s="1863" t="s">
        <v>80</v>
      </c>
      <c r="E13" s="1239" t="s">
        <v>1018</v>
      </c>
      <c r="F13" s="1240"/>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132"/>
      <c r="AK13" s="1540" t="str">
        <f t="shared" ref="AK13:AK16" si="1">IF(ISNONTEXT(F13)=TRUE,"","X")</f>
        <v/>
      </c>
      <c r="AL13" s="1534" t="str">
        <f t="shared" ref="AL13:AL16" si="2">IF(AND(F13&gt;=0)=TRUE,"","X")</f>
        <v/>
      </c>
      <c r="AM13" s="1535"/>
      <c r="AN13" s="1540" t="str">
        <f t="shared" ref="AN13:AN16" si="3">IF(ISNONTEXT(G13)=TRUE,"","X")</f>
        <v/>
      </c>
      <c r="AO13" s="1534" t="str">
        <f t="shared" ref="AO13:AO16" si="4">IF(AND(G13&gt;=0)=TRUE,"","X")</f>
        <v/>
      </c>
      <c r="AP13" s="1535"/>
      <c r="AQ13" s="1540" t="str">
        <f t="shared" ref="AQ13:AQ16" si="5">IF(ISNONTEXT(H13)=TRUE,"","X")</f>
        <v/>
      </c>
      <c r="AR13" s="1534" t="str">
        <f t="shared" ref="AR13:AR16" si="6">IF(AND(H13&gt;=0)=TRUE,"","X")</f>
        <v/>
      </c>
      <c r="AS13" s="1535"/>
      <c r="AT13" s="1540" t="str">
        <f t="shared" ref="AT13:AT16" si="7">IF(ISNONTEXT(I13)=TRUE,"","X")</f>
        <v/>
      </c>
      <c r="AU13" s="1534" t="str">
        <f t="shared" ref="AU13:AU16" si="8">IF(AND(I13&gt;=0)=TRUE,"","X")</f>
        <v/>
      </c>
      <c r="AV13" s="1535"/>
      <c r="AW13" s="1540" t="str">
        <f t="shared" ref="AW13:AW16" si="9">IF(ISNONTEXT(J13)=TRUE,"","X")</f>
        <v/>
      </c>
      <c r="AX13" s="1534" t="str">
        <f t="shared" ref="AX13:AX16" si="10">IF(AND(J13&gt;=0)=TRUE,"","X")</f>
        <v/>
      </c>
      <c r="AY13" s="1535"/>
      <c r="AZ13" s="1540" t="str">
        <f t="shared" ref="AZ13:AZ16" si="11">IF(ISNONTEXT(N13)=TRUE,"","X")</f>
        <v/>
      </c>
      <c r="BA13" s="1534" t="str">
        <f t="shared" ref="BA13:BA16" si="12">IF(AND(N13&gt;=0)=TRUE,"","X")</f>
        <v/>
      </c>
      <c r="BB13" s="1694"/>
      <c r="BC13" s="1540" t="str">
        <f t="shared" ref="BC13:BC20" si="13">IF(ISNONTEXT(L13)=TRUE,"","X")</f>
        <v/>
      </c>
      <c r="BD13" s="1534" t="str">
        <f t="shared" ref="BD13:BD20" si="14">IF(AND(L13&gt;=0)=TRUE,"","X")</f>
        <v/>
      </c>
      <c r="BE13" s="1868"/>
      <c r="BF13" s="1536" t="str">
        <f t="shared" ref="BF13:BF20" si="15">IF(ISNONTEXT(M13)=TRUE,"","X")</f>
        <v/>
      </c>
      <c r="BG13" s="1534" t="str">
        <f t="shared" ref="BG13:BG20" si="16">IF(AND(M13&gt;=0)=TRUE,"","X")</f>
        <v/>
      </c>
      <c r="BH13" s="1865"/>
      <c r="BI13" s="1540" t="str">
        <f t="shared" ref="BI13:BI20" si="17">IF(ISNONTEXT(N13)=TRUE,"","X")</f>
        <v/>
      </c>
      <c r="BJ13" s="1534" t="str">
        <f t="shared" ref="BJ13:BJ20" si="18">IF(AND(N13&gt;=0)=TRUE,"","X")</f>
        <v/>
      </c>
      <c r="BK13" s="1703"/>
      <c r="BL13" s="1536" t="str">
        <f t="shared" ref="BL13:BL20" si="19">IF(ISNONTEXT(O13)=TRUE,"","X")</f>
        <v/>
      </c>
      <c r="BM13" s="1534" t="str">
        <f t="shared" ref="BM13:BM20" si="20">IF(AND(O13&gt;=0)=TRUE,"","X")</f>
        <v/>
      </c>
      <c r="BN13" s="1864"/>
      <c r="BO13" s="1540" t="str">
        <f t="shared" ref="BO13:BO20" si="21">IF(ISNONTEXT(P13)=TRUE,"","X")</f>
        <v/>
      </c>
      <c r="BP13" s="1534" t="str">
        <f t="shared" ref="BP13:BP20" si="22">IF(AND(P13&gt;=0)=TRUE,"","X")</f>
        <v/>
      </c>
      <c r="BQ13" s="1703"/>
      <c r="BR13" s="1536" t="str">
        <f t="shared" ref="BR13:BR20" si="23">IF(ISNONTEXT(Q13)=TRUE,"","X")</f>
        <v/>
      </c>
      <c r="BS13" s="1534" t="str">
        <f t="shared" ref="BS13:BS20" si="24">IF(AND(Q13&gt;=0)=TRUE,"","X")</f>
        <v/>
      </c>
      <c r="BT13" s="1864"/>
      <c r="BU13" s="1540" t="str">
        <f t="shared" ref="BU13:BU20" si="25">IF(ISNONTEXT(R13)=TRUE,"","X")</f>
        <v/>
      </c>
      <c r="BV13" s="1534" t="str">
        <f t="shared" ref="BV13:BV20" si="26">IF(AND(R13&gt;=0)=TRUE,"","X")</f>
        <v/>
      </c>
      <c r="BW13" s="1703"/>
      <c r="BX13" s="1536" t="str">
        <f t="shared" ref="BX13:BX20" si="27">IF(ISNONTEXT(S13)=TRUE,"","X")</f>
        <v/>
      </c>
      <c r="BY13" s="1534" t="str">
        <f t="shared" ref="BY13:BY20" si="28">IF(AND(S13&gt;=0)=TRUE,"","X")</f>
        <v/>
      </c>
      <c r="BZ13" s="1864"/>
      <c r="CA13" s="1540" t="str">
        <f t="shared" ref="CA13:CA20" si="29">IF(ISNONTEXT(T13)=TRUE,"","X")</f>
        <v/>
      </c>
      <c r="CB13" s="1534" t="str">
        <f t="shared" ref="CB13:CB20" si="30">IF(AND(T13&gt;=0)=TRUE,"","X")</f>
        <v/>
      </c>
      <c r="CC13" s="1703"/>
      <c r="CD13" s="1536" t="str">
        <f t="shared" ref="CD13:CD20" si="31">IF(ISNONTEXT(U13)=TRUE,"","X")</f>
        <v/>
      </c>
      <c r="CE13" s="1534" t="str">
        <f t="shared" ref="CE13:CE20" si="32">IF(AND(U13&gt;=0)=TRUE,"","X")</f>
        <v/>
      </c>
      <c r="CF13" s="1864"/>
      <c r="CG13" s="1540" t="str">
        <f t="shared" ref="CG13:CG20" si="33">IF(ISNONTEXT(V13)=TRUE,"","X")</f>
        <v/>
      </c>
      <c r="CH13" s="1534" t="str">
        <f t="shared" ref="CH13:CH20" si="34">IF(AND(V13&gt;=0)=TRUE,"","X")</f>
        <v/>
      </c>
      <c r="CI13" s="1703"/>
      <c r="CJ13" s="1536" t="str">
        <f t="shared" ref="CJ13:CJ20" si="35">IF(ISNONTEXT(W13)=TRUE,"","X")</f>
        <v/>
      </c>
      <c r="CK13" s="1534" t="str">
        <f t="shared" ref="CK13:CK20" si="36">IF(AND(W13&gt;=0)=TRUE,"","X")</f>
        <v/>
      </c>
      <c r="CL13" s="1864"/>
      <c r="CM13" s="1540" t="str">
        <f t="shared" ref="CM13:CM20" si="37">IF(ISNONTEXT(X13)=TRUE,"","X")</f>
        <v/>
      </c>
      <c r="CN13" s="1534" t="str">
        <f t="shared" ref="CN13:CN20" si="38">IF(AND(X13&gt;=0)=TRUE,"","X")</f>
        <v/>
      </c>
      <c r="CO13" s="1703"/>
      <c r="CP13" s="1536" t="str">
        <f t="shared" ref="CP13:CP20" si="39">IF(ISNONTEXT(Y13)=TRUE,"","X")</f>
        <v/>
      </c>
      <c r="CQ13" s="1534" t="str">
        <f t="shared" ref="CQ13:CQ20" si="40">IF(AND(Y13&gt;=0)=TRUE,"","X")</f>
        <v/>
      </c>
      <c r="CR13" s="1864"/>
      <c r="CS13" s="1540" t="str">
        <f t="shared" ref="CS13:CS20" si="41">IF(ISNONTEXT(Z13)=TRUE,"","X")</f>
        <v/>
      </c>
      <c r="CT13" s="1534" t="str">
        <f t="shared" ref="CT13:CT20" si="42">IF(AND(Z13&gt;=0)=TRUE,"","X")</f>
        <v/>
      </c>
      <c r="CU13" s="1703"/>
      <c r="CV13" s="1536" t="str">
        <f t="shared" ref="CV13:CV20" si="43">IF(ISNONTEXT(AA13)=TRUE,"","X")</f>
        <v/>
      </c>
      <c r="CW13" s="1534" t="str">
        <f t="shared" ref="CW13:CW20" si="44">IF(AND(AA13&gt;=0)=TRUE,"","X")</f>
        <v/>
      </c>
      <c r="CX13" s="1864"/>
      <c r="CY13" s="1540" t="str">
        <f t="shared" ref="CY13:CY20" si="45">IF(ISNONTEXT(AB13)=TRUE,"","X")</f>
        <v/>
      </c>
      <c r="CZ13" s="1534" t="str">
        <f t="shared" ref="CZ13:CZ20" si="46">IF(AND(AB13&gt;=0)=TRUE,"","X")</f>
        <v/>
      </c>
      <c r="DA13" s="1703"/>
      <c r="DB13" s="1536" t="str">
        <f t="shared" ref="DB13:DB20" si="47">IF(ISNONTEXT(AC13)=TRUE,"","X")</f>
        <v/>
      </c>
      <c r="DC13" s="1534" t="str">
        <f t="shared" ref="DC13:DC20" si="48">IF(AND(AC13&gt;=0)=TRUE,"","X")</f>
        <v/>
      </c>
      <c r="DD13" s="1864"/>
      <c r="DE13" s="1540" t="str">
        <f t="shared" ref="DE13:DE20" si="49">IF(ISNONTEXT(AD13)=TRUE,"","X")</f>
        <v/>
      </c>
      <c r="DF13" s="1534" t="str">
        <f t="shared" ref="DF13:DF20" si="50">IF(AND(AD13&gt;=0)=TRUE,"","X")</f>
        <v/>
      </c>
      <c r="DG13" s="1703"/>
      <c r="DH13" s="1536" t="str">
        <f t="shared" ref="DH13:DH20" si="51">IF(ISNONTEXT(AE13)=TRUE,"","X")</f>
        <v/>
      </c>
      <c r="DI13" s="1534" t="str">
        <f t="shared" ref="DI13:DI20" si="52">IF(AND(AE13&gt;=0)=TRUE,"","X")</f>
        <v/>
      </c>
      <c r="DJ13" s="1864"/>
      <c r="DK13" s="1540" t="str">
        <f t="shared" ref="DK13:DK20" si="53">IF(ISNONTEXT(AF13)=TRUE,"","X")</f>
        <v/>
      </c>
      <c r="DL13" s="1534" t="str">
        <f t="shared" ref="DL13:DL20" si="54">IF(AND(AF13&gt;=0)=TRUE,"","X")</f>
        <v/>
      </c>
      <c r="DM13" s="1703"/>
      <c r="DN13" s="1536" t="str">
        <f t="shared" ref="DN13:DN20" si="55">IF(ISNONTEXT(AG13)=TRUE,"","X")</f>
        <v/>
      </c>
      <c r="DO13" s="1534" t="str">
        <f t="shared" ref="DO13:DO20" si="56">IF(AND(AG13&gt;=0)=TRUE,"","X")</f>
        <v/>
      </c>
      <c r="DP13" s="1864"/>
      <c r="DQ13" s="1540" t="str">
        <f t="shared" ref="DQ13:DQ20" si="57">IF(ISNONTEXT(AH13)=TRUE,"","X")</f>
        <v/>
      </c>
      <c r="DR13" s="1534" t="str">
        <f t="shared" ref="DR13:DR20" si="58">IF(AND(AH13&gt;=0)=TRUE,"","X")</f>
        <v/>
      </c>
      <c r="DS13" s="1703"/>
      <c r="DT13" s="1536" t="str">
        <f t="shared" ref="DT13:DT20" si="59">IF(ISNONTEXT(AI13)=TRUE,"","X")</f>
        <v/>
      </c>
      <c r="DU13" s="1534" t="str">
        <f t="shared" ref="DU13:DU20" si="60">IF(AND(AI13&gt;=0)=TRUE,"","X")</f>
        <v/>
      </c>
      <c r="DV13" s="1703"/>
    </row>
    <row r="14" spans="1:126" s="971" customFormat="1" ht="15" customHeight="1">
      <c r="A14" s="621"/>
      <c r="B14" s="1084"/>
      <c r="C14" s="1084"/>
      <c r="D14" s="1863" t="s">
        <v>81</v>
      </c>
      <c r="E14" s="1239" t="s">
        <v>67</v>
      </c>
      <c r="F14" s="1240"/>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132"/>
      <c r="AK14" s="1540" t="str">
        <f t="shared" si="1"/>
        <v/>
      </c>
      <c r="AL14" s="1534" t="str">
        <f t="shared" si="2"/>
        <v/>
      </c>
      <c r="AM14" s="1535"/>
      <c r="AN14" s="1540" t="str">
        <f t="shared" si="3"/>
        <v/>
      </c>
      <c r="AO14" s="1534" t="str">
        <f t="shared" si="4"/>
        <v/>
      </c>
      <c r="AP14" s="1535"/>
      <c r="AQ14" s="1540" t="str">
        <f t="shared" si="5"/>
        <v/>
      </c>
      <c r="AR14" s="1534" t="str">
        <f t="shared" si="6"/>
        <v/>
      </c>
      <c r="AS14" s="1535"/>
      <c r="AT14" s="1540" t="str">
        <f t="shared" si="7"/>
        <v/>
      </c>
      <c r="AU14" s="1534" t="str">
        <f t="shared" si="8"/>
        <v/>
      </c>
      <c r="AV14" s="1535"/>
      <c r="AW14" s="1540" t="str">
        <f t="shared" si="9"/>
        <v/>
      </c>
      <c r="AX14" s="1534" t="str">
        <f t="shared" si="10"/>
        <v/>
      </c>
      <c r="AY14" s="1535"/>
      <c r="AZ14" s="1540" t="str">
        <f t="shared" si="11"/>
        <v/>
      </c>
      <c r="BA14" s="1534" t="str">
        <f t="shared" si="12"/>
        <v/>
      </c>
      <c r="BB14" s="1694"/>
      <c r="BC14" s="1540" t="str">
        <f t="shared" si="13"/>
        <v/>
      </c>
      <c r="BD14" s="1534" t="str">
        <f t="shared" si="14"/>
        <v/>
      </c>
      <c r="BE14" s="1868"/>
      <c r="BF14" s="1536" t="str">
        <f t="shared" si="15"/>
        <v/>
      </c>
      <c r="BG14" s="1534" t="str">
        <f t="shared" si="16"/>
        <v/>
      </c>
      <c r="BH14" s="1865"/>
      <c r="BI14" s="1540" t="str">
        <f t="shared" si="17"/>
        <v/>
      </c>
      <c r="BJ14" s="1534" t="str">
        <f t="shared" si="18"/>
        <v/>
      </c>
      <c r="BK14" s="1703"/>
      <c r="BL14" s="1536" t="str">
        <f t="shared" si="19"/>
        <v/>
      </c>
      <c r="BM14" s="1534" t="str">
        <f t="shared" si="20"/>
        <v/>
      </c>
      <c r="BN14" s="1864"/>
      <c r="BO14" s="1540" t="str">
        <f t="shared" si="21"/>
        <v/>
      </c>
      <c r="BP14" s="1534" t="str">
        <f t="shared" si="22"/>
        <v/>
      </c>
      <c r="BQ14" s="1703"/>
      <c r="BR14" s="1536" t="str">
        <f t="shared" si="23"/>
        <v/>
      </c>
      <c r="BS14" s="1534" t="str">
        <f t="shared" si="24"/>
        <v/>
      </c>
      <c r="BT14" s="1864"/>
      <c r="BU14" s="1540" t="str">
        <f t="shared" si="25"/>
        <v/>
      </c>
      <c r="BV14" s="1534" t="str">
        <f t="shared" si="26"/>
        <v/>
      </c>
      <c r="BW14" s="1703"/>
      <c r="BX14" s="1536" t="str">
        <f t="shared" si="27"/>
        <v/>
      </c>
      <c r="BY14" s="1534" t="str">
        <f t="shared" si="28"/>
        <v/>
      </c>
      <c r="BZ14" s="1864"/>
      <c r="CA14" s="1540" t="str">
        <f t="shared" si="29"/>
        <v/>
      </c>
      <c r="CB14" s="1534" t="str">
        <f t="shared" si="30"/>
        <v/>
      </c>
      <c r="CC14" s="1703"/>
      <c r="CD14" s="1536" t="str">
        <f t="shared" si="31"/>
        <v/>
      </c>
      <c r="CE14" s="1534" t="str">
        <f t="shared" si="32"/>
        <v/>
      </c>
      <c r="CF14" s="1864"/>
      <c r="CG14" s="1540" t="str">
        <f t="shared" si="33"/>
        <v/>
      </c>
      <c r="CH14" s="1534" t="str">
        <f t="shared" si="34"/>
        <v/>
      </c>
      <c r="CI14" s="1703"/>
      <c r="CJ14" s="1536" t="str">
        <f t="shared" si="35"/>
        <v/>
      </c>
      <c r="CK14" s="1534" t="str">
        <f t="shared" si="36"/>
        <v/>
      </c>
      <c r="CL14" s="1864"/>
      <c r="CM14" s="1540" t="str">
        <f t="shared" si="37"/>
        <v/>
      </c>
      <c r="CN14" s="1534" t="str">
        <f t="shared" si="38"/>
        <v/>
      </c>
      <c r="CO14" s="1703"/>
      <c r="CP14" s="1536" t="str">
        <f t="shared" si="39"/>
        <v/>
      </c>
      <c r="CQ14" s="1534" t="str">
        <f t="shared" si="40"/>
        <v/>
      </c>
      <c r="CR14" s="1864"/>
      <c r="CS14" s="1540" t="str">
        <f t="shared" si="41"/>
        <v/>
      </c>
      <c r="CT14" s="1534" t="str">
        <f t="shared" si="42"/>
        <v/>
      </c>
      <c r="CU14" s="1703"/>
      <c r="CV14" s="1536" t="str">
        <f t="shared" si="43"/>
        <v/>
      </c>
      <c r="CW14" s="1534" t="str">
        <f t="shared" si="44"/>
        <v/>
      </c>
      <c r="CX14" s="1864"/>
      <c r="CY14" s="1540" t="str">
        <f t="shared" si="45"/>
        <v/>
      </c>
      <c r="CZ14" s="1534" t="str">
        <f t="shared" si="46"/>
        <v/>
      </c>
      <c r="DA14" s="1703"/>
      <c r="DB14" s="1536" t="str">
        <f t="shared" si="47"/>
        <v/>
      </c>
      <c r="DC14" s="1534" t="str">
        <f t="shared" si="48"/>
        <v/>
      </c>
      <c r="DD14" s="1864"/>
      <c r="DE14" s="1540" t="str">
        <f t="shared" si="49"/>
        <v/>
      </c>
      <c r="DF14" s="1534" t="str">
        <f t="shared" si="50"/>
        <v/>
      </c>
      <c r="DG14" s="1703"/>
      <c r="DH14" s="1536" t="str">
        <f t="shared" si="51"/>
        <v/>
      </c>
      <c r="DI14" s="1534" t="str">
        <f t="shared" si="52"/>
        <v/>
      </c>
      <c r="DJ14" s="1864"/>
      <c r="DK14" s="1540" t="str">
        <f t="shared" si="53"/>
        <v/>
      </c>
      <c r="DL14" s="1534" t="str">
        <f t="shared" si="54"/>
        <v/>
      </c>
      <c r="DM14" s="1703"/>
      <c r="DN14" s="1536" t="str">
        <f t="shared" si="55"/>
        <v/>
      </c>
      <c r="DO14" s="1534" t="str">
        <f t="shared" si="56"/>
        <v/>
      </c>
      <c r="DP14" s="1864"/>
      <c r="DQ14" s="1540" t="str">
        <f t="shared" si="57"/>
        <v/>
      </c>
      <c r="DR14" s="1534" t="str">
        <f t="shared" si="58"/>
        <v/>
      </c>
      <c r="DS14" s="1703"/>
      <c r="DT14" s="1536" t="str">
        <f t="shared" si="59"/>
        <v/>
      </c>
      <c r="DU14" s="1534" t="str">
        <f t="shared" si="60"/>
        <v/>
      </c>
      <c r="DV14" s="1703"/>
    </row>
    <row r="15" spans="1:126" s="971" customFormat="1" ht="15" customHeight="1">
      <c r="A15" s="621"/>
      <c r="B15" s="1084"/>
      <c r="C15" s="1084"/>
      <c r="D15" s="1863" t="s">
        <v>82</v>
      </c>
      <c r="E15" s="1239" t="s">
        <v>67</v>
      </c>
      <c r="F15" s="1240"/>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132"/>
      <c r="AK15" s="1540" t="str">
        <f t="shared" si="1"/>
        <v/>
      </c>
      <c r="AL15" s="1534" t="str">
        <f t="shared" si="2"/>
        <v/>
      </c>
      <c r="AM15" s="1535"/>
      <c r="AN15" s="1540" t="str">
        <f t="shared" si="3"/>
        <v/>
      </c>
      <c r="AO15" s="1534" t="str">
        <f t="shared" si="4"/>
        <v/>
      </c>
      <c r="AP15" s="1535"/>
      <c r="AQ15" s="1540" t="str">
        <f t="shared" si="5"/>
        <v/>
      </c>
      <c r="AR15" s="1534" t="str">
        <f t="shared" si="6"/>
        <v/>
      </c>
      <c r="AS15" s="1535"/>
      <c r="AT15" s="1540" t="str">
        <f t="shared" si="7"/>
        <v/>
      </c>
      <c r="AU15" s="1534" t="str">
        <f t="shared" si="8"/>
        <v/>
      </c>
      <c r="AV15" s="1535"/>
      <c r="AW15" s="1540" t="str">
        <f t="shared" si="9"/>
        <v/>
      </c>
      <c r="AX15" s="1534" t="str">
        <f t="shared" si="10"/>
        <v/>
      </c>
      <c r="AY15" s="1535"/>
      <c r="AZ15" s="1540" t="str">
        <f t="shared" si="11"/>
        <v/>
      </c>
      <c r="BA15" s="1534" t="str">
        <f t="shared" si="12"/>
        <v/>
      </c>
      <c r="BB15" s="1694"/>
      <c r="BC15" s="1540" t="str">
        <f t="shared" si="13"/>
        <v/>
      </c>
      <c r="BD15" s="1534" t="str">
        <f t="shared" si="14"/>
        <v/>
      </c>
      <c r="BE15" s="1868"/>
      <c r="BF15" s="1536" t="str">
        <f t="shared" si="15"/>
        <v/>
      </c>
      <c r="BG15" s="1534" t="str">
        <f t="shared" si="16"/>
        <v/>
      </c>
      <c r="BH15" s="1865"/>
      <c r="BI15" s="1540" t="str">
        <f t="shared" si="17"/>
        <v/>
      </c>
      <c r="BJ15" s="1534" t="str">
        <f t="shared" si="18"/>
        <v/>
      </c>
      <c r="BK15" s="1703"/>
      <c r="BL15" s="1536" t="str">
        <f t="shared" si="19"/>
        <v/>
      </c>
      <c r="BM15" s="1534" t="str">
        <f t="shared" si="20"/>
        <v/>
      </c>
      <c r="BN15" s="1864"/>
      <c r="BO15" s="1540" t="str">
        <f t="shared" si="21"/>
        <v/>
      </c>
      <c r="BP15" s="1534" t="str">
        <f t="shared" si="22"/>
        <v/>
      </c>
      <c r="BQ15" s="1703"/>
      <c r="BR15" s="1536" t="str">
        <f t="shared" si="23"/>
        <v/>
      </c>
      <c r="BS15" s="1534" t="str">
        <f t="shared" si="24"/>
        <v/>
      </c>
      <c r="BT15" s="1864"/>
      <c r="BU15" s="1540" t="str">
        <f t="shared" si="25"/>
        <v/>
      </c>
      <c r="BV15" s="1534" t="str">
        <f t="shared" si="26"/>
        <v/>
      </c>
      <c r="BW15" s="1703"/>
      <c r="BX15" s="1536" t="str">
        <f t="shared" si="27"/>
        <v/>
      </c>
      <c r="BY15" s="1534" t="str">
        <f t="shared" si="28"/>
        <v/>
      </c>
      <c r="BZ15" s="1864"/>
      <c r="CA15" s="1540" t="str">
        <f t="shared" si="29"/>
        <v/>
      </c>
      <c r="CB15" s="1534" t="str">
        <f t="shared" si="30"/>
        <v/>
      </c>
      <c r="CC15" s="1703"/>
      <c r="CD15" s="1536" t="str">
        <f t="shared" si="31"/>
        <v/>
      </c>
      <c r="CE15" s="1534" t="str">
        <f t="shared" si="32"/>
        <v/>
      </c>
      <c r="CF15" s="1864"/>
      <c r="CG15" s="1540" t="str">
        <f t="shared" si="33"/>
        <v/>
      </c>
      <c r="CH15" s="1534" t="str">
        <f t="shared" si="34"/>
        <v/>
      </c>
      <c r="CI15" s="1703"/>
      <c r="CJ15" s="1536" t="str">
        <f t="shared" si="35"/>
        <v/>
      </c>
      <c r="CK15" s="1534" t="str">
        <f t="shared" si="36"/>
        <v/>
      </c>
      <c r="CL15" s="1864"/>
      <c r="CM15" s="1540" t="str">
        <f t="shared" si="37"/>
        <v/>
      </c>
      <c r="CN15" s="1534" t="str">
        <f t="shared" si="38"/>
        <v/>
      </c>
      <c r="CO15" s="1703"/>
      <c r="CP15" s="1536" t="str">
        <f t="shared" si="39"/>
        <v/>
      </c>
      <c r="CQ15" s="1534" t="str">
        <f t="shared" si="40"/>
        <v/>
      </c>
      <c r="CR15" s="1864"/>
      <c r="CS15" s="1540" t="str">
        <f t="shared" si="41"/>
        <v/>
      </c>
      <c r="CT15" s="1534" t="str">
        <f t="shared" si="42"/>
        <v/>
      </c>
      <c r="CU15" s="1703"/>
      <c r="CV15" s="1536" t="str">
        <f t="shared" si="43"/>
        <v/>
      </c>
      <c r="CW15" s="1534" t="str">
        <f t="shared" si="44"/>
        <v/>
      </c>
      <c r="CX15" s="1864"/>
      <c r="CY15" s="1540" t="str">
        <f t="shared" si="45"/>
        <v/>
      </c>
      <c r="CZ15" s="1534" t="str">
        <f t="shared" si="46"/>
        <v/>
      </c>
      <c r="DA15" s="1703"/>
      <c r="DB15" s="1536" t="str">
        <f t="shared" si="47"/>
        <v/>
      </c>
      <c r="DC15" s="1534" t="str">
        <f t="shared" si="48"/>
        <v/>
      </c>
      <c r="DD15" s="1864"/>
      <c r="DE15" s="1540" t="str">
        <f t="shared" si="49"/>
        <v/>
      </c>
      <c r="DF15" s="1534" t="str">
        <f t="shared" si="50"/>
        <v/>
      </c>
      <c r="DG15" s="1703"/>
      <c r="DH15" s="1536" t="str">
        <f t="shared" si="51"/>
        <v/>
      </c>
      <c r="DI15" s="1534" t="str">
        <f t="shared" si="52"/>
        <v/>
      </c>
      <c r="DJ15" s="1864"/>
      <c r="DK15" s="1540" t="str">
        <f t="shared" si="53"/>
        <v/>
      </c>
      <c r="DL15" s="1534" t="str">
        <f t="shared" si="54"/>
        <v/>
      </c>
      <c r="DM15" s="1703"/>
      <c r="DN15" s="1536" t="str">
        <f t="shared" si="55"/>
        <v/>
      </c>
      <c r="DO15" s="1534" t="str">
        <f t="shared" si="56"/>
        <v/>
      </c>
      <c r="DP15" s="1864"/>
      <c r="DQ15" s="1540" t="str">
        <f t="shared" si="57"/>
        <v/>
      </c>
      <c r="DR15" s="1534" t="str">
        <f t="shared" si="58"/>
        <v/>
      </c>
      <c r="DS15" s="1703"/>
      <c r="DT15" s="1536" t="str">
        <f t="shared" si="59"/>
        <v/>
      </c>
      <c r="DU15" s="1534" t="str">
        <f t="shared" si="60"/>
        <v/>
      </c>
      <c r="DV15" s="1703"/>
    </row>
    <row r="16" spans="1:126" s="971" customFormat="1" ht="15" customHeight="1">
      <c r="A16" s="621"/>
      <c r="B16" s="1084"/>
      <c r="C16" s="1084"/>
      <c r="D16" s="1863" t="s">
        <v>1028</v>
      </c>
      <c r="E16" s="1239" t="s">
        <v>1018</v>
      </c>
      <c r="F16" s="1240"/>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132"/>
      <c r="AK16" s="1540" t="str">
        <f t="shared" si="1"/>
        <v/>
      </c>
      <c r="AL16" s="1534" t="str">
        <f t="shared" si="2"/>
        <v/>
      </c>
      <c r="AM16" s="1535"/>
      <c r="AN16" s="1540" t="str">
        <f t="shared" si="3"/>
        <v/>
      </c>
      <c r="AO16" s="1534" t="str">
        <f t="shared" si="4"/>
        <v/>
      </c>
      <c r="AP16" s="1535"/>
      <c r="AQ16" s="1540" t="str">
        <f t="shared" si="5"/>
        <v/>
      </c>
      <c r="AR16" s="1534" t="str">
        <f t="shared" si="6"/>
        <v/>
      </c>
      <c r="AS16" s="1535"/>
      <c r="AT16" s="1540" t="str">
        <f t="shared" si="7"/>
        <v/>
      </c>
      <c r="AU16" s="1534" t="str">
        <f t="shared" si="8"/>
        <v/>
      </c>
      <c r="AV16" s="1535"/>
      <c r="AW16" s="1540" t="str">
        <f t="shared" si="9"/>
        <v/>
      </c>
      <c r="AX16" s="1534" t="str">
        <f t="shared" si="10"/>
        <v/>
      </c>
      <c r="AY16" s="1535"/>
      <c r="AZ16" s="1540" t="str">
        <f t="shared" si="11"/>
        <v/>
      </c>
      <c r="BA16" s="1534" t="str">
        <f t="shared" si="12"/>
        <v/>
      </c>
      <c r="BB16" s="1694"/>
      <c r="BC16" s="1540" t="str">
        <f t="shared" si="13"/>
        <v/>
      </c>
      <c r="BD16" s="1534" t="str">
        <f t="shared" si="14"/>
        <v/>
      </c>
      <c r="BE16" s="1868"/>
      <c r="BF16" s="1536" t="str">
        <f t="shared" si="15"/>
        <v/>
      </c>
      <c r="BG16" s="1534" t="str">
        <f t="shared" si="16"/>
        <v/>
      </c>
      <c r="BH16" s="1865"/>
      <c r="BI16" s="1540" t="str">
        <f t="shared" si="17"/>
        <v/>
      </c>
      <c r="BJ16" s="1534" t="str">
        <f t="shared" si="18"/>
        <v/>
      </c>
      <c r="BK16" s="1703"/>
      <c r="BL16" s="1536" t="str">
        <f t="shared" si="19"/>
        <v/>
      </c>
      <c r="BM16" s="1534" t="str">
        <f t="shared" si="20"/>
        <v/>
      </c>
      <c r="BN16" s="1864"/>
      <c r="BO16" s="1540" t="str">
        <f t="shared" si="21"/>
        <v/>
      </c>
      <c r="BP16" s="1534" t="str">
        <f t="shared" si="22"/>
        <v/>
      </c>
      <c r="BQ16" s="1703"/>
      <c r="BR16" s="1536" t="str">
        <f t="shared" si="23"/>
        <v/>
      </c>
      <c r="BS16" s="1534" t="str">
        <f t="shared" si="24"/>
        <v/>
      </c>
      <c r="BT16" s="1864"/>
      <c r="BU16" s="1540" t="str">
        <f t="shared" si="25"/>
        <v/>
      </c>
      <c r="BV16" s="1534" t="str">
        <f t="shared" si="26"/>
        <v/>
      </c>
      <c r="BW16" s="1703"/>
      <c r="BX16" s="1536" t="str">
        <f t="shared" si="27"/>
        <v/>
      </c>
      <c r="BY16" s="1534" t="str">
        <f t="shared" si="28"/>
        <v/>
      </c>
      <c r="BZ16" s="1864"/>
      <c r="CA16" s="1540" t="str">
        <f t="shared" si="29"/>
        <v/>
      </c>
      <c r="CB16" s="1534" t="str">
        <f t="shared" si="30"/>
        <v/>
      </c>
      <c r="CC16" s="1703"/>
      <c r="CD16" s="1536" t="str">
        <f t="shared" si="31"/>
        <v/>
      </c>
      <c r="CE16" s="1534" t="str">
        <f t="shared" si="32"/>
        <v/>
      </c>
      <c r="CF16" s="1864"/>
      <c r="CG16" s="1540" t="str">
        <f t="shared" si="33"/>
        <v/>
      </c>
      <c r="CH16" s="1534" t="str">
        <f t="shared" si="34"/>
        <v/>
      </c>
      <c r="CI16" s="1703"/>
      <c r="CJ16" s="1536" t="str">
        <f t="shared" si="35"/>
        <v/>
      </c>
      <c r="CK16" s="1534" t="str">
        <f t="shared" si="36"/>
        <v/>
      </c>
      <c r="CL16" s="1864"/>
      <c r="CM16" s="1540" t="str">
        <f t="shared" si="37"/>
        <v/>
      </c>
      <c r="CN16" s="1534" t="str">
        <f t="shared" si="38"/>
        <v/>
      </c>
      <c r="CO16" s="1703"/>
      <c r="CP16" s="1536" t="str">
        <f t="shared" si="39"/>
        <v/>
      </c>
      <c r="CQ16" s="1534" t="str">
        <f t="shared" si="40"/>
        <v/>
      </c>
      <c r="CR16" s="1864"/>
      <c r="CS16" s="1540" t="str">
        <f t="shared" si="41"/>
        <v/>
      </c>
      <c r="CT16" s="1534" t="str">
        <f t="shared" si="42"/>
        <v/>
      </c>
      <c r="CU16" s="1703"/>
      <c r="CV16" s="1536" t="str">
        <f t="shared" si="43"/>
        <v/>
      </c>
      <c r="CW16" s="1534" t="str">
        <f t="shared" si="44"/>
        <v/>
      </c>
      <c r="CX16" s="1864"/>
      <c r="CY16" s="1540" t="str">
        <f t="shared" si="45"/>
        <v/>
      </c>
      <c r="CZ16" s="1534" t="str">
        <f t="shared" si="46"/>
        <v/>
      </c>
      <c r="DA16" s="1703"/>
      <c r="DB16" s="1536" t="str">
        <f t="shared" si="47"/>
        <v/>
      </c>
      <c r="DC16" s="1534" t="str">
        <f t="shared" si="48"/>
        <v/>
      </c>
      <c r="DD16" s="1864"/>
      <c r="DE16" s="1540" t="str">
        <f t="shared" si="49"/>
        <v/>
      </c>
      <c r="DF16" s="1534" t="str">
        <f t="shared" si="50"/>
        <v/>
      </c>
      <c r="DG16" s="1703"/>
      <c r="DH16" s="1536" t="str">
        <f t="shared" si="51"/>
        <v/>
      </c>
      <c r="DI16" s="1534" t="str">
        <f t="shared" si="52"/>
        <v/>
      </c>
      <c r="DJ16" s="1864"/>
      <c r="DK16" s="1540" t="str">
        <f t="shared" si="53"/>
        <v/>
      </c>
      <c r="DL16" s="1534" t="str">
        <f t="shared" si="54"/>
        <v/>
      </c>
      <c r="DM16" s="1703"/>
      <c r="DN16" s="1536" t="str">
        <f t="shared" si="55"/>
        <v/>
      </c>
      <c r="DO16" s="1534" t="str">
        <f t="shared" si="56"/>
        <v/>
      </c>
      <c r="DP16" s="1864"/>
      <c r="DQ16" s="1540" t="str">
        <f t="shared" si="57"/>
        <v/>
      </c>
      <c r="DR16" s="1534" t="str">
        <f t="shared" si="58"/>
        <v/>
      </c>
      <c r="DS16" s="1703"/>
      <c r="DT16" s="1536" t="str">
        <f t="shared" si="59"/>
        <v/>
      </c>
      <c r="DU16" s="1534" t="str">
        <f t="shared" si="60"/>
        <v/>
      </c>
      <c r="DV16" s="1703"/>
    </row>
    <row r="17" spans="1:126" s="971" customFormat="1" ht="15" customHeight="1">
      <c r="A17" s="621"/>
      <c r="B17" s="1084"/>
      <c r="C17" s="1084"/>
      <c r="D17" s="1863" t="s">
        <v>83</v>
      </c>
      <c r="E17" s="1239" t="s">
        <v>107</v>
      </c>
      <c r="F17" s="1240"/>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132"/>
      <c r="AK17" s="1540" t="str">
        <f t="shared" ref="AK17:AK20" si="61">IF(ISNONTEXT(F17)=TRUE,"","X")</f>
        <v/>
      </c>
      <c r="AL17" s="1534" t="str">
        <f t="shared" ref="AL17:AL20" si="62">IF(AND(F17&gt;=0)=TRUE,"","X")</f>
        <v/>
      </c>
      <c r="AM17" s="1535"/>
      <c r="AN17" s="1540" t="str">
        <f t="shared" ref="AN17:AN20" si="63">IF(ISNONTEXT(G17)=TRUE,"","X")</f>
        <v/>
      </c>
      <c r="AO17" s="1534" t="str">
        <f t="shared" ref="AO17:AO20" si="64">IF(AND(G17&gt;=0)=TRUE,"","X")</f>
        <v/>
      </c>
      <c r="AP17" s="1535"/>
      <c r="AQ17" s="1540" t="str">
        <f t="shared" ref="AQ17:AQ20" si="65">IF(ISNONTEXT(H17)=TRUE,"","X")</f>
        <v/>
      </c>
      <c r="AR17" s="1534" t="str">
        <f t="shared" ref="AR17:AR20" si="66">IF(AND(H17&gt;=0)=TRUE,"","X")</f>
        <v/>
      </c>
      <c r="AS17" s="1535"/>
      <c r="AT17" s="1540" t="str">
        <f t="shared" ref="AT17:AT20" si="67">IF(ISNONTEXT(I17)=TRUE,"","X")</f>
        <v/>
      </c>
      <c r="AU17" s="1534" t="str">
        <f t="shared" ref="AU17:AU20" si="68">IF(AND(I17&gt;=0)=TRUE,"","X")</f>
        <v/>
      </c>
      <c r="AV17" s="1535"/>
      <c r="AW17" s="1540" t="str">
        <f t="shared" ref="AW17:AW20" si="69">IF(ISNONTEXT(J17)=TRUE,"","X")</f>
        <v/>
      </c>
      <c r="AX17" s="1534" t="str">
        <f t="shared" ref="AX17:AX20" si="70">IF(AND(J17&gt;=0)=TRUE,"","X")</f>
        <v/>
      </c>
      <c r="AY17" s="1535"/>
      <c r="AZ17" s="1540" t="str">
        <f t="shared" ref="AZ17:AZ20" si="71">IF(ISNONTEXT(N17)=TRUE,"","X")</f>
        <v/>
      </c>
      <c r="BA17" s="1534" t="str">
        <f t="shared" ref="BA17:BA20" si="72">IF(AND(N17&gt;=0)=TRUE,"","X")</f>
        <v/>
      </c>
      <c r="BB17" s="1694"/>
      <c r="BC17" s="1540" t="str">
        <f t="shared" si="13"/>
        <v/>
      </c>
      <c r="BD17" s="1534" t="str">
        <f t="shared" si="14"/>
        <v/>
      </c>
      <c r="BE17" s="1868"/>
      <c r="BF17" s="1536" t="str">
        <f t="shared" si="15"/>
        <v/>
      </c>
      <c r="BG17" s="1534" t="str">
        <f t="shared" si="16"/>
        <v/>
      </c>
      <c r="BH17" s="1865"/>
      <c r="BI17" s="1540" t="str">
        <f t="shared" si="17"/>
        <v/>
      </c>
      <c r="BJ17" s="1534" t="str">
        <f t="shared" si="18"/>
        <v/>
      </c>
      <c r="BK17" s="1703"/>
      <c r="BL17" s="1536" t="str">
        <f t="shared" si="19"/>
        <v/>
      </c>
      <c r="BM17" s="1534" t="str">
        <f t="shared" si="20"/>
        <v/>
      </c>
      <c r="BN17" s="1864"/>
      <c r="BO17" s="1540" t="str">
        <f t="shared" si="21"/>
        <v/>
      </c>
      <c r="BP17" s="1534" t="str">
        <f t="shared" si="22"/>
        <v/>
      </c>
      <c r="BQ17" s="1703"/>
      <c r="BR17" s="1536" t="str">
        <f t="shared" si="23"/>
        <v/>
      </c>
      <c r="BS17" s="1534" t="str">
        <f t="shared" si="24"/>
        <v/>
      </c>
      <c r="BT17" s="1864"/>
      <c r="BU17" s="1540" t="str">
        <f t="shared" si="25"/>
        <v/>
      </c>
      <c r="BV17" s="1534" t="str">
        <f t="shared" si="26"/>
        <v/>
      </c>
      <c r="BW17" s="1703"/>
      <c r="BX17" s="1536" t="str">
        <f t="shared" si="27"/>
        <v/>
      </c>
      <c r="BY17" s="1534" t="str">
        <f t="shared" si="28"/>
        <v/>
      </c>
      <c r="BZ17" s="1864"/>
      <c r="CA17" s="1540" t="str">
        <f t="shared" si="29"/>
        <v/>
      </c>
      <c r="CB17" s="1534" t="str">
        <f t="shared" si="30"/>
        <v/>
      </c>
      <c r="CC17" s="1703"/>
      <c r="CD17" s="1536" t="str">
        <f t="shared" si="31"/>
        <v/>
      </c>
      <c r="CE17" s="1534" t="str">
        <f t="shared" si="32"/>
        <v/>
      </c>
      <c r="CF17" s="1864"/>
      <c r="CG17" s="1540" t="str">
        <f t="shared" si="33"/>
        <v/>
      </c>
      <c r="CH17" s="1534" t="str">
        <f t="shared" si="34"/>
        <v/>
      </c>
      <c r="CI17" s="1703"/>
      <c r="CJ17" s="1536" t="str">
        <f t="shared" si="35"/>
        <v/>
      </c>
      <c r="CK17" s="1534" t="str">
        <f t="shared" si="36"/>
        <v/>
      </c>
      <c r="CL17" s="1864"/>
      <c r="CM17" s="1540" t="str">
        <f t="shared" si="37"/>
        <v/>
      </c>
      <c r="CN17" s="1534" t="str">
        <f t="shared" si="38"/>
        <v/>
      </c>
      <c r="CO17" s="1703"/>
      <c r="CP17" s="1536" t="str">
        <f t="shared" si="39"/>
        <v/>
      </c>
      <c r="CQ17" s="1534" t="str">
        <f t="shared" si="40"/>
        <v/>
      </c>
      <c r="CR17" s="1864"/>
      <c r="CS17" s="1540" t="str">
        <f t="shared" si="41"/>
        <v/>
      </c>
      <c r="CT17" s="1534" t="str">
        <f t="shared" si="42"/>
        <v/>
      </c>
      <c r="CU17" s="1703"/>
      <c r="CV17" s="1536" t="str">
        <f t="shared" si="43"/>
        <v/>
      </c>
      <c r="CW17" s="1534" t="str">
        <f t="shared" si="44"/>
        <v/>
      </c>
      <c r="CX17" s="1864"/>
      <c r="CY17" s="1540" t="str">
        <f t="shared" si="45"/>
        <v/>
      </c>
      <c r="CZ17" s="1534" t="str">
        <f t="shared" si="46"/>
        <v/>
      </c>
      <c r="DA17" s="1703"/>
      <c r="DB17" s="1536" t="str">
        <f t="shared" si="47"/>
        <v/>
      </c>
      <c r="DC17" s="1534" t="str">
        <f t="shared" si="48"/>
        <v/>
      </c>
      <c r="DD17" s="1864"/>
      <c r="DE17" s="1540" t="str">
        <f t="shared" si="49"/>
        <v/>
      </c>
      <c r="DF17" s="1534" t="str">
        <f t="shared" si="50"/>
        <v/>
      </c>
      <c r="DG17" s="1703"/>
      <c r="DH17" s="1536" t="str">
        <f t="shared" si="51"/>
        <v/>
      </c>
      <c r="DI17" s="1534" t="str">
        <f t="shared" si="52"/>
        <v/>
      </c>
      <c r="DJ17" s="1864"/>
      <c r="DK17" s="1540" t="str">
        <f t="shared" si="53"/>
        <v/>
      </c>
      <c r="DL17" s="1534" t="str">
        <f t="shared" si="54"/>
        <v/>
      </c>
      <c r="DM17" s="1703"/>
      <c r="DN17" s="1536" t="str">
        <f t="shared" si="55"/>
        <v/>
      </c>
      <c r="DO17" s="1534" t="str">
        <f t="shared" si="56"/>
        <v/>
      </c>
      <c r="DP17" s="1864"/>
      <c r="DQ17" s="1540" t="str">
        <f t="shared" si="57"/>
        <v/>
      </c>
      <c r="DR17" s="1534" t="str">
        <f t="shared" si="58"/>
        <v/>
      </c>
      <c r="DS17" s="1703"/>
      <c r="DT17" s="1536" t="str">
        <f t="shared" si="59"/>
        <v/>
      </c>
      <c r="DU17" s="1534" t="str">
        <f t="shared" si="60"/>
        <v/>
      </c>
      <c r="DV17" s="1703"/>
    </row>
    <row r="18" spans="1:126" s="971" customFormat="1" ht="15" customHeight="1">
      <c r="A18" s="621"/>
      <c r="B18" s="1084"/>
      <c r="C18" s="1084"/>
      <c r="D18" s="1863" t="s">
        <v>1528</v>
      </c>
      <c r="E18" s="1239" t="s">
        <v>1018</v>
      </c>
      <c r="F18" s="1240"/>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132"/>
      <c r="AK18" s="1540" t="str">
        <f t="shared" si="61"/>
        <v/>
      </c>
      <c r="AL18" s="1534" t="str">
        <f t="shared" si="62"/>
        <v/>
      </c>
      <c r="AM18" s="1535"/>
      <c r="AN18" s="1540" t="str">
        <f t="shared" si="63"/>
        <v/>
      </c>
      <c r="AO18" s="1534" t="str">
        <f t="shared" si="64"/>
        <v/>
      </c>
      <c r="AP18" s="1535"/>
      <c r="AQ18" s="1540" t="str">
        <f t="shared" si="65"/>
        <v/>
      </c>
      <c r="AR18" s="1534" t="str">
        <f t="shared" si="66"/>
        <v/>
      </c>
      <c r="AS18" s="1535"/>
      <c r="AT18" s="1540" t="str">
        <f t="shared" si="67"/>
        <v/>
      </c>
      <c r="AU18" s="1534" t="str">
        <f t="shared" si="68"/>
        <v/>
      </c>
      <c r="AV18" s="1535"/>
      <c r="AW18" s="1540" t="str">
        <f t="shared" si="69"/>
        <v/>
      </c>
      <c r="AX18" s="1534" t="str">
        <f t="shared" si="70"/>
        <v/>
      </c>
      <c r="AY18" s="1535"/>
      <c r="AZ18" s="1540" t="str">
        <f t="shared" si="71"/>
        <v/>
      </c>
      <c r="BA18" s="1534" t="str">
        <f t="shared" si="72"/>
        <v/>
      </c>
      <c r="BB18" s="1694"/>
      <c r="BC18" s="1540" t="str">
        <f t="shared" si="13"/>
        <v/>
      </c>
      <c r="BD18" s="1534" t="str">
        <f t="shared" si="14"/>
        <v/>
      </c>
      <c r="BE18" s="1868"/>
      <c r="BF18" s="1536" t="str">
        <f t="shared" si="15"/>
        <v/>
      </c>
      <c r="BG18" s="1534" t="str">
        <f t="shared" si="16"/>
        <v/>
      </c>
      <c r="BH18" s="1865"/>
      <c r="BI18" s="1540" t="str">
        <f t="shared" si="17"/>
        <v/>
      </c>
      <c r="BJ18" s="1534" t="str">
        <f t="shared" si="18"/>
        <v/>
      </c>
      <c r="BK18" s="1703"/>
      <c r="BL18" s="1536" t="str">
        <f t="shared" si="19"/>
        <v/>
      </c>
      <c r="BM18" s="1534" t="str">
        <f t="shared" si="20"/>
        <v/>
      </c>
      <c r="BN18" s="1864"/>
      <c r="BO18" s="1540" t="str">
        <f t="shared" si="21"/>
        <v/>
      </c>
      <c r="BP18" s="1534" t="str">
        <f t="shared" si="22"/>
        <v/>
      </c>
      <c r="BQ18" s="1703"/>
      <c r="BR18" s="1536" t="str">
        <f t="shared" si="23"/>
        <v/>
      </c>
      <c r="BS18" s="1534" t="str">
        <f t="shared" si="24"/>
        <v/>
      </c>
      <c r="BT18" s="1864"/>
      <c r="BU18" s="1540" t="str">
        <f t="shared" si="25"/>
        <v/>
      </c>
      <c r="BV18" s="1534" t="str">
        <f t="shared" si="26"/>
        <v/>
      </c>
      <c r="BW18" s="1703"/>
      <c r="BX18" s="1536" t="str">
        <f t="shared" si="27"/>
        <v/>
      </c>
      <c r="BY18" s="1534" t="str">
        <f t="shared" si="28"/>
        <v/>
      </c>
      <c r="BZ18" s="1864"/>
      <c r="CA18" s="1540" t="str">
        <f t="shared" si="29"/>
        <v/>
      </c>
      <c r="CB18" s="1534" t="str">
        <f t="shared" si="30"/>
        <v/>
      </c>
      <c r="CC18" s="1703"/>
      <c r="CD18" s="1536" t="str">
        <f t="shared" si="31"/>
        <v/>
      </c>
      <c r="CE18" s="1534" t="str">
        <f t="shared" si="32"/>
        <v/>
      </c>
      <c r="CF18" s="1864"/>
      <c r="CG18" s="1540" t="str">
        <f t="shared" si="33"/>
        <v/>
      </c>
      <c r="CH18" s="1534" t="str">
        <f t="shared" si="34"/>
        <v/>
      </c>
      <c r="CI18" s="1703"/>
      <c r="CJ18" s="1536" t="str">
        <f t="shared" si="35"/>
        <v/>
      </c>
      <c r="CK18" s="1534" t="str">
        <f t="shared" si="36"/>
        <v/>
      </c>
      <c r="CL18" s="1864"/>
      <c r="CM18" s="1540" t="str">
        <f t="shared" si="37"/>
        <v/>
      </c>
      <c r="CN18" s="1534" t="str">
        <f t="shared" si="38"/>
        <v/>
      </c>
      <c r="CO18" s="1703"/>
      <c r="CP18" s="1536" t="str">
        <f t="shared" si="39"/>
        <v/>
      </c>
      <c r="CQ18" s="1534" t="str">
        <f t="shared" si="40"/>
        <v/>
      </c>
      <c r="CR18" s="1864"/>
      <c r="CS18" s="1540" t="str">
        <f t="shared" si="41"/>
        <v/>
      </c>
      <c r="CT18" s="1534" t="str">
        <f t="shared" si="42"/>
        <v/>
      </c>
      <c r="CU18" s="1703"/>
      <c r="CV18" s="1536" t="str">
        <f t="shared" si="43"/>
        <v/>
      </c>
      <c r="CW18" s="1534" t="str">
        <f t="shared" si="44"/>
        <v/>
      </c>
      <c r="CX18" s="1864"/>
      <c r="CY18" s="1540" t="str">
        <f t="shared" si="45"/>
        <v/>
      </c>
      <c r="CZ18" s="1534" t="str">
        <f t="shared" si="46"/>
        <v/>
      </c>
      <c r="DA18" s="1703"/>
      <c r="DB18" s="1536" t="str">
        <f t="shared" si="47"/>
        <v/>
      </c>
      <c r="DC18" s="1534" t="str">
        <f t="shared" si="48"/>
        <v/>
      </c>
      <c r="DD18" s="1864"/>
      <c r="DE18" s="1540" t="str">
        <f t="shared" si="49"/>
        <v/>
      </c>
      <c r="DF18" s="1534" t="str">
        <f t="shared" si="50"/>
        <v/>
      </c>
      <c r="DG18" s="1703"/>
      <c r="DH18" s="1536" t="str">
        <f t="shared" si="51"/>
        <v/>
      </c>
      <c r="DI18" s="1534" t="str">
        <f t="shared" si="52"/>
        <v/>
      </c>
      <c r="DJ18" s="1864"/>
      <c r="DK18" s="1540" t="str">
        <f t="shared" si="53"/>
        <v/>
      </c>
      <c r="DL18" s="1534" t="str">
        <f t="shared" si="54"/>
        <v/>
      </c>
      <c r="DM18" s="1703"/>
      <c r="DN18" s="1536" t="str">
        <f t="shared" si="55"/>
        <v/>
      </c>
      <c r="DO18" s="1534" t="str">
        <f t="shared" si="56"/>
        <v/>
      </c>
      <c r="DP18" s="1864"/>
      <c r="DQ18" s="1540" t="str">
        <f t="shared" si="57"/>
        <v/>
      </c>
      <c r="DR18" s="1534" t="str">
        <f t="shared" si="58"/>
        <v/>
      </c>
      <c r="DS18" s="1703"/>
      <c r="DT18" s="1536" t="str">
        <f t="shared" si="59"/>
        <v/>
      </c>
      <c r="DU18" s="1534" t="str">
        <f t="shared" si="60"/>
        <v/>
      </c>
      <c r="DV18" s="1703"/>
    </row>
    <row r="19" spans="1:126" s="971" customFormat="1" ht="15" customHeight="1">
      <c r="A19" s="621"/>
      <c r="B19" s="1084"/>
      <c r="C19" s="1084"/>
      <c r="D19" s="1863" t="s">
        <v>1029</v>
      </c>
      <c r="E19" s="1239" t="s">
        <v>1018</v>
      </c>
      <c r="F19" s="1240"/>
      <c r="G19" s="1241"/>
      <c r="H19" s="1241"/>
      <c r="I19" s="1241"/>
      <c r="J19" s="1241"/>
      <c r="K19" s="1241"/>
      <c r="L19" s="1241"/>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1241"/>
      <c r="AI19" s="1132"/>
      <c r="AK19" s="1540" t="str">
        <f t="shared" si="61"/>
        <v/>
      </c>
      <c r="AL19" s="1534" t="str">
        <f t="shared" si="62"/>
        <v/>
      </c>
      <c r="AM19" s="1535"/>
      <c r="AN19" s="1540" t="str">
        <f t="shared" si="63"/>
        <v/>
      </c>
      <c r="AO19" s="1534" t="str">
        <f t="shared" si="64"/>
        <v/>
      </c>
      <c r="AP19" s="1535"/>
      <c r="AQ19" s="1540" t="str">
        <f t="shared" si="65"/>
        <v/>
      </c>
      <c r="AR19" s="1534" t="str">
        <f t="shared" si="66"/>
        <v/>
      </c>
      <c r="AS19" s="1535"/>
      <c r="AT19" s="1540" t="str">
        <f t="shared" si="67"/>
        <v/>
      </c>
      <c r="AU19" s="1534" t="str">
        <f t="shared" si="68"/>
        <v/>
      </c>
      <c r="AV19" s="1535"/>
      <c r="AW19" s="1540" t="str">
        <f t="shared" si="69"/>
        <v/>
      </c>
      <c r="AX19" s="1534" t="str">
        <f t="shared" si="70"/>
        <v/>
      </c>
      <c r="AY19" s="1535"/>
      <c r="AZ19" s="1540" t="str">
        <f t="shared" si="71"/>
        <v/>
      </c>
      <c r="BA19" s="1534" t="str">
        <f t="shared" si="72"/>
        <v/>
      </c>
      <c r="BB19" s="1694"/>
      <c r="BC19" s="1540" t="str">
        <f t="shared" si="13"/>
        <v/>
      </c>
      <c r="BD19" s="1534" t="str">
        <f t="shared" si="14"/>
        <v/>
      </c>
      <c r="BE19" s="1868"/>
      <c r="BF19" s="1536" t="str">
        <f t="shared" si="15"/>
        <v/>
      </c>
      <c r="BG19" s="1534" t="str">
        <f t="shared" si="16"/>
        <v/>
      </c>
      <c r="BH19" s="1865"/>
      <c r="BI19" s="1540" t="str">
        <f t="shared" si="17"/>
        <v/>
      </c>
      <c r="BJ19" s="1534" t="str">
        <f t="shared" si="18"/>
        <v/>
      </c>
      <c r="BK19" s="1703"/>
      <c r="BL19" s="1536" t="str">
        <f t="shared" si="19"/>
        <v/>
      </c>
      <c r="BM19" s="1534" t="str">
        <f t="shared" si="20"/>
        <v/>
      </c>
      <c r="BN19" s="1864"/>
      <c r="BO19" s="1540" t="str">
        <f t="shared" si="21"/>
        <v/>
      </c>
      <c r="BP19" s="1534" t="str">
        <f t="shared" si="22"/>
        <v/>
      </c>
      <c r="BQ19" s="1703"/>
      <c r="BR19" s="1536" t="str">
        <f t="shared" si="23"/>
        <v/>
      </c>
      <c r="BS19" s="1534" t="str">
        <f t="shared" si="24"/>
        <v/>
      </c>
      <c r="BT19" s="1864"/>
      <c r="BU19" s="1540" t="str">
        <f t="shared" si="25"/>
        <v/>
      </c>
      <c r="BV19" s="1534" t="str">
        <f t="shared" si="26"/>
        <v/>
      </c>
      <c r="BW19" s="1703"/>
      <c r="BX19" s="1536" t="str">
        <f t="shared" si="27"/>
        <v/>
      </c>
      <c r="BY19" s="1534" t="str">
        <f t="shared" si="28"/>
        <v/>
      </c>
      <c r="BZ19" s="1864"/>
      <c r="CA19" s="1540" t="str">
        <f t="shared" si="29"/>
        <v/>
      </c>
      <c r="CB19" s="1534" t="str">
        <f t="shared" si="30"/>
        <v/>
      </c>
      <c r="CC19" s="1703"/>
      <c r="CD19" s="1536" t="str">
        <f t="shared" si="31"/>
        <v/>
      </c>
      <c r="CE19" s="1534" t="str">
        <f t="shared" si="32"/>
        <v/>
      </c>
      <c r="CF19" s="1864"/>
      <c r="CG19" s="1540" t="str">
        <f t="shared" si="33"/>
        <v/>
      </c>
      <c r="CH19" s="1534" t="str">
        <f t="shared" si="34"/>
        <v/>
      </c>
      <c r="CI19" s="1703"/>
      <c r="CJ19" s="1536" t="str">
        <f t="shared" si="35"/>
        <v/>
      </c>
      <c r="CK19" s="1534" t="str">
        <f t="shared" si="36"/>
        <v/>
      </c>
      <c r="CL19" s="1864"/>
      <c r="CM19" s="1540" t="str">
        <f t="shared" si="37"/>
        <v/>
      </c>
      <c r="CN19" s="1534" t="str">
        <f t="shared" si="38"/>
        <v/>
      </c>
      <c r="CO19" s="1703"/>
      <c r="CP19" s="1536" t="str">
        <f t="shared" si="39"/>
        <v/>
      </c>
      <c r="CQ19" s="1534" t="str">
        <f t="shared" si="40"/>
        <v/>
      </c>
      <c r="CR19" s="1864"/>
      <c r="CS19" s="1540" t="str">
        <f t="shared" si="41"/>
        <v/>
      </c>
      <c r="CT19" s="1534" t="str">
        <f t="shared" si="42"/>
        <v/>
      </c>
      <c r="CU19" s="1703"/>
      <c r="CV19" s="1536" t="str">
        <f t="shared" si="43"/>
        <v/>
      </c>
      <c r="CW19" s="1534" t="str">
        <f t="shared" si="44"/>
        <v/>
      </c>
      <c r="CX19" s="1864"/>
      <c r="CY19" s="1540" t="str">
        <f t="shared" si="45"/>
        <v/>
      </c>
      <c r="CZ19" s="1534" t="str">
        <f t="shared" si="46"/>
        <v/>
      </c>
      <c r="DA19" s="1703"/>
      <c r="DB19" s="1536" t="str">
        <f t="shared" si="47"/>
        <v/>
      </c>
      <c r="DC19" s="1534" t="str">
        <f t="shared" si="48"/>
        <v/>
      </c>
      <c r="DD19" s="1864"/>
      <c r="DE19" s="1540" t="str">
        <f t="shared" si="49"/>
        <v/>
      </c>
      <c r="DF19" s="1534" t="str">
        <f t="shared" si="50"/>
        <v/>
      </c>
      <c r="DG19" s="1703"/>
      <c r="DH19" s="1536" t="str">
        <f t="shared" si="51"/>
        <v/>
      </c>
      <c r="DI19" s="1534" t="str">
        <f t="shared" si="52"/>
        <v/>
      </c>
      <c r="DJ19" s="1864"/>
      <c r="DK19" s="1540" t="str">
        <f t="shared" si="53"/>
        <v/>
      </c>
      <c r="DL19" s="1534" t="str">
        <f t="shared" si="54"/>
        <v/>
      </c>
      <c r="DM19" s="1703"/>
      <c r="DN19" s="1536" t="str">
        <f t="shared" si="55"/>
        <v/>
      </c>
      <c r="DO19" s="1534" t="str">
        <f t="shared" si="56"/>
        <v/>
      </c>
      <c r="DP19" s="1864"/>
      <c r="DQ19" s="1540" t="str">
        <f t="shared" si="57"/>
        <v/>
      </c>
      <c r="DR19" s="1534" t="str">
        <f t="shared" si="58"/>
        <v/>
      </c>
      <c r="DS19" s="1703"/>
      <c r="DT19" s="1536" t="str">
        <f t="shared" si="59"/>
        <v/>
      </c>
      <c r="DU19" s="1534" t="str">
        <f t="shared" si="60"/>
        <v/>
      </c>
      <c r="DV19" s="1703"/>
    </row>
    <row r="20" spans="1:126" s="971" customFormat="1" ht="15" customHeight="1">
      <c r="A20" s="621"/>
      <c r="B20" s="1084"/>
      <c r="C20" s="1084"/>
      <c r="D20" s="1914" t="s">
        <v>59</v>
      </c>
      <c r="E20" s="1915" t="s">
        <v>1018</v>
      </c>
      <c r="F20" s="1916"/>
      <c r="G20" s="1242"/>
      <c r="H20" s="1242"/>
      <c r="I20" s="1242"/>
      <c r="J20" s="1242"/>
      <c r="K20" s="1242"/>
      <c r="L20" s="1242"/>
      <c r="M20" s="1242"/>
      <c r="N20" s="1242"/>
      <c r="O20" s="1242"/>
      <c r="P20" s="1242"/>
      <c r="Q20" s="1242"/>
      <c r="R20" s="1242"/>
      <c r="S20" s="1242"/>
      <c r="T20" s="1242"/>
      <c r="U20" s="1242"/>
      <c r="V20" s="1242"/>
      <c r="W20" s="1242"/>
      <c r="X20" s="1242"/>
      <c r="Y20" s="1242"/>
      <c r="Z20" s="1242"/>
      <c r="AA20" s="1242"/>
      <c r="AB20" s="1242"/>
      <c r="AC20" s="1242"/>
      <c r="AD20" s="1242"/>
      <c r="AE20" s="1242"/>
      <c r="AF20" s="1242"/>
      <c r="AG20" s="1242"/>
      <c r="AH20" s="1242"/>
      <c r="AI20" s="1133"/>
      <c r="AK20" s="1542" t="str">
        <f t="shared" si="61"/>
        <v/>
      </c>
      <c r="AL20" s="1551" t="str">
        <f t="shared" si="62"/>
        <v/>
      </c>
      <c r="AM20" s="1578"/>
      <c r="AN20" s="1542" t="str">
        <f t="shared" si="63"/>
        <v/>
      </c>
      <c r="AO20" s="1551" t="str">
        <f t="shared" si="64"/>
        <v/>
      </c>
      <c r="AP20" s="1578"/>
      <c r="AQ20" s="1542" t="str">
        <f t="shared" si="65"/>
        <v/>
      </c>
      <c r="AR20" s="1551" t="str">
        <f t="shared" si="66"/>
        <v/>
      </c>
      <c r="AS20" s="1578"/>
      <c r="AT20" s="1542" t="str">
        <f t="shared" si="67"/>
        <v/>
      </c>
      <c r="AU20" s="1551" t="str">
        <f t="shared" si="68"/>
        <v/>
      </c>
      <c r="AV20" s="1578"/>
      <c r="AW20" s="1542" t="str">
        <f t="shared" si="69"/>
        <v/>
      </c>
      <c r="AX20" s="1551" t="str">
        <f t="shared" si="70"/>
        <v/>
      </c>
      <c r="AY20" s="1578"/>
      <c r="AZ20" s="1542" t="str">
        <f t="shared" si="71"/>
        <v/>
      </c>
      <c r="BA20" s="1551" t="str">
        <f t="shared" si="72"/>
        <v/>
      </c>
      <c r="BB20" s="1699"/>
      <c r="BC20" s="1542" t="str">
        <f t="shared" si="13"/>
        <v/>
      </c>
      <c r="BD20" s="1551" t="str">
        <f t="shared" si="14"/>
        <v/>
      </c>
      <c r="BE20" s="1869"/>
      <c r="BF20" s="1861" t="str">
        <f t="shared" si="15"/>
        <v/>
      </c>
      <c r="BG20" s="1551" t="str">
        <f t="shared" si="16"/>
        <v/>
      </c>
      <c r="BH20" s="1866"/>
      <c r="BI20" s="1542" t="str">
        <f t="shared" si="17"/>
        <v/>
      </c>
      <c r="BJ20" s="1551" t="str">
        <f t="shared" si="18"/>
        <v/>
      </c>
      <c r="BK20" s="1705"/>
      <c r="BL20" s="1861" t="str">
        <f t="shared" si="19"/>
        <v/>
      </c>
      <c r="BM20" s="1551" t="str">
        <f t="shared" si="20"/>
        <v/>
      </c>
      <c r="BN20" s="1867"/>
      <c r="BO20" s="1542" t="str">
        <f t="shared" si="21"/>
        <v/>
      </c>
      <c r="BP20" s="1551" t="str">
        <f t="shared" si="22"/>
        <v/>
      </c>
      <c r="BQ20" s="1705"/>
      <c r="BR20" s="1861" t="str">
        <f t="shared" si="23"/>
        <v/>
      </c>
      <c r="BS20" s="1551" t="str">
        <f t="shared" si="24"/>
        <v/>
      </c>
      <c r="BT20" s="1867"/>
      <c r="BU20" s="1542" t="str">
        <f t="shared" si="25"/>
        <v/>
      </c>
      <c r="BV20" s="1551" t="str">
        <f t="shared" si="26"/>
        <v/>
      </c>
      <c r="BW20" s="1705"/>
      <c r="BX20" s="1861" t="str">
        <f t="shared" si="27"/>
        <v/>
      </c>
      <c r="BY20" s="1551" t="str">
        <f t="shared" si="28"/>
        <v/>
      </c>
      <c r="BZ20" s="1867"/>
      <c r="CA20" s="1542" t="str">
        <f t="shared" si="29"/>
        <v/>
      </c>
      <c r="CB20" s="1551" t="str">
        <f t="shared" si="30"/>
        <v/>
      </c>
      <c r="CC20" s="1705"/>
      <c r="CD20" s="1861" t="str">
        <f t="shared" si="31"/>
        <v/>
      </c>
      <c r="CE20" s="1551" t="str">
        <f t="shared" si="32"/>
        <v/>
      </c>
      <c r="CF20" s="1867"/>
      <c r="CG20" s="1542" t="str">
        <f t="shared" si="33"/>
        <v/>
      </c>
      <c r="CH20" s="1551" t="str">
        <f t="shared" si="34"/>
        <v/>
      </c>
      <c r="CI20" s="1705"/>
      <c r="CJ20" s="1861" t="str">
        <f t="shared" si="35"/>
        <v/>
      </c>
      <c r="CK20" s="1551" t="str">
        <f t="shared" si="36"/>
        <v/>
      </c>
      <c r="CL20" s="1867"/>
      <c r="CM20" s="1542" t="str">
        <f t="shared" si="37"/>
        <v/>
      </c>
      <c r="CN20" s="1551" t="str">
        <f t="shared" si="38"/>
        <v/>
      </c>
      <c r="CO20" s="1705"/>
      <c r="CP20" s="1861" t="str">
        <f t="shared" si="39"/>
        <v/>
      </c>
      <c r="CQ20" s="1551" t="str">
        <f t="shared" si="40"/>
        <v/>
      </c>
      <c r="CR20" s="1867"/>
      <c r="CS20" s="1542" t="str">
        <f t="shared" si="41"/>
        <v/>
      </c>
      <c r="CT20" s="1551" t="str">
        <f t="shared" si="42"/>
        <v/>
      </c>
      <c r="CU20" s="1705"/>
      <c r="CV20" s="1861" t="str">
        <f t="shared" si="43"/>
        <v/>
      </c>
      <c r="CW20" s="1551" t="str">
        <f t="shared" si="44"/>
        <v/>
      </c>
      <c r="CX20" s="1867"/>
      <c r="CY20" s="1542" t="str">
        <f t="shared" si="45"/>
        <v/>
      </c>
      <c r="CZ20" s="1551" t="str">
        <f t="shared" si="46"/>
        <v/>
      </c>
      <c r="DA20" s="1705"/>
      <c r="DB20" s="1861" t="str">
        <f t="shared" si="47"/>
        <v/>
      </c>
      <c r="DC20" s="1551" t="str">
        <f t="shared" si="48"/>
        <v/>
      </c>
      <c r="DD20" s="1867"/>
      <c r="DE20" s="1542" t="str">
        <f t="shared" si="49"/>
        <v/>
      </c>
      <c r="DF20" s="1551" t="str">
        <f t="shared" si="50"/>
        <v/>
      </c>
      <c r="DG20" s="1705"/>
      <c r="DH20" s="1861" t="str">
        <f t="shared" si="51"/>
        <v/>
      </c>
      <c r="DI20" s="1551" t="str">
        <f t="shared" si="52"/>
        <v/>
      </c>
      <c r="DJ20" s="1867"/>
      <c r="DK20" s="1542" t="str">
        <f t="shared" si="53"/>
        <v/>
      </c>
      <c r="DL20" s="1551" t="str">
        <f t="shared" si="54"/>
        <v/>
      </c>
      <c r="DM20" s="1705"/>
      <c r="DN20" s="1861" t="str">
        <f t="shared" si="55"/>
        <v/>
      </c>
      <c r="DO20" s="1551" t="str">
        <f t="shared" si="56"/>
        <v/>
      </c>
      <c r="DP20" s="1867"/>
      <c r="DQ20" s="1542" t="str">
        <f t="shared" si="57"/>
        <v/>
      </c>
      <c r="DR20" s="1551" t="str">
        <f t="shared" si="58"/>
        <v/>
      </c>
      <c r="DS20" s="1705"/>
      <c r="DT20" s="1861" t="str">
        <f t="shared" si="59"/>
        <v/>
      </c>
      <c r="DU20" s="1551" t="str">
        <f t="shared" si="60"/>
        <v/>
      </c>
      <c r="DV20" s="1705"/>
    </row>
    <row r="21" spans="1:126" s="971" customFormat="1" ht="18.75" customHeight="1">
      <c r="E21" s="1243"/>
    </row>
    <row r="22" spans="1:126" s="971" customFormat="1" ht="18.75" customHeight="1">
      <c r="E22" s="1243"/>
    </row>
    <row r="23" spans="1:126" ht="18.75" customHeight="1">
      <c r="B23" s="1717" t="s">
        <v>1468</v>
      </c>
      <c r="C23" s="1714"/>
      <c r="D23" s="1715" t="s">
        <v>1488</v>
      </c>
    </row>
  </sheetData>
  <mergeCells count="30">
    <mergeCell ref="DK11:DM11"/>
    <mergeCell ref="DN11:DP11"/>
    <mergeCell ref="DQ11:DS11"/>
    <mergeCell ref="DT11:DV11"/>
    <mergeCell ref="CV11:CX11"/>
    <mergeCell ref="CY11:DA11"/>
    <mergeCell ref="DB11:DD11"/>
    <mergeCell ref="DE11:DG11"/>
    <mergeCell ref="DH11:DJ11"/>
    <mergeCell ref="CG11:CI11"/>
    <mergeCell ref="CJ11:CL11"/>
    <mergeCell ref="CM11:CO11"/>
    <mergeCell ref="CP11:CR11"/>
    <mergeCell ref="CS11:CU11"/>
    <mergeCell ref="BR11:BT11"/>
    <mergeCell ref="BU11:BW11"/>
    <mergeCell ref="BX11:BZ11"/>
    <mergeCell ref="CA11:CC11"/>
    <mergeCell ref="CD11:CF11"/>
    <mergeCell ref="BC11:BE11"/>
    <mergeCell ref="BF11:BH11"/>
    <mergeCell ref="BI11:BK11"/>
    <mergeCell ref="BL11:BN11"/>
    <mergeCell ref="BO11:BQ11"/>
    <mergeCell ref="AZ11:BB11"/>
    <mergeCell ref="AQ11:AS11"/>
    <mergeCell ref="AT11:AV11"/>
    <mergeCell ref="AW11:AY11"/>
    <mergeCell ref="AK11:AM11"/>
    <mergeCell ref="AN11:AP11"/>
  </mergeCells>
  <conditionalFormatting sqref="D23">
    <cfRule type="cellIs" dxfId="58" priority="1" operator="equal">
      <formula>FALSE</formula>
    </cfRule>
  </conditionalFormatting>
  <conditionalFormatting sqref="F11:AI11">
    <cfRule type="expression" dxfId="57" priority="34">
      <formula>ISEVEN(VALUE((MID(F11,6,1))))</formula>
    </cfRule>
  </conditionalFormatting>
  <conditionalFormatting sqref="F12:AI20">
    <cfRule type="expression" dxfId="56" priority="33">
      <formula>(VALUE((RIGHT(F$11,1)))=0)</formula>
    </cfRule>
  </conditionalFormatting>
  <dataValidations count="1">
    <dataValidation allowBlank="1" showErrorMessage="1" sqref="A1:D11 A21:D1048576 E1:XFD1048576" xr:uid="{A717C640-3FAF-4601-945F-DF1A77DD775F}"/>
  </dataValidations>
  <pageMargins left="0.70866141732283472" right="0.70866141732283472" top="0.74803149606299213" bottom="0.74803149606299213" header="0.31496062992125984" footer="0.31496062992125984"/>
  <pageSetup paperSize="8" scale="10" fitToHeight="1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856E-7DD2-4950-888D-22E7C56F3D6A}">
  <sheetPr codeName="Sheet4">
    <tabColor rgb="FF31869B"/>
    <pageSetUpPr fitToPage="1"/>
  </sheetPr>
  <dimension ref="A1:T40"/>
  <sheetViews>
    <sheetView workbookViewId="0"/>
  </sheetViews>
  <sheetFormatPr defaultColWidth="9.140625" defaultRowHeight="15" outlineLevelRow="1"/>
  <cols>
    <col min="1" max="1" width="42.42578125" style="46" customWidth="1"/>
    <col min="2" max="2" width="14.7109375" style="636" customWidth="1"/>
    <col min="3" max="3" width="2.5703125" style="55" customWidth="1"/>
    <col min="4" max="4" width="78.28515625" style="46" customWidth="1"/>
    <col min="5" max="5" width="10.28515625" style="46" customWidth="1"/>
    <col min="6" max="6" width="20.140625" style="46" customWidth="1"/>
    <col min="7" max="7" width="9.140625" style="46"/>
    <col min="8" max="11" width="3.7109375" style="46" customWidth="1"/>
    <col min="12" max="13" width="3.7109375" style="44" customWidth="1"/>
    <col min="14" max="23" width="3.7109375" style="46" customWidth="1"/>
    <col min="24" max="16384" width="9.140625" style="46"/>
  </cols>
  <sheetData>
    <row r="1" spans="2:20" s="1225" customFormat="1" ht="20.100000000000001" customHeight="1">
      <c r="B1" s="1220"/>
      <c r="C1" s="1002"/>
      <c r="D1" s="1002" t="str">
        <f>dms_SheetHeading1</f>
        <v>ANNUAL INFORMATION ORDER</v>
      </c>
      <c r="E1" s="1004"/>
      <c r="F1" s="1221"/>
      <c r="H1" s="1658" t="s">
        <v>1040</v>
      </c>
      <c r="I1" s="1323"/>
      <c r="J1" s="1323"/>
      <c r="K1" s="1323"/>
      <c r="L1" s="1323"/>
      <c r="M1" s="1323"/>
      <c r="N1" s="1657" t="s">
        <v>1039</v>
      </c>
      <c r="O1" s="1323"/>
      <c r="P1" s="1323"/>
      <c r="Q1" s="1323"/>
      <c r="R1" s="1323"/>
      <c r="S1" s="1323"/>
      <c r="T1" s="1323"/>
    </row>
    <row r="2" spans="2:20" s="1225" customFormat="1" ht="20.100000000000001" customHeight="1">
      <c r="B2" s="1222"/>
      <c r="C2" s="1003"/>
      <c r="D2" s="1003" t="str">
        <f>dms_SheetHeading2</f>
        <v>Australian Transmission Co.</v>
      </c>
      <c r="E2" s="1003"/>
      <c r="F2" s="1221"/>
      <c r="H2" s="1659" t="s">
        <v>1041</v>
      </c>
      <c r="I2" s="1324"/>
      <c r="J2" s="1324"/>
      <c r="K2" s="1324"/>
      <c r="L2" s="1324"/>
      <c r="M2" s="1324"/>
      <c r="N2" s="1379" t="s">
        <v>202</v>
      </c>
      <c r="O2" s="1324"/>
      <c r="P2" s="1324"/>
      <c r="Q2" s="1324"/>
      <c r="R2" s="1324"/>
      <c r="S2" s="1324"/>
      <c r="T2" s="1324"/>
    </row>
    <row r="3" spans="2:20" s="1225" customFormat="1" ht="20.100000000000001" customHeight="1">
      <c r="B3" s="1223"/>
      <c r="C3" s="1004"/>
      <c r="D3" s="1004" t="str">
        <f>dms_SheetHeading3</f>
        <v>REPORTING STATEMENT: 2024-25</v>
      </c>
      <c r="E3" s="1004"/>
      <c r="F3" s="1224"/>
      <c r="H3" s="1660" t="s">
        <v>1042</v>
      </c>
      <c r="I3" s="1325"/>
      <c r="J3" s="1325"/>
      <c r="K3" s="1325"/>
      <c r="L3" s="1325"/>
      <c r="M3" s="1325"/>
      <c r="N3" s="1380" t="s">
        <v>203</v>
      </c>
      <c r="O3" s="1325"/>
      <c r="P3" s="1325"/>
      <c r="Q3" s="1325"/>
      <c r="R3" s="1325"/>
      <c r="S3" s="1325"/>
      <c r="T3" s="1325"/>
    </row>
    <row r="4" spans="2:20" s="1225" customFormat="1" ht="20.100000000000001" customHeight="1">
      <c r="B4" s="1216"/>
      <c r="C4" s="1216"/>
      <c r="D4" s="1216" t="s">
        <v>1353</v>
      </c>
      <c r="E4" s="1216"/>
      <c r="F4" s="1216"/>
      <c r="H4" s="1662" t="s">
        <v>1044</v>
      </c>
      <c r="I4" s="1692"/>
      <c r="J4" s="1693"/>
      <c r="K4" s="1498"/>
      <c r="L4" s="1498"/>
      <c r="M4" s="1498"/>
      <c r="N4" s="1497" t="s">
        <v>1043</v>
      </c>
      <c r="O4" s="1498"/>
      <c r="P4" s="1498"/>
      <c r="Q4" s="1498"/>
      <c r="R4" s="1498"/>
      <c r="S4" s="1498"/>
      <c r="T4" s="1498"/>
    </row>
    <row r="5" spans="2:20" s="44" customFormat="1" ht="13.5" customHeight="1">
      <c r="B5" s="1088"/>
      <c r="C5" s="46"/>
      <c r="D5" s="46"/>
      <c r="E5" s="46"/>
      <c r="F5" s="46"/>
      <c r="G5" s="46"/>
      <c r="H5" s="46"/>
      <c r="I5" s="46"/>
      <c r="J5" s="46"/>
      <c r="K5" s="46"/>
      <c r="L5" s="46"/>
      <c r="M5" s="46"/>
    </row>
    <row r="6" spans="2:20" ht="18" customHeight="1">
      <c r="B6" s="950" t="s">
        <v>1281</v>
      </c>
      <c r="C6" s="973"/>
      <c r="D6" s="973"/>
      <c r="E6" s="973"/>
      <c r="F6" s="973"/>
      <c r="G6" s="44"/>
      <c r="H6" s="44"/>
      <c r="I6" s="44"/>
      <c r="J6" s="44"/>
      <c r="K6" s="44"/>
      <c r="N6" s="44"/>
    </row>
    <row r="7" spans="2:20" s="44" customFormat="1" ht="18" customHeight="1">
      <c r="B7" s="1032" t="s">
        <v>1089</v>
      </c>
      <c r="C7" s="1032"/>
      <c r="D7" s="1032"/>
      <c r="E7" s="1032"/>
      <c r="F7" s="1032"/>
    </row>
    <row r="8" spans="2:20" s="632" customFormat="1" ht="15.75">
      <c r="B8" s="636"/>
      <c r="C8" s="640"/>
      <c r="L8" s="633"/>
      <c r="M8" s="633"/>
    </row>
    <row r="9" spans="2:20" ht="18.75">
      <c r="B9" s="1667"/>
      <c r="D9" s="1392" t="s">
        <v>1280</v>
      </c>
      <c r="E9" s="1148"/>
      <c r="F9" s="1148"/>
      <c r="G9" s="1063"/>
      <c r="H9" s="2097"/>
      <c r="I9" s="2097"/>
      <c r="J9" s="2097"/>
      <c r="K9" s="2097"/>
      <c r="L9" s="2097"/>
      <c r="M9" s="2097"/>
      <c r="N9" s="2097"/>
      <c r="O9" s="2097"/>
      <c r="P9" s="2097"/>
      <c r="Q9" s="2097"/>
      <c r="R9" s="2097"/>
      <c r="S9" s="2097"/>
    </row>
    <row r="10" spans="2:20" s="632" customFormat="1" ht="33">
      <c r="B10" s="1667"/>
      <c r="C10" s="640"/>
      <c r="D10" s="627"/>
      <c r="E10" s="627"/>
      <c r="F10" s="627"/>
      <c r="H10" s="2062" t="s">
        <v>1443</v>
      </c>
      <c r="I10" s="2049"/>
      <c r="J10" s="2050"/>
      <c r="K10" s="1594" t="s">
        <v>1430</v>
      </c>
      <c r="L10" s="1595" t="s">
        <v>1431</v>
      </c>
      <c r="M10" s="1596" t="s">
        <v>1432</v>
      </c>
      <c r="N10" s="1596" t="s">
        <v>1469</v>
      </c>
      <c r="O10" s="1734"/>
      <c r="P10" s="1734"/>
      <c r="Q10" s="2097"/>
      <c r="R10" s="2097"/>
      <c r="S10" s="2097"/>
    </row>
    <row r="11" spans="2:20" ht="15" customHeight="1">
      <c r="B11" s="1667"/>
      <c r="D11" s="1270" t="s">
        <v>1090</v>
      </c>
      <c r="E11" s="1776" t="s">
        <v>1192</v>
      </c>
      <c r="F11" s="627"/>
      <c r="H11" s="2107" t="s">
        <v>1435</v>
      </c>
      <c r="I11" s="2108"/>
      <c r="J11" s="2109"/>
      <c r="K11" s="2014" t="s">
        <v>1447</v>
      </c>
      <c r="L11" s="2015"/>
      <c r="M11" s="2015"/>
      <c r="N11" s="2019"/>
      <c r="O11" s="1734"/>
      <c r="P11" s="1734"/>
      <c r="Q11" s="2097"/>
      <c r="R11" s="2097"/>
      <c r="S11" s="2097"/>
    </row>
    <row r="12" spans="2:20" outlineLevel="1">
      <c r="B12" s="1935" t="s">
        <v>1532</v>
      </c>
      <c r="C12" s="1391"/>
      <c r="D12" s="1058" t="s">
        <v>84</v>
      </c>
      <c r="E12" s="641" t="s">
        <v>88</v>
      </c>
      <c r="F12" s="1365"/>
      <c r="G12" s="1063"/>
      <c r="H12" s="2110"/>
      <c r="I12" s="2111"/>
      <c r="J12" s="2112"/>
      <c r="K12" s="1561" t="str">
        <f t="shared" ref="K12:K23" si="0">IF(ISNONTEXT(F12)=TRUE,"","X")</f>
        <v/>
      </c>
      <c r="L12" s="1589"/>
      <c r="M12" s="1560" t="str">
        <f>IF(F12&lt;&gt;""=TRUE,"","X")</f>
        <v>X</v>
      </c>
      <c r="N12" s="1584"/>
    </row>
    <row r="13" spans="2:20" outlineLevel="1">
      <c r="B13" s="1935" t="s">
        <v>1533</v>
      </c>
      <c r="C13" s="1391"/>
      <c r="D13" s="1059" t="s">
        <v>85</v>
      </c>
      <c r="E13" s="642" t="s">
        <v>88</v>
      </c>
      <c r="F13" s="1366"/>
      <c r="G13" s="1063"/>
      <c r="H13" s="2113"/>
      <c r="I13" s="2114"/>
      <c r="J13" s="2115"/>
      <c r="K13" s="1540" t="str">
        <f t="shared" si="0"/>
        <v/>
      </c>
      <c r="L13" s="1535"/>
      <c r="M13" s="1539" t="str">
        <f t="shared" ref="M13:M14" si="1">IF(F13&lt;&gt;""=TRUE,"","X")</f>
        <v>X</v>
      </c>
      <c r="N13" s="1537"/>
    </row>
    <row r="14" spans="2:20" outlineLevel="1">
      <c r="B14" s="1935" t="s">
        <v>1534</v>
      </c>
      <c r="C14" s="1391"/>
      <c r="D14" s="1059" t="s">
        <v>596</v>
      </c>
      <c r="E14" s="642" t="s">
        <v>88</v>
      </c>
      <c r="F14" s="1366"/>
      <c r="G14" s="1063"/>
      <c r="H14" s="2113"/>
      <c r="I14" s="2114"/>
      <c r="J14" s="2115"/>
      <c r="K14" s="1540" t="str">
        <f t="shared" si="0"/>
        <v/>
      </c>
      <c r="L14" s="1535"/>
      <c r="M14" s="1539" t="str">
        <f t="shared" si="1"/>
        <v>X</v>
      </c>
      <c r="N14" s="1537"/>
    </row>
    <row r="15" spans="2:20" outlineLevel="1">
      <c r="B15" s="1935" t="s">
        <v>1535</v>
      </c>
      <c r="C15" s="1391"/>
      <c r="D15" s="1059" t="s">
        <v>59</v>
      </c>
      <c r="E15" s="642" t="s">
        <v>88</v>
      </c>
      <c r="F15" s="1393">
        <f>SUM(F16:F23)</f>
        <v>0</v>
      </c>
      <c r="G15" s="1063"/>
      <c r="H15" s="2113"/>
      <c r="I15" s="2114"/>
      <c r="J15" s="2115"/>
      <c r="K15" s="1538"/>
      <c r="L15" s="1535"/>
      <c r="M15" s="1537"/>
      <c r="N15" s="1537"/>
    </row>
    <row r="16" spans="2:20" outlineLevel="1">
      <c r="B16" s="1935" t="s">
        <v>1536</v>
      </c>
      <c r="C16" s="1391"/>
      <c r="D16" s="1394" t="s">
        <v>1175</v>
      </c>
      <c r="E16" s="642" t="s">
        <v>88</v>
      </c>
      <c r="F16" s="1366"/>
      <c r="G16" s="1063"/>
      <c r="H16" s="2101" t="s">
        <v>1448</v>
      </c>
      <c r="I16" s="2102"/>
      <c r="J16" s="2103"/>
      <c r="K16" s="1540" t="str">
        <f t="shared" si="0"/>
        <v/>
      </c>
      <c r="L16" s="1535"/>
      <c r="M16" s="1535"/>
      <c r="N16" s="1539" t="str">
        <f t="shared" ref="N16:N23" si="2">IF(AND(D16&lt;&gt;"",LEFT(D16,5)&lt;&gt;"&lt;TNSP",ISBLANK(F16))=TRUE,"X","")</f>
        <v/>
      </c>
    </row>
    <row r="17" spans="1:14" outlineLevel="1">
      <c r="B17" s="1935" t="s">
        <v>1537</v>
      </c>
      <c r="C17" s="1391"/>
      <c r="D17" s="1394" t="s">
        <v>1175</v>
      </c>
      <c r="E17" s="642" t="s">
        <v>88</v>
      </c>
      <c r="F17" s="1366"/>
      <c r="G17" s="1063"/>
      <c r="H17" s="2101"/>
      <c r="I17" s="2102"/>
      <c r="J17" s="2103"/>
      <c r="K17" s="1540" t="str">
        <f t="shared" si="0"/>
        <v/>
      </c>
      <c r="L17" s="1535"/>
      <c r="M17" s="1535"/>
      <c r="N17" s="1539" t="str">
        <f t="shared" si="2"/>
        <v/>
      </c>
    </row>
    <row r="18" spans="1:14" outlineLevel="1">
      <c r="B18" s="1935" t="s">
        <v>1538</v>
      </c>
      <c r="C18" s="1391"/>
      <c r="D18" s="1394" t="s">
        <v>1175</v>
      </c>
      <c r="E18" s="642" t="s">
        <v>88</v>
      </c>
      <c r="F18" s="1366"/>
      <c r="H18" s="2101"/>
      <c r="I18" s="2102"/>
      <c r="J18" s="2103"/>
      <c r="K18" s="1540" t="str">
        <f t="shared" si="0"/>
        <v/>
      </c>
      <c r="L18" s="1535"/>
      <c r="M18" s="1535"/>
      <c r="N18" s="1539" t="str">
        <f t="shared" si="2"/>
        <v/>
      </c>
    </row>
    <row r="19" spans="1:14" outlineLevel="1">
      <c r="B19" s="1935" t="s">
        <v>1539</v>
      </c>
      <c r="C19" s="1391"/>
      <c r="D19" s="1394" t="s">
        <v>1175</v>
      </c>
      <c r="E19" s="642" t="s">
        <v>88</v>
      </c>
      <c r="F19" s="1366"/>
      <c r="H19" s="2101"/>
      <c r="I19" s="2102"/>
      <c r="J19" s="2103"/>
      <c r="K19" s="1540" t="str">
        <f t="shared" si="0"/>
        <v/>
      </c>
      <c r="L19" s="1535"/>
      <c r="M19" s="1535"/>
      <c r="N19" s="1539" t="str">
        <f t="shared" si="2"/>
        <v/>
      </c>
    </row>
    <row r="20" spans="1:14" outlineLevel="1">
      <c r="B20" s="1935" t="s">
        <v>1540</v>
      </c>
      <c r="C20" s="1391"/>
      <c r="D20" s="1394" t="s">
        <v>1175</v>
      </c>
      <c r="E20" s="642" t="s">
        <v>88</v>
      </c>
      <c r="F20" s="1366"/>
      <c r="H20" s="2101"/>
      <c r="I20" s="2102"/>
      <c r="J20" s="2103"/>
      <c r="K20" s="1540" t="str">
        <f t="shared" si="0"/>
        <v/>
      </c>
      <c r="L20" s="1535"/>
      <c r="M20" s="1535"/>
      <c r="N20" s="1539" t="str">
        <f t="shared" si="2"/>
        <v/>
      </c>
    </row>
    <row r="21" spans="1:14" outlineLevel="1">
      <c r="B21" s="1935" t="s">
        <v>1541</v>
      </c>
      <c r="C21" s="1391"/>
      <c r="D21" s="1394" t="s">
        <v>1175</v>
      </c>
      <c r="E21" s="642" t="s">
        <v>88</v>
      </c>
      <c r="F21" s="1366"/>
      <c r="H21" s="2101"/>
      <c r="I21" s="2102"/>
      <c r="J21" s="2103"/>
      <c r="K21" s="1540" t="str">
        <f t="shared" si="0"/>
        <v/>
      </c>
      <c r="L21" s="1535"/>
      <c r="M21" s="1535"/>
      <c r="N21" s="1539" t="str">
        <f t="shared" si="2"/>
        <v/>
      </c>
    </row>
    <row r="22" spans="1:14" outlineLevel="1">
      <c r="A22" s="1666" t="s">
        <v>1470</v>
      </c>
      <c r="B22" s="1935" t="s">
        <v>1542</v>
      </c>
      <c r="C22" s="1391"/>
      <c r="D22" s="1394" t="s">
        <v>1175</v>
      </c>
      <c r="E22" s="642" t="s">
        <v>88</v>
      </c>
      <c r="F22" s="1366"/>
      <c r="H22" s="2101"/>
      <c r="I22" s="2102"/>
      <c r="J22" s="2103"/>
      <c r="K22" s="1540" t="str">
        <f t="shared" si="0"/>
        <v/>
      </c>
      <c r="L22" s="1535"/>
      <c r="M22" s="1535"/>
      <c r="N22" s="1539" t="str">
        <f t="shared" si="2"/>
        <v/>
      </c>
    </row>
    <row r="23" spans="1:14" outlineLevel="1">
      <c r="B23" s="1935" t="s">
        <v>1543</v>
      </c>
      <c r="C23" s="1391"/>
      <c r="D23" s="1394" t="s">
        <v>1175</v>
      </c>
      <c r="E23" s="642" t="s">
        <v>88</v>
      </c>
      <c r="F23" s="1366"/>
      <c r="H23" s="2104"/>
      <c r="I23" s="2105"/>
      <c r="J23" s="2106"/>
      <c r="K23" s="1540" t="str">
        <f t="shared" si="0"/>
        <v/>
      </c>
      <c r="L23" s="1535"/>
      <c r="M23" s="1535"/>
      <c r="N23" s="1539" t="str">
        <f t="shared" si="2"/>
        <v/>
      </c>
    </row>
    <row r="24" spans="1:14" outlineLevel="1">
      <c r="B24" s="1935" t="s">
        <v>1544</v>
      </c>
      <c r="C24" s="1391"/>
      <c r="D24" s="966" t="s">
        <v>86</v>
      </c>
      <c r="E24" s="967" t="s">
        <v>88</v>
      </c>
      <c r="F24" s="999">
        <f>SUM(F12:F15)</f>
        <v>0</v>
      </c>
      <c r="H24" s="2098"/>
      <c r="I24" s="2099"/>
      <c r="J24" s="2100"/>
      <c r="K24" s="1577"/>
      <c r="L24" s="1578"/>
      <c r="M24" s="1578"/>
      <c r="N24" s="1579"/>
    </row>
    <row r="28" spans="1:14" s="44" customFormat="1">
      <c r="B28" s="1717" t="s">
        <v>1468</v>
      </c>
      <c r="C28" s="1714"/>
      <c r="D28" s="1715" t="s">
        <v>1494</v>
      </c>
      <c r="E28" s="46"/>
      <c r="F28" s="46"/>
    </row>
    <row r="29" spans="1:14" s="44" customFormat="1"/>
    <row r="30" spans="1:14" s="44" customFormat="1"/>
    <row r="31" spans="1:14" s="44" customFormat="1"/>
    <row r="32" spans="1:14" s="44" customFormat="1"/>
    <row r="33" s="44" customFormat="1"/>
    <row r="34" s="44" customFormat="1"/>
    <row r="35" s="44" customFormat="1"/>
    <row r="36" s="44" customFormat="1"/>
    <row r="37" s="44" customFormat="1"/>
    <row r="38" s="44" customFormat="1"/>
    <row r="39" s="44" customFormat="1"/>
    <row r="40" s="44" customFormat="1"/>
  </sheetData>
  <mergeCells count="15">
    <mergeCell ref="Q10:S10"/>
    <mergeCell ref="Q11:S11"/>
    <mergeCell ref="K11:N11"/>
    <mergeCell ref="Q9:S9"/>
    <mergeCell ref="H24:J24"/>
    <mergeCell ref="K9:M9"/>
    <mergeCell ref="N9:P9"/>
    <mergeCell ref="H16:J23"/>
    <mergeCell ref="H10:J10"/>
    <mergeCell ref="H11:J11"/>
    <mergeCell ref="H12:J12"/>
    <mergeCell ref="H13:J13"/>
    <mergeCell ref="H14:J14"/>
    <mergeCell ref="H15:J15"/>
    <mergeCell ref="H9:J9"/>
  </mergeCells>
  <phoneticPr fontId="98" type="noConversion"/>
  <conditionalFormatting sqref="D28">
    <cfRule type="cellIs" dxfId="55" priority="1" operator="equal">
      <formula>FALSE</formula>
    </cfRule>
  </conditionalFormatting>
  <dataValidations count="1">
    <dataValidation allowBlank="1" sqref="H1:H4 H10 N1:N4 K10:N10" xr:uid="{AB61B30C-1389-4054-A5E9-1083B3A19585}"/>
  </dataValidations>
  <pageMargins left="0.7" right="0.7" top="0.75" bottom="0.75" header="0.3" footer="0.3"/>
  <pageSetup paperSize="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C519-6D17-4834-9BF5-4871D68F33E3}">
  <sheetPr codeName="Sheet6">
    <tabColor rgb="FF31869B"/>
  </sheetPr>
  <dimension ref="B1:P376"/>
  <sheetViews>
    <sheetView workbookViewId="0"/>
  </sheetViews>
  <sheetFormatPr defaultColWidth="9.140625" defaultRowHeight="15" outlineLevelRow="1"/>
  <cols>
    <col min="1" max="1" width="20.7109375" style="46" customWidth="1"/>
    <col min="2" max="2" width="17.85546875" style="1468" customWidth="1"/>
    <col min="3" max="3" width="2.5703125" style="56" customWidth="1"/>
    <col min="4" max="4" width="112" style="46" customWidth="1"/>
    <col min="5" max="5" width="11" style="46" customWidth="1"/>
    <col min="6" max="6" width="20.42578125" style="46" customWidth="1"/>
    <col min="7" max="7" width="16.28515625" style="46" customWidth="1"/>
    <col min="8" max="8" width="18.28515625" style="46" bestFit="1" customWidth="1"/>
    <col min="9" max="9" width="16.7109375" style="46" customWidth="1"/>
    <col min="10" max="16" width="3.7109375" style="46" customWidth="1"/>
    <col min="17" max="16384" width="9.140625" style="46"/>
  </cols>
  <sheetData>
    <row r="1" spans="2:16" s="1225" customFormat="1" ht="20.100000000000001" customHeight="1">
      <c r="B1" s="1002"/>
      <c r="C1" s="1002"/>
      <c r="D1" s="1002" t="str">
        <f>dms_SheetHeading1</f>
        <v>ANNUAL INFORMATION ORDER</v>
      </c>
      <c r="E1" s="1004"/>
      <c r="F1" s="1221"/>
      <c r="H1" s="1658" t="s">
        <v>1040</v>
      </c>
      <c r="I1" s="1323"/>
      <c r="J1" s="1657" t="s">
        <v>1039</v>
      </c>
      <c r="K1" s="1323"/>
      <c r="L1" s="1323"/>
      <c r="M1" s="1323"/>
      <c r="N1" s="1323"/>
      <c r="O1" s="1323"/>
      <c r="P1" s="1323"/>
    </row>
    <row r="2" spans="2:16" s="1225" customFormat="1" ht="20.100000000000001" customHeight="1">
      <c r="B2" s="1003"/>
      <c r="C2" s="1003"/>
      <c r="D2" s="1003" t="str">
        <f>dms_SheetHeading2</f>
        <v>Australian Transmission Co.</v>
      </c>
      <c r="E2" s="1003"/>
      <c r="F2" s="1221"/>
      <c r="H2" s="1659" t="s">
        <v>1041</v>
      </c>
      <c r="I2" s="1324"/>
      <c r="J2" s="1379" t="s">
        <v>202</v>
      </c>
      <c r="K2" s="1324"/>
      <c r="L2" s="1324"/>
      <c r="M2" s="1324"/>
      <c r="N2" s="1324"/>
      <c r="O2" s="1324"/>
      <c r="P2" s="1324"/>
    </row>
    <row r="3" spans="2:16" s="1225" customFormat="1" ht="20.100000000000001" customHeight="1">
      <c r="B3" s="1004"/>
      <c r="C3" s="1004"/>
      <c r="D3" s="1004" t="str">
        <f>dms_SheetHeading3</f>
        <v>REPORTING STATEMENT: 2024-25</v>
      </c>
      <c r="E3" s="1004"/>
      <c r="F3" s="1122"/>
      <c r="H3" s="1660" t="s">
        <v>1042</v>
      </c>
      <c r="I3" s="1325"/>
      <c r="J3" s="1380" t="s">
        <v>203</v>
      </c>
      <c r="K3" s="1325"/>
      <c r="L3" s="1325"/>
      <c r="M3" s="1325"/>
      <c r="N3" s="1325"/>
      <c r="O3" s="1325"/>
      <c r="P3" s="1325"/>
    </row>
    <row r="4" spans="2:16" s="1225" customFormat="1" ht="20.100000000000001" customHeight="1">
      <c r="B4" s="1216"/>
      <c r="C4" s="1216"/>
      <c r="D4" s="1226" t="s">
        <v>1530</v>
      </c>
      <c r="E4" s="1226"/>
      <c r="F4" s="1227"/>
      <c r="H4" s="1662" t="s">
        <v>1044</v>
      </c>
      <c r="I4" s="1692"/>
      <c r="J4" s="1497" t="s">
        <v>1043</v>
      </c>
      <c r="K4" s="1498"/>
      <c r="L4" s="1498"/>
      <c r="M4" s="1498"/>
      <c r="N4" s="1498"/>
      <c r="O4" s="1498"/>
      <c r="P4" s="1498"/>
    </row>
    <row r="5" spans="2:16" ht="13.5" customHeight="1">
      <c r="B5" s="1936"/>
      <c r="C5" s="57"/>
      <c r="E5" s="44"/>
      <c r="F5" s="44"/>
    </row>
    <row r="6" spans="2:16" ht="18" customHeight="1">
      <c r="B6" s="628" t="s">
        <v>1033</v>
      </c>
      <c r="C6" s="973"/>
      <c r="D6" s="973"/>
      <c r="E6" s="973"/>
      <c r="F6" s="973"/>
      <c r="G6" s="44"/>
      <c r="H6" s="44"/>
      <c r="I6" s="44"/>
      <c r="J6" s="44"/>
      <c r="K6" s="44"/>
      <c r="L6" s="44"/>
    </row>
    <row r="7" spans="2:16" ht="18" customHeight="1">
      <c r="B7" s="1032" t="s">
        <v>1091</v>
      </c>
      <c r="C7" s="1032"/>
      <c r="D7" s="1032"/>
      <c r="E7" s="1032"/>
      <c r="F7" s="1032"/>
    </row>
    <row r="8" spans="2:16">
      <c r="B8" s="52"/>
      <c r="C8" s="44"/>
      <c r="D8" s="44"/>
      <c r="E8" s="44"/>
      <c r="F8" s="44"/>
    </row>
    <row r="9" spans="2:16">
      <c r="B9" s="52"/>
      <c r="C9" s="44"/>
      <c r="D9" s="1254" t="s">
        <v>87</v>
      </c>
      <c r="E9" s="1255"/>
      <c r="F9" s="1255"/>
    </row>
    <row r="10" spans="2:16" s="632" customFormat="1" ht="15.75" outlineLevel="1">
      <c r="B10" s="633"/>
      <c r="C10" s="633"/>
      <c r="D10" s="633"/>
      <c r="E10" s="633"/>
      <c r="F10" s="633"/>
    </row>
    <row r="11" spans="2:16" ht="40.5" customHeight="1" outlineLevel="1">
      <c r="C11" s="623"/>
      <c r="D11" s="1400" t="s">
        <v>1093</v>
      </c>
      <c r="E11" s="958" t="s">
        <v>1192</v>
      </c>
      <c r="F11" s="1039" t="s">
        <v>1324</v>
      </c>
      <c r="J11" s="632"/>
      <c r="K11" s="632"/>
      <c r="L11" s="632"/>
      <c r="M11" s="632"/>
    </row>
    <row r="12" spans="2:16" outlineLevel="1">
      <c r="B12" s="1937"/>
      <c r="C12" s="58"/>
      <c r="D12" s="1360" t="s">
        <v>1092</v>
      </c>
      <c r="E12" s="1402" t="s">
        <v>88</v>
      </c>
      <c r="F12" s="1397">
        <f>SUM(F33,F52,F71,F90,F109,F128,F147,F166,F185,F204,F223,F242,F261,F280,F299,F318,F337,F356)</f>
        <v>0</v>
      </c>
    </row>
    <row r="13" spans="2:16" outlineLevel="1">
      <c r="D13" s="1361" t="s">
        <v>90</v>
      </c>
      <c r="E13" s="1404"/>
      <c r="F13" s="1362"/>
    </row>
    <row r="14" spans="2:16" outlineLevel="1">
      <c r="B14" s="1937"/>
      <c r="C14" s="58"/>
      <c r="D14" s="1363" t="s">
        <v>91</v>
      </c>
      <c r="E14" s="1406" t="s">
        <v>88</v>
      </c>
      <c r="F14" s="1398">
        <f>SUM(F35,F54,F73,F92,F111,F130,F149,F168,F187,F206,F225,F244,F263,F282,F301,F320,F339,F358)</f>
        <v>0</v>
      </c>
    </row>
    <row r="15" spans="2:16" outlineLevel="1">
      <c r="B15" s="1937"/>
      <c r="C15" s="58"/>
      <c r="D15" s="1363" t="s">
        <v>92</v>
      </c>
      <c r="E15" s="1406" t="s">
        <v>88</v>
      </c>
      <c r="F15" s="1398">
        <f t="shared" ref="F15:F16" si="0">SUM(F36,F55,F74,F93,F112,F131,F150,F169,F188,F207,F226,F245,F264,F283,F302,F321,F340,F359)</f>
        <v>0</v>
      </c>
    </row>
    <row r="16" spans="2:16" outlineLevel="1">
      <c r="B16" s="1937"/>
      <c r="C16" s="58"/>
      <c r="D16" s="1363" t="s">
        <v>93</v>
      </c>
      <c r="E16" s="1406" t="s">
        <v>88</v>
      </c>
      <c r="F16" s="1398">
        <f t="shared" si="0"/>
        <v>0</v>
      </c>
    </row>
    <row r="17" spans="2:9" outlineLevel="1">
      <c r="D17" s="1361" t="s">
        <v>94</v>
      </c>
      <c r="E17" s="1404"/>
      <c r="F17" s="1362"/>
    </row>
    <row r="18" spans="2:9" outlineLevel="1">
      <c r="B18" s="1937"/>
      <c r="C18" s="58"/>
      <c r="D18" s="1363" t="s">
        <v>91</v>
      </c>
      <c r="E18" s="1406" t="s">
        <v>88</v>
      </c>
      <c r="F18" s="1398">
        <f>SUM(F39,F58,F77,F96,F115,F134,F153,F172,F191,F210,F229,F248,F267,F286,F305,F324,F343,F362)</f>
        <v>0</v>
      </c>
    </row>
    <row r="19" spans="2:9" outlineLevel="1">
      <c r="B19" s="1937"/>
      <c r="C19" s="58"/>
      <c r="D19" s="1363" t="s">
        <v>92</v>
      </c>
      <c r="E19" s="1406" t="s">
        <v>88</v>
      </c>
      <c r="F19" s="1398">
        <f t="shared" ref="F19:F20" si="1">SUM(F40,F59,F78,F97,F116,F135,F154,F173,F192,F211,F230,F249,F268,F287,F306,F325,F344,F363)</f>
        <v>0</v>
      </c>
    </row>
    <row r="20" spans="2:9" outlineLevel="1">
      <c r="B20" s="1937"/>
      <c r="C20" s="58"/>
      <c r="D20" s="1363" t="s">
        <v>93</v>
      </c>
      <c r="E20" s="1406" t="s">
        <v>88</v>
      </c>
      <c r="F20" s="1398">
        <f t="shared" si="1"/>
        <v>0</v>
      </c>
    </row>
    <row r="21" spans="2:9" outlineLevel="1">
      <c r="D21" s="1361" t="s">
        <v>95</v>
      </c>
      <c r="E21" s="1404"/>
      <c r="F21" s="1362"/>
    </row>
    <row r="22" spans="2:9" outlineLevel="1">
      <c r="B22" s="1937"/>
      <c r="C22" s="58"/>
      <c r="D22" s="1363" t="s">
        <v>91</v>
      </c>
      <c r="E22" s="1406" t="s">
        <v>88</v>
      </c>
      <c r="F22" s="1398">
        <f>SUM(F43,F62,F81,F100,F119,F138,F157,F176,F195,F214,F233,F252,F271,F290,F309,F328,F347,F366)</f>
        <v>0</v>
      </c>
    </row>
    <row r="23" spans="2:9" outlineLevel="1">
      <c r="B23" s="1937"/>
      <c r="C23" s="58"/>
      <c r="D23" s="1363" t="s">
        <v>92</v>
      </c>
      <c r="E23" s="1406" t="s">
        <v>88</v>
      </c>
      <c r="F23" s="1398">
        <f t="shared" ref="F23:F24" si="2">SUM(F44,F63,F82,F101,F120,F139,F158,F177,F196,F215,F234,F253,F272,F291,F310,F329,F348,F367)</f>
        <v>0</v>
      </c>
    </row>
    <row r="24" spans="2:9" outlineLevel="1">
      <c r="B24" s="1937"/>
      <c r="C24" s="58"/>
      <c r="D24" s="1363" t="s">
        <v>93</v>
      </c>
      <c r="E24" s="1406" t="s">
        <v>88</v>
      </c>
      <c r="F24" s="1398">
        <f t="shared" si="2"/>
        <v>0</v>
      </c>
    </row>
    <row r="25" spans="2:9" outlineLevel="1">
      <c r="D25" s="1361" t="s">
        <v>96</v>
      </c>
      <c r="E25" s="1404"/>
      <c r="F25" s="1362"/>
    </row>
    <row r="26" spans="2:9" outlineLevel="1">
      <c r="B26" s="1937"/>
      <c r="C26" s="58"/>
      <c r="D26" s="1363" t="s">
        <v>91</v>
      </c>
      <c r="E26" s="1406" t="s">
        <v>88</v>
      </c>
      <c r="F26" s="1398">
        <f>SUM(F47,F66,F85,F104,F123,F142,F161,F180,F199,F218,F237,F256,F275,F294,F313,F332,F351,F370)</f>
        <v>0</v>
      </c>
    </row>
    <row r="27" spans="2:9" outlineLevel="1">
      <c r="B27" s="1937"/>
      <c r="C27" s="58"/>
      <c r="D27" s="1363" t="s">
        <v>92</v>
      </c>
      <c r="E27" s="1406" t="s">
        <v>88</v>
      </c>
      <c r="F27" s="1398">
        <f t="shared" ref="F27:F28" si="3">SUM(F48,F67,F86,F105,F124,F143,F162,F181,F200,F219,F238,F257,F276,F295,F314,F333,F352,F371)</f>
        <v>0</v>
      </c>
    </row>
    <row r="28" spans="2:9" outlineLevel="1">
      <c r="B28" s="1937"/>
      <c r="C28" s="58"/>
      <c r="D28" s="1363" t="s">
        <v>93</v>
      </c>
      <c r="E28" s="1406" t="s">
        <v>88</v>
      </c>
      <c r="F28" s="1398">
        <f t="shared" si="3"/>
        <v>0</v>
      </c>
    </row>
    <row r="29" spans="2:9" ht="22.5" customHeight="1" outlineLevel="1">
      <c r="B29" s="1937"/>
      <c r="C29" s="58"/>
      <c r="D29" s="1364" t="s">
        <v>97</v>
      </c>
      <c r="E29" s="1408" t="s">
        <v>88</v>
      </c>
      <c r="F29" s="1399">
        <f>F12+SUM(F14:F16)+SUM(F18:F20)+SUM(F22:F24)+SUM(F26:F28)</f>
        <v>0</v>
      </c>
    </row>
    <row r="30" spans="2:9">
      <c r="D30" s="971"/>
      <c r="E30" s="971"/>
      <c r="F30" s="971"/>
      <c r="H30" s="1562" t="s">
        <v>1443</v>
      </c>
      <c r="I30" s="1600" t="s">
        <v>1430</v>
      </c>
    </row>
    <row r="31" spans="2:9" ht="25.5">
      <c r="D31" s="1359" t="s">
        <v>1325</v>
      </c>
      <c r="E31" s="958" t="s">
        <v>1192</v>
      </c>
      <c r="F31" s="1039" t="s">
        <v>1324</v>
      </c>
      <c r="H31" s="1558" t="s">
        <v>1435</v>
      </c>
      <c r="I31" s="1602" t="s">
        <v>1324</v>
      </c>
    </row>
    <row r="32" spans="2:9" ht="27.75" customHeight="1">
      <c r="B32" s="1668" t="s">
        <v>1545</v>
      </c>
      <c r="C32" s="623"/>
      <c r="D32" s="1395" t="s">
        <v>89</v>
      </c>
      <c r="H32" s="1603" t="s">
        <v>1449</v>
      </c>
      <c r="I32" s="1567"/>
    </row>
    <row r="33" spans="2:9" ht="15" customHeight="1" outlineLevel="1">
      <c r="B33" s="1668" t="s">
        <v>1546</v>
      </c>
      <c r="C33" s="58"/>
      <c r="D33" s="1360" t="s">
        <v>1092</v>
      </c>
      <c r="E33" s="1402" t="s">
        <v>88</v>
      </c>
      <c r="F33" s="1365"/>
      <c r="H33" s="1567"/>
      <c r="I33" s="1534" t="str">
        <f>IF(ISNONTEXT(F33)=TRUE,"","X")</f>
        <v/>
      </c>
    </row>
    <row r="34" spans="2:9" ht="15" customHeight="1" outlineLevel="1">
      <c r="B34" s="1668"/>
      <c r="D34" s="1235" t="s">
        <v>90</v>
      </c>
      <c r="E34" s="1404"/>
      <c r="F34" s="1362"/>
      <c r="H34" s="1567"/>
      <c r="I34" s="1567"/>
    </row>
    <row r="35" spans="2:9" ht="15" customHeight="1" outlineLevel="1">
      <c r="B35" s="1668" t="s">
        <v>1547</v>
      </c>
      <c r="C35" s="58"/>
      <c r="D35" s="1396" t="s">
        <v>91</v>
      </c>
      <c r="E35" s="1406" t="s">
        <v>88</v>
      </c>
      <c r="F35" s="1366"/>
      <c r="H35" s="1567"/>
      <c r="I35" s="1534" t="str">
        <f t="shared" ref="I35:I50" si="4">IF(ISNONTEXT(F35)=TRUE,"","X")</f>
        <v/>
      </c>
    </row>
    <row r="36" spans="2:9" ht="15" customHeight="1" outlineLevel="1">
      <c r="B36" s="1668" t="s">
        <v>1548</v>
      </c>
      <c r="C36" s="58"/>
      <c r="D36" s="1396" t="s">
        <v>92</v>
      </c>
      <c r="E36" s="1406" t="s">
        <v>88</v>
      </c>
      <c r="F36" s="1366"/>
      <c r="H36" s="1567"/>
      <c r="I36" s="1534" t="str">
        <f t="shared" si="4"/>
        <v/>
      </c>
    </row>
    <row r="37" spans="2:9" ht="15" customHeight="1" outlineLevel="1">
      <c r="B37" s="1668" t="s">
        <v>1549</v>
      </c>
      <c r="C37" s="58"/>
      <c r="D37" s="1396" t="s">
        <v>93</v>
      </c>
      <c r="E37" s="1406" t="s">
        <v>88</v>
      </c>
      <c r="F37" s="1366"/>
      <c r="H37" s="1567"/>
      <c r="I37" s="1534" t="str">
        <f t="shared" si="4"/>
        <v/>
      </c>
    </row>
    <row r="38" spans="2:9" ht="15" customHeight="1" outlineLevel="1">
      <c r="B38" s="1668"/>
      <c r="D38" s="1235" t="s">
        <v>94</v>
      </c>
      <c r="E38" s="1404"/>
      <c r="F38" s="1362"/>
      <c r="H38" s="1567"/>
      <c r="I38" s="1567"/>
    </row>
    <row r="39" spans="2:9" ht="15" customHeight="1" outlineLevel="1">
      <c r="B39" s="1668" t="s">
        <v>1550</v>
      </c>
      <c r="C39" s="58"/>
      <c r="D39" s="1396" t="s">
        <v>91</v>
      </c>
      <c r="E39" s="1406" t="s">
        <v>88</v>
      </c>
      <c r="F39" s="1366"/>
      <c r="H39" s="1567"/>
      <c r="I39" s="1534" t="str">
        <f t="shared" si="4"/>
        <v/>
      </c>
    </row>
    <row r="40" spans="2:9" ht="15" customHeight="1" outlineLevel="1">
      <c r="B40" s="1668" t="s">
        <v>1551</v>
      </c>
      <c r="C40" s="58"/>
      <c r="D40" s="1396" t="s">
        <v>92</v>
      </c>
      <c r="E40" s="1406" t="s">
        <v>88</v>
      </c>
      <c r="F40" s="1366"/>
      <c r="H40" s="1567"/>
      <c r="I40" s="1534" t="str">
        <f t="shared" si="4"/>
        <v/>
      </c>
    </row>
    <row r="41" spans="2:9" ht="15" customHeight="1" outlineLevel="1">
      <c r="B41" s="1668" t="s">
        <v>1552</v>
      </c>
      <c r="C41" s="58"/>
      <c r="D41" s="1396" t="s">
        <v>93</v>
      </c>
      <c r="E41" s="1406" t="s">
        <v>88</v>
      </c>
      <c r="F41" s="1366"/>
      <c r="H41" s="1567"/>
      <c r="I41" s="1534" t="str">
        <f t="shared" si="4"/>
        <v/>
      </c>
    </row>
    <row r="42" spans="2:9" ht="15" customHeight="1" outlineLevel="1">
      <c r="B42" s="1668"/>
      <c r="D42" s="1235" t="s">
        <v>95</v>
      </c>
      <c r="E42" s="1404"/>
      <c r="F42" s="1362"/>
      <c r="H42" s="1567"/>
      <c r="I42" s="1567"/>
    </row>
    <row r="43" spans="2:9" ht="15" customHeight="1" outlineLevel="1">
      <c r="B43" s="1668" t="s">
        <v>1553</v>
      </c>
      <c r="C43" s="58"/>
      <c r="D43" s="1396" t="s">
        <v>91</v>
      </c>
      <c r="E43" s="1406" t="s">
        <v>88</v>
      </c>
      <c r="F43" s="1366"/>
      <c r="H43" s="1567"/>
      <c r="I43" s="1534" t="str">
        <f t="shared" si="4"/>
        <v/>
      </c>
    </row>
    <row r="44" spans="2:9" ht="15" customHeight="1" outlineLevel="1">
      <c r="B44" s="1668" t="s">
        <v>1554</v>
      </c>
      <c r="C44" s="58"/>
      <c r="D44" s="1396" t="s">
        <v>92</v>
      </c>
      <c r="E44" s="1406" t="s">
        <v>88</v>
      </c>
      <c r="F44" s="1366"/>
      <c r="H44" s="1567"/>
      <c r="I44" s="1534" t="str">
        <f t="shared" si="4"/>
        <v/>
      </c>
    </row>
    <row r="45" spans="2:9" ht="15" customHeight="1" outlineLevel="1">
      <c r="B45" s="1668" t="s">
        <v>1555</v>
      </c>
      <c r="C45" s="58"/>
      <c r="D45" s="1396" t="s">
        <v>93</v>
      </c>
      <c r="E45" s="1406" t="s">
        <v>88</v>
      </c>
      <c r="F45" s="1366"/>
      <c r="H45" s="1567"/>
      <c r="I45" s="1534" t="str">
        <f t="shared" si="4"/>
        <v/>
      </c>
    </row>
    <row r="46" spans="2:9" ht="15" customHeight="1" outlineLevel="1">
      <c r="B46" s="1668"/>
      <c r="D46" s="1235" t="s">
        <v>96</v>
      </c>
      <c r="E46" s="1404"/>
      <c r="F46" s="1362"/>
      <c r="H46" s="1567"/>
      <c r="I46" s="1567"/>
    </row>
    <row r="47" spans="2:9" ht="15" customHeight="1" outlineLevel="1">
      <c r="B47" s="1668" t="s">
        <v>1556</v>
      </c>
      <c r="C47" s="58"/>
      <c r="D47" s="1396" t="s">
        <v>91</v>
      </c>
      <c r="E47" s="1406" t="s">
        <v>88</v>
      </c>
      <c r="F47" s="1366"/>
      <c r="H47" s="1567"/>
      <c r="I47" s="1534" t="str">
        <f t="shared" si="4"/>
        <v/>
      </c>
    </row>
    <row r="48" spans="2:9" ht="15" customHeight="1" outlineLevel="1">
      <c r="B48" s="1668" t="s">
        <v>1557</v>
      </c>
      <c r="C48" s="58"/>
      <c r="D48" s="1396" t="s">
        <v>92</v>
      </c>
      <c r="E48" s="1406" t="s">
        <v>88</v>
      </c>
      <c r="F48" s="1366"/>
      <c r="H48" s="1567"/>
      <c r="I48" s="1534" t="str">
        <f t="shared" si="4"/>
        <v/>
      </c>
    </row>
    <row r="49" spans="2:9" ht="15" customHeight="1" outlineLevel="1">
      <c r="B49" s="1668" t="s">
        <v>1558</v>
      </c>
      <c r="C49" s="58"/>
      <c r="D49" s="1396" t="s">
        <v>93</v>
      </c>
      <c r="E49" s="1406" t="s">
        <v>88</v>
      </c>
      <c r="F49" s="1366"/>
      <c r="H49" s="1567"/>
      <c r="I49" s="1534" t="str">
        <f t="shared" si="4"/>
        <v/>
      </c>
    </row>
    <row r="50" spans="2:9" ht="15" customHeight="1" outlineLevel="1">
      <c r="B50" s="1668" t="s">
        <v>1559</v>
      </c>
      <c r="C50" s="58"/>
      <c r="D50" s="1364" t="s">
        <v>97</v>
      </c>
      <c r="E50" s="1408" t="s">
        <v>88</v>
      </c>
      <c r="F50" s="1367"/>
      <c r="H50" s="1567"/>
      <c r="I50" s="1534" t="str">
        <f t="shared" si="4"/>
        <v/>
      </c>
    </row>
    <row r="51" spans="2:9" ht="26.25" customHeight="1">
      <c r="B51" s="1668" t="s">
        <v>1560</v>
      </c>
      <c r="C51" s="58"/>
      <c r="D51" s="1395" t="s">
        <v>89</v>
      </c>
      <c r="E51" s="1409"/>
      <c r="F51" s="1368"/>
      <c r="H51" s="1603" t="s">
        <v>1449</v>
      </c>
      <c r="I51" s="1567"/>
    </row>
    <row r="52" spans="2:9" hidden="1" outlineLevel="1">
      <c r="B52" s="1668" t="s">
        <v>1561</v>
      </c>
      <c r="C52" s="58"/>
      <c r="D52" s="1360" t="s">
        <v>1092</v>
      </c>
      <c r="E52" s="1402" t="s">
        <v>88</v>
      </c>
      <c r="F52" s="1365"/>
      <c r="H52" s="1567"/>
      <c r="I52" s="1534" t="str">
        <f>IF(ISNONTEXT(F52)=TRUE,"","X")</f>
        <v/>
      </c>
    </row>
    <row r="53" spans="2:9" hidden="1" outlineLevel="1">
      <c r="B53" s="1668"/>
      <c r="D53" s="1235" t="s">
        <v>90</v>
      </c>
      <c r="E53" s="1404"/>
      <c r="F53" s="1362"/>
      <c r="H53" s="1567"/>
      <c r="I53" s="1567"/>
    </row>
    <row r="54" spans="2:9" hidden="1" outlineLevel="1">
      <c r="B54" s="1668" t="s">
        <v>1562</v>
      </c>
      <c r="C54" s="58"/>
      <c r="D54" s="1396" t="s">
        <v>91</v>
      </c>
      <c r="E54" s="1406" t="s">
        <v>88</v>
      </c>
      <c r="F54" s="1366"/>
      <c r="H54" s="1567"/>
      <c r="I54" s="1534" t="str">
        <f t="shared" ref="I54:I56" si="5">IF(ISNONTEXT(F54)=TRUE,"","X")</f>
        <v/>
      </c>
    </row>
    <row r="55" spans="2:9" hidden="1" outlineLevel="1">
      <c r="B55" s="1668" t="s">
        <v>1563</v>
      </c>
      <c r="C55" s="58"/>
      <c r="D55" s="1396" t="s">
        <v>92</v>
      </c>
      <c r="E55" s="1406" t="s">
        <v>88</v>
      </c>
      <c r="F55" s="1366"/>
      <c r="H55" s="1567"/>
      <c r="I55" s="1534" t="str">
        <f t="shared" si="5"/>
        <v/>
      </c>
    </row>
    <row r="56" spans="2:9" hidden="1" outlineLevel="1">
      <c r="B56" s="1668" t="s">
        <v>1564</v>
      </c>
      <c r="C56" s="58"/>
      <c r="D56" s="1396" t="s">
        <v>93</v>
      </c>
      <c r="E56" s="1406" t="s">
        <v>88</v>
      </c>
      <c r="F56" s="1366"/>
      <c r="H56" s="1567"/>
      <c r="I56" s="1534" t="str">
        <f t="shared" si="5"/>
        <v/>
      </c>
    </row>
    <row r="57" spans="2:9" hidden="1" outlineLevel="1">
      <c r="B57" s="1668"/>
      <c r="D57" s="1235" t="s">
        <v>94</v>
      </c>
      <c r="E57" s="1404"/>
      <c r="F57" s="1362"/>
      <c r="H57" s="1567"/>
      <c r="I57" s="1567"/>
    </row>
    <row r="58" spans="2:9" hidden="1" outlineLevel="1">
      <c r="B58" s="1668" t="s">
        <v>1565</v>
      </c>
      <c r="C58" s="58"/>
      <c r="D58" s="1396" t="s">
        <v>91</v>
      </c>
      <c r="E58" s="1406" t="s">
        <v>88</v>
      </c>
      <c r="F58" s="1366"/>
      <c r="H58" s="1567"/>
      <c r="I58" s="1534" t="str">
        <f t="shared" ref="I58:I60" si="6">IF(ISNONTEXT(F58)=TRUE,"","X")</f>
        <v/>
      </c>
    </row>
    <row r="59" spans="2:9" hidden="1" outlineLevel="1">
      <c r="B59" s="1668" t="s">
        <v>1566</v>
      </c>
      <c r="C59" s="58"/>
      <c r="D59" s="1396" t="s">
        <v>92</v>
      </c>
      <c r="E59" s="1406" t="s">
        <v>88</v>
      </c>
      <c r="F59" s="1366"/>
      <c r="H59" s="1567"/>
      <c r="I59" s="1534" t="str">
        <f t="shared" si="6"/>
        <v/>
      </c>
    </row>
    <row r="60" spans="2:9" hidden="1" outlineLevel="1">
      <c r="B60" s="1668" t="s">
        <v>1567</v>
      </c>
      <c r="C60" s="58"/>
      <c r="D60" s="1396" t="s">
        <v>93</v>
      </c>
      <c r="E60" s="1406" t="s">
        <v>88</v>
      </c>
      <c r="F60" s="1366"/>
      <c r="H60" s="1567"/>
      <c r="I60" s="1534" t="str">
        <f t="shared" si="6"/>
        <v/>
      </c>
    </row>
    <row r="61" spans="2:9" hidden="1" outlineLevel="1">
      <c r="B61" s="1668"/>
      <c r="D61" s="1235" t="s">
        <v>95</v>
      </c>
      <c r="E61" s="1404"/>
      <c r="F61" s="1362"/>
      <c r="H61" s="1567"/>
      <c r="I61" s="1567"/>
    </row>
    <row r="62" spans="2:9" hidden="1" outlineLevel="1">
      <c r="B62" s="1668" t="s">
        <v>1568</v>
      </c>
      <c r="C62" s="58"/>
      <c r="D62" s="1396" t="s">
        <v>91</v>
      </c>
      <c r="E62" s="1406" t="s">
        <v>88</v>
      </c>
      <c r="F62" s="1366"/>
      <c r="H62" s="1567"/>
      <c r="I62" s="1534" t="str">
        <f t="shared" ref="I62:I64" si="7">IF(ISNONTEXT(F62)=TRUE,"","X")</f>
        <v/>
      </c>
    </row>
    <row r="63" spans="2:9" hidden="1" outlineLevel="1">
      <c r="B63" s="1668" t="s">
        <v>1569</v>
      </c>
      <c r="C63" s="58"/>
      <c r="D63" s="1396" t="s">
        <v>92</v>
      </c>
      <c r="E63" s="1406" t="s">
        <v>88</v>
      </c>
      <c r="F63" s="1366"/>
      <c r="H63" s="1567"/>
      <c r="I63" s="1534" t="str">
        <f t="shared" si="7"/>
        <v/>
      </c>
    </row>
    <row r="64" spans="2:9" hidden="1" outlineLevel="1">
      <c r="B64" s="1668" t="s">
        <v>1570</v>
      </c>
      <c r="C64" s="58"/>
      <c r="D64" s="1396" t="s">
        <v>93</v>
      </c>
      <c r="E64" s="1406" t="s">
        <v>88</v>
      </c>
      <c r="F64" s="1366"/>
      <c r="H64" s="1567"/>
      <c r="I64" s="1534" t="str">
        <f t="shared" si="7"/>
        <v/>
      </c>
    </row>
    <row r="65" spans="2:9" hidden="1" outlineLevel="1">
      <c r="B65" s="1668"/>
      <c r="D65" s="1235" t="s">
        <v>96</v>
      </c>
      <c r="E65" s="1404"/>
      <c r="F65" s="1362"/>
      <c r="H65" s="1567"/>
      <c r="I65" s="1567"/>
    </row>
    <row r="66" spans="2:9" hidden="1" outlineLevel="1">
      <c r="B66" s="1668" t="s">
        <v>1571</v>
      </c>
      <c r="C66" s="58"/>
      <c r="D66" s="1396" t="s">
        <v>91</v>
      </c>
      <c r="E66" s="1406" t="s">
        <v>88</v>
      </c>
      <c r="F66" s="1366"/>
      <c r="H66" s="1567"/>
      <c r="I66" s="1534" t="str">
        <f t="shared" ref="I66:I69" si="8">IF(ISNONTEXT(F66)=TRUE,"","X")</f>
        <v/>
      </c>
    </row>
    <row r="67" spans="2:9" hidden="1" outlineLevel="1">
      <c r="B67" s="1668" t="s">
        <v>1572</v>
      </c>
      <c r="C67" s="58"/>
      <c r="D67" s="1396" t="s">
        <v>92</v>
      </c>
      <c r="E67" s="1406" t="s">
        <v>88</v>
      </c>
      <c r="F67" s="1366"/>
      <c r="H67" s="1567"/>
      <c r="I67" s="1534" t="str">
        <f t="shared" si="8"/>
        <v/>
      </c>
    </row>
    <row r="68" spans="2:9" hidden="1" outlineLevel="1">
      <c r="B68" s="1668" t="s">
        <v>1573</v>
      </c>
      <c r="C68" s="58"/>
      <c r="D68" s="1396" t="s">
        <v>93</v>
      </c>
      <c r="E68" s="1406" t="s">
        <v>88</v>
      </c>
      <c r="F68" s="1366"/>
      <c r="H68" s="1567"/>
      <c r="I68" s="1534" t="str">
        <f t="shared" si="8"/>
        <v/>
      </c>
    </row>
    <row r="69" spans="2:9" ht="22.5" hidden="1" customHeight="1" outlineLevel="1">
      <c r="B69" s="1668" t="s">
        <v>1574</v>
      </c>
      <c r="C69" s="58"/>
      <c r="D69" s="1364" t="s">
        <v>97</v>
      </c>
      <c r="E69" s="1408" t="s">
        <v>88</v>
      </c>
      <c r="F69" s="1367"/>
      <c r="H69" s="1567"/>
      <c r="I69" s="1534" t="str">
        <f t="shared" si="8"/>
        <v/>
      </c>
    </row>
    <row r="70" spans="2:9" ht="23.25" collapsed="1">
      <c r="B70" s="1668" t="s">
        <v>1575</v>
      </c>
      <c r="C70" s="58"/>
      <c r="D70" s="1395" t="s">
        <v>89</v>
      </c>
      <c r="E70" s="1409"/>
      <c r="F70" s="1368"/>
      <c r="H70" s="1603" t="s">
        <v>1449</v>
      </c>
      <c r="I70" s="1567"/>
    </row>
    <row r="71" spans="2:9" hidden="1" outlineLevel="1">
      <c r="B71" s="1668" t="s">
        <v>1576</v>
      </c>
      <c r="C71" s="58"/>
      <c r="D71" s="1360" t="s">
        <v>1092</v>
      </c>
      <c r="E71" s="1402" t="s">
        <v>88</v>
      </c>
      <c r="F71" s="1365"/>
      <c r="H71" s="1567"/>
      <c r="I71" s="1534" t="str">
        <f>IF(ISNONTEXT(F71)=TRUE,"","X")</f>
        <v/>
      </c>
    </row>
    <row r="72" spans="2:9" hidden="1" outlineLevel="1">
      <c r="B72" s="1668"/>
      <c r="D72" s="1235" t="s">
        <v>90</v>
      </c>
      <c r="E72" s="1404"/>
      <c r="F72" s="1362"/>
      <c r="H72" s="1567"/>
      <c r="I72" s="1567"/>
    </row>
    <row r="73" spans="2:9" hidden="1" outlineLevel="1">
      <c r="B73" s="1668" t="s">
        <v>1577</v>
      </c>
      <c r="C73" s="58"/>
      <c r="D73" s="1396" t="s">
        <v>91</v>
      </c>
      <c r="E73" s="1406" t="s">
        <v>88</v>
      </c>
      <c r="F73" s="1366"/>
      <c r="H73" s="1567"/>
      <c r="I73" s="1534" t="str">
        <f t="shared" ref="I73:I75" si="9">IF(ISNONTEXT(F73)=TRUE,"","X")</f>
        <v/>
      </c>
    </row>
    <row r="74" spans="2:9" hidden="1" outlineLevel="1">
      <c r="B74" s="1668" t="s">
        <v>1578</v>
      </c>
      <c r="C74" s="58"/>
      <c r="D74" s="1396" t="s">
        <v>92</v>
      </c>
      <c r="E74" s="1406" t="s">
        <v>88</v>
      </c>
      <c r="F74" s="1366"/>
      <c r="H74" s="1567"/>
      <c r="I74" s="1534" t="str">
        <f t="shared" si="9"/>
        <v/>
      </c>
    </row>
    <row r="75" spans="2:9" hidden="1" outlineLevel="1">
      <c r="B75" s="1668" t="s">
        <v>1579</v>
      </c>
      <c r="C75" s="58"/>
      <c r="D75" s="1396" t="s">
        <v>93</v>
      </c>
      <c r="E75" s="1406" t="s">
        <v>88</v>
      </c>
      <c r="F75" s="1366"/>
      <c r="H75" s="1567"/>
      <c r="I75" s="1534" t="str">
        <f t="shared" si="9"/>
        <v/>
      </c>
    </row>
    <row r="76" spans="2:9" hidden="1" outlineLevel="1">
      <c r="B76" s="1668"/>
      <c r="D76" s="1235" t="s">
        <v>94</v>
      </c>
      <c r="E76" s="1404"/>
      <c r="F76" s="1362"/>
      <c r="H76" s="1567"/>
      <c r="I76" s="1567"/>
    </row>
    <row r="77" spans="2:9" hidden="1" outlineLevel="1">
      <c r="B77" s="1668" t="s">
        <v>1580</v>
      </c>
      <c r="C77" s="58"/>
      <c r="D77" s="1396" t="s">
        <v>91</v>
      </c>
      <c r="E77" s="1406" t="s">
        <v>88</v>
      </c>
      <c r="F77" s="1366"/>
      <c r="H77" s="1567"/>
      <c r="I77" s="1534" t="str">
        <f t="shared" ref="I77:I79" si="10">IF(ISNONTEXT(F77)=TRUE,"","X")</f>
        <v/>
      </c>
    </row>
    <row r="78" spans="2:9" hidden="1" outlineLevel="1">
      <c r="B78" s="1668" t="s">
        <v>1581</v>
      </c>
      <c r="C78" s="58"/>
      <c r="D78" s="1396" t="s">
        <v>92</v>
      </c>
      <c r="E78" s="1406" t="s">
        <v>88</v>
      </c>
      <c r="F78" s="1366"/>
      <c r="H78" s="1567"/>
      <c r="I78" s="1534" t="str">
        <f t="shared" si="10"/>
        <v/>
      </c>
    </row>
    <row r="79" spans="2:9" hidden="1" outlineLevel="1">
      <c r="B79" s="1668" t="s">
        <v>1582</v>
      </c>
      <c r="C79" s="58"/>
      <c r="D79" s="1396" t="s">
        <v>93</v>
      </c>
      <c r="E79" s="1406" t="s">
        <v>88</v>
      </c>
      <c r="F79" s="1366"/>
      <c r="H79" s="1567"/>
      <c r="I79" s="1534" t="str">
        <f t="shared" si="10"/>
        <v/>
      </c>
    </row>
    <row r="80" spans="2:9" hidden="1" outlineLevel="1">
      <c r="B80" s="1668"/>
      <c r="D80" s="1235" t="s">
        <v>95</v>
      </c>
      <c r="E80" s="1404"/>
      <c r="F80" s="1362"/>
      <c r="H80" s="1567"/>
      <c r="I80" s="1567"/>
    </row>
    <row r="81" spans="2:9" hidden="1" outlineLevel="1">
      <c r="B81" s="1668" t="s">
        <v>1583</v>
      </c>
      <c r="C81" s="58"/>
      <c r="D81" s="1396" t="s">
        <v>91</v>
      </c>
      <c r="E81" s="1406" t="s">
        <v>88</v>
      </c>
      <c r="F81" s="1366"/>
      <c r="H81" s="1567"/>
      <c r="I81" s="1534" t="str">
        <f t="shared" ref="I81:I83" si="11">IF(ISNONTEXT(F81)=TRUE,"","X")</f>
        <v/>
      </c>
    </row>
    <row r="82" spans="2:9" hidden="1" outlineLevel="1">
      <c r="B82" s="1668" t="s">
        <v>1584</v>
      </c>
      <c r="C82" s="58"/>
      <c r="D82" s="1396" t="s">
        <v>92</v>
      </c>
      <c r="E82" s="1406" t="s">
        <v>88</v>
      </c>
      <c r="F82" s="1366"/>
      <c r="H82" s="1567"/>
      <c r="I82" s="1534" t="str">
        <f t="shared" si="11"/>
        <v/>
      </c>
    </row>
    <row r="83" spans="2:9" hidden="1" outlineLevel="1">
      <c r="B83" s="1668" t="s">
        <v>1585</v>
      </c>
      <c r="C83" s="58"/>
      <c r="D83" s="1396" t="s">
        <v>93</v>
      </c>
      <c r="E83" s="1406" t="s">
        <v>88</v>
      </c>
      <c r="F83" s="1366"/>
      <c r="H83" s="1567"/>
      <c r="I83" s="1534" t="str">
        <f t="shared" si="11"/>
        <v/>
      </c>
    </row>
    <row r="84" spans="2:9" hidden="1" outlineLevel="1">
      <c r="B84" s="1668"/>
      <c r="D84" s="1235" t="s">
        <v>96</v>
      </c>
      <c r="E84" s="1404"/>
      <c r="F84" s="1362"/>
      <c r="H84" s="1567"/>
      <c r="I84" s="1567"/>
    </row>
    <row r="85" spans="2:9" hidden="1" outlineLevel="1">
      <c r="B85" s="1668" t="s">
        <v>1586</v>
      </c>
      <c r="C85" s="58"/>
      <c r="D85" s="1396" t="s">
        <v>91</v>
      </c>
      <c r="E85" s="1406" t="s">
        <v>88</v>
      </c>
      <c r="F85" s="1366"/>
      <c r="H85" s="1567"/>
      <c r="I85" s="1534" t="str">
        <f t="shared" ref="I85:I88" si="12">IF(ISNONTEXT(F85)=TRUE,"","X")</f>
        <v/>
      </c>
    </row>
    <row r="86" spans="2:9" hidden="1" outlineLevel="1">
      <c r="B86" s="1668" t="s">
        <v>1587</v>
      </c>
      <c r="C86" s="58"/>
      <c r="D86" s="1396" t="s">
        <v>92</v>
      </c>
      <c r="E86" s="1406" t="s">
        <v>88</v>
      </c>
      <c r="F86" s="1366"/>
      <c r="H86" s="1567"/>
      <c r="I86" s="1534" t="str">
        <f t="shared" si="12"/>
        <v/>
      </c>
    </row>
    <row r="87" spans="2:9" hidden="1" outlineLevel="1">
      <c r="B87" s="1668" t="s">
        <v>1588</v>
      </c>
      <c r="C87" s="58"/>
      <c r="D87" s="1396" t="s">
        <v>93</v>
      </c>
      <c r="E87" s="1406" t="s">
        <v>88</v>
      </c>
      <c r="F87" s="1366"/>
      <c r="H87" s="1567"/>
      <c r="I87" s="1534" t="str">
        <f t="shared" si="12"/>
        <v/>
      </c>
    </row>
    <row r="88" spans="2:9" ht="22.5" hidden="1" customHeight="1" outlineLevel="1">
      <c r="B88" s="1668" t="s">
        <v>1589</v>
      </c>
      <c r="C88" s="58"/>
      <c r="D88" s="1364" t="s">
        <v>97</v>
      </c>
      <c r="E88" s="1408" t="s">
        <v>88</v>
      </c>
      <c r="F88" s="1367"/>
      <c r="H88" s="1567"/>
      <c r="I88" s="1534" t="str">
        <f t="shared" si="12"/>
        <v/>
      </c>
    </row>
    <row r="89" spans="2:9" ht="23.25" collapsed="1">
      <c r="B89" s="1668" t="s">
        <v>1590</v>
      </c>
      <c r="C89" s="58"/>
      <c r="D89" s="1395" t="s">
        <v>89</v>
      </c>
      <c r="E89" s="1409"/>
      <c r="F89" s="1368"/>
      <c r="H89" s="1603" t="s">
        <v>1449</v>
      </c>
      <c r="I89" s="1567"/>
    </row>
    <row r="90" spans="2:9" hidden="1" outlineLevel="1">
      <c r="B90" s="1668" t="s">
        <v>1591</v>
      </c>
      <c r="C90" s="58"/>
      <c r="D90" s="1360" t="s">
        <v>1092</v>
      </c>
      <c r="E90" s="1402" t="s">
        <v>88</v>
      </c>
      <c r="F90" s="1365"/>
      <c r="H90" s="1567"/>
      <c r="I90" s="1534" t="str">
        <f>IF(ISNONTEXT(F90)=TRUE,"","X")</f>
        <v/>
      </c>
    </row>
    <row r="91" spans="2:9" hidden="1" outlineLevel="1">
      <c r="B91" s="1668"/>
      <c r="D91" s="1235" t="s">
        <v>90</v>
      </c>
      <c r="E91" s="1404"/>
      <c r="F91" s="1362"/>
      <c r="H91" s="1567"/>
      <c r="I91" s="1567"/>
    </row>
    <row r="92" spans="2:9" hidden="1" outlineLevel="1">
      <c r="B92" s="1668" t="s">
        <v>1592</v>
      </c>
      <c r="C92" s="58"/>
      <c r="D92" s="1396" t="s">
        <v>91</v>
      </c>
      <c r="E92" s="1406" t="s">
        <v>88</v>
      </c>
      <c r="F92" s="1366"/>
      <c r="H92" s="1567"/>
      <c r="I92" s="1534" t="str">
        <f t="shared" ref="I92:I94" si="13">IF(ISNONTEXT(F92)=TRUE,"","X")</f>
        <v/>
      </c>
    </row>
    <row r="93" spans="2:9" hidden="1" outlineLevel="1">
      <c r="B93" s="1668" t="s">
        <v>1593</v>
      </c>
      <c r="C93" s="58"/>
      <c r="D93" s="1396" t="s">
        <v>92</v>
      </c>
      <c r="E93" s="1406" t="s">
        <v>88</v>
      </c>
      <c r="F93" s="1366"/>
      <c r="H93" s="1567"/>
      <c r="I93" s="1534" t="str">
        <f t="shared" si="13"/>
        <v/>
      </c>
    </row>
    <row r="94" spans="2:9" hidden="1" outlineLevel="1">
      <c r="B94" s="1668" t="s">
        <v>1594</v>
      </c>
      <c r="C94" s="58"/>
      <c r="D94" s="1396" t="s">
        <v>93</v>
      </c>
      <c r="E94" s="1406" t="s">
        <v>88</v>
      </c>
      <c r="F94" s="1366"/>
      <c r="H94" s="1567"/>
      <c r="I94" s="1534" t="str">
        <f t="shared" si="13"/>
        <v/>
      </c>
    </row>
    <row r="95" spans="2:9" hidden="1" outlineLevel="1">
      <c r="B95" s="1668"/>
      <c r="D95" s="1235" t="s">
        <v>94</v>
      </c>
      <c r="E95" s="1404"/>
      <c r="F95" s="1362"/>
      <c r="H95" s="1567"/>
      <c r="I95" s="1567"/>
    </row>
    <row r="96" spans="2:9" hidden="1" outlineLevel="1">
      <c r="B96" s="1668" t="s">
        <v>1595</v>
      </c>
      <c r="C96" s="58"/>
      <c r="D96" s="1396" t="s">
        <v>91</v>
      </c>
      <c r="E96" s="1406" t="s">
        <v>88</v>
      </c>
      <c r="F96" s="1366"/>
      <c r="H96" s="1567"/>
      <c r="I96" s="1534" t="str">
        <f t="shared" ref="I96:I98" si="14">IF(ISNONTEXT(F96)=TRUE,"","X")</f>
        <v/>
      </c>
    </row>
    <row r="97" spans="2:9" hidden="1" outlineLevel="1">
      <c r="B97" s="1668" t="s">
        <v>1596</v>
      </c>
      <c r="C97" s="58"/>
      <c r="D97" s="1396" t="s">
        <v>92</v>
      </c>
      <c r="E97" s="1406" t="s">
        <v>88</v>
      </c>
      <c r="F97" s="1366"/>
      <c r="H97" s="1567"/>
      <c r="I97" s="1534" t="str">
        <f t="shared" si="14"/>
        <v/>
      </c>
    </row>
    <row r="98" spans="2:9" hidden="1" outlineLevel="1">
      <c r="B98" s="1668" t="s">
        <v>1597</v>
      </c>
      <c r="C98" s="58"/>
      <c r="D98" s="1396" t="s">
        <v>93</v>
      </c>
      <c r="E98" s="1406" t="s">
        <v>88</v>
      </c>
      <c r="F98" s="1366"/>
      <c r="H98" s="1567"/>
      <c r="I98" s="1534" t="str">
        <f t="shared" si="14"/>
        <v/>
      </c>
    </row>
    <row r="99" spans="2:9" hidden="1" outlineLevel="1">
      <c r="B99" s="1668"/>
      <c r="D99" s="1235" t="s">
        <v>95</v>
      </c>
      <c r="E99" s="1404"/>
      <c r="F99" s="1362"/>
      <c r="H99" s="1567"/>
      <c r="I99" s="1567"/>
    </row>
    <row r="100" spans="2:9" hidden="1" outlineLevel="1">
      <c r="B100" s="1668" t="s">
        <v>1598</v>
      </c>
      <c r="C100" s="58"/>
      <c r="D100" s="1396" t="s">
        <v>91</v>
      </c>
      <c r="E100" s="1406" t="s">
        <v>88</v>
      </c>
      <c r="F100" s="1366"/>
      <c r="H100" s="1567"/>
      <c r="I100" s="1534" t="str">
        <f t="shared" ref="I100:I102" si="15">IF(ISNONTEXT(F100)=TRUE,"","X")</f>
        <v/>
      </c>
    </row>
    <row r="101" spans="2:9" hidden="1" outlineLevel="1">
      <c r="B101" s="1668" t="s">
        <v>1599</v>
      </c>
      <c r="C101" s="58"/>
      <c r="D101" s="1396" t="s">
        <v>92</v>
      </c>
      <c r="E101" s="1406" t="s">
        <v>88</v>
      </c>
      <c r="F101" s="1366"/>
      <c r="H101" s="1567"/>
      <c r="I101" s="1534" t="str">
        <f t="shared" si="15"/>
        <v/>
      </c>
    </row>
    <row r="102" spans="2:9" hidden="1" outlineLevel="1">
      <c r="B102" s="1668" t="s">
        <v>1600</v>
      </c>
      <c r="C102" s="58"/>
      <c r="D102" s="1396" t="s">
        <v>93</v>
      </c>
      <c r="E102" s="1406" t="s">
        <v>88</v>
      </c>
      <c r="F102" s="1366"/>
      <c r="H102" s="1567"/>
      <c r="I102" s="1534" t="str">
        <f t="shared" si="15"/>
        <v/>
      </c>
    </row>
    <row r="103" spans="2:9" hidden="1" outlineLevel="1">
      <c r="B103" s="1668"/>
      <c r="D103" s="1235" t="s">
        <v>96</v>
      </c>
      <c r="E103" s="1404"/>
      <c r="F103" s="1362"/>
      <c r="H103" s="1567"/>
      <c r="I103" s="1567"/>
    </row>
    <row r="104" spans="2:9" hidden="1" outlineLevel="1">
      <c r="B104" s="1668" t="s">
        <v>1601</v>
      </c>
      <c r="C104" s="58"/>
      <c r="D104" s="1396" t="s">
        <v>91</v>
      </c>
      <c r="E104" s="1406" t="s">
        <v>88</v>
      </c>
      <c r="F104" s="1366"/>
      <c r="H104" s="1567"/>
      <c r="I104" s="1534" t="str">
        <f t="shared" ref="I104:I107" si="16">IF(ISNONTEXT(F104)=TRUE,"","X")</f>
        <v/>
      </c>
    </row>
    <row r="105" spans="2:9" hidden="1" outlineLevel="1">
      <c r="B105" s="1668" t="s">
        <v>1602</v>
      </c>
      <c r="C105" s="58"/>
      <c r="D105" s="1396" t="s">
        <v>92</v>
      </c>
      <c r="E105" s="1406" t="s">
        <v>88</v>
      </c>
      <c r="F105" s="1366"/>
      <c r="H105" s="1567"/>
      <c r="I105" s="1534" t="str">
        <f t="shared" si="16"/>
        <v/>
      </c>
    </row>
    <row r="106" spans="2:9" hidden="1" outlineLevel="1">
      <c r="B106" s="1668" t="s">
        <v>1603</v>
      </c>
      <c r="C106" s="58"/>
      <c r="D106" s="1396" t="s">
        <v>93</v>
      </c>
      <c r="E106" s="1406" t="s">
        <v>88</v>
      </c>
      <c r="F106" s="1366"/>
      <c r="H106" s="1567"/>
      <c r="I106" s="1534" t="str">
        <f t="shared" si="16"/>
        <v/>
      </c>
    </row>
    <row r="107" spans="2:9" ht="22.5" hidden="1" customHeight="1" outlineLevel="1">
      <c r="B107" s="1668" t="s">
        <v>1604</v>
      </c>
      <c r="C107" s="58"/>
      <c r="D107" s="1364" t="s">
        <v>97</v>
      </c>
      <c r="E107" s="1408" t="s">
        <v>88</v>
      </c>
      <c r="F107" s="1367"/>
      <c r="H107" s="1567"/>
      <c r="I107" s="1534" t="str">
        <f t="shared" si="16"/>
        <v/>
      </c>
    </row>
    <row r="108" spans="2:9" ht="23.25" collapsed="1">
      <c r="B108" s="1668" t="s">
        <v>1605</v>
      </c>
      <c r="C108" s="58"/>
      <c r="D108" s="1395" t="s">
        <v>89</v>
      </c>
      <c r="E108" s="1409"/>
      <c r="F108" s="1368"/>
      <c r="H108" s="1603" t="s">
        <v>1449</v>
      </c>
      <c r="I108" s="1567"/>
    </row>
    <row r="109" spans="2:9" hidden="1" outlineLevel="1">
      <c r="B109" s="1668" t="s">
        <v>1606</v>
      </c>
      <c r="C109" s="58"/>
      <c r="D109" s="1360" t="s">
        <v>1092</v>
      </c>
      <c r="E109" s="1402" t="s">
        <v>88</v>
      </c>
      <c r="F109" s="1365"/>
      <c r="H109" s="1567"/>
      <c r="I109" s="1534" t="str">
        <f>IF(ISNONTEXT(F109)=TRUE,"","X")</f>
        <v/>
      </c>
    </row>
    <row r="110" spans="2:9" hidden="1" outlineLevel="1">
      <c r="B110" s="1668"/>
      <c r="D110" s="1235" t="s">
        <v>90</v>
      </c>
      <c r="E110" s="1404"/>
      <c r="F110" s="1362"/>
      <c r="H110" s="1567"/>
      <c r="I110" s="1567"/>
    </row>
    <row r="111" spans="2:9" hidden="1" outlineLevel="1">
      <c r="B111" s="1668" t="s">
        <v>1607</v>
      </c>
      <c r="C111" s="58"/>
      <c r="D111" s="1396" t="s">
        <v>91</v>
      </c>
      <c r="E111" s="1406" t="s">
        <v>88</v>
      </c>
      <c r="F111" s="1366"/>
      <c r="H111" s="1567"/>
      <c r="I111" s="1534" t="str">
        <f t="shared" ref="I111:I113" si="17">IF(ISNONTEXT(F111)=TRUE,"","X")</f>
        <v/>
      </c>
    </row>
    <row r="112" spans="2:9" hidden="1" outlineLevel="1">
      <c r="B112" s="1668" t="s">
        <v>1608</v>
      </c>
      <c r="C112" s="58"/>
      <c r="D112" s="1396" t="s">
        <v>92</v>
      </c>
      <c r="E112" s="1406" t="s">
        <v>88</v>
      </c>
      <c r="F112" s="1366"/>
      <c r="H112" s="1567"/>
      <c r="I112" s="1534" t="str">
        <f t="shared" si="17"/>
        <v/>
      </c>
    </row>
    <row r="113" spans="2:9" hidden="1" outlineLevel="1">
      <c r="B113" s="1668" t="s">
        <v>1609</v>
      </c>
      <c r="C113" s="58"/>
      <c r="D113" s="1396" t="s">
        <v>93</v>
      </c>
      <c r="E113" s="1406" t="s">
        <v>88</v>
      </c>
      <c r="F113" s="1366"/>
      <c r="H113" s="1567"/>
      <c r="I113" s="1534" t="str">
        <f t="shared" si="17"/>
        <v/>
      </c>
    </row>
    <row r="114" spans="2:9" hidden="1" outlineLevel="1">
      <c r="B114" s="1668"/>
      <c r="D114" s="1235" t="s">
        <v>94</v>
      </c>
      <c r="E114" s="1404"/>
      <c r="F114" s="1362"/>
      <c r="H114" s="1567"/>
      <c r="I114" s="1567"/>
    </row>
    <row r="115" spans="2:9" hidden="1" outlineLevel="1">
      <c r="B115" s="1668" t="s">
        <v>1610</v>
      </c>
      <c r="C115" s="58"/>
      <c r="D115" s="1396" t="s">
        <v>91</v>
      </c>
      <c r="E115" s="1406" t="s">
        <v>88</v>
      </c>
      <c r="F115" s="1366"/>
      <c r="H115" s="1567"/>
      <c r="I115" s="1534" t="str">
        <f t="shared" ref="I115:I117" si="18">IF(ISNONTEXT(F115)=TRUE,"","X")</f>
        <v/>
      </c>
    </row>
    <row r="116" spans="2:9" hidden="1" outlineLevel="1">
      <c r="B116" s="1668" t="s">
        <v>1611</v>
      </c>
      <c r="C116" s="58"/>
      <c r="D116" s="1396" t="s">
        <v>92</v>
      </c>
      <c r="E116" s="1406" t="s">
        <v>88</v>
      </c>
      <c r="F116" s="1366"/>
      <c r="H116" s="1567"/>
      <c r="I116" s="1534" t="str">
        <f t="shared" si="18"/>
        <v/>
      </c>
    </row>
    <row r="117" spans="2:9" hidden="1" outlineLevel="1">
      <c r="B117" s="1668" t="s">
        <v>1612</v>
      </c>
      <c r="C117" s="58"/>
      <c r="D117" s="1396" t="s">
        <v>93</v>
      </c>
      <c r="E117" s="1406" t="s">
        <v>88</v>
      </c>
      <c r="F117" s="1366"/>
      <c r="H117" s="1567"/>
      <c r="I117" s="1534" t="str">
        <f t="shared" si="18"/>
        <v/>
      </c>
    </row>
    <row r="118" spans="2:9" hidden="1" outlineLevel="1">
      <c r="B118" s="1668"/>
      <c r="D118" s="1235" t="s">
        <v>95</v>
      </c>
      <c r="E118" s="1404"/>
      <c r="F118" s="1362"/>
      <c r="H118" s="1567"/>
      <c r="I118" s="1567"/>
    </row>
    <row r="119" spans="2:9" hidden="1" outlineLevel="1">
      <c r="B119" s="1668" t="s">
        <v>1613</v>
      </c>
      <c r="C119" s="58"/>
      <c r="D119" s="1396" t="s">
        <v>91</v>
      </c>
      <c r="E119" s="1406" t="s">
        <v>88</v>
      </c>
      <c r="F119" s="1366"/>
      <c r="H119" s="1567"/>
      <c r="I119" s="1534" t="str">
        <f t="shared" ref="I119:I121" si="19">IF(ISNONTEXT(F119)=TRUE,"","X")</f>
        <v/>
      </c>
    </row>
    <row r="120" spans="2:9" hidden="1" outlineLevel="1">
      <c r="B120" s="1668" t="s">
        <v>1614</v>
      </c>
      <c r="C120" s="58"/>
      <c r="D120" s="1396" t="s">
        <v>92</v>
      </c>
      <c r="E120" s="1406" t="s">
        <v>88</v>
      </c>
      <c r="F120" s="1366"/>
      <c r="H120" s="1567"/>
      <c r="I120" s="1534" t="str">
        <f t="shared" si="19"/>
        <v/>
      </c>
    </row>
    <row r="121" spans="2:9" hidden="1" outlineLevel="1">
      <c r="B121" s="1668" t="s">
        <v>1615</v>
      </c>
      <c r="C121" s="58"/>
      <c r="D121" s="1396" t="s">
        <v>93</v>
      </c>
      <c r="E121" s="1406" t="s">
        <v>88</v>
      </c>
      <c r="F121" s="1366"/>
      <c r="H121" s="1567"/>
      <c r="I121" s="1534" t="str">
        <f t="shared" si="19"/>
        <v/>
      </c>
    </row>
    <row r="122" spans="2:9" hidden="1" outlineLevel="1">
      <c r="B122" s="1668"/>
      <c r="D122" s="1235" t="s">
        <v>96</v>
      </c>
      <c r="E122" s="1404"/>
      <c r="F122" s="1362"/>
      <c r="H122" s="1567"/>
      <c r="I122" s="1567"/>
    </row>
    <row r="123" spans="2:9" hidden="1" outlineLevel="1">
      <c r="B123" s="1668" t="s">
        <v>1616</v>
      </c>
      <c r="C123" s="58"/>
      <c r="D123" s="1396" t="s">
        <v>91</v>
      </c>
      <c r="E123" s="1406" t="s">
        <v>88</v>
      </c>
      <c r="F123" s="1366"/>
      <c r="H123" s="1567"/>
      <c r="I123" s="1534" t="str">
        <f t="shared" ref="I123:I126" si="20">IF(ISNONTEXT(F123)=TRUE,"","X")</f>
        <v/>
      </c>
    </row>
    <row r="124" spans="2:9" hidden="1" outlineLevel="1">
      <c r="B124" s="1668" t="s">
        <v>1617</v>
      </c>
      <c r="C124" s="58"/>
      <c r="D124" s="1396" t="s">
        <v>92</v>
      </c>
      <c r="E124" s="1406" t="s">
        <v>88</v>
      </c>
      <c r="F124" s="1366"/>
      <c r="H124" s="1567"/>
      <c r="I124" s="1534" t="str">
        <f t="shared" si="20"/>
        <v/>
      </c>
    </row>
    <row r="125" spans="2:9" hidden="1" outlineLevel="1">
      <c r="B125" s="1668" t="s">
        <v>1618</v>
      </c>
      <c r="C125" s="58"/>
      <c r="D125" s="1396" t="s">
        <v>93</v>
      </c>
      <c r="E125" s="1406" t="s">
        <v>88</v>
      </c>
      <c r="F125" s="1366"/>
      <c r="H125" s="1567"/>
      <c r="I125" s="1534" t="str">
        <f t="shared" si="20"/>
        <v/>
      </c>
    </row>
    <row r="126" spans="2:9" ht="22.5" hidden="1" customHeight="1" outlineLevel="1">
      <c r="B126" s="1668" t="s">
        <v>1619</v>
      </c>
      <c r="C126" s="58"/>
      <c r="D126" s="1364" t="s">
        <v>97</v>
      </c>
      <c r="E126" s="1408" t="s">
        <v>88</v>
      </c>
      <c r="F126" s="1367"/>
      <c r="H126" s="1567"/>
      <c r="I126" s="1534" t="str">
        <f t="shared" si="20"/>
        <v/>
      </c>
    </row>
    <row r="127" spans="2:9" ht="23.25" collapsed="1">
      <c r="B127" s="1668" t="s">
        <v>1620</v>
      </c>
      <c r="C127" s="58"/>
      <c r="D127" s="1395" t="s">
        <v>89</v>
      </c>
      <c r="E127" s="1409"/>
      <c r="F127" s="1368"/>
      <c r="H127" s="1603" t="s">
        <v>1449</v>
      </c>
      <c r="I127" s="1567"/>
    </row>
    <row r="128" spans="2:9" hidden="1" outlineLevel="1">
      <c r="B128" s="1668" t="s">
        <v>1621</v>
      </c>
      <c r="C128" s="58"/>
      <c r="D128" s="1360" t="s">
        <v>1092</v>
      </c>
      <c r="E128" s="1402" t="s">
        <v>88</v>
      </c>
      <c r="F128" s="1365"/>
      <c r="H128" s="1567"/>
      <c r="I128" s="1534" t="str">
        <f>IF(ISNONTEXT(F128)=TRUE,"","X")</f>
        <v/>
      </c>
    </row>
    <row r="129" spans="2:9" hidden="1" outlineLevel="1">
      <c r="B129" s="1668"/>
      <c r="D129" s="1235" t="s">
        <v>90</v>
      </c>
      <c r="E129" s="1404"/>
      <c r="F129" s="1362"/>
      <c r="H129" s="1567"/>
      <c r="I129" s="1567"/>
    </row>
    <row r="130" spans="2:9" hidden="1" outlineLevel="1">
      <c r="B130" s="1668" t="s">
        <v>1622</v>
      </c>
      <c r="C130" s="58"/>
      <c r="D130" s="1396" t="s">
        <v>91</v>
      </c>
      <c r="E130" s="1406" t="s">
        <v>88</v>
      </c>
      <c r="F130" s="1366"/>
      <c r="H130" s="1567"/>
      <c r="I130" s="1534" t="str">
        <f t="shared" ref="I130:I132" si="21">IF(ISNONTEXT(F130)=TRUE,"","X")</f>
        <v/>
      </c>
    </row>
    <row r="131" spans="2:9" hidden="1" outlineLevel="1">
      <c r="B131" s="1668" t="s">
        <v>1623</v>
      </c>
      <c r="C131" s="58"/>
      <c r="D131" s="1396" t="s">
        <v>92</v>
      </c>
      <c r="E131" s="1406" t="s">
        <v>88</v>
      </c>
      <c r="F131" s="1366"/>
      <c r="H131" s="1567"/>
      <c r="I131" s="1534" t="str">
        <f t="shared" si="21"/>
        <v/>
      </c>
    </row>
    <row r="132" spans="2:9" hidden="1" outlineLevel="1">
      <c r="B132" s="1668" t="s">
        <v>1624</v>
      </c>
      <c r="C132" s="58"/>
      <c r="D132" s="1396" t="s">
        <v>93</v>
      </c>
      <c r="E132" s="1406" t="s">
        <v>88</v>
      </c>
      <c r="F132" s="1366"/>
      <c r="H132" s="1567"/>
      <c r="I132" s="1534" t="str">
        <f t="shared" si="21"/>
        <v/>
      </c>
    </row>
    <row r="133" spans="2:9" hidden="1" outlineLevel="1">
      <c r="B133" s="1668"/>
      <c r="D133" s="1235" t="s">
        <v>94</v>
      </c>
      <c r="E133" s="1404"/>
      <c r="F133" s="1362"/>
      <c r="H133" s="1567"/>
      <c r="I133" s="1567"/>
    </row>
    <row r="134" spans="2:9" hidden="1" outlineLevel="1">
      <c r="B134" s="1668" t="s">
        <v>1625</v>
      </c>
      <c r="C134" s="58"/>
      <c r="D134" s="1396" t="s">
        <v>91</v>
      </c>
      <c r="E134" s="1406" t="s">
        <v>88</v>
      </c>
      <c r="F134" s="1366"/>
      <c r="H134" s="1567"/>
      <c r="I134" s="1534" t="str">
        <f t="shared" ref="I134:I136" si="22">IF(ISNONTEXT(F134)=TRUE,"","X")</f>
        <v/>
      </c>
    </row>
    <row r="135" spans="2:9" hidden="1" outlineLevel="1">
      <c r="B135" s="1668" t="s">
        <v>1626</v>
      </c>
      <c r="C135" s="58"/>
      <c r="D135" s="1396" t="s">
        <v>92</v>
      </c>
      <c r="E135" s="1406" t="s">
        <v>88</v>
      </c>
      <c r="F135" s="1366"/>
      <c r="H135" s="1567"/>
      <c r="I135" s="1534" t="str">
        <f t="shared" si="22"/>
        <v/>
      </c>
    </row>
    <row r="136" spans="2:9" hidden="1" outlineLevel="1">
      <c r="B136" s="1668" t="s">
        <v>1627</v>
      </c>
      <c r="C136" s="58"/>
      <c r="D136" s="1396" t="s">
        <v>93</v>
      </c>
      <c r="E136" s="1406" t="s">
        <v>88</v>
      </c>
      <c r="F136" s="1366"/>
      <c r="H136" s="1567"/>
      <c r="I136" s="1534" t="str">
        <f t="shared" si="22"/>
        <v/>
      </c>
    </row>
    <row r="137" spans="2:9" hidden="1" outlineLevel="1">
      <c r="B137" s="1668"/>
      <c r="D137" s="1235" t="s">
        <v>95</v>
      </c>
      <c r="E137" s="1404"/>
      <c r="F137" s="1362"/>
      <c r="H137" s="1567"/>
      <c r="I137" s="1567"/>
    </row>
    <row r="138" spans="2:9" hidden="1" outlineLevel="1">
      <c r="B138" s="1668" t="s">
        <v>1628</v>
      </c>
      <c r="C138" s="58"/>
      <c r="D138" s="1396" t="s">
        <v>91</v>
      </c>
      <c r="E138" s="1406" t="s">
        <v>88</v>
      </c>
      <c r="F138" s="1366"/>
      <c r="H138" s="1567"/>
      <c r="I138" s="1534" t="str">
        <f t="shared" ref="I138:I140" si="23">IF(ISNONTEXT(F138)=TRUE,"","X")</f>
        <v/>
      </c>
    </row>
    <row r="139" spans="2:9" hidden="1" outlineLevel="1">
      <c r="B139" s="1668" t="s">
        <v>1629</v>
      </c>
      <c r="C139" s="58"/>
      <c r="D139" s="1396" t="s">
        <v>92</v>
      </c>
      <c r="E139" s="1406" t="s">
        <v>88</v>
      </c>
      <c r="F139" s="1366"/>
      <c r="H139" s="1567"/>
      <c r="I139" s="1534" t="str">
        <f t="shared" si="23"/>
        <v/>
      </c>
    </row>
    <row r="140" spans="2:9" hidden="1" outlineLevel="1">
      <c r="B140" s="1668" t="s">
        <v>1630</v>
      </c>
      <c r="C140" s="58"/>
      <c r="D140" s="1396" t="s">
        <v>93</v>
      </c>
      <c r="E140" s="1406" t="s">
        <v>88</v>
      </c>
      <c r="F140" s="1366"/>
      <c r="H140" s="1567"/>
      <c r="I140" s="1534" t="str">
        <f t="shared" si="23"/>
        <v/>
      </c>
    </row>
    <row r="141" spans="2:9" hidden="1" outlineLevel="1">
      <c r="B141" s="1668"/>
      <c r="D141" s="1235" t="s">
        <v>96</v>
      </c>
      <c r="E141" s="1404"/>
      <c r="F141" s="1362"/>
      <c r="H141" s="1567"/>
      <c r="I141" s="1567"/>
    </row>
    <row r="142" spans="2:9" hidden="1" outlineLevel="1">
      <c r="B142" s="1668" t="s">
        <v>1631</v>
      </c>
      <c r="C142" s="58"/>
      <c r="D142" s="1396" t="s">
        <v>91</v>
      </c>
      <c r="E142" s="1406" t="s">
        <v>88</v>
      </c>
      <c r="F142" s="1366"/>
      <c r="H142" s="1567"/>
      <c r="I142" s="1534" t="str">
        <f t="shared" ref="I142:I145" si="24">IF(ISNONTEXT(F142)=TRUE,"","X")</f>
        <v/>
      </c>
    </row>
    <row r="143" spans="2:9" hidden="1" outlineLevel="1">
      <c r="B143" s="1668" t="s">
        <v>1632</v>
      </c>
      <c r="C143" s="58"/>
      <c r="D143" s="1396" t="s">
        <v>92</v>
      </c>
      <c r="E143" s="1406" t="s">
        <v>88</v>
      </c>
      <c r="F143" s="1366"/>
      <c r="H143" s="1567"/>
      <c r="I143" s="1534" t="str">
        <f t="shared" si="24"/>
        <v/>
      </c>
    </row>
    <row r="144" spans="2:9" hidden="1" outlineLevel="1">
      <c r="B144" s="1668" t="s">
        <v>1633</v>
      </c>
      <c r="C144" s="58"/>
      <c r="D144" s="1396" t="s">
        <v>93</v>
      </c>
      <c r="E144" s="1406" t="s">
        <v>88</v>
      </c>
      <c r="F144" s="1366"/>
      <c r="H144" s="1567"/>
      <c r="I144" s="1534" t="str">
        <f t="shared" si="24"/>
        <v/>
      </c>
    </row>
    <row r="145" spans="2:9" ht="22.5" hidden="1" customHeight="1" outlineLevel="1">
      <c r="B145" s="1668" t="s">
        <v>1634</v>
      </c>
      <c r="C145" s="58"/>
      <c r="D145" s="1364" t="s">
        <v>97</v>
      </c>
      <c r="E145" s="1408" t="s">
        <v>88</v>
      </c>
      <c r="F145" s="1367"/>
      <c r="H145" s="1567"/>
      <c r="I145" s="1534" t="str">
        <f t="shared" si="24"/>
        <v/>
      </c>
    </row>
    <row r="146" spans="2:9" ht="23.25" collapsed="1">
      <c r="B146" s="1668" t="s">
        <v>1635</v>
      </c>
      <c r="C146" s="58"/>
      <c r="D146" s="1395" t="s">
        <v>89</v>
      </c>
      <c r="E146" s="1409"/>
      <c r="F146" s="1368"/>
      <c r="H146" s="1603" t="s">
        <v>1449</v>
      </c>
      <c r="I146" s="1567"/>
    </row>
    <row r="147" spans="2:9" hidden="1" outlineLevel="1">
      <c r="B147" s="1668" t="s">
        <v>1636</v>
      </c>
      <c r="C147" s="58"/>
      <c r="D147" s="1360" t="s">
        <v>1092</v>
      </c>
      <c r="E147" s="1402" t="s">
        <v>88</v>
      </c>
      <c r="F147" s="1365"/>
      <c r="H147" s="1567"/>
      <c r="I147" s="1534" t="str">
        <f>IF(ISNONTEXT(F147)=TRUE,"","X")</f>
        <v/>
      </c>
    </row>
    <row r="148" spans="2:9" hidden="1" outlineLevel="1">
      <c r="B148" s="1668"/>
      <c r="D148" s="1235" t="s">
        <v>90</v>
      </c>
      <c r="E148" s="1404"/>
      <c r="F148" s="1362"/>
      <c r="H148" s="1567"/>
      <c r="I148" s="1567"/>
    </row>
    <row r="149" spans="2:9" hidden="1" outlineLevel="1">
      <c r="B149" s="1668" t="s">
        <v>1637</v>
      </c>
      <c r="C149" s="58"/>
      <c r="D149" s="1396" t="s">
        <v>91</v>
      </c>
      <c r="E149" s="1406" t="s">
        <v>88</v>
      </c>
      <c r="F149" s="1366"/>
      <c r="H149" s="1567"/>
      <c r="I149" s="1534" t="str">
        <f t="shared" ref="I149:I151" si="25">IF(ISNONTEXT(F149)=TRUE,"","X")</f>
        <v/>
      </c>
    </row>
    <row r="150" spans="2:9" hidden="1" outlineLevel="1">
      <c r="B150" s="1668" t="s">
        <v>1638</v>
      </c>
      <c r="C150" s="58"/>
      <c r="D150" s="1396" t="s">
        <v>92</v>
      </c>
      <c r="E150" s="1406" t="s">
        <v>88</v>
      </c>
      <c r="F150" s="1366"/>
      <c r="H150" s="1567"/>
      <c r="I150" s="1534" t="str">
        <f t="shared" si="25"/>
        <v/>
      </c>
    </row>
    <row r="151" spans="2:9" hidden="1" outlineLevel="1">
      <c r="B151" s="1668" t="s">
        <v>1639</v>
      </c>
      <c r="C151" s="58"/>
      <c r="D151" s="1396" t="s">
        <v>93</v>
      </c>
      <c r="E151" s="1406" t="s">
        <v>88</v>
      </c>
      <c r="F151" s="1366"/>
      <c r="H151" s="1567"/>
      <c r="I151" s="1534" t="str">
        <f t="shared" si="25"/>
        <v/>
      </c>
    </row>
    <row r="152" spans="2:9" hidden="1" outlineLevel="1">
      <c r="B152" s="1668"/>
      <c r="D152" s="1235" t="s">
        <v>94</v>
      </c>
      <c r="E152" s="1404"/>
      <c r="F152" s="1362"/>
      <c r="H152" s="1567"/>
      <c r="I152" s="1567"/>
    </row>
    <row r="153" spans="2:9" hidden="1" outlineLevel="1">
      <c r="B153" s="1668" t="s">
        <v>1640</v>
      </c>
      <c r="C153" s="58"/>
      <c r="D153" s="1396" t="s">
        <v>91</v>
      </c>
      <c r="E153" s="1406" t="s">
        <v>88</v>
      </c>
      <c r="F153" s="1366"/>
      <c r="H153" s="1567"/>
      <c r="I153" s="1534" t="str">
        <f t="shared" ref="I153:I155" si="26">IF(ISNONTEXT(F153)=TRUE,"","X")</f>
        <v/>
      </c>
    </row>
    <row r="154" spans="2:9" hidden="1" outlineLevel="1">
      <c r="B154" s="1668" t="s">
        <v>1641</v>
      </c>
      <c r="C154" s="58"/>
      <c r="D154" s="1396" t="s">
        <v>92</v>
      </c>
      <c r="E154" s="1406" t="s">
        <v>88</v>
      </c>
      <c r="F154" s="1366"/>
      <c r="H154" s="1567"/>
      <c r="I154" s="1534" t="str">
        <f t="shared" si="26"/>
        <v/>
      </c>
    </row>
    <row r="155" spans="2:9" hidden="1" outlineLevel="1">
      <c r="B155" s="1668" t="s">
        <v>1642</v>
      </c>
      <c r="C155" s="58"/>
      <c r="D155" s="1396" t="s">
        <v>93</v>
      </c>
      <c r="E155" s="1406" t="s">
        <v>88</v>
      </c>
      <c r="F155" s="1366"/>
      <c r="H155" s="1567"/>
      <c r="I155" s="1534" t="str">
        <f t="shared" si="26"/>
        <v/>
      </c>
    </row>
    <row r="156" spans="2:9" hidden="1" outlineLevel="1">
      <c r="B156" s="1668"/>
      <c r="D156" s="1235" t="s">
        <v>95</v>
      </c>
      <c r="E156" s="1404"/>
      <c r="F156" s="1362"/>
      <c r="H156" s="1567"/>
      <c r="I156" s="1567"/>
    </row>
    <row r="157" spans="2:9" hidden="1" outlineLevel="1">
      <c r="B157" s="1668" t="s">
        <v>1643</v>
      </c>
      <c r="C157" s="58"/>
      <c r="D157" s="1396" t="s">
        <v>91</v>
      </c>
      <c r="E157" s="1406" t="s">
        <v>88</v>
      </c>
      <c r="F157" s="1366"/>
      <c r="H157" s="1567"/>
      <c r="I157" s="1534" t="str">
        <f t="shared" ref="I157:I159" si="27">IF(ISNONTEXT(F157)=TRUE,"","X")</f>
        <v/>
      </c>
    </row>
    <row r="158" spans="2:9" hidden="1" outlineLevel="1">
      <c r="B158" s="1668" t="s">
        <v>1644</v>
      </c>
      <c r="C158" s="58"/>
      <c r="D158" s="1396" t="s">
        <v>92</v>
      </c>
      <c r="E158" s="1406" t="s">
        <v>88</v>
      </c>
      <c r="F158" s="1366"/>
      <c r="H158" s="1567"/>
      <c r="I158" s="1534" t="str">
        <f t="shared" si="27"/>
        <v/>
      </c>
    </row>
    <row r="159" spans="2:9" hidden="1" outlineLevel="1">
      <c r="B159" s="1668" t="s">
        <v>1645</v>
      </c>
      <c r="C159" s="58"/>
      <c r="D159" s="1396" t="s">
        <v>93</v>
      </c>
      <c r="E159" s="1406" t="s">
        <v>88</v>
      </c>
      <c r="F159" s="1366"/>
      <c r="H159" s="1567"/>
      <c r="I159" s="1534" t="str">
        <f t="shared" si="27"/>
        <v/>
      </c>
    </row>
    <row r="160" spans="2:9" hidden="1" outlineLevel="1">
      <c r="B160" s="1668"/>
      <c r="D160" s="1235" t="s">
        <v>96</v>
      </c>
      <c r="E160" s="1404"/>
      <c r="F160" s="1362"/>
      <c r="H160" s="1567"/>
      <c r="I160" s="1567"/>
    </row>
    <row r="161" spans="2:9" hidden="1" outlineLevel="1">
      <c r="B161" s="1668" t="s">
        <v>1646</v>
      </c>
      <c r="C161" s="58"/>
      <c r="D161" s="1396" t="s">
        <v>91</v>
      </c>
      <c r="E161" s="1406" t="s">
        <v>88</v>
      </c>
      <c r="F161" s="1366"/>
      <c r="H161" s="1567"/>
      <c r="I161" s="1534" t="str">
        <f t="shared" ref="I161:I164" si="28">IF(ISNONTEXT(F161)=TRUE,"","X")</f>
        <v/>
      </c>
    </row>
    <row r="162" spans="2:9" hidden="1" outlineLevel="1">
      <c r="B162" s="1668" t="s">
        <v>1647</v>
      </c>
      <c r="C162" s="58"/>
      <c r="D162" s="1396" t="s">
        <v>92</v>
      </c>
      <c r="E162" s="1406" t="s">
        <v>88</v>
      </c>
      <c r="F162" s="1366"/>
      <c r="H162" s="1567"/>
      <c r="I162" s="1534" t="str">
        <f t="shared" si="28"/>
        <v/>
      </c>
    </row>
    <row r="163" spans="2:9" hidden="1" outlineLevel="1">
      <c r="B163" s="1668" t="s">
        <v>1648</v>
      </c>
      <c r="C163" s="58"/>
      <c r="D163" s="1396" t="s">
        <v>93</v>
      </c>
      <c r="E163" s="1406" t="s">
        <v>88</v>
      </c>
      <c r="F163" s="1366"/>
      <c r="H163" s="1567"/>
      <c r="I163" s="1534" t="str">
        <f t="shared" si="28"/>
        <v/>
      </c>
    </row>
    <row r="164" spans="2:9" ht="22.5" hidden="1" customHeight="1" outlineLevel="1">
      <c r="B164" s="1668" t="s">
        <v>1649</v>
      </c>
      <c r="C164" s="58"/>
      <c r="D164" s="1364" t="s">
        <v>97</v>
      </c>
      <c r="E164" s="1408" t="s">
        <v>88</v>
      </c>
      <c r="F164" s="1367"/>
      <c r="H164" s="1567"/>
      <c r="I164" s="1534" t="str">
        <f t="shared" si="28"/>
        <v/>
      </c>
    </row>
    <row r="165" spans="2:9" ht="23.25" collapsed="1">
      <c r="B165" s="1668" t="s">
        <v>1650</v>
      </c>
      <c r="C165" s="58"/>
      <c r="D165" s="1395" t="s">
        <v>89</v>
      </c>
      <c r="E165" s="1409"/>
      <c r="F165" s="1368"/>
      <c r="H165" s="1603" t="s">
        <v>1449</v>
      </c>
      <c r="I165" s="1567"/>
    </row>
    <row r="166" spans="2:9" hidden="1" outlineLevel="1">
      <c r="B166" s="1668" t="s">
        <v>1651</v>
      </c>
      <c r="C166" s="58"/>
      <c r="D166" s="1360" t="s">
        <v>1092</v>
      </c>
      <c r="E166" s="1402" t="s">
        <v>88</v>
      </c>
      <c r="F166" s="1365"/>
      <c r="H166" s="1567"/>
      <c r="I166" s="1534" t="str">
        <f>IF(ISNONTEXT(F166)=TRUE,"","X")</f>
        <v/>
      </c>
    </row>
    <row r="167" spans="2:9" hidden="1" outlineLevel="1">
      <c r="B167" s="1668"/>
      <c r="D167" s="1235" t="s">
        <v>90</v>
      </c>
      <c r="E167" s="1404"/>
      <c r="F167" s="1362"/>
      <c r="H167" s="1567"/>
      <c r="I167" s="1567"/>
    </row>
    <row r="168" spans="2:9" hidden="1" outlineLevel="1">
      <c r="B168" s="1668" t="s">
        <v>1652</v>
      </c>
      <c r="C168" s="58"/>
      <c r="D168" s="1396" t="s">
        <v>91</v>
      </c>
      <c r="E168" s="1406" t="s">
        <v>88</v>
      </c>
      <c r="F168" s="1366"/>
      <c r="H168" s="1567"/>
      <c r="I168" s="1534" t="str">
        <f t="shared" ref="I168:I170" si="29">IF(ISNONTEXT(F168)=TRUE,"","X")</f>
        <v/>
      </c>
    </row>
    <row r="169" spans="2:9" hidden="1" outlineLevel="1">
      <c r="B169" s="1668" t="s">
        <v>1653</v>
      </c>
      <c r="C169" s="58"/>
      <c r="D169" s="1396" t="s">
        <v>92</v>
      </c>
      <c r="E169" s="1406" t="s">
        <v>88</v>
      </c>
      <c r="F169" s="1366"/>
      <c r="H169" s="1567"/>
      <c r="I169" s="1534" t="str">
        <f t="shared" si="29"/>
        <v/>
      </c>
    </row>
    <row r="170" spans="2:9" hidden="1" outlineLevel="1">
      <c r="B170" s="1668" t="s">
        <v>1654</v>
      </c>
      <c r="C170" s="58"/>
      <c r="D170" s="1396" t="s">
        <v>93</v>
      </c>
      <c r="E170" s="1406" t="s">
        <v>88</v>
      </c>
      <c r="F170" s="1366"/>
      <c r="H170" s="1567"/>
      <c r="I170" s="1534" t="str">
        <f t="shared" si="29"/>
        <v/>
      </c>
    </row>
    <row r="171" spans="2:9" hidden="1" outlineLevel="1">
      <c r="B171" s="1668"/>
      <c r="D171" s="1235" t="s">
        <v>94</v>
      </c>
      <c r="E171" s="1404"/>
      <c r="F171" s="1362"/>
      <c r="H171" s="1567"/>
      <c r="I171" s="1567"/>
    </row>
    <row r="172" spans="2:9" hidden="1" outlineLevel="1">
      <c r="B172" s="1668" t="s">
        <v>1655</v>
      </c>
      <c r="C172" s="58"/>
      <c r="D172" s="1396" t="s">
        <v>91</v>
      </c>
      <c r="E172" s="1406" t="s">
        <v>88</v>
      </c>
      <c r="F172" s="1366"/>
      <c r="H172" s="1567"/>
      <c r="I172" s="1534" t="str">
        <f t="shared" ref="I172:I174" si="30">IF(ISNONTEXT(F172)=TRUE,"","X")</f>
        <v/>
      </c>
    </row>
    <row r="173" spans="2:9" hidden="1" outlineLevel="1">
      <c r="B173" s="1668" t="s">
        <v>1656</v>
      </c>
      <c r="C173" s="58"/>
      <c r="D173" s="1396" t="s">
        <v>92</v>
      </c>
      <c r="E173" s="1406" t="s">
        <v>88</v>
      </c>
      <c r="F173" s="1366"/>
      <c r="H173" s="1567"/>
      <c r="I173" s="1534" t="str">
        <f t="shared" si="30"/>
        <v/>
      </c>
    </row>
    <row r="174" spans="2:9" hidden="1" outlineLevel="1">
      <c r="B174" s="1668" t="s">
        <v>1657</v>
      </c>
      <c r="C174" s="58"/>
      <c r="D174" s="1396" t="s">
        <v>93</v>
      </c>
      <c r="E174" s="1406" t="s">
        <v>88</v>
      </c>
      <c r="F174" s="1366"/>
      <c r="H174" s="1567"/>
      <c r="I174" s="1534" t="str">
        <f t="shared" si="30"/>
        <v/>
      </c>
    </row>
    <row r="175" spans="2:9" hidden="1" outlineLevel="1">
      <c r="B175" s="1668"/>
      <c r="D175" s="1235" t="s">
        <v>95</v>
      </c>
      <c r="E175" s="1404"/>
      <c r="F175" s="1362"/>
      <c r="H175" s="1567"/>
      <c r="I175" s="1567"/>
    </row>
    <row r="176" spans="2:9" hidden="1" outlineLevel="1">
      <c r="B176" s="1668" t="s">
        <v>1658</v>
      </c>
      <c r="C176" s="58"/>
      <c r="D176" s="1396" t="s">
        <v>91</v>
      </c>
      <c r="E176" s="1406" t="s">
        <v>88</v>
      </c>
      <c r="F176" s="1366"/>
      <c r="H176" s="1567"/>
      <c r="I176" s="1534" t="str">
        <f t="shared" ref="I176:I178" si="31">IF(ISNONTEXT(F176)=TRUE,"","X")</f>
        <v/>
      </c>
    </row>
    <row r="177" spans="2:9" hidden="1" outlineLevel="1">
      <c r="B177" s="1668" t="s">
        <v>1659</v>
      </c>
      <c r="C177" s="58"/>
      <c r="D177" s="1396" t="s">
        <v>92</v>
      </c>
      <c r="E177" s="1406" t="s">
        <v>88</v>
      </c>
      <c r="F177" s="1366"/>
      <c r="H177" s="1567"/>
      <c r="I177" s="1534" t="str">
        <f t="shared" si="31"/>
        <v/>
      </c>
    </row>
    <row r="178" spans="2:9" hidden="1" outlineLevel="1">
      <c r="B178" s="1668" t="s">
        <v>1660</v>
      </c>
      <c r="C178" s="58"/>
      <c r="D178" s="1396" t="s">
        <v>93</v>
      </c>
      <c r="E178" s="1406" t="s">
        <v>88</v>
      </c>
      <c r="F178" s="1366"/>
      <c r="H178" s="1567"/>
      <c r="I178" s="1534" t="str">
        <f t="shared" si="31"/>
        <v/>
      </c>
    </row>
    <row r="179" spans="2:9" hidden="1" outlineLevel="1">
      <c r="B179" s="1668"/>
      <c r="D179" s="1235" t="s">
        <v>96</v>
      </c>
      <c r="E179" s="1404"/>
      <c r="F179" s="1362"/>
      <c r="H179" s="1567"/>
      <c r="I179" s="1567"/>
    </row>
    <row r="180" spans="2:9" hidden="1" outlineLevel="1">
      <c r="B180" s="1668" t="s">
        <v>1661</v>
      </c>
      <c r="C180" s="58"/>
      <c r="D180" s="1396" t="s">
        <v>91</v>
      </c>
      <c r="E180" s="1406" t="s">
        <v>88</v>
      </c>
      <c r="F180" s="1366"/>
      <c r="H180" s="1567"/>
      <c r="I180" s="1534" t="str">
        <f t="shared" ref="I180:I183" si="32">IF(ISNONTEXT(F180)=TRUE,"","X")</f>
        <v/>
      </c>
    </row>
    <row r="181" spans="2:9" hidden="1" outlineLevel="1">
      <c r="B181" s="1668" t="s">
        <v>1662</v>
      </c>
      <c r="C181" s="58"/>
      <c r="D181" s="1396" t="s">
        <v>92</v>
      </c>
      <c r="E181" s="1406" t="s">
        <v>88</v>
      </c>
      <c r="F181" s="1366"/>
      <c r="H181" s="1567"/>
      <c r="I181" s="1534" t="str">
        <f t="shared" si="32"/>
        <v/>
      </c>
    </row>
    <row r="182" spans="2:9" hidden="1" outlineLevel="1">
      <c r="B182" s="1668" t="s">
        <v>1663</v>
      </c>
      <c r="C182" s="58"/>
      <c r="D182" s="1396" t="s">
        <v>93</v>
      </c>
      <c r="E182" s="1406" t="s">
        <v>88</v>
      </c>
      <c r="F182" s="1366"/>
      <c r="H182" s="1567"/>
      <c r="I182" s="1534" t="str">
        <f t="shared" si="32"/>
        <v/>
      </c>
    </row>
    <row r="183" spans="2:9" ht="22.5" hidden="1" customHeight="1" outlineLevel="1">
      <c r="B183" s="1668" t="s">
        <v>1664</v>
      </c>
      <c r="C183" s="58"/>
      <c r="D183" s="1364" t="s">
        <v>97</v>
      </c>
      <c r="E183" s="1408" t="s">
        <v>88</v>
      </c>
      <c r="F183" s="1367"/>
      <c r="H183" s="1567"/>
      <c r="I183" s="1534" t="str">
        <f t="shared" si="32"/>
        <v/>
      </c>
    </row>
    <row r="184" spans="2:9" ht="23.25" collapsed="1">
      <c r="B184" s="1668" t="s">
        <v>1665</v>
      </c>
      <c r="C184" s="58"/>
      <c r="D184" s="1395" t="s">
        <v>89</v>
      </c>
      <c r="E184" s="1409"/>
      <c r="F184" s="1368"/>
      <c r="H184" s="1603" t="s">
        <v>1449</v>
      </c>
      <c r="I184" s="1567"/>
    </row>
    <row r="185" spans="2:9" hidden="1" outlineLevel="1">
      <c r="B185" s="1668" t="s">
        <v>1666</v>
      </c>
      <c r="C185" s="58"/>
      <c r="D185" s="1360" t="s">
        <v>1092</v>
      </c>
      <c r="E185" s="1402" t="s">
        <v>88</v>
      </c>
      <c r="F185" s="1365"/>
      <c r="H185" s="1567"/>
      <c r="I185" s="1534" t="str">
        <f>IF(ISNONTEXT(F185)=TRUE,"","X")</f>
        <v/>
      </c>
    </row>
    <row r="186" spans="2:9" hidden="1" outlineLevel="1">
      <c r="B186" s="1668"/>
      <c r="D186" s="1235" t="s">
        <v>90</v>
      </c>
      <c r="E186" s="1404"/>
      <c r="F186" s="1362"/>
      <c r="H186" s="1567"/>
      <c r="I186" s="1567"/>
    </row>
    <row r="187" spans="2:9" hidden="1" outlineLevel="1">
      <c r="B187" s="1668" t="s">
        <v>1667</v>
      </c>
      <c r="C187" s="58"/>
      <c r="D187" s="1396" t="s">
        <v>91</v>
      </c>
      <c r="E187" s="1406" t="s">
        <v>88</v>
      </c>
      <c r="F187" s="1366"/>
      <c r="H187" s="1567"/>
      <c r="I187" s="1534" t="str">
        <f t="shared" ref="I187:I189" si="33">IF(ISNONTEXT(F187)=TRUE,"","X")</f>
        <v/>
      </c>
    </row>
    <row r="188" spans="2:9" hidden="1" outlineLevel="1">
      <c r="B188" s="1668" t="s">
        <v>1668</v>
      </c>
      <c r="C188" s="58"/>
      <c r="D188" s="1396" t="s">
        <v>92</v>
      </c>
      <c r="E188" s="1406" t="s">
        <v>88</v>
      </c>
      <c r="F188" s="1366"/>
      <c r="H188" s="1567"/>
      <c r="I188" s="1534" t="str">
        <f t="shared" si="33"/>
        <v/>
      </c>
    </row>
    <row r="189" spans="2:9" hidden="1" outlineLevel="1">
      <c r="B189" s="1668" t="s">
        <v>1669</v>
      </c>
      <c r="C189" s="58"/>
      <c r="D189" s="1396" t="s">
        <v>93</v>
      </c>
      <c r="E189" s="1406" t="s">
        <v>88</v>
      </c>
      <c r="F189" s="1366"/>
      <c r="H189" s="1567"/>
      <c r="I189" s="1534" t="str">
        <f t="shared" si="33"/>
        <v/>
      </c>
    </row>
    <row r="190" spans="2:9" hidden="1" outlineLevel="1">
      <c r="B190" s="1668"/>
      <c r="D190" s="1235" t="s">
        <v>94</v>
      </c>
      <c r="E190" s="1404"/>
      <c r="F190" s="1362"/>
      <c r="H190" s="1567"/>
      <c r="I190" s="1567"/>
    </row>
    <row r="191" spans="2:9" hidden="1" outlineLevel="1">
      <c r="B191" s="1668" t="s">
        <v>1670</v>
      </c>
      <c r="C191" s="58"/>
      <c r="D191" s="1396" t="s">
        <v>91</v>
      </c>
      <c r="E191" s="1406" t="s">
        <v>88</v>
      </c>
      <c r="F191" s="1366"/>
      <c r="H191" s="1567"/>
      <c r="I191" s="1534" t="str">
        <f t="shared" ref="I191:I193" si="34">IF(ISNONTEXT(F191)=TRUE,"","X")</f>
        <v/>
      </c>
    </row>
    <row r="192" spans="2:9" hidden="1" outlineLevel="1">
      <c r="B192" s="1668" t="s">
        <v>1671</v>
      </c>
      <c r="C192" s="58"/>
      <c r="D192" s="1396" t="s">
        <v>92</v>
      </c>
      <c r="E192" s="1406" t="s">
        <v>88</v>
      </c>
      <c r="F192" s="1366"/>
      <c r="H192" s="1567"/>
      <c r="I192" s="1534" t="str">
        <f t="shared" si="34"/>
        <v/>
      </c>
    </row>
    <row r="193" spans="2:9" hidden="1" outlineLevel="1">
      <c r="B193" s="1668" t="s">
        <v>1672</v>
      </c>
      <c r="C193" s="58"/>
      <c r="D193" s="1396" t="s">
        <v>93</v>
      </c>
      <c r="E193" s="1406" t="s">
        <v>88</v>
      </c>
      <c r="F193" s="1366"/>
      <c r="H193" s="1567"/>
      <c r="I193" s="1534" t="str">
        <f t="shared" si="34"/>
        <v/>
      </c>
    </row>
    <row r="194" spans="2:9" hidden="1" outlineLevel="1">
      <c r="B194" s="1668"/>
      <c r="D194" s="1235" t="s">
        <v>95</v>
      </c>
      <c r="E194" s="1404"/>
      <c r="F194" s="1362"/>
      <c r="H194" s="1567"/>
      <c r="I194" s="1567"/>
    </row>
    <row r="195" spans="2:9" hidden="1" outlineLevel="1">
      <c r="B195" s="1668" t="s">
        <v>1673</v>
      </c>
      <c r="C195" s="58"/>
      <c r="D195" s="1396" t="s">
        <v>91</v>
      </c>
      <c r="E195" s="1406" t="s">
        <v>88</v>
      </c>
      <c r="F195" s="1366"/>
      <c r="H195" s="1567"/>
      <c r="I195" s="1534" t="str">
        <f t="shared" ref="I195:I197" si="35">IF(ISNONTEXT(F195)=TRUE,"","X")</f>
        <v/>
      </c>
    </row>
    <row r="196" spans="2:9" hidden="1" outlineLevel="1">
      <c r="B196" s="1668" t="s">
        <v>1674</v>
      </c>
      <c r="C196" s="58"/>
      <c r="D196" s="1396" t="s">
        <v>92</v>
      </c>
      <c r="E196" s="1406" t="s">
        <v>88</v>
      </c>
      <c r="F196" s="1366"/>
      <c r="H196" s="1567"/>
      <c r="I196" s="1534" t="str">
        <f t="shared" si="35"/>
        <v/>
      </c>
    </row>
    <row r="197" spans="2:9" hidden="1" outlineLevel="1">
      <c r="B197" s="1668" t="s">
        <v>1675</v>
      </c>
      <c r="C197" s="58"/>
      <c r="D197" s="1396" t="s">
        <v>93</v>
      </c>
      <c r="E197" s="1406" t="s">
        <v>88</v>
      </c>
      <c r="F197" s="1366"/>
      <c r="H197" s="1567"/>
      <c r="I197" s="1534" t="str">
        <f t="shared" si="35"/>
        <v/>
      </c>
    </row>
    <row r="198" spans="2:9" hidden="1" outlineLevel="1">
      <c r="B198" s="1668"/>
      <c r="D198" s="1235" t="s">
        <v>96</v>
      </c>
      <c r="E198" s="1404"/>
      <c r="F198" s="1362"/>
      <c r="H198" s="1567"/>
      <c r="I198" s="1567"/>
    </row>
    <row r="199" spans="2:9" hidden="1" outlineLevel="1">
      <c r="B199" s="1668" t="s">
        <v>1676</v>
      </c>
      <c r="C199" s="58"/>
      <c r="D199" s="1396" t="s">
        <v>91</v>
      </c>
      <c r="E199" s="1406" t="s">
        <v>88</v>
      </c>
      <c r="F199" s="1366"/>
      <c r="H199" s="1567"/>
      <c r="I199" s="1534" t="str">
        <f t="shared" ref="I199:I202" si="36">IF(ISNONTEXT(F199)=TRUE,"","X")</f>
        <v/>
      </c>
    </row>
    <row r="200" spans="2:9" hidden="1" outlineLevel="1">
      <c r="B200" s="1668" t="s">
        <v>1677</v>
      </c>
      <c r="C200" s="58"/>
      <c r="D200" s="1396" t="s">
        <v>92</v>
      </c>
      <c r="E200" s="1406" t="s">
        <v>88</v>
      </c>
      <c r="F200" s="1366"/>
      <c r="H200" s="1567"/>
      <c r="I200" s="1534" t="str">
        <f t="shared" si="36"/>
        <v/>
      </c>
    </row>
    <row r="201" spans="2:9" hidden="1" outlineLevel="1">
      <c r="B201" s="1668" t="s">
        <v>1678</v>
      </c>
      <c r="C201" s="58"/>
      <c r="D201" s="1396" t="s">
        <v>93</v>
      </c>
      <c r="E201" s="1406" t="s">
        <v>88</v>
      </c>
      <c r="F201" s="1366"/>
      <c r="H201" s="1567"/>
      <c r="I201" s="1534" t="str">
        <f t="shared" si="36"/>
        <v/>
      </c>
    </row>
    <row r="202" spans="2:9" ht="22.5" hidden="1" customHeight="1" outlineLevel="1">
      <c r="B202" s="1668" t="s">
        <v>1679</v>
      </c>
      <c r="C202" s="58"/>
      <c r="D202" s="1364" t="s">
        <v>97</v>
      </c>
      <c r="E202" s="1408" t="s">
        <v>88</v>
      </c>
      <c r="F202" s="1367"/>
      <c r="H202" s="1567"/>
      <c r="I202" s="1534" t="str">
        <f t="shared" si="36"/>
        <v/>
      </c>
    </row>
    <row r="203" spans="2:9" ht="23.25" collapsed="1">
      <c r="B203" s="1668" t="s">
        <v>1680</v>
      </c>
      <c r="C203" s="58"/>
      <c r="D203" s="1395" t="s">
        <v>89</v>
      </c>
      <c r="E203" s="1409"/>
      <c r="F203" s="1368"/>
      <c r="H203" s="1603" t="s">
        <v>1449</v>
      </c>
      <c r="I203" s="1567"/>
    </row>
    <row r="204" spans="2:9" hidden="1" outlineLevel="1">
      <c r="B204" s="1668" t="s">
        <v>1681</v>
      </c>
      <c r="C204" s="58"/>
      <c r="D204" s="1360" t="s">
        <v>1092</v>
      </c>
      <c r="E204" s="1402" t="s">
        <v>88</v>
      </c>
      <c r="F204" s="1365"/>
      <c r="H204" s="1567"/>
      <c r="I204" s="1534" t="str">
        <f>IF(ISNONTEXT(F204)=TRUE,"","X")</f>
        <v/>
      </c>
    </row>
    <row r="205" spans="2:9" hidden="1" outlineLevel="1">
      <c r="B205" s="1668"/>
      <c r="D205" s="1235" t="s">
        <v>90</v>
      </c>
      <c r="E205" s="1404"/>
      <c r="F205" s="1362"/>
      <c r="H205" s="1567"/>
      <c r="I205" s="1567"/>
    </row>
    <row r="206" spans="2:9" hidden="1" outlineLevel="1">
      <c r="B206" s="1668" t="s">
        <v>1682</v>
      </c>
      <c r="C206" s="58"/>
      <c r="D206" s="1396" t="s">
        <v>91</v>
      </c>
      <c r="E206" s="1406" t="s">
        <v>88</v>
      </c>
      <c r="F206" s="1366"/>
      <c r="H206" s="1567"/>
      <c r="I206" s="1534" t="str">
        <f t="shared" ref="I206:I208" si="37">IF(ISNONTEXT(F206)=TRUE,"","X")</f>
        <v/>
      </c>
    </row>
    <row r="207" spans="2:9" hidden="1" outlineLevel="1">
      <c r="B207" s="1668" t="s">
        <v>1683</v>
      </c>
      <c r="C207" s="58"/>
      <c r="D207" s="1396" t="s">
        <v>92</v>
      </c>
      <c r="E207" s="1406" t="s">
        <v>88</v>
      </c>
      <c r="F207" s="1366"/>
      <c r="H207" s="1567"/>
      <c r="I207" s="1534" t="str">
        <f t="shared" si="37"/>
        <v/>
      </c>
    </row>
    <row r="208" spans="2:9" hidden="1" outlineLevel="1">
      <c r="B208" s="1668" t="s">
        <v>1684</v>
      </c>
      <c r="C208" s="58"/>
      <c r="D208" s="1396" t="s">
        <v>93</v>
      </c>
      <c r="E208" s="1406" t="s">
        <v>88</v>
      </c>
      <c r="F208" s="1366"/>
      <c r="H208" s="1567"/>
      <c r="I208" s="1534" t="str">
        <f t="shared" si="37"/>
        <v/>
      </c>
    </row>
    <row r="209" spans="2:9" hidden="1" outlineLevel="1">
      <c r="B209" s="1668"/>
      <c r="D209" s="1235" t="s">
        <v>94</v>
      </c>
      <c r="E209" s="1404"/>
      <c r="F209" s="1362"/>
      <c r="H209" s="1567"/>
      <c r="I209" s="1567"/>
    </row>
    <row r="210" spans="2:9" hidden="1" outlineLevel="1">
      <c r="B210" s="1668" t="s">
        <v>1685</v>
      </c>
      <c r="C210" s="58"/>
      <c r="D210" s="1396" t="s">
        <v>91</v>
      </c>
      <c r="E210" s="1406" t="s">
        <v>88</v>
      </c>
      <c r="F210" s="1366"/>
      <c r="H210" s="1567"/>
      <c r="I210" s="1534" t="str">
        <f t="shared" ref="I210:I212" si="38">IF(ISNONTEXT(F210)=TRUE,"","X")</f>
        <v/>
      </c>
    </row>
    <row r="211" spans="2:9" hidden="1" outlineLevel="1">
      <c r="B211" s="1668" t="s">
        <v>1686</v>
      </c>
      <c r="C211" s="58"/>
      <c r="D211" s="1396" t="s">
        <v>92</v>
      </c>
      <c r="E211" s="1406" t="s">
        <v>88</v>
      </c>
      <c r="F211" s="1366"/>
      <c r="H211" s="1567"/>
      <c r="I211" s="1534" t="str">
        <f t="shared" si="38"/>
        <v/>
      </c>
    </row>
    <row r="212" spans="2:9" hidden="1" outlineLevel="1">
      <c r="B212" s="1668" t="s">
        <v>1687</v>
      </c>
      <c r="C212" s="58"/>
      <c r="D212" s="1396" t="s">
        <v>93</v>
      </c>
      <c r="E212" s="1406" t="s">
        <v>88</v>
      </c>
      <c r="F212" s="1366"/>
      <c r="H212" s="1567"/>
      <c r="I212" s="1534" t="str">
        <f t="shared" si="38"/>
        <v/>
      </c>
    </row>
    <row r="213" spans="2:9" hidden="1" outlineLevel="1">
      <c r="B213" s="1668"/>
      <c r="D213" s="1235" t="s">
        <v>95</v>
      </c>
      <c r="E213" s="1404"/>
      <c r="F213" s="1362"/>
      <c r="H213" s="1567"/>
      <c r="I213" s="1567"/>
    </row>
    <row r="214" spans="2:9" hidden="1" outlineLevel="1">
      <c r="B214" s="1668" t="s">
        <v>1688</v>
      </c>
      <c r="C214" s="58"/>
      <c r="D214" s="1396" t="s">
        <v>91</v>
      </c>
      <c r="E214" s="1406" t="s">
        <v>88</v>
      </c>
      <c r="F214" s="1366"/>
      <c r="H214" s="1567"/>
      <c r="I214" s="1534" t="str">
        <f t="shared" ref="I214:I216" si="39">IF(ISNONTEXT(F214)=TRUE,"","X")</f>
        <v/>
      </c>
    </row>
    <row r="215" spans="2:9" hidden="1" outlineLevel="1">
      <c r="B215" s="1668" t="s">
        <v>1689</v>
      </c>
      <c r="C215" s="58"/>
      <c r="D215" s="1396" t="s">
        <v>92</v>
      </c>
      <c r="E215" s="1406" t="s">
        <v>88</v>
      </c>
      <c r="F215" s="1366"/>
      <c r="H215" s="1567"/>
      <c r="I215" s="1534" t="str">
        <f t="shared" si="39"/>
        <v/>
      </c>
    </row>
    <row r="216" spans="2:9" hidden="1" outlineLevel="1">
      <c r="B216" s="1668" t="s">
        <v>1690</v>
      </c>
      <c r="C216" s="58"/>
      <c r="D216" s="1396" t="s">
        <v>93</v>
      </c>
      <c r="E216" s="1406" t="s">
        <v>88</v>
      </c>
      <c r="F216" s="1366"/>
      <c r="H216" s="1567"/>
      <c r="I216" s="1534" t="str">
        <f t="shared" si="39"/>
        <v/>
      </c>
    </row>
    <row r="217" spans="2:9" hidden="1" outlineLevel="1">
      <c r="B217" s="1668"/>
      <c r="D217" s="1235" t="s">
        <v>96</v>
      </c>
      <c r="E217" s="1404"/>
      <c r="F217" s="1362"/>
      <c r="H217" s="1567"/>
      <c r="I217" s="1567"/>
    </row>
    <row r="218" spans="2:9" hidden="1" outlineLevel="1">
      <c r="B218" s="1668" t="s">
        <v>1691</v>
      </c>
      <c r="C218" s="58"/>
      <c r="D218" s="1396" t="s">
        <v>91</v>
      </c>
      <c r="E218" s="1406" t="s">
        <v>88</v>
      </c>
      <c r="F218" s="1366"/>
      <c r="H218" s="1567"/>
      <c r="I218" s="1534" t="str">
        <f t="shared" ref="I218:I221" si="40">IF(ISNONTEXT(F218)=TRUE,"","X")</f>
        <v/>
      </c>
    </row>
    <row r="219" spans="2:9" hidden="1" outlineLevel="1">
      <c r="B219" s="1668" t="s">
        <v>1692</v>
      </c>
      <c r="C219" s="58"/>
      <c r="D219" s="1396" t="s">
        <v>92</v>
      </c>
      <c r="E219" s="1406" t="s">
        <v>88</v>
      </c>
      <c r="F219" s="1366"/>
      <c r="H219" s="1567"/>
      <c r="I219" s="1534" t="str">
        <f t="shared" si="40"/>
        <v/>
      </c>
    </row>
    <row r="220" spans="2:9" hidden="1" outlineLevel="1">
      <c r="B220" s="1668" t="s">
        <v>1693</v>
      </c>
      <c r="C220" s="58"/>
      <c r="D220" s="1396" t="s">
        <v>93</v>
      </c>
      <c r="E220" s="1406" t="s">
        <v>88</v>
      </c>
      <c r="F220" s="1366"/>
      <c r="H220" s="1567"/>
      <c r="I220" s="1534" t="str">
        <f t="shared" si="40"/>
        <v/>
      </c>
    </row>
    <row r="221" spans="2:9" ht="22.5" hidden="1" customHeight="1" outlineLevel="1">
      <c r="B221" s="1668" t="s">
        <v>1694</v>
      </c>
      <c r="C221" s="58"/>
      <c r="D221" s="1364" t="s">
        <v>97</v>
      </c>
      <c r="E221" s="1408" t="s">
        <v>88</v>
      </c>
      <c r="F221" s="1367"/>
      <c r="H221" s="1567"/>
      <c r="I221" s="1534" t="str">
        <f t="shared" si="40"/>
        <v/>
      </c>
    </row>
    <row r="222" spans="2:9" ht="23.25" collapsed="1">
      <c r="B222" s="1668" t="s">
        <v>1695</v>
      </c>
      <c r="C222" s="58"/>
      <c r="D222" s="1395" t="s">
        <v>89</v>
      </c>
      <c r="E222" s="1409"/>
      <c r="F222" s="1368"/>
      <c r="H222" s="1603" t="s">
        <v>1449</v>
      </c>
      <c r="I222" s="1567"/>
    </row>
    <row r="223" spans="2:9" hidden="1" outlineLevel="1">
      <c r="B223" s="1668" t="s">
        <v>1696</v>
      </c>
      <c r="C223" s="58"/>
      <c r="D223" s="1360" t="s">
        <v>1092</v>
      </c>
      <c r="E223" s="1402" t="s">
        <v>88</v>
      </c>
      <c r="F223" s="1365"/>
      <c r="H223" s="1567"/>
      <c r="I223" s="1534" t="str">
        <f>IF(ISNONTEXT(F223)=TRUE,"","X")</f>
        <v/>
      </c>
    </row>
    <row r="224" spans="2:9" hidden="1" outlineLevel="1">
      <c r="B224" s="1668"/>
      <c r="D224" s="1235" t="s">
        <v>90</v>
      </c>
      <c r="E224" s="1404"/>
      <c r="F224" s="1362"/>
      <c r="H224" s="1567"/>
      <c r="I224" s="1567"/>
    </row>
    <row r="225" spans="2:9" hidden="1" outlineLevel="1">
      <c r="B225" s="1668" t="s">
        <v>1697</v>
      </c>
      <c r="C225" s="58"/>
      <c r="D225" s="1396" t="s">
        <v>91</v>
      </c>
      <c r="E225" s="1406" t="s">
        <v>88</v>
      </c>
      <c r="F225" s="1366"/>
      <c r="H225" s="1567"/>
      <c r="I225" s="1534" t="str">
        <f t="shared" ref="I225:I227" si="41">IF(ISNONTEXT(F225)=TRUE,"","X")</f>
        <v/>
      </c>
    </row>
    <row r="226" spans="2:9" hidden="1" outlineLevel="1">
      <c r="B226" s="1668" t="s">
        <v>1698</v>
      </c>
      <c r="C226" s="58"/>
      <c r="D226" s="1396" t="s">
        <v>92</v>
      </c>
      <c r="E226" s="1406" t="s">
        <v>88</v>
      </c>
      <c r="F226" s="1366"/>
      <c r="H226" s="1567"/>
      <c r="I226" s="1534" t="str">
        <f t="shared" si="41"/>
        <v/>
      </c>
    </row>
    <row r="227" spans="2:9" hidden="1" outlineLevel="1">
      <c r="B227" s="1668" t="s">
        <v>1699</v>
      </c>
      <c r="C227" s="58"/>
      <c r="D227" s="1396" t="s">
        <v>93</v>
      </c>
      <c r="E227" s="1406" t="s">
        <v>88</v>
      </c>
      <c r="F227" s="1366"/>
      <c r="H227" s="1567"/>
      <c r="I227" s="1534" t="str">
        <f t="shared" si="41"/>
        <v/>
      </c>
    </row>
    <row r="228" spans="2:9" hidden="1" outlineLevel="1">
      <c r="B228" s="1668"/>
      <c r="D228" s="1235" t="s">
        <v>94</v>
      </c>
      <c r="E228" s="1404"/>
      <c r="F228" s="1362"/>
      <c r="H228" s="1567"/>
      <c r="I228" s="1567"/>
    </row>
    <row r="229" spans="2:9" hidden="1" outlineLevel="1">
      <c r="B229" s="1668" t="s">
        <v>1700</v>
      </c>
      <c r="C229" s="58"/>
      <c r="D229" s="1396" t="s">
        <v>91</v>
      </c>
      <c r="E229" s="1406" t="s">
        <v>88</v>
      </c>
      <c r="F229" s="1366"/>
      <c r="H229" s="1567"/>
      <c r="I229" s="1534" t="str">
        <f t="shared" ref="I229:I231" si="42">IF(ISNONTEXT(F229)=TRUE,"","X")</f>
        <v/>
      </c>
    </row>
    <row r="230" spans="2:9" hidden="1" outlineLevel="1">
      <c r="B230" s="1668" t="s">
        <v>1701</v>
      </c>
      <c r="C230" s="58"/>
      <c r="D230" s="1396" t="s">
        <v>92</v>
      </c>
      <c r="E230" s="1406" t="s">
        <v>88</v>
      </c>
      <c r="F230" s="1366"/>
      <c r="H230" s="1567"/>
      <c r="I230" s="1534" t="str">
        <f t="shared" si="42"/>
        <v/>
      </c>
    </row>
    <row r="231" spans="2:9" hidden="1" outlineLevel="1">
      <c r="B231" s="1668" t="s">
        <v>1702</v>
      </c>
      <c r="C231" s="58"/>
      <c r="D231" s="1396" t="s">
        <v>93</v>
      </c>
      <c r="E231" s="1406" t="s">
        <v>88</v>
      </c>
      <c r="F231" s="1366"/>
      <c r="H231" s="1567"/>
      <c r="I231" s="1534" t="str">
        <f t="shared" si="42"/>
        <v/>
      </c>
    </row>
    <row r="232" spans="2:9" hidden="1" outlineLevel="1">
      <c r="B232" s="1668"/>
      <c r="D232" s="1235" t="s">
        <v>95</v>
      </c>
      <c r="E232" s="1404"/>
      <c r="F232" s="1362"/>
      <c r="H232" s="1567"/>
      <c r="I232" s="1567"/>
    </row>
    <row r="233" spans="2:9" hidden="1" outlineLevel="1">
      <c r="B233" s="1668" t="s">
        <v>1703</v>
      </c>
      <c r="C233" s="58"/>
      <c r="D233" s="1396" t="s">
        <v>91</v>
      </c>
      <c r="E233" s="1406" t="s">
        <v>88</v>
      </c>
      <c r="F233" s="1366"/>
      <c r="H233" s="1567"/>
      <c r="I233" s="1534" t="str">
        <f t="shared" ref="I233:I235" si="43">IF(ISNONTEXT(F233)=TRUE,"","X")</f>
        <v/>
      </c>
    </row>
    <row r="234" spans="2:9" hidden="1" outlineLevel="1">
      <c r="B234" s="1668" t="s">
        <v>1704</v>
      </c>
      <c r="C234" s="58"/>
      <c r="D234" s="1396" t="s">
        <v>92</v>
      </c>
      <c r="E234" s="1406" t="s">
        <v>88</v>
      </c>
      <c r="F234" s="1366"/>
      <c r="H234" s="1567"/>
      <c r="I234" s="1534" t="str">
        <f t="shared" si="43"/>
        <v/>
      </c>
    </row>
    <row r="235" spans="2:9" hidden="1" outlineLevel="1">
      <c r="B235" s="1668" t="s">
        <v>1705</v>
      </c>
      <c r="C235" s="58"/>
      <c r="D235" s="1396" t="s">
        <v>93</v>
      </c>
      <c r="E235" s="1406" t="s">
        <v>88</v>
      </c>
      <c r="F235" s="1366"/>
      <c r="H235" s="1567"/>
      <c r="I235" s="1534" t="str">
        <f t="shared" si="43"/>
        <v/>
      </c>
    </row>
    <row r="236" spans="2:9" hidden="1" outlineLevel="1">
      <c r="B236" s="1668"/>
      <c r="D236" s="1235" t="s">
        <v>96</v>
      </c>
      <c r="E236" s="1404"/>
      <c r="F236" s="1362"/>
      <c r="H236" s="1567"/>
      <c r="I236" s="1567"/>
    </row>
    <row r="237" spans="2:9" hidden="1" outlineLevel="1">
      <c r="B237" s="1668" t="s">
        <v>1706</v>
      </c>
      <c r="C237" s="58"/>
      <c r="D237" s="1396" t="s">
        <v>91</v>
      </c>
      <c r="E237" s="1406" t="s">
        <v>88</v>
      </c>
      <c r="F237" s="1366"/>
      <c r="H237" s="1567"/>
      <c r="I237" s="1534" t="str">
        <f t="shared" ref="I237:I240" si="44">IF(ISNONTEXT(F237)=TRUE,"","X")</f>
        <v/>
      </c>
    </row>
    <row r="238" spans="2:9" hidden="1" outlineLevel="1">
      <c r="B238" s="1668" t="s">
        <v>1707</v>
      </c>
      <c r="C238" s="58"/>
      <c r="D238" s="1396" t="s">
        <v>92</v>
      </c>
      <c r="E238" s="1406" t="s">
        <v>88</v>
      </c>
      <c r="F238" s="1366"/>
      <c r="H238" s="1567"/>
      <c r="I238" s="1534" t="str">
        <f t="shared" si="44"/>
        <v/>
      </c>
    </row>
    <row r="239" spans="2:9" hidden="1" outlineLevel="1">
      <c r="B239" s="1668" t="s">
        <v>1708</v>
      </c>
      <c r="C239" s="58"/>
      <c r="D239" s="1396" t="s">
        <v>93</v>
      </c>
      <c r="E239" s="1406" t="s">
        <v>88</v>
      </c>
      <c r="F239" s="1366"/>
      <c r="H239" s="1567"/>
      <c r="I239" s="1534" t="str">
        <f t="shared" si="44"/>
        <v/>
      </c>
    </row>
    <row r="240" spans="2:9" ht="22.5" hidden="1" customHeight="1" outlineLevel="1">
      <c r="B240" s="1668" t="s">
        <v>1709</v>
      </c>
      <c r="C240" s="58"/>
      <c r="D240" s="1364" t="s">
        <v>97</v>
      </c>
      <c r="E240" s="1408" t="s">
        <v>88</v>
      </c>
      <c r="F240" s="1367"/>
      <c r="H240" s="1567"/>
      <c r="I240" s="1534" t="str">
        <f t="shared" si="44"/>
        <v/>
      </c>
    </row>
    <row r="241" spans="2:9" ht="23.25" collapsed="1">
      <c r="B241" s="1668" t="s">
        <v>1710</v>
      </c>
      <c r="C241" s="58"/>
      <c r="D241" s="1395" t="s">
        <v>89</v>
      </c>
      <c r="E241" s="1409"/>
      <c r="F241" s="1368"/>
      <c r="H241" s="1603" t="s">
        <v>1449</v>
      </c>
      <c r="I241" s="1567"/>
    </row>
    <row r="242" spans="2:9" hidden="1" outlineLevel="1">
      <c r="B242" s="1668" t="s">
        <v>1711</v>
      </c>
      <c r="C242" s="58"/>
      <c r="D242" s="1360" t="s">
        <v>1092</v>
      </c>
      <c r="E242" s="1402" t="s">
        <v>88</v>
      </c>
      <c r="F242" s="1365"/>
      <c r="H242" s="1567"/>
      <c r="I242" s="1534" t="str">
        <f>IF(ISNONTEXT(F242)=TRUE,"","X")</f>
        <v/>
      </c>
    </row>
    <row r="243" spans="2:9" hidden="1" outlineLevel="1">
      <c r="B243" s="1668"/>
      <c r="D243" s="1235" t="s">
        <v>90</v>
      </c>
      <c r="E243" s="1404"/>
      <c r="F243" s="1362"/>
      <c r="H243" s="1567"/>
      <c r="I243" s="1567"/>
    </row>
    <row r="244" spans="2:9" hidden="1" outlineLevel="1">
      <c r="B244" s="1668" t="s">
        <v>1712</v>
      </c>
      <c r="C244" s="58"/>
      <c r="D244" s="1396" t="s">
        <v>91</v>
      </c>
      <c r="E244" s="1406" t="s">
        <v>88</v>
      </c>
      <c r="F244" s="1366"/>
      <c r="H244" s="1567"/>
      <c r="I244" s="1534" t="str">
        <f t="shared" ref="I244:I246" si="45">IF(ISNONTEXT(F244)=TRUE,"","X")</f>
        <v/>
      </c>
    </row>
    <row r="245" spans="2:9" hidden="1" outlineLevel="1">
      <c r="B245" s="1668" t="s">
        <v>1713</v>
      </c>
      <c r="C245" s="58"/>
      <c r="D245" s="1396" t="s">
        <v>92</v>
      </c>
      <c r="E245" s="1406" t="s">
        <v>88</v>
      </c>
      <c r="F245" s="1366"/>
      <c r="H245" s="1567"/>
      <c r="I245" s="1534" t="str">
        <f t="shared" si="45"/>
        <v/>
      </c>
    </row>
    <row r="246" spans="2:9" hidden="1" outlineLevel="1">
      <c r="B246" s="1668" t="s">
        <v>1714</v>
      </c>
      <c r="C246" s="58"/>
      <c r="D246" s="1396" t="s">
        <v>93</v>
      </c>
      <c r="E246" s="1406" t="s">
        <v>88</v>
      </c>
      <c r="F246" s="1366"/>
      <c r="H246" s="1567"/>
      <c r="I246" s="1534" t="str">
        <f t="shared" si="45"/>
        <v/>
      </c>
    </row>
    <row r="247" spans="2:9" hidden="1" outlineLevel="1">
      <c r="B247" s="1668"/>
      <c r="D247" s="1235" t="s">
        <v>94</v>
      </c>
      <c r="E247" s="1404"/>
      <c r="F247" s="1362"/>
      <c r="H247" s="1567"/>
      <c r="I247" s="1567"/>
    </row>
    <row r="248" spans="2:9" hidden="1" outlineLevel="1">
      <c r="B248" s="1668" t="s">
        <v>1715</v>
      </c>
      <c r="C248" s="58"/>
      <c r="D248" s="1396" t="s">
        <v>91</v>
      </c>
      <c r="E248" s="1406" t="s">
        <v>88</v>
      </c>
      <c r="F248" s="1366"/>
      <c r="H248" s="1567"/>
      <c r="I248" s="1534" t="str">
        <f t="shared" ref="I248:I250" si="46">IF(ISNONTEXT(F248)=TRUE,"","X")</f>
        <v/>
      </c>
    </row>
    <row r="249" spans="2:9" hidden="1" outlineLevel="1">
      <c r="B249" s="1668" t="s">
        <v>1716</v>
      </c>
      <c r="C249" s="58"/>
      <c r="D249" s="1396" t="s">
        <v>92</v>
      </c>
      <c r="E249" s="1406" t="s">
        <v>88</v>
      </c>
      <c r="F249" s="1366"/>
      <c r="H249" s="1567"/>
      <c r="I249" s="1534" t="str">
        <f t="shared" si="46"/>
        <v/>
      </c>
    </row>
    <row r="250" spans="2:9" hidden="1" outlineLevel="1">
      <c r="B250" s="1668" t="s">
        <v>1717</v>
      </c>
      <c r="C250" s="58"/>
      <c r="D250" s="1396" t="s">
        <v>93</v>
      </c>
      <c r="E250" s="1406" t="s">
        <v>88</v>
      </c>
      <c r="F250" s="1366"/>
      <c r="H250" s="1567"/>
      <c r="I250" s="1534" t="str">
        <f t="shared" si="46"/>
        <v/>
      </c>
    </row>
    <row r="251" spans="2:9" hidden="1" outlineLevel="1">
      <c r="B251" s="1668"/>
      <c r="D251" s="1235" t="s">
        <v>95</v>
      </c>
      <c r="E251" s="1404"/>
      <c r="F251" s="1362"/>
      <c r="H251" s="1567"/>
      <c r="I251" s="1567"/>
    </row>
    <row r="252" spans="2:9" hidden="1" outlineLevel="1">
      <c r="B252" s="1668" t="s">
        <v>1718</v>
      </c>
      <c r="C252" s="58"/>
      <c r="D252" s="1396" t="s">
        <v>91</v>
      </c>
      <c r="E252" s="1406" t="s">
        <v>88</v>
      </c>
      <c r="F252" s="1366"/>
      <c r="H252" s="1567"/>
      <c r="I252" s="1534" t="str">
        <f t="shared" ref="I252:I254" si="47">IF(ISNONTEXT(F252)=TRUE,"","X")</f>
        <v/>
      </c>
    </row>
    <row r="253" spans="2:9" hidden="1" outlineLevel="1">
      <c r="B253" s="1668" t="s">
        <v>1719</v>
      </c>
      <c r="C253" s="58"/>
      <c r="D253" s="1396" t="s">
        <v>92</v>
      </c>
      <c r="E253" s="1406" t="s">
        <v>88</v>
      </c>
      <c r="F253" s="1366"/>
      <c r="H253" s="1567"/>
      <c r="I253" s="1534" t="str">
        <f t="shared" si="47"/>
        <v/>
      </c>
    </row>
    <row r="254" spans="2:9" hidden="1" outlineLevel="1">
      <c r="B254" s="1668" t="s">
        <v>1720</v>
      </c>
      <c r="C254" s="58"/>
      <c r="D254" s="1396" t="s">
        <v>93</v>
      </c>
      <c r="E254" s="1406" t="s">
        <v>88</v>
      </c>
      <c r="F254" s="1366"/>
      <c r="H254" s="1567"/>
      <c r="I254" s="1534" t="str">
        <f t="shared" si="47"/>
        <v/>
      </c>
    </row>
    <row r="255" spans="2:9" hidden="1" outlineLevel="1">
      <c r="B255" s="1668"/>
      <c r="D255" s="1235" t="s">
        <v>96</v>
      </c>
      <c r="E255" s="1404"/>
      <c r="F255" s="1362"/>
      <c r="H255" s="1567"/>
      <c r="I255" s="1567"/>
    </row>
    <row r="256" spans="2:9" hidden="1" outlineLevel="1">
      <c r="B256" s="1668" t="s">
        <v>1721</v>
      </c>
      <c r="C256" s="58"/>
      <c r="D256" s="1396" t="s">
        <v>91</v>
      </c>
      <c r="E256" s="1406" t="s">
        <v>88</v>
      </c>
      <c r="F256" s="1366"/>
      <c r="H256" s="1567"/>
      <c r="I256" s="1534" t="str">
        <f t="shared" ref="I256:I259" si="48">IF(ISNONTEXT(F256)=TRUE,"","X")</f>
        <v/>
      </c>
    </row>
    <row r="257" spans="2:9" hidden="1" outlineLevel="1">
      <c r="B257" s="1668" t="s">
        <v>1722</v>
      </c>
      <c r="C257" s="58"/>
      <c r="D257" s="1396" t="s">
        <v>92</v>
      </c>
      <c r="E257" s="1406" t="s">
        <v>88</v>
      </c>
      <c r="F257" s="1366"/>
      <c r="H257" s="1567"/>
      <c r="I257" s="1534" t="str">
        <f t="shared" si="48"/>
        <v/>
      </c>
    </row>
    <row r="258" spans="2:9" hidden="1" outlineLevel="1">
      <c r="B258" s="1668" t="s">
        <v>1723</v>
      </c>
      <c r="C258" s="58"/>
      <c r="D258" s="1396" t="s">
        <v>93</v>
      </c>
      <c r="E258" s="1406" t="s">
        <v>88</v>
      </c>
      <c r="F258" s="1366"/>
      <c r="H258" s="1567"/>
      <c r="I258" s="1534" t="str">
        <f t="shared" si="48"/>
        <v/>
      </c>
    </row>
    <row r="259" spans="2:9" ht="22.5" hidden="1" customHeight="1" outlineLevel="1">
      <c r="B259" s="1668" t="s">
        <v>1724</v>
      </c>
      <c r="C259" s="58"/>
      <c r="D259" s="1364" t="s">
        <v>97</v>
      </c>
      <c r="E259" s="1408" t="s">
        <v>88</v>
      </c>
      <c r="F259" s="1367"/>
      <c r="H259" s="1567"/>
      <c r="I259" s="1534" t="str">
        <f t="shared" si="48"/>
        <v/>
      </c>
    </row>
    <row r="260" spans="2:9" ht="23.25" collapsed="1">
      <c r="B260" s="1668" t="s">
        <v>1725</v>
      </c>
      <c r="C260" s="58"/>
      <c r="D260" s="1395" t="s">
        <v>89</v>
      </c>
      <c r="E260" s="1409"/>
      <c r="F260" s="1368"/>
      <c r="H260" s="1603" t="s">
        <v>1449</v>
      </c>
      <c r="I260" s="1567"/>
    </row>
    <row r="261" spans="2:9" hidden="1" outlineLevel="1">
      <c r="B261" s="1668" t="s">
        <v>1726</v>
      </c>
      <c r="C261" s="58"/>
      <c r="D261" s="1360" t="s">
        <v>1092</v>
      </c>
      <c r="E261" s="1402" t="s">
        <v>88</v>
      </c>
      <c r="F261" s="1365"/>
      <c r="H261" s="1567"/>
      <c r="I261" s="1534" t="str">
        <f>IF(ISNONTEXT(F261)=TRUE,"","X")</f>
        <v/>
      </c>
    </row>
    <row r="262" spans="2:9" hidden="1" outlineLevel="1">
      <c r="B262" s="1668"/>
      <c r="D262" s="1235" t="s">
        <v>90</v>
      </c>
      <c r="E262" s="1404"/>
      <c r="F262" s="1362"/>
      <c r="H262" s="1567"/>
      <c r="I262" s="1567"/>
    </row>
    <row r="263" spans="2:9" hidden="1" outlineLevel="1">
      <c r="B263" s="1668" t="s">
        <v>1727</v>
      </c>
      <c r="C263" s="58"/>
      <c r="D263" s="1396" t="s">
        <v>91</v>
      </c>
      <c r="E263" s="1406" t="s">
        <v>88</v>
      </c>
      <c r="F263" s="1366"/>
      <c r="H263" s="1567"/>
      <c r="I263" s="1534" t="str">
        <f t="shared" ref="I263:I265" si="49">IF(ISNONTEXT(F263)=TRUE,"","X")</f>
        <v/>
      </c>
    </row>
    <row r="264" spans="2:9" hidden="1" outlineLevel="1">
      <c r="B264" s="1668" t="s">
        <v>1728</v>
      </c>
      <c r="C264" s="58"/>
      <c r="D264" s="1396" t="s">
        <v>92</v>
      </c>
      <c r="E264" s="1406" t="s">
        <v>88</v>
      </c>
      <c r="F264" s="1366"/>
      <c r="H264" s="1567"/>
      <c r="I264" s="1534" t="str">
        <f t="shared" si="49"/>
        <v/>
      </c>
    </row>
    <row r="265" spans="2:9" hidden="1" outlineLevel="1">
      <c r="B265" s="1668" t="s">
        <v>1729</v>
      </c>
      <c r="C265" s="58"/>
      <c r="D265" s="1396" t="s">
        <v>93</v>
      </c>
      <c r="E265" s="1406" t="s">
        <v>88</v>
      </c>
      <c r="F265" s="1366"/>
      <c r="H265" s="1567"/>
      <c r="I265" s="1534" t="str">
        <f t="shared" si="49"/>
        <v/>
      </c>
    </row>
    <row r="266" spans="2:9" hidden="1" outlineLevel="1">
      <c r="B266" s="1668"/>
      <c r="D266" s="1235" t="s">
        <v>94</v>
      </c>
      <c r="E266" s="1404"/>
      <c r="F266" s="1362"/>
      <c r="H266" s="1567"/>
      <c r="I266" s="1567"/>
    </row>
    <row r="267" spans="2:9" hidden="1" outlineLevel="1">
      <c r="B267" s="1668" t="s">
        <v>1730</v>
      </c>
      <c r="C267" s="58"/>
      <c r="D267" s="1396" t="s">
        <v>91</v>
      </c>
      <c r="E267" s="1406" t="s">
        <v>88</v>
      </c>
      <c r="F267" s="1366"/>
      <c r="H267" s="1567"/>
      <c r="I267" s="1534" t="str">
        <f t="shared" ref="I267:I269" si="50">IF(ISNONTEXT(F267)=TRUE,"","X")</f>
        <v/>
      </c>
    </row>
    <row r="268" spans="2:9" hidden="1" outlineLevel="1">
      <c r="B268" s="1668" t="s">
        <v>1731</v>
      </c>
      <c r="C268" s="58"/>
      <c r="D268" s="1396" t="s">
        <v>92</v>
      </c>
      <c r="E268" s="1406" t="s">
        <v>88</v>
      </c>
      <c r="F268" s="1366"/>
      <c r="H268" s="1567"/>
      <c r="I268" s="1534" t="str">
        <f t="shared" si="50"/>
        <v/>
      </c>
    </row>
    <row r="269" spans="2:9" hidden="1" outlineLevel="1">
      <c r="B269" s="1668" t="s">
        <v>1732</v>
      </c>
      <c r="C269" s="58"/>
      <c r="D269" s="1396" t="s">
        <v>93</v>
      </c>
      <c r="E269" s="1406" t="s">
        <v>88</v>
      </c>
      <c r="F269" s="1366"/>
      <c r="H269" s="1567"/>
      <c r="I269" s="1534" t="str">
        <f t="shared" si="50"/>
        <v/>
      </c>
    </row>
    <row r="270" spans="2:9" hidden="1" outlineLevel="1">
      <c r="B270" s="1668"/>
      <c r="D270" s="1235" t="s">
        <v>95</v>
      </c>
      <c r="E270" s="1404"/>
      <c r="F270" s="1362"/>
      <c r="H270" s="1567"/>
      <c r="I270" s="1567"/>
    </row>
    <row r="271" spans="2:9" hidden="1" outlineLevel="1">
      <c r="B271" s="1668" t="s">
        <v>1733</v>
      </c>
      <c r="C271" s="58"/>
      <c r="D271" s="1396" t="s">
        <v>91</v>
      </c>
      <c r="E271" s="1406" t="s">
        <v>88</v>
      </c>
      <c r="F271" s="1366"/>
      <c r="H271" s="1567"/>
      <c r="I271" s="1534" t="str">
        <f t="shared" ref="I271:I273" si="51">IF(ISNONTEXT(F271)=TRUE,"","X")</f>
        <v/>
      </c>
    </row>
    <row r="272" spans="2:9" hidden="1" outlineLevel="1">
      <c r="B272" s="1668" t="s">
        <v>1734</v>
      </c>
      <c r="C272" s="58"/>
      <c r="D272" s="1396" t="s">
        <v>92</v>
      </c>
      <c r="E272" s="1406" t="s">
        <v>88</v>
      </c>
      <c r="F272" s="1366"/>
      <c r="H272" s="1567"/>
      <c r="I272" s="1534" t="str">
        <f t="shared" si="51"/>
        <v/>
      </c>
    </row>
    <row r="273" spans="2:9" hidden="1" outlineLevel="1">
      <c r="B273" s="1668" t="s">
        <v>1735</v>
      </c>
      <c r="C273" s="58"/>
      <c r="D273" s="1396" t="s">
        <v>93</v>
      </c>
      <c r="E273" s="1406" t="s">
        <v>88</v>
      </c>
      <c r="F273" s="1366"/>
      <c r="H273" s="1567"/>
      <c r="I273" s="1534" t="str">
        <f t="shared" si="51"/>
        <v/>
      </c>
    </row>
    <row r="274" spans="2:9" hidden="1" outlineLevel="1">
      <c r="B274" s="1668"/>
      <c r="D274" s="1235" t="s">
        <v>96</v>
      </c>
      <c r="E274" s="1404"/>
      <c r="F274" s="1362"/>
      <c r="H274" s="1567"/>
      <c r="I274" s="1567"/>
    </row>
    <row r="275" spans="2:9" hidden="1" outlineLevel="1">
      <c r="B275" s="1668" t="s">
        <v>1736</v>
      </c>
      <c r="C275" s="58"/>
      <c r="D275" s="1396" t="s">
        <v>91</v>
      </c>
      <c r="E275" s="1406" t="s">
        <v>88</v>
      </c>
      <c r="F275" s="1366"/>
      <c r="H275" s="1567"/>
      <c r="I275" s="1534" t="str">
        <f t="shared" ref="I275:I278" si="52">IF(ISNONTEXT(F275)=TRUE,"","X")</f>
        <v/>
      </c>
    </row>
    <row r="276" spans="2:9" hidden="1" outlineLevel="1">
      <c r="B276" s="1668" t="s">
        <v>1737</v>
      </c>
      <c r="C276" s="58"/>
      <c r="D276" s="1396" t="s">
        <v>92</v>
      </c>
      <c r="E276" s="1406" t="s">
        <v>88</v>
      </c>
      <c r="F276" s="1366"/>
      <c r="H276" s="1567"/>
      <c r="I276" s="1534" t="str">
        <f t="shared" si="52"/>
        <v/>
      </c>
    </row>
    <row r="277" spans="2:9" hidden="1" outlineLevel="1">
      <c r="B277" s="1668" t="s">
        <v>1738</v>
      </c>
      <c r="C277" s="58"/>
      <c r="D277" s="1396" t="s">
        <v>93</v>
      </c>
      <c r="E277" s="1406" t="s">
        <v>88</v>
      </c>
      <c r="F277" s="1366"/>
      <c r="H277" s="1567"/>
      <c r="I277" s="1534" t="str">
        <f t="shared" si="52"/>
        <v/>
      </c>
    </row>
    <row r="278" spans="2:9" ht="22.5" hidden="1" customHeight="1" outlineLevel="1">
      <c r="B278" s="1668" t="s">
        <v>1739</v>
      </c>
      <c r="C278" s="58"/>
      <c r="D278" s="1364" t="s">
        <v>97</v>
      </c>
      <c r="E278" s="1408" t="s">
        <v>88</v>
      </c>
      <c r="F278" s="1367"/>
      <c r="H278" s="1567"/>
      <c r="I278" s="1534" t="str">
        <f t="shared" si="52"/>
        <v/>
      </c>
    </row>
    <row r="279" spans="2:9" ht="23.25" collapsed="1">
      <c r="B279" s="1668" t="s">
        <v>1740</v>
      </c>
      <c r="C279" s="58"/>
      <c r="D279" s="1395" t="s">
        <v>89</v>
      </c>
      <c r="E279" s="1409"/>
      <c r="F279" s="1368"/>
      <c r="H279" s="1603" t="s">
        <v>1449</v>
      </c>
      <c r="I279" s="1567"/>
    </row>
    <row r="280" spans="2:9" hidden="1" outlineLevel="1">
      <c r="B280" s="1668" t="s">
        <v>1741</v>
      </c>
      <c r="C280" s="58"/>
      <c r="D280" s="1401" t="s">
        <v>1092</v>
      </c>
      <c r="E280" s="1402" t="s">
        <v>88</v>
      </c>
      <c r="F280" s="1365"/>
      <c r="H280" s="1567"/>
      <c r="I280" s="1534" t="str">
        <f>IF(ISNONTEXT(F280)=TRUE,"","X")</f>
        <v/>
      </c>
    </row>
    <row r="281" spans="2:9" hidden="1" outlineLevel="1">
      <c r="B281" s="1668"/>
      <c r="D281" s="1403" t="s">
        <v>90</v>
      </c>
      <c r="E281" s="1404"/>
      <c r="F281" s="1362"/>
      <c r="H281" s="1567"/>
      <c r="I281" s="1567"/>
    </row>
    <row r="282" spans="2:9" hidden="1" outlineLevel="1">
      <c r="B282" s="1668" t="s">
        <v>1742</v>
      </c>
      <c r="C282" s="58"/>
      <c r="D282" s="1405" t="s">
        <v>91</v>
      </c>
      <c r="E282" s="1406" t="s">
        <v>88</v>
      </c>
      <c r="F282" s="1366"/>
      <c r="H282" s="1567"/>
      <c r="I282" s="1534" t="str">
        <f t="shared" ref="I282:I284" si="53">IF(ISNONTEXT(F282)=TRUE,"","X")</f>
        <v/>
      </c>
    </row>
    <row r="283" spans="2:9" hidden="1" outlineLevel="1">
      <c r="B283" s="1668" t="s">
        <v>1743</v>
      </c>
      <c r="C283" s="58"/>
      <c r="D283" s="1405" t="s">
        <v>92</v>
      </c>
      <c r="E283" s="1406" t="s">
        <v>88</v>
      </c>
      <c r="F283" s="1366"/>
      <c r="H283" s="1567"/>
      <c r="I283" s="1534" t="str">
        <f t="shared" si="53"/>
        <v/>
      </c>
    </row>
    <row r="284" spans="2:9" hidden="1" outlineLevel="1">
      <c r="B284" s="1668" t="s">
        <v>1744</v>
      </c>
      <c r="C284" s="58"/>
      <c r="D284" s="1405" t="s">
        <v>93</v>
      </c>
      <c r="E284" s="1406" t="s">
        <v>88</v>
      </c>
      <c r="F284" s="1366"/>
      <c r="H284" s="1567"/>
      <c r="I284" s="1534" t="str">
        <f t="shared" si="53"/>
        <v/>
      </c>
    </row>
    <row r="285" spans="2:9" hidden="1" outlineLevel="1">
      <c r="B285" s="1668"/>
      <c r="D285" s="1403" t="s">
        <v>94</v>
      </c>
      <c r="E285" s="1404"/>
      <c r="F285" s="1362"/>
      <c r="H285" s="1567"/>
      <c r="I285" s="1567"/>
    </row>
    <row r="286" spans="2:9" hidden="1" outlineLevel="1">
      <c r="B286" s="1668" t="s">
        <v>1745</v>
      </c>
      <c r="C286" s="58"/>
      <c r="D286" s="1405" t="s">
        <v>91</v>
      </c>
      <c r="E286" s="1406" t="s">
        <v>88</v>
      </c>
      <c r="F286" s="1366"/>
      <c r="H286" s="1567"/>
      <c r="I286" s="1534" t="str">
        <f t="shared" ref="I286:I288" si="54">IF(ISNONTEXT(F286)=TRUE,"","X")</f>
        <v/>
      </c>
    </row>
    <row r="287" spans="2:9" hidden="1" outlineLevel="1">
      <c r="B287" s="1668" t="s">
        <v>1746</v>
      </c>
      <c r="C287" s="58"/>
      <c r="D287" s="1405" t="s">
        <v>92</v>
      </c>
      <c r="E287" s="1406" t="s">
        <v>88</v>
      </c>
      <c r="F287" s="1366"/>
      <c r="H287" s="1567"/>
      <c r="I287" s="1534" t="str">
        <f t="shared" si="54"/>
        <v/>
      </c>
    </row>
    <row r="288" spans="2:9" hidden="1" outlineLevel="1">
      <c r="B288" s="1668" t="s">
        <v>1747</v>
      </c>
      <c r="C288" s="58"/>
      <c r="D288" s="1405" t="s">
        <v>93</v>
      </c>
      <c r="E288" s="1406" t="s">
        <v>88</v>
      </c>
      <c r="F288" s="1366"/>
      <c r="H288" s="1567"/>
      <c r="I288" s="1534" t="str">
        <f t="shared" si="54"/>
        <v/>
      </c>
    </row>
    <row r="289" spans="2:9" hidden="1" outlineLevel="1">
      <c r="B289" s="1668"/>
      <c r="D289" s="1403" t="s">
        <v>95</v>
      </c>
      <c r="E289" s="1404"/>
      <c r="F289" s="1362"/>
      <c r="H289" s="1567"/>
      <c r="I289" s="1567"/>
    </row>
    <row r="290" spans="2:9" hidden="1" outlineLevel="1">
      <c r="B290" s="1668" t="s">
        <v>1748</v>
      </c>
      <c r="C290" s="58"/>
      <c r="D290" s="1405" t="s">
        <v>91</v>
      </c>
      <c r="E290" s="1406" t="s">
        <v>88</v>
      </c>
      <c r="F290" s="1366"/>
      <c r="H290" s="1567"/>
      <c r="I290" s="1534" t="str">
        <f t="shared" ref="I290:I292" si="55">IF(ISNONTEXT(F290)=TRUE,"","X")</f>
        <v/>
      </c>
    </row>
    <row r="291" spans="2:9" hidden="1" outlineLevel="1">
      <c r="B291" s="1668" t="s">
        <v>1749</v>
      </c>
      <c r="C291" s="58"/>
      <c r="D291" s="1405" t="s">
        <v>92</v>
      </c>
      <c r="E291" s="1406" t="s">
        <v>88</v>
      </c>
      <c r="F291" s="1366"/>
      <c r="H291" s="1567"/>
      <c r="I291" s="1534" t="str">
        <f t="shared" si="55"/>
        <v/>
      </c>
    </row>
    <row r="292" spans="2:9" hidden="1" outlineLevel="1">
      <c r="B292" s="1668" t="s">
        <v>1750</v>
      </c>
      <c r="C292" s="58"/>
      <c r="D292" s="1405" t="s">
        <v>93</v>
      </c>
      <c r="E292" s="1406" t="s">
        <v>88</v>
      </c>
      <c r="F292" s="1366"/>
      <c r="H292" s="1567"/>
      <c r="I292" s="1534" t="str">
        <f t="shared" si="55"/>
        <v/>
      </c>
    </row>
    <row r="293" spans="2:9" hidden="1" outlineLevel="1">
      <c r="B293" s="1668"/>
      <c r="D293" s="1403" t="s">
        <v>96</v>
      </c>
      <c r="E293" s="1404"/>
      <c r="F293" s="1362"/>
      <c r="H293" s="1567"/>
      <c r="I293" s="1567"/>
    </row>
    <row r="294" spans="2:9" hidden="1" outlineLevel="1">
      <c r="B294" s="1668" t="s">
        <v>1751</v>
      </c>
      <c r="C294" s="58"/>
      <c r="D294" s="1405" t="s">
        <v>91</v>
      </c>
      <c r="E294" s="1406" t="s">
        <v>88</v>
      </c>
      <c r="F294" s="1366"/>
      <c r="H294" s="1567"/>
      <c r="I294" s="1534" t="str">
        <f t="shared" ref="I294:I297" si="56">IF(ISNONTEXT(F294)=TRUE,"","X")</f>
        <v/>
      </c>
    </row>
    <row r="295" spans="2:9" hidden="1" outlineLevel="1">
      <c r="B295" s="1668" t="s">
        <v>1752</v>
      </c>
      <c r="C295" s="58"/>
      <c r="D295" s="1405" t="s">
        <v>92</v>
      </c>
      <c r="E295" s="1406" t="s">
        <v>88</v>
      </c>
      <c r="F295" s="1366"/>
      <c r="H295" s="1567"/>
      <c r="I295" s="1534" t="str">
        <f t="shared" si="56"/>
        <v/>
      </c>
    </row>
    <row r="296" spans="2:9" hidden="1" outlineLevel="1">
      <c r="B296" s="1668" t="s">
        <v>1753</v>
      </c>
      <c r="C296" s="58"/>
      <c r="D296" s="1405" t="s">
        <v>93</v>
      </c>
      <c r="E296" s="1406" t="s">
        <v>88</v>
      </c>
      <c r="F296" s="1366"/>
      <c r="H296" s="1567"/>
      <c r="I296" s="1534" t="str">
        <f t="shared" si="56"/>
        <v/>
      </c>
    </row>
    <row r="297" spans="2:9" ht="22.5" hidden="1" customHeight="1" outlineLevel="1">
      <c r="B297" s="1668" t="s">
        <v>1754</v>
      </c>
      <c r="C297" s="58"/>
      <c r="D297" s="1407" t="s">
        <v>97</v>
      </c>
      <c r="E297" s="1408" t="s">
        <v>88</v>
      </c>
      <c r="F297" s="1367"/>
      <c r="H297" s="1567"/>
      <c r="I297" s="1534" t="str">
        <f t="shared" si="56"/>
        <v/>
      </c>
    </row>
    <row r="298" spans="2:9" ht="23.25" collapsed="1">
      <c r="B298" s="1668" t="s">
        <v>1755</v>
      </c>
      <c r="C298" s="58"/>
      <c r="D298" s="1395" t="s">
        <v>89</v>
      </c>
      <c r="E298" s="1409"/>
      <c r="F298" s="1368"/>
      <c r="H298" s="1603" t="s">
        <v>1449</v>
      </c>
      <c r="I298" s="1567"/>
    </row>
    <row r="299" spans="2:9" hidden="1" outlineLevel="1">
      <c r="B299" s="1668" t="s">
        <v>1756</v>
      </c>
      <c r="C299" s="58"/>
      <c r="D299" s="1401" t="s">
        <v>1092</v>
      </c>
      <c r="E299" s="1402" t="s">
        <v>88</v>
      </c>
      <c r="F299" s="1365"/>
      <c r="H299" s="1567"/>
      <c r="I299" s="1534" t="str">
        <f>IF(ISNONTEXT(F299)=TRUE,"","X")</f>
        <v/>
      </c>
    </row>
    <row r="300" spans="2:9" hidden="1" outlineLevel="1">
      <c r="B300" s="1668"/>
      <c r="D300" s="1403" t="s">
        <v>90</v>
      </c>
      <c r="E300" s="1404"/>
      <c r="F300" s="1362"/>
      <c r="H300" s="1567"/>
      <c r="I300" s="1567"/>
    </row>
    <row r="301" spans="2:9" hidden="1" outlineLevel="1">
      <c r="B301" s="1668" t="s">
        <v>1757</v>
      </c>
      <c r="C301" s="58"/>
      <c r="D301" s="1405" t="s">
        <v>91</v>
      </c>
      <c r="E301" s="1406" t="s">
        <v>88</v>
      </c>
      <c r="F301" s="1366"/>
      <c r="H301" s="1567"/>
      <c r="I301" s="1534" t="str">
        <f t="shared" ref="I301:I303" si="57">IF(ISNONTEXT(F301)=TRUE,"","X")</f>
        <v/>
      </c>
    </row>
    <row r="302" spans="2:9" hidden="1" outlineLevel="1">
      <c r="B302" s="1668" t="s">
        <v>1758</v>
      </c>
      <c r="C302" s="58"/>
      <c r="D302" s="1405" t="s">
        <v>92</v>
      </c>
      <c r="E302" s="1406" t="s">
        <v>88</v>
      </c>
      <c r="F302" s="1366"/>
      <c r="H302" s="1567"/>
      <c r="I302" s="1534" t="str">
        <f t="shared" si="57"/>
        <v/>
      </c>
    </row>
    <row r="303" spans="2:9" hidden="1" outlineLevel="1">
      <c r="B303" s="1668" t="s">
        <v>1759</v>
      </c>
      <c r="C303" s="58"/>
      <c r="D303" s="1405" t="s">
        <v>93</v>
      </c>
      <c r="E303" s="1406" t="s">
        <v>88</v>
      </c>
      <c r="F303" s="1366"/>
      <c r="H303" s="1567"/>
      <c r="I303" s="1534" t="str">
        <f t="shared" si="57"/>
        <v/>
      </c>
    </row>
    <row r="304" spans="2:9" hidden="1" outlineLevel="1">
      <c r="B304" s="1668"/>
      <c r="D304" s="1403" t="s">
        <v>94</v>
      </c>
      <c r="E304" s="1404"/>
      <c r="F304" s="1362"/>
      <c r="H304" s="1567"/>
      <c r="I304" s="1567"/>
    </row>
    <row r="305" spans="2:9" hidden="1" outlineLevel="1">
      <c r="B305" s="1668" t="s">
        <v>1760</v>
      </c>
      <c r="C305" s="58"/>
      <c r="D305" s="1405" t="s">
        <v>91</v>
      </c>
      <c r="E305" s="1406" t="s">
        <v>88</v>
      </c>
      <c r="F305" s="1366"/>
      <c r="H305" s="1567"/>
      <c r="I305" s="1534" t="str">
        <f t="shared" ref="I305:I307" si="58">IF(ISNONTEXT(F305)=TRUE,"","X")</f>
        <v/>
      </c>
    </row>
    <row r="306" spans="2:9" hidden="1" outlineLevel="1">
      <c r="B306" s="1668" t="s">
        <v>1761</v>
      </c>
      <c r="C306" s="58"/>
      <c r="D306" s="1405" t="s">
        <v>92</v>
      </c>
      <c r="E306" s="1406" t="s">
        <v>88</v>
      </c>
      <c r="F306" s="1366"/>
      <c r="H306" s="1567"/>
      <c r="I306" s="1534" t="str">
        <f t="shared" si="58"/>
        <v/>
      </c>
    </row>
    <row r="307" spans="2:9" hidden="1" outlineLevel="1">
      <c r="B307" s="1668" t="s">
        <v>1762</v>
      </c>
      <c r="C307" s="58"/>
      <c r="D307" s="1405" t="s">
        <v>93</v>
      </c>
      <c r="E307" s="1406" t="s">
        <v>88</v>
      </c>
      <c r="F307" s="1366"/>
      <c r="H307" s="1567"/>
      <c r="I307" s="1534" t="str">
        <f t="shared" si="58"/>
        <v/>
      </c>
    </row>
    <row r="308" spans="2:9" hidden="1" outlineLevel="1">
      <c r="B308" s="1668"/>
      <c r="D308" s="1403" t="s">
        <v>95</v>
      </c>
      <c r="E308" s="1404"/>
      <c r="F308" s="1362"/>
      <c r="H308" s="1567"/>
      <c r="I308" s="1567"/>
    </row>
    <row r="309" spans="2:9" hidden="1" outlineLevel="1">
      <c r="B309" s="1668" t="s">
        <v>1763</v>
      </c>
      <c r="C309" s="58"/>
      <c r="D309" s="1405" t="s">
        <v>91</v>
      </c>
      <c r="E309" s="1406" t="s">
        <v>88</v>
      </c>
      <c r="F309" s="1366"/>
      <c r="H309" s="1567"/>
      <c r="I309" s="1534" t="str">
        <f t="shared" ref="I309:I311" si="59">IF(ISNONTEXT(F309)=TRUE,"","X")</f>
        <v/>
      </c>
    </row>
    <row r="310" spans="2:9" hidden="1" outlineLevel="1">
      <c r="B310" s="1668" t="s">
        <v>1764</v>
      </c>
      <c r="C310" s="58"/>
      <c r="D310" s="1405" t="s">
        <v>92</v>
      </c>
      <c r="E310" s="1406" t="s">
        <v>88</v>
      </c>
      <c r="F310" s="1366"/>
      <c r="H310" s="1567"/>
      <c r="I310" s="1534" t="str">
        <f t="shared" si="59"/>
        <v/>
      </c>
    </row>
    <row r="311" spans="2:9" hidden="1" outlineLevel="1">
      <c r="B311" s="1668" t="s">
        <v>1765</v>
      </c>
      <c r="C311" s="58"/>
      <c r="D311" s="1405" t="s">
        <v>93</v>
      </c>
      <c r="E311" s="1406" t="s">
        <v>88</v>
      </c>
      <c r="F311" s="1366"/>
      <c r="H311" s="1567"/>
      <c r="I311" s="1534" t="str">
        <f t="shared" si="59"/>
        <v/>
      </c>
    </row>
    <row r="312" spans="2:9" hidden="1" outlineLevel="1">
      <c r="B312" s="1668"/>
      <c r="D312" s="1403" t="s">
        <v>96</v>
      </c>
      <c r="E312" s="1404"/>
      <c r="F312" s="1362"/>
      <c r="H312" s="1567"/>
      <c r="I312" s="1567"/>
    </row>
    <row r="313" spans="2:9" hidden="1" outlineLevel="1">
      <c r="B313" s="1668" t="s">
        <v>1766</v>
      </c>
      <c r="C313" s="58"/>
      <c r="D313" s="1405" t="s">
        <v>91</v>
      </c>
      <c r="E313" s="1406" t="s">
        <v>88</v>
      </c>
      <c r="F313" s="1366"/>
      <c r="H313" s="1567"/>
      <c r="I313" s="1534" t="str">
        <f t="shared" ref="I313:I316" si="60">IF(ISNONTEXT(F313)=TRUE,"","X")</f>
        <v/>
      </c>
    </row>
    <row r="314" spans="2:9" hidden="1" outlineLevel="1">
      <c r="B314" s="1668" t="s">
        <v>1767</v>
      </c>
      <c r="C314" s="58"/>
      <c r="D314" s="1405" t="s">
        <v>92</v>
      </c>
      <c r="E314" s="1406" t="s">
        <v>88</v>
      </c>
      <c r="F314" s="1366"/>
      <c r="H314" s="1567"/>
      <c r="I314" s="1534" t="str">
        <f t="shared" si="60"/>
        <v/>
      </c>
    </row>
    <row r="315" spans="2:9" hidden="1" outlineLevel="1">
      <c r="B315" s="1668" t="s">
        <v>1768</v>
      </c>
      <c r="C315" s="58"/>
      <c r="D315" s="1405" t="s">
        <v>93</v>
      </c>
      <c r="E315" s="1406" t="s">
        <v>88</v>
      </c>
      <c r="F315" s="1366"/>
      <c r="H315" s="1567"/>
      <c r="I315" s="1534" t="str">
        <f t="shared" si="60"/>
        <v/>
      </c>
    </row>
    <row r="316" spans="2:9" ht="22.5" hidden="1" customHeight="1" outlineLevel="1">
      <c r="B316" s="1668" t="s">
        <v>1769</v>
      </c>
      <c r="C316" s="58"/>
      <c r="D316" s="1407" t="s">
        <v>97</v>
      </c>
      <c r="E316" s="1408" t="s">
        <v>88</v>
      </c>
      <c r="F316" s="1367"/>
      <c r="H316" s="1567"/>
      <c r="I316" s="1534" t="str">
        <f t="shared" si="60"/>
        <v/>
      </c>
    </row>
    <row r="317" spans="2:9" ht="23.25" collapsed="1">
      <c r="B317" s="1668" t="s">
        <v>1770</v>
      </c>
      <c r="C317" s="58"/>
      <c r="D317" s="1395" t="s">
        <v>89</v>
      </c>
      <c r="E317" s="1409"/>
      <c r="F317" s="1368"/>
      <c r="H317" s="1603" t="s">
        <v>1449</v>
      </c>
      <c r="I317" s="1567"/>
    </row>
    <row r="318" spans="2:9" hidden="1" outlineLevel="1">
      <c r="B318" s="1668" t="s">
        <v>1771</v>
      </c>
      <c r="C318" s="58"/>
      <c r="D318" s="1401" t="s">
        <v>1092</v>
      </c>
      <c r="E318" s="1402" t="s">
        <v>88</v>
      </c>
      <c r="F318" s="1365"/>
      <c r="H318" s="1567"/>
      <c r="I318" s="1534" t="str">
        <f>IF(ISNONTEXT(F318)=TRUE,"","X")</f>
        <v/>
      </c>
    </row>
    <row r="319" spans="2:9" hidden="1" outlineLevel="1">
      <c r="B319" s="1668"/>
      <c r="D319" s="1403" t="s">
        <v>90</v>
      </c>
      <c r="E319" s="1404"/>
      <c r="F319" s="1362"/>
      <c r="H319" s="1567"/>
      <c r="I319" s="1567"/>
    </row>
    <row r="320" spans="2:9" hidden="1" outlineLevel="1">
      <c r="B320" s="1668" t="s">
        <v>1772</v>
      </c>
      <c r="C320" s="58"/>
      <c r="D320" s="1405" t="s">
        <v>91</v>
      </c>
      <c r="E320" s="1406" t="s">
        <v>88</v>
      </c>
      <c r="F320" s="1366"/>
      <c r="H320" s="1567"/>
      <c r="I320" s="1534" t="str">
        <f t="shared" ref="I320:I322" si="61">IF(ISNONTEXT(F320)=TRUE,"","X")</f>
        <v/>
      </c>
    </row>
    <row r="321" spans="2:9" hidden="1" outlineLevel="1">
      <c r="B321" s="1668" t="s">
        <v>1773</v>
      </c>
      <c r="C321" s="58"/>
      <c r="D321" s="1405" t="s">
        <v>92</v>
      </c>
      <c r="E321" s="1406" t="s">
        <v>88</v>
      </c>
      <c r="F321" s="1366"/>
      <c r="H321" s="1567"/>
      <c r="I321" s="1534" t="str">
        <f t="shared" si="61"/>
        <v/>
      </c>
    </row>
    <row r="322" spans="2:9" hidden="1" outlineLevel="1">
      <c r="B322" s="1668" t="s">
        <v>1774</v>
      </c>
      <c r="C322" s="58"/>
      <c r="D322" s="1405" t="s">
        <v>93</v>
      </c>
      <c r="E322" s="1406" t="s">
        <v>88</v>
      </c>
      <c r="F322" s="1366"/>
      <c r="H322" s="1567"/>
      <c r="I322" s="1534" t="str">
        <f t="shared" si="61"/>
        <v/>
      </c>
    </row>
    <row r="323" spans="2:9" hidden="1" outlineLevel="1">
      <c r="B323" s="1668"/>
      <c r="D323" s="1403" t="s">
        <v>94</v>
      </c>
      <c r="E323" s="1404"/>
      <c r="F323" s="1362"/>
      <c r="H323" s="1567"/>
      <c r="I323" s="1567"/>
    </row>
    <row r="324" spans="2:9" hidden="1" outlineLevel="1">
      <c r="B324" s="1668" t="s">
        <v>1775</v>
      </c>
      <c r="C324" s="58"/>
      <c r="D324" s="1405" t="s">
        <v>91</v>
      </c>
      <c r="E324" s="1406" t="s">
        <v>88</v>
      </c>
      <c r="F324" s="1366"/>
      <c r="H324" s="1567"/>
      <c r="I324" s="1534" t="str">
        <f t="shared" ref="I324:I326" si="62">IF(ISNONTEXT(F324)=TRUE,"","X")</f>
        <v/>
      </c>
    </row>
    <row r="325" spans="2:9" hidden="1" outlineLevel="1">
      <c r="B325" s="1668" t="s">
        <v>1776</v>
      </c>
      <c r="C325" s="58"/>
      <c r="D325" s="1405" t="s">
        <v>92</v>
      </c>
      <c r="E325" s="1406" t="s">
        <v>88</v>
      </c>
      <c r="F325" s="1366"/>
      <c r="H325" s="1567"/>
      <c r="I325" s="1534" t="str">
        <f t="shared" si="62"/>
        <v/>
      </c>
    </row>
    <row r="326" spans="2:9" hidden="1" outlineLevel="1">
      <c r="B326" s="1668" t="s">
        <v>1777</v>
      </c>
      <c r="C326" s="58"/>
      <c r="D326" s="1405" t="s">
        <v>93</v>
      </c>
      <c r="E326" s="1406" t="s">
        <v>88</v>
      </c>
      <c r="F326" s="1366"/>
      <c r="H326" s="1567"/>
      <c r="I326" s="1534" t="str">
        <f t="shared" si="62"/>
        <v/>
      </c>
    </row>
    <row r="327" spans="2:9" hidden="1" outlineLevel="1">
      <c r="B327" s="1668"/>
      <c r="D327" s="1403" t="s">
        <v>95</v>
      </c>
      <c r="E327" s="1404"/>
      <c r="F327" s="1362"/>
      <c r="H327" s="1567"/>
      <c r="I327" s="1567"/>
    </row>
    <row r="328" spans="2:9" hidden="1" outlineLevel="1">
      <c r="B328" s="1668" t="s">
        <v>1778</v>
      </c>
      <c r="C328" s="58"/>
      <c r="D328" s="1405" t="s">
        <v>91</v>
      </c>
      <c r="E328" s="1406" t="s">
        <v>88</v>
      </c>
      <c r="F328" s="1366"/>
      <c r="H328" s="1567"/>
      <c r="I328" s="1534" t="str">
        <f t="shared" ref="I328:I330" si="63">IF(ISNONTEXT(F328)=TRUE,"","X")</f>
        <v/>
      </c>
    </row>
    <row r="329" spans="2:9" hidden="1" outlineLevel="1">
      <c r="B329" s="1668" t="s">
        <v>1779</v>
      </c>
      <c r="C329" s="58"/>
      <c r="D329" s="1405" t="s">
        <v>92</v>
      </c>
      <c r="E329" s="1406" t="s">
        <v>88</v>
      </c>
      <c r="F329" s="1366"/>
      <c r="H329" s="1567"/>
      <c r="I329" s="1534" t="str">
        <f t="shared" si="63"/>
        <v/>
      </c>
    </row>
    <row r="330" spans="2:9" hidden="1" outlineLevel="1">
      <c r="B330" s="1668" t="s">
        <v>1780</v>
      </c>
      <c r="C330" s="58"/>
      <c r="D330" s="1405" t="s">
        <v>93</v>
      </c>
      <c r="E330" s="1406" t="s">
        <v>88</v>
      </c>
      <c r="F330" s="1366"/>
      <c r="H330" s="1567"/>
      <c r="I330" s="1534" t="str">
        <f t="shared" si="63"/>
        <v/>
      </c>
    </row>
    <row r="331" spans="2:9" hidden="1" outlineLevel="1">
      <c r="B331" s="1668"/>
      <c r="D331" s="1403" t="s">
        <v>96</v>
      </c>
      <c r="E331" s="1404"/>
      <c r="F331" s="1362"/>
      <c r="H331" s="1567"/>
      <c r="I331" s="1567"/>
    </row>
    <row r="332" spans="2:9" hidden="1" outlineLevel="1">
      <c r="B332" s="1668" t="s">
        <v>1781</v>
      </c>
      <c r="C332" s="58"/>
      <c r="D332" s="1405" t="s">
        <v>91</v>
      </c>
      <c r="E332" s="1406" t="s">
        <v>88</v>
      </c>
      <c r="F332" s="1366"/>
      <c r="H332" s="1567"/>
      <c r="I332" s="1534" t="str">
        <f t="shared" ref="I332:I335" si="64">IF(ISNONTEXT(F332)=TRUE,"","X")</f>
        <v/>
      </c>
    </row>
    <row r="333" spans="2:9" hidden="1" outlineLevel="1">
      <c r="B333" s="1668" t="s">
        <v>1782</v>
      </c>
      <c r="C333" s="58"/>
      <c r="D333" s="1405" t="s">
        <v>92</v>
      </c>
      <c r="E333" s="1406" t="s">
        <v>88</v>
      </c>
      <c r="F333" s="1366"/>
      <c r="H333" s="1567"/>
      <c r="I333" s="1534" t="str">
        <f t="shared" si="64"/>
        <v/>
      </c>
    </row>
    <row r="334" spans="2:9" hidden="1" outlineLevel="1">
      <c r="B334" s="1668" t="s">
        <v>1783</v>
      </c>
      <c r="C334" s="58"/>
      <c r="D334" s="1405" t="s">
        <v>93</v>
      </c>
      <c r="E334" s="1406" t="s">
        <v>88</v>
      </c>
      <c r="F334" s="1366"/>
      <c r="H334" s="1567"/>
      <c r="I334" s="1534" t="str">
        <f t="shared" si="64"/>
        <v/>
      </c>
    </row>
    <row r="335" spans="2:9" ht="22.5" hidden="1" customHeight="1" outlineLevel="1">
      <c r="B335" s="1668" t="s">
        <v>1784</v>
      </c>
      <c r="C335" s="58"/>
      <c r="D335" s="1407" t="s">
        <v>97</v>
      </c>
      <c r="E335" s="1408" t="s">
        <v>88</v>
      </c>
      <c r="F335" s="1367"/>
      <c r="H335" s="1567"/>
      <c r="I335" s="1534" t="str">
        <f t="shared" si="64"/>
        <v/>
      </c>
    </row>
    <row r="336" spans="2:9" ht="23.25" collapsed="1">
      <c r="B336" s="1668" t="s">
        <v>1785</v>
      </c>
      <c r="C336" s="58"/>
      <c r="D336" s="1395" t="s">
        <v>89</v>
      </c>
      <c r="E336" s="1409"/>
      <c r="F336" s="1368"/>
      <c r="H336" s="1603" t="s">
        <v>1449</v>
      </c>
      <c r="I336" s="1567"/>
    </row>
    <row r="337" spans="2:9" hidden="1" outlineLevel="1">
      <c r="B337" s="1668" t="s">
        <v>1786</v>
      </c>
      <c r="C337" s="58"/>
      <c r="D337" s="1401" t="s">
        <v>1092</v>
      </c>
      <c r="E337" s="1402" t="s">
        <v>88</v>
      </c>
      <c r="F337" s="1365"/>
      <c r="H337" s="1567"/>
      <c r="I337" s="1534" t="str">
        <f>IF(ISNONTEXT(F337)=TRUE,"","X")</f>
        <v/>
      </c>
    </row>
    <row r="338" spans="2:9" hidden="1" outlineLevel="1">
      <c r="B338" s="1668"/>
      <c r="D338" s="1403" t="s">
        <v>90</v>
      </c>
      <c r="E338" s="1404"/>
      <c r="F338" s="1362"/>
      <c r="H338" s="1567"/>
      <c r="I338" s="1567"/>
    </row>
    <row r="339" spans="2:9" hidden="1" outlineLevel="1">
      <c r="B339" s="1668" t="s">
        <v>1787</v>
      </c>
      <c r="C339" s="58"/>
      <c r="D339" s="1405" t="s">
        <v>91</v>
      </c>
      <c r="E339" s="1406" t="s">
        <v>88</v>
      </c>
      <c r="F339" s="1366"/>
      <c r="H339" s="1567"/>
      <c r="I339" s="1534" t="str">
        <f t="shared" ref="I339:I341" si="65">IF(ISNONTEXT(F339)=TRUE,"","X")</f>
        <v/>
      </c>
    </row>
    <row r="340" spans="2:9" hidden="1" outlineLevel="1">
      <c r="B340" s="1668" t="s">
        <v>1788</v>
      </c>
      <c r="C340" s="58"/>
      <c r="D340" s="1405" t="s">
        <v>92</v>
      </c>
      <c r="E340" s="1406" t="s">
        <v>88</v>
      </c>
      <c r="F340" s="1366"/>
      <c r="H340" s="1567"/>
      <c r="I340" s="1534" t="str">
        <f t="shared" si="65"/>
        <v/>
      </c>
    </row>
    <row r="341" spans="2:9" hidden="1" outlineLevel="1">
      <c r="B341" s="1668" t="s">
        <v>1789</v>
      </c>
      <c r="C341" s="58"/>
      <c r="D341" s="1405" t="s">
        <v>93</v>
      </c>
      <c r="E341" s="1406" t="s">
        <v>88</v>
      </c>
      <c r="F341" s="1366"/>
      <c r="H341" s="1567"/>
      <c r="I341" s="1534" t="str">
        <f t="shared" si="65"/>
        <v/>
      </c>
    </row>
    <row r="342" spans="2:9" hidden="1" outlineLevel="1">
      <c r="B342" s="1668"/>
      <c r="D342" s="1403" t="s">
        <v>94</v>
      </c>
      <c r="E342" s="1404"/>
      <c r="F342" s="1362"/>
      <c r="H342" s="1567"/>
      <c r="I342" s="1567"/>
    </row>
    <row r="343" spans="2:9" hidden="1" outlineLevel="1">
      <c r="B343" s="1668" t="s">
        <v>1790</v>
      </c>
      <c r="C343" s="58"/>
      <c r="D343" s="1405" t="s">
        <v>91</v>
      </c>
      <c r="E343" s="1406" t="s">
        <v>88</v>
      </c>
      <c r="F343" s="1366"/>
      <c r="H343" s="1567"/>
      <c r="I343" s="1534" t="str">
        <f t="shared" ref="I343:I345" si="66">IF(ISNONTEXT(F343)=TRUE,"","X")</f>
        <v/>
      </c>
    </row>
    <row r="344" spans="2:9" hidden="1" outlineLevel="1">
      <c r="B344" s="1668" t="s">
        <v>1791</v>
      </c>
      <c r="C344" s="58"/>
      <c r="D344" s="1405" t="s">
        <v>92</v>
      </c>
      <c r="E344" s="1406" t="s">
        <v>88</v>
      </c>
      <c r="F344" s="1366"/>
      <c r="H344" s="1567"/>
      <c r="I344" s="1534" t="str">
        <f t="shared" si="66"/>
        <v/>
      </c>
    </row>
    <row r="345" spans="2:9" hidden="1" outlineLevel="1">
      <c r="B345" s="1668" t="s">
        <v>1792</v>
      </c>
      <c r="C345" s="58"/>
      <c r="D345" s="1405" t="s">
        <v>93</v>
      </c>
      <c r="E345" s="1406" t="s">
        <v>88</v>
      </c>
      <c r="F345" s="1366"/>
      <c r="H345" s="1567"/>
      <c r="I345" s="1534" t="str">
        <f t="shared" si="66"/>
        <v/>
      </c>
    </row>
    <row r="346" spans="2:9" hidden="1" outlineLevel="1">
      <c r="B346" s="1668"/>
      <c r="D346" s="1403" t="s">
        <v>95</v>
      </c>
      <c r="E346" s="1404"/>
      <c r="F346" s="1362"/>
      <c r="H346" s="1567"/>
      <c r="I346" s="1567"/>
    </row>
    <row r="347" spans="2:9" hidden="1" outlineLevel="1">
      <c r="B347" s="1668" t="s">
        <v>1793</v>
      </c>
      <c r="C347" s="58"/>
      <c r="D347" s="1405" t="s">
        <v>91</v>
      </c>
      <c r="E347" s="1406" t="s">
        <v>88</v>
      </c>
      <c r="F347" s="1366"/>
      <c r="H347" s="1567"/>
      <c r="I347" s="1534" t="str">
        <f t="shared" ref="I347:I349" si="67">IF(ISNONTEXT(F347)=TRUE,"","X")</f>
        <v/>
      </c>
    </row>
    <row r="348" spans="2:9" hidden="1" outlineLevel="1">
      <c r="B348" s="1668" t="s">
        <v>1794</v>
      </c>
      <c r="C348" s="58"/>
      <c r="D348" s="1405" t="s">
        <v>92</v>
      </c>
      <c r="E348" s="1406" t="s">
        <v>88</v>
      </c>
      <c r="F348" s="1366"/>
      <c r="H348" s="1567"/>
      <c r="I348" s="1534" t="str">
        <f t="shared" si="67"/>
        <v/>
      </c>
    </row>
    <row r="349" spans="2:9" hidden="1" outlineLevel="1">
      <c r="B349" s="1668" t="s">
        <v>1795</v>
      </c>
      <c r="C349" s="58"/>
      <c r="D349" s="1405" t="s">
        <v>93</v>
      </c>
      <c r="E349" s="1406" t="s">
        <v>88</v>
      </c>
      <c r="F349" s="1366"/>
      <c r="H349" s="1567"/>
      <c r="I349" s="1534" t="str">
        <f t="shared" si="67"/>
        <v/>
      </c>
    </row>
    <row r="350" spans="2:9" hidden="1" outlineLevel="1">
      <c r="B350" s="1668"/>
      <c r="D350" s="1403" t="s">
        <v>96</v>
      </c>
      <c r="E350" s="1404"/>
      <c r="F350" s="1362"/>
      <c r="H350" s="1567"/>
      <c r="I350" s="1567"/>
    </row>
    <row r="351" spans="2:9" hidden="1" outlineLevel="1">
      <c r="B351" s="1668" t="s">
        <v>1796</v>
      </c>
      <c r="C351" s="58"/>
      <c r="D351" s="1405" t="s">
        <v>91</v>
      </c>
      <c r="E351" s="1406" t="s">
        <v>88</v>
      </c>
      <c r="F351" s="1366"/>
      <c r="H351" s="1567"/>
      <c r="I351" s="1534" t="str">
        <f t="shared" ref="I351:I354" si="68">IF(ISNONTEXT(F351)=TRUE,"","X")</f>
        <v/>
      </c>
    </row>
    <row r="352" spans="2:9" hidden="1" outlineLevel="1">
      <c r="B352" s="1668" t="s">
        <v>1797</v>
      </c>
      <c r="C352" s="58"/>
      <c r="D352" s="1405" t="s">
        <v>92</v>
      </c>
      <c r="E352" s="1406" t="s">
        <v>88</v>
      </c>
      <c r="F352" s="1366"/>
      <c r="H352" s="1567"/>
      <c r="I352" s="1534" t="str">
        <f t="shared" si="68"/>
        <v/>
      </c>
    </row>
    <row r="353" spans="2:9" hidden="1" outlineLevel="1">
      <c r="B353" s="1668" t="s">
        <v>1798</v>
      </c>
      <c r="C353" s="58"/>
      <c r="D353" s="1405" t="s">
        <v>93</v>
      </c>
      <c r="E353" s="1406" t="s">
        <v>88</v>
      </c>
      <c r="F353" s="1366"/>
      <c r="H353" s="1567"/>
      <c r="I353" s="1534" t="str">
        <f t="shared" si="68"/>
        <v/>
      </c>
    </row>
    <row r="354" spans="2:9" ht="22.5" hidden="1" customHeight="1" outlineLevel="1">
      <c r="B354" s="1668" t="s">
        <v>1799</v>
      </c>
      <c r="C354" s="58"/>
      <c r="D354" s="1407" t="s">
        <v>97</v>
      </c>
      <c r="E354" s="1408" t="s">
        <v>88</v>
      </c>
      <c r="F354" s="1367"/>
      <c r="H354" s="1567"/>
      <c r="I354" s="1534" t="str">
        <f t="shared" si="68"/>
        <v/>
      </c>
    </row>
    <row r="355" spans="2:9" ht="23.25" collapsed="1">
      <c r="B355" s="1668" t="s">
        <v>1800</v>
      </c>
      <c r="C355" s="58"/>
      <c r="D355" s="1395" t="s">
        <v>89</v>
      </c>
      <c r="E355" s="1409"/>
      <c r="F355" s="1368"/>
      <c r="H355" s="1603" t="s">
        <v>1449</v>
      </c>
      <c r="I355" s="1567"/>
    </row>
    <row r="356" spans="2:9" ht="15" hidden="1" customHeight="1" outlineLevel="1">
      <c r="B356" s="1668" t="s">
        <v>1801</v>
      </c>
      <c r="C356" s="58"/>
      <c r="D356" s="1401" t="s">
        <v>1092</v>
      </c>
      <c r="E356" s="1402" t="s">
        <v>88</v>
      </c>
      <c r="F356" s="1365"/>
      <c r="H356" s="1567"/>
      <c r="I356" s="1534" t="str">
        <f>IF(ISNONTEXT(F356)=TRUE,"","X")</f>
        <v/>
      </c>
    </row>
    <row r="357" spans="2:9" ht="15" hidden="1" customHeight="1" outlineLevel="1">
      <c r="B357" s="1668"/>
      <c r="D357" s="1403" t="s">
        <v>90</v>
      </c>
      <c r="E357" s="1404"/>
      <c r="F357" s="1362"/>
      <c r="H357" s="1567"/>
      <c r="I357" s="1567"/>
    </row>
    <row r="358" spans="2:9" ht="15" hidden="1" customHeight="1" outlineLevel="1">
      <c r="B358" s="1668" t="s">
        <v>1802</v>
      </c>
      <c r="C358" s="58"/>
      <c r="D358" s="1405" t="s">
        <v>91</v>
      </c>
      <c r="E358" s="1406" t="s">
        <v>88</v>
      </c>
      <c r="F358" s="1366"/>
      <c r="H358" s="1567"/>
      <c r="I358" s="1534" t="str">
        <f t="shared" ref="I358:I360" si="69">IF(ISNONTEXT(F358)=TRUE,"","X")</f>
        <v/>
      </c>
    </row>
    <row r="359" spans="2:9" ht="15" hidden="1" customHeight="1" outlineLevel="1">
      <c r="B359" s="1668" t="s">
        <v>1803</v>
      </c>
      <c r="C359" s="58"/>
      <c r="D359" s="1405" t="s">
        <v>92</v>
      </c>
      <c r="E359" s="1406" t="s">
        <v>88</v>
      </c>
      <c r="F359" s="1366"/>
      <c r="H359" s="1567"/>
      <c r="I359" s="1534" t="str">
        <f t="shared" si="69"/>
        <v/>
      </c>
    </row>
    <row r="360" spans="2:9" ht="15" hidden="1" customHeight="1" outlineLevel="1">
      <c r="B360" s="1668" t="s">
        <v>1804</v>
      </c>
      <c r="C360" s="58"/>
      <c r="D360" s="1405" t="s">
        <v>93</v>
      </c>
      <c r="E360" s="1406" t="s">
        <v>88</v>
      </c>
      <c r="F360" s="1366"/>
      <c r="H360" s="1567"/>
      <c r="I360" s="1534" t="str">
        <f t="shared" si="69"/>
        <v/>
      </c>
    </row>
    <row r="361" spans="2:9" ht="15" hidden="1" customHeight="1" outlineLevel="1">
      <c r="B361" s="1668"/>
      <c r="D361" s="1403" t="s">
        <v>94</v>
      </c>
      <c r="E361" s="1404"/>
      <c r="F361" s="1362"/>
      <c r="H361" s="1567"/>
      <c r="I361" s="1567"/>
    </row>
    <row r="362" spans="2:9" ht="15" hidden="1" customHeight="1" outlineLevel="1">
      <c r="B362" s="1668" t="s">
        <v>1805</v>
      </c>
      <c r="C362" s="58"/>
      <c r="D362" s="1405" t="s">
        <v>91</v>
      </c>
      <c r="E362" s="1406" t="s">
        <v>88</v>
      </c>
      <c r="F362" s="1366"/>
      <c r="H362" s="1567"/>
      <c r="I362" s="1534" t="str">
        <f t="shared" ref="I362:I364" si="70">IF(ISNONTEXT(F362)=TRUE,"","X")</f>
        <v/>
      </c>
    </row>
    <row r="363" spans="2:9" ht="15" hidden="1" customHeight="1" outlineLevel="1">
      <c r="B363" s="1668" t="s">
        <v>1806</v>
      </c>
      <c r="C363" s="58"/>
      <c r="D363" s="1405" t="s">
        <v>92</v>
      </c>
      <c r="E363" s="1406" t="s">
        <v>88</v>
      </c>
      <c r="F363" s="1366"/>
      <c r="H363" s="1567"/>
      <c r="I363" s="1534" t="str">
        <f t="shared" si="70"/>
        <v/>
      </c>
    </row>
    <row r="364" spans="2:9" ht="15" hidden="1" customHeight="1" outlineLevel="1">
      <c r="B364" s="1668" t="s">
        <v>1807</v>
      </c>
      <c r="C364" s="58"/>
      <c r="D364" s="1405" t="s">
        <v>93</v>
      </c>
      <c r="E364" s="1406" t="s">
        <v>88</v>
      </c>
      <c r="F364" s="1366"/>
      <c r="H364" s="1567"/>
      <c r="I364" s="1534" t="str">
        <f t="shared" si="70"/>
        <v/>
      </c>
    </row>
    <row r="365" spans="2:9" ht="15" hidden="1" customHeight="1" outlineLevel="1">
      <c r="B365" s="1668"/>
      <c r="D365" s="1403" t="s">
        <v>95</v>
      </c>
      <c r="E365" s="1404"/>
      <c r="F365" s="1362"/>
      <c r="H365" s="1567"/>
      <c r="I365" s="1567"/>
    </row>
    <row r="366" spans="2:9" ht="15" hidden="1" customHeight="1" outlineLevel="1">
      <c r="B366" s="1668" t="s">
        <v>1808</v>
      </c>
      <c r="C366" s="58"/>
      <c r="D366" s="1405" t="s">
        <v>91</v>
      </c>
      <c r="E366" s="1406" t="s">
        <v>88</v>
      </c>
      <c r="F366" s="1366"/>
      <c r="H366" s="1567"/>
      <c r="I366" s="1534" t="str">
        <f t="shared" ref="I366:I368" si="71">IF(ISNONTEXT(F366)=TRUE,"","X")</f>
        <v/>
      </c>
    </row>
    <row r="367" spans="2:9" ht="15" hidden="1" customHeight="1" outlineLevel="1">
      <c r="B367" s="1668" t="s">
        <v>1809</v>
      </c>
      <c r="C367" s="58"/>
      <c r="D367" s="1405" t="s">
        <v>92</v>
      </c>
      <c r="E367" s="1406" t="s">
        <v>88</v>
      </c>
      <c r="F367" s="1366"/>
      <c r="H367" s="1567"/>
      <c r="I367" s="1534" t="str">
        <f t="shared" si="71"/>
        <v/>
      </c>
    </row>
    <row r="368" spans="2:9" ht="15" hidden="1" customHeight="1" outlineLevel="1">
      <c r="B368" s="1668" t="s">
        <v>1810</v>
      </c>
      <c r="C368" s="58"/>
      <c r="D368" s="1405" t="s">
        <v>93</v>
      </c>
      <c r="E368" s="1406" t="s">
        <v>88</v>
      </c>
      <c r="F368" s="1366"/>
      <c r="H368" s="1567"/>
      <c r="I368" s="1534" t="str">
        <f t="shared" si="71"/>
        <v/>
      </c>
    </row>
    <row r="369" spans="2:9" ht="15" hidden="1" customHeight="1" outlineLevel="1">
      <c r="B369" s="1668"/>
      <c r="D369" s="1403" t="s">
        <v>96</v>
      </c>
      <c r="E369" s="1404"/>
      <c r="F369" s="1362"/>
      <c r="H369" s="1567"/>
      <c r="I369" s="1567"/>
    </row>
    <row r="370" spans="2:9" ht="15" hidden="1" customHeight="1" outlineLevel="1">
      <c r="B370" s="1668" t="s">
        <v>1811</v>
      </c>
      <c r="C370" s="58"/>
      <c r="D370" s="1405" t="s">
        <v>91</v>
      </c>
      <c r="E370" s="1406" t="s">
        <v>88</v>
      </c>
      <c r="F370" s="1366"/>
      <c r="H370" s="1567"/>
      <c r="I370" s="1534" t="str">
        <f t="shared" ref="I370:I373" si="72">IF(ISNONTEXT(F370)=TRUE,"","X")</f>
        <v/>
      </c>
    </row>
    <row r="371" spans="2:9" ht="15" hidden="1" customHeight="1" outlineLevel="1">
      <c r="B371" s="1668" t="s">
        <v>1812</v>
      </c>
      <c r="C371" s="58"/>
      <c r="D371" s="1405" t="s">
        <v>92</v>
      </c>
      <c r="E371" s="1406" t="s">
        <v>88</v>
      </c>
      <c r="F371" s="1366"/>
      <c r="H371" s="1567"/>
      <c r="I371" s="1534" t="str">
        <f t="shared" si="72"/>
        <v/>
      </c>
    </row>
    <row r="372" spans="2:9" ht="15" hidden="1" customHeight="1" outlineLevel="1">
      <c r="B372" s="1668" t="s">
        <v>1813</v>
      </c>
      <c r="C372" s="58"/>
      <c r="D372" s="1405" t="s">
        <v>93</v>
      </c>
      <c r="E372" s="1406" t="s">
        <v>88</v>
      </c>
      <c r="F372" s="1366"/>
      <c r="H372" s="1567"/>
      <c r="I372" s="1534" t="str">
        <f t="shared" si="72"/>
        <v/>
      </c>
    </row>
    <row r="373" spans="2:9" ht="15" hidden="1" customHeight="1" outlineLevel="1">
      <c r="B373" s="1668" t="s">
        <v>1814</v>
      </c>
      <c r="C373" s="58"/>
      <c r="D373" s="1407" t="s">
        <v>97</v>
      </c>
      <c r="E373" s="1408" t="s">
        <v>88</v>
      </c>
      <c r="F373" s="1367"/>
      <c r="H373" s="1567"/>
      <c r="I373" s="1534" t="str">
        <f t="shared" si="72"/>
        <v/>
      </c>
    </row>
    <row r="374" spans="2:9" collapsed="1">
      <c r="B374" s="1938"/>
    </row>
    <row r="376" spans="2:9">
      <c r="B376" s="1717" t="s">
        <v>1468</v>
      </c>
      <c r="C376" s="1714"/>
      <c r="D376" s="1715" t="s">
        <v>1488</v>
      </c>
    </row>
  </sheetData>
  <conditionalFormatting sqref="D376">
    <cfRule type="cellIs" dxfId="54" priority="1" operator="equal">
      <formula>FALSE</formula>
    </cfRule>
  </conditionalFormatting>
  <dataValidations count="1">
    <dataValidation allowBlank="1" showErrorMessage="1" sqref="A1:XFD1048576" xr:uid="{3B27A9A6-54E1-4990-8C93-5B55E25126D4}"/>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AE64-A536-45D5-82DF-1825269DC3ED}">
  <sheetPr codeName="Sheet25">
    <tabColor rgb="FF31869B"/>
    <pageSetUpPr fitToPage="1"/>
  </sheetPr>
  <dimension ref="B1:T81"/>
  <sheetViews>
    <sheetView workbookViewId="0"/>
  </sheetViews>
  <sheetFormatPr defaultColWidth="9.140625" defaultRowHeight="15" outlineLevelRow="1"/>
  <cols>
    <col min="1" max="1" width="20.7109375" style="46" customWidth="1"/>
    <col min="2" max="2" width="18.7109375" style="55" customWidth="1"/>
    <col min="3" max="3" width="2.5703125" style="55" customWidth="1"/>
    <col min="4" max="4" width="76.42578125" style="46" customWidth="1"/>
    <col min="5" max="5" width="7.42578125" style="46" customWidth="1"/>
    <col min="6" max="6" width="21" style="46" customWidth="1"/>
    <col min="7" max="7" width="9.140625" style="46"/>
    <col min="8" max="20" width="3.7109375" style="46" customWidth="1"/>
    <col min="21" max="16384" width="9.140625" style="46"/>
  </cols>
  <sheetData>
    <row r="1" spans="2:20" s="1225" customFormat="1" ht="20.100000000000001" customHeight="1">
      <c r="B1" s="1002"/>
      <c r="C1" s="1002"/>
      <c r="D1" s="1002" t="str">
        <f>dms_SheetHeading1</f>
        <v>ANNUAL INFORMATION ORDER</v>
      </c>
      <c r="E1" s="1221"/>
      <c r="F1" s="1221"/>
      <c r="H1" s="1658" t="s">
        <v>1040</v>
      </c>
      <c r="I1" s="1323"/>
      <c r="J1" s="1323"/>
      <c r="K1" s="1323"/>
      <c r="L1" s="1323"/>
      <c r="M1" s="1323"/>
      <c r="N1" s="1657" t="s">
        <v>1039</v>
      </c>
      <c r="O1" s="1323"/>
      <c r="P1" s="1323"/>
      <c r="Q1" s="1323"/>
      <c r="R1" s="1323"/>
      <c r="S1" s="1323"/>
      <c r="T1" s="1323"/>
    </row>
    <row r="2" spans="2:20" s="1225" customFormat="1" ht="20.100000000000001" customHeight="1">
      <c r="B2" s="1003"/>
      <c r="C2" s="1003"/>
      <c r="D2" s="1003" t="str">
        <f>dms_SheetHeading2</f>
        <v>Australian Transmission Co.</v>
      </c>
      <c r="E2" s="1221"/>
      <c r="F2" s="1221"/>
      <c r="H2" s="1659" t="s">
        <v>1041</v>
      </c>
      <c r="I2" s="1324"/>
      <c r="J2" s="1324"/>
      <c r="K2" s="1324"/>
      <c r="L2" s="1324"/>
      <c r="M2" s="1324"/>
      <c r="N2" s="1379" t="s">
        <v>202</v>
      </c>
      <c r="O2" s="1324"/>
      <c r="P2" s="1324"/>
      <c r="Q2" s="1324"/>
      <c r="R2" s="1324"/>
      <c r="S2" s="1324"/>
      <c r="T2" s="1324"/>
    </row>
    <row r="3" spans="2:20" s="1225" customFormat="1" ht="20.100000000000001" customHeight="1">
      <c r="B3" s="1004"/>
      <c r="C3" s="1004"/>
      <c r="D3" s="1004" t="str">
        <f>dms_SheetHeading3</f>
        <v>REPORTING STATEMENT: 2024-25</v>
      </c>
      <c r="E3" s="1215"/>
      <c r="F3" s="1215"/>
      <c r="H3" s="1660" t="s">
        <v>1042</v>
      </c>
      <c r="I3" s="1325"/>
      <c r="J3" s="1325"/>
      <c r="K3" s="1325"/>
      <c r="L3" s="1325"/>
      <c r="M3" s="1325"/>
      <c r="N3" s="1380" t="s">
        <v>203</v>
      </c>
      <c r="O3" s="1325"/>
      <c r="P3" s="1325"/>
      <c r="Q3" s="1325"/>
      <c r="R3" s="1325"/>
      <c r="S3" s="1325"/>
      <c r="T3" s="1325"/>
    </row>
    <row r="4" spans="2:20" s="1225" customFormat="1" ht="20.100000000000001" customHeight="1">
      <c r="B4" s="1216"/>
      <c r="C4" s="1216"/>
      <c r="D4" s="1216" t="s">
        <v>1354</v>
      </c>
      <c r="E4" s="1216"/>
      <c r="F4" s="1216"/>
      <c r="H4" s="1662" t="s">
        <v>1044</v>
      </c>
      <c r="I4" s="1692"/>
      <c r="J4" s="1693"/>
      <c r="K4" s="1498"/>
      <c r="L4" s="1498"/>
      <c r="M4" s="1498"/>
      <c r="N4" s="1497" t="s">
        <v>1043</v>
      </c>
      <c r="O4" s="1498"/>
      <c r="P4" s="1498"/>
      <c r="Q4" s="1498"/>
      <c r="R4" s="1498"/>
      <c r="S4" s="1498"/>
      <c r="T4" s="1498"/>
    </row>
    <row r="5" spans="2:20" ht="13.5" customHeight="1"/>
    <row r="6" spans="2:20" ht="18" customHeight="1">
      <c r="B6" s="628" t="s">
        <v>1253</v>
      </c>
      <c r="C6" s="973"/>
      <c r="D6" s="973"/>
      <c r="E6" s="973"/>
      <c r="F6" s="973"/>
      <c r="G6" s="44"/>
      <c r="H6" s="44"/>
      <c r="I6" s="44"/>
      <c r="J6" s="44"/>
      <c r="K6" s="44"/>
      <c r="L6" s="44"/>
    </row>
    <row r="7" spans="2:20" ht="18" customHeight="1">
      <c r="B7" s="1032" t="s">
        <v>1148</v>
      </c>
      <c r="C7" s="1032"/>
      <c r="D7" s="1032"/>
      <c r="E7" s="1032"/>
      <c r="F7" s="1032"/>
    </row>
    <row r="8" spans="2:20">
      <c r="B8" s="953"/>
      <c r="C8" s="1256"/>
      <c r="D8" s="1257"/>
    </row>
    <row r="9" spans="2:20" ht="18" customHeight="1">
      <c r="B9" s="952"/>
      <c r="D9" s="1410" t="s">
        <v>108</v>
      </c>
      <c r="E9" s="1410"/>
      <c r="F9" s="1410"/>
    </row>
    <row r="10" spans="2:20" ht="18" customHeight="1">
      <c r="B10" s="952"/>
      <c r="D10" s="1422" t="s">
        <v>1282</v>
      </c>
      <c r="E10" s="1422"/>
      <c r="F10" s="1422"/>
    </row>
    <row r="11" spans="2:20" ht="30.75" customHeight="1">
      <c r="B11" s="952"/>
      <c r="C11" s="952"/>
      <c r="D11" s="952"/>
      <c r="E11" s="952"/>
      <c r="F11" s="952"/>
      <c r="G11" s="952"/>
      <c r="H11" s="1594" t="s">
        <v>1430</v>
      </c>
      <c r="I11" s="1595" t="s">
        <v>1431</v>
      </c>
      <c r="J11" s="1596" t="s">
        <v>1432</v>
      </c>
    </row>
    <row r="12" spans="2:20" ht="18" customHeight="1">
      <c r="B12" s="951"/>
      <c r="C12" s="56"/>
      <c r="D12" s="1417" t="s">
        <v>1149</v>
      </c>
      <c r="E12" s="958" t="s">
        <v>1192</v>
      </c>
      <c r="F12" s="1722" t="s">
        <v>1327</v>
      </c>
      <c r="H12" s="2107" t="s">
        <v>1327</v>
      </c>
      <c r="I12" s="2108"/>
      <c r="J12" s="2109"/>
    </row>
    <row r="13" spans="2:20" outlineLevel="1">
      <c r="B13" s="1668" t="s">
        <v>1815</v>
      </c>
      <c r="C13" s="58"/>
      <c r="D13" s="1426" t="s">
        <v>109</v>
      </c>
      <c r="E13" s="641" t="s">
        <v>67</v>
      </c>
      <c r="F13" s="1369"/>
      <c r="H13" s="1561" t="str">
        <f>IF(ISNONTEXT(F13)=TRUE,"","X")</f>
        <v/>
      </c>
      <c r="I13" s="1559" t="str">
        <f>IF(AND(F13&gt;=0)=TRUE,"","X")</f>
        <v/>
      </c>
      <c r="J13" s="1560" t="str">
        <f>IF(F13&lt;&gt;""=TRUE,"","X")</f>
        <v>X</v>
      </c>
    </row>
    <row r="14" spans="2:20" outlineLevel="1">
      <c r="B14" s="1668" t="s">
        <v>1816</v>
      </c>
      <c r="C14" s="58"/>
      <c r="D14" s="1427" t="s">
        <v>110</v>
      </c>
      <c r="E14" s="642" t="s">
        <v>67</v>
      </c>
      <c r="F14" s="1370"/>
      <c r="H14" s="1540" t="str">
        <f t="shared" ref="H14:H24" si="0">IF(ISNONTEXT(F14)=TRUE,"","X")</f>
        <v/>
      </c>
      <c r="I14" s="1534" t="str">
        <f t="shared" ref="I14:I24" si="1">IF(AND(F14&gt;=0)=TRUE,"","X")</f>
        <v/>
      </c>
      <c r="J14" s="1539" t="str">
        <f t="shared" ref="J14:J24" si="2">IF(F14&lt;&gt;""=TRUE,"","X")</f>
        <v>X</v>
      </c>
    </row>
    <row r="15" spans="2:20" outlineLevel="1">
      <c r="B15" s="1668" t="s">
        <v>1817</v>
      </c>
      <c r="C15" s="58"/>
      <c r="D15" s="1427" t="s">
        <v>111</v>
      </c>
      <c r="E15" s="642" t="s">
        <v>67</v>
      </c>
      <c r="F15" s="1370"/>
      <c r="H15" s="1540" t="str">
        <f t="shared" si="0"/>
        <v/>
      </c>
      <c r="I15" s="1534" t="str">
        <f t="shared" si="1"/>
        <v/>
      </c>
      <c r="J15" s="1539" t="str">
        <f t="shared" si="2"/>
        <v>X</v>
      </c>
    </row>
    <row r="16" spans="2:20" outlineLevel="1">
      <c r="B16" s="1668" t="s">
        <v>1818</v>
      </c>
      <c r="C16" s="58"/>
      <c r="D16" s="1427" t="s">
        <v>112</v>
      </c>
      <c r="E16" s="642" t="s">
        <v>67</v>
      </c>
      <c r="F16" s="1370"/>
      <c r="H16" s="1540" t="str">
        <f t="shared" si="0"/>
        <v/>
      </c>
      <c r="I16" s="1534" t="str">
        <f t="shared" si="1"/>
        <v/>
      </c>
      <c r="J16" s="1539" t="str">
        <f t="shared" si="2"/>
        <v>X</v>
      </c>
    </row>
    <row r="17" spans="2:10" outlineLevel="1">
      <c r="B17" s="1668" t="s">
        <v>1819</v>
      </c>
      <c r="C17" s="58"/>
      <c r="D17" s="1427" t="s">
        <v>102</v>
      </c>
      <c r="E17" s="642" t="s">
        <v>67</v>
      </c>
      <c r="F17" s="1370"/>
      <c r="H17" s="1540" t="str">
        <f t="shared" si="0"/>
        <v/>
      </c>
      <c r="I17" s="1534" t="str">
        <f t="shared" si="1"/>
        <v/>
      </c>
      <c r="J17" s="1539" t="str">
        <f t="shared" si="2"/>
        <v>X</v>
      </c>
    </row>
    <row r="18" spans="2:10" outlineLevel="1">
      <c r="B18" s="1668" t="s">
        <v>1820</v>
      </c>
      <c r="C18" s="58"/>
      <c r="D18" s="1427" t="s">
        <v>113</v>
      </c>
      <c r="E18" s="642" t="s">
        <v>67</v>
      </c>
      <c r="F18" s="1370"/>
      <c r="H18" s="1540" t="str">
        <f t="shared" si="0"/>
        <v/>
      </c>
      <c r="I18" s="1534" t="str">
        <f t="shared" si="1"/>
        <v/>
      </c>
      <c r="J18" s="1539" t="str">
        <f t="shared" si="2"/>
        <v>X</v>
      </c>
    </row>
    <row r="19" spans="2:10" ht="15" customHeight="1" outlineLevel="1">
      <c r="B19" s="1668" t="s">
        <v>1821</v>
      </c>
      <c r="C19" s="58"/>
      <c r="D19" s="1427" t="s">
        <v>114</v>
      </c>
      <c r="E19" s="642" t="s">
        <v>67</v>
      </c>
      <c r="F19" s="1370"/>
      <c r="H19" s="1540" t="str">
        <f t="shared" si="0"/>
        <v/>
      </c>
      <c r="I19" s="1534" t="str">
        <f t="shared" si="1"/>
        <v/>
      </c>
      <c r="J19" s="1539" t="str">
        <f t="shared" si="2"/>
        <v>X</v>
      </c>
    </row>
    <row r="20" spans="2:10" outlineLevel="1">
      <c r="B20" s="1668" t="s">
        <v>1822</v>
      </c>
      <c r="C20" s="58"/>
      <c r="D20" s="1427" t="s">
        <v>103</v>
      </c>
      <c r="E20" s="642" t="s">
        <v>67</v>
      </c>
      <c r="F20" s="1370"/>
      <c r="H20" s="1540" t="str">
        <f t="shared" si="0"/>
        <v/>
      </c>
      <c r="I20" s="1534" t="str">
        <f t="shared" si="1"/>
        <v/>
      </c>
      <c r="J20" s="1539" t="str">
        <f t="shared" si="2"/>
        <v>X</v>
      </c>
    </row>
    <row r="21" spans="2:10" outlineLevel="1">
      <c r="B21" s="1668" t="s">
        <v>1823</v>
      </c>
      <c r="C21" s="58"/>
      <c r="D21" s="1427" t="s">
        <v>104</v>
      </c>
      <c r="E21" s="642" t="s">
        <v>67</v>
      </c>
      <c r="F21" s="1370"/>
      <c r="H21" s="1540" t="str">
        <f t="shared" si="0"/>
        <v/>
      </c>
      <c r="I21" s="1534" t="str">
        <f t="shared" si="1"/>
        <v/>
      </c>
      <c r="J21" s="1539" t="str">
        <f t="shared" si="2"/>
        <v>X</v>
      </c>
    </row>
    <row r="22" spans="2:10" outlineLevel="1">
      <c r="B22" s="1668" t="s">
        <v>1824</v>
      </c>
      <c r="C22" s="58"/>
      <c r="D22" s="1427" t="s">
        <v>105</v>
      </c>
      <c r="E22" s="642" t="s">
        <v>67</v>
      </c>
      <c r="F22" s="1370"/>
      <c r="H22" s="1540" t="str">
        <f t="shared" si="0"/>
        <v/>
      </c>
      <c r="I22" s="1534" t="str">
        <f t="shared" si="1"/>
        <v/>
      </c>
      <c r="J22" s="1539" t="str">
        <f t="shared" si="2"/>
        <v>X</v>
      </c>
    </row>
    <row r="23" spans="2:10" outlineLevel="1">
      <c r="B23" s="1668" t="s">
        <v>1825</v>
      </c>
      <c r="C23" s="58"/>
      <c r="D23" s="1427" t="s">
        <v>106</v>
      </c>
      <c r="E23" s="642" t="s">
        <v>67</v>
      </c>
      <c r="F23" s="1370"/>
      <c r="H23" s="1540" t="str">
        <f t="shared" si="0"/>
        <v/>
      </c>
      <c r="I23" s="1534" t="str">
        <f t="shared" si="1"/>
        <v/>
      </c>
      <c r="J23" s="1539" t="str">
        <f t="shared" si="2"/>
        <v>X</v>
      </c>
    </row>
    <row r="24" spans="2:10" outlineLevel="1">
      <c r="B24" s="1668" t="s">
        <v>1826</v>
      </c>
      <c r="C24" s="58"/>
      <c r="D24" s="1669" t="s">
        <v>1153</v>
      </c>
      <c r="E24" s="643" t="s">
        <v>67</v>
      </c>
      <c r="F24" s="1371"/>
      <c r="H24" s="1542" t="str">
        <f t="shared" si="0"/>
        <v/>
      </c>
      <c r="I24" s="1551" t="str">
        <f t="shared" si="1"/>
        <v/>
      </c>
      <c r="J24" s="1541" t="str">
        <f t="shared" si="2"/>
        <v>X</v>
      </c>
    </row>
    <row r="25" spans="2:10">
      <c r="B25" s="1668" t="s">
        <v>1827</v>
      </c>
      <c r="C25" s="58"/>
      <c r="D25" s="966" t="s">
        <v>1151</v>
      </c>
      <c r="E25" s="967" t="s">
        <v>67</v>
      </c>
      <c r="F25" s="999">
        <f>SUM(F13:F24)</f>
        <v>0</v>
      </c>
    </row>
    <row r="26" spans="2:10" ht="15.75">
      <c r="B26" s="1421"/>
      <c r="C26" s="46"/>
      <c r="E26" s="1052"/>
      <c r="F26" s="1052"/>
    </row>
    <row r="27" spans="2:10" ht="18" customHeight="1">
      <c r="B27" s="952"/>
      <c r="D27" s="1410" t="s">
        <v>108</v>
      </c>
      <c r="E27" s="1410"/>
      <c r="F27" s="1410"/>
    </row>
    <row r="28" spans="2:10" ht="18" customHeight="1">
      <c r="B28" s="952"/>
      <c r="D28" s="1422" t="s">
        <v>1283</v>
      </c>
      <c r="E28" s="1422"/>
      <c r="F28" s="1422"/>
    </row>
    <row r="29" spans="2:10" ht="30.75" customHeight="1">
      <c r="B29" s="1378"/>
      <c r="C29" s="1378"/>
      <c r="D29" s="1378"/>
      <c r="E29" s="1378"/>
      <c r="F29" s="1378"/>
      <c r="G29" s="952"/>
      <c r="H29" s="1594" t="s">
        <v>1430</v>
      </c>
      <c r="I29" s="1595" t="s">
        <v>1431</v>
      </c>
      <c r="J29" s="1596" t="s">
        <v>1432</v>
      </c>
    </row>
    <row r="30" spans="2:10" ht="18" customHeight="1">
      <c r="B30" s="1378"/>
      <c r="C30" s="58"/>
      <c r="D30" s="1423" t="s">
        <v>1150</v>
      </c>
      <c r="E30" s="958" t="s">
        <v>1192</v>
      </c>
      <c r="F30" s="1722" t="s">
        <v>1327</v>
      </c>
      <c r="H30" s="2107" t="s">
        <v>1327</v>
      </c>
      <c r="I30" s="2108"/>
      <c r="J30" s="2109"/>
    </row>
    <row r="31" spans="2:10" outlineLevel="1">
      <c r="B31" s="1668" t="s">
        <v>1828</v>
      </c>
      <c r="C31" s="58"/>
      <c r="D31" s="1418" t="s">
        <v>109</v>
      </c>
      <c r="E31" s="641" t="s">
        <v>67</v>
      </c>
      <c r="F31" s="1369"/>
      <c r="H31" s="1540" t="str">
        <f>IF(ISNONTEXT(F31)=TRUE,"","X")</f>
        <v/>
      </c>
      <c r="I31" s="1534" t="str">
        <f>IF(AND(F31&gt;=0)=TRUE,"","X")</f>
        <v/>
      </c>
      <c r="J31" s="1539" t="str">
        <f>IF(F31&lt;&gt;""=TRUE,"","X")</f>
        <v>X</v>
      </c>
    </row>
    <row r="32" spans="2:10" outlineLevel="1">
      <c r="B32" s="1668" t="s">
        <v>1829</v>
      </c>
      <c r="C32" s="58"/>
      <c r="D32" s="1419" t="s">
        <v>110</v>
      </c>
      <c r="E32" s="642" t="s">
        <v>67</v>
      </c>
      <c r="F32" s="1370"/>
      <c r="H32" s="1540" t="str">
        <f t="shared" ref="H32:H42" si="3">IF(ISNONTEXT(F32)=TRUE,"","X")</f>
        <v/>
      </c>
      <c r="I32" s="1534" t="str">
        <f t="shared" ref="I32:I42" si="4">IF(AND(F32&gt;=0)=TRUE,"","X")</f>
        <v/>
      </c>
      <c r="J32" s="1539" t="str">
        <f t="shared" ref="J32:J42" si="5">IF(F32&lt;&gt;""=TRUE,"","X")</f>
        <v>X</v>
      </c>
    </row>
    <row r="33" spans="2:12" outlineLevel="1">
      <c r="B33" s="1668" t="s">
        <v>1830</v>
      </c>
      <c r="C33" s="58"/>
      <c r="D33" s="1419" t="s">
        <v>111</v>
      </c>
      <c r="E33" s="642" t="s">
        <v>67</v>
      </c>
      <c r="F33" s="1370"/>
      <c r="H33" s="1540" t="str">
        <f t="shared" si="3"/>
        <v/>
      </c>
      <c r="I33" s="1534" t="str">
        <f t="shared" si="4"/>
        <v/>
      </c>
      <c r="J33" s="1539" t="str">
        <f t="shared" si="5"/>
        <v>X</v>
      </c>
    </row>
    <row r="34" spans="2:12" outlineLevel="1">
      <c r="B34" s="1668" t="s">
        <v>1831</v>
      </c>
      <c r="C34" s="58"/>
      <c r="D34" s="1419" t="s">
        <v>112</v>
      </c>
      <c r="E34" s="642" t="s">
        <v>67</v>
      </c>
      <c r="F34" s="1370"/>
      <c r="H34" s="1540" t="str">
        <f t="shared" si="3"/>
        <v/>
      </c>
      <c r="I34" s="1534" t="str">
        <f t="shared" si="4"/>
        <v/>
      </c>
      <c r="J34" s="1539" t="str">
        <f t="shared" si="5"/>
        <v>X</v>
      </c>
    </row>
    <row r="35" spans="2:12" outlineLevel="1">
      <c r="B35" s="1668" t="s">
        <v>1832</v>
      </c>
      <c r="C35" s="58"/>
      <c r="D35" s="1419" t="s">
        <v>102</v>
      </c>
      <c r="E35" s="642" t="s">
        <v>67</v>
      </c>
      <c r="F35" s="1370"/>
      <c r="H35" s="1540" t="str">
        <f t="shared" si="3"/>
        <v/>
      </c>
      <c r="I35" s="1534" t="str">
        <f t="shared" si="4"/>
        <v/>
      </c>
      <c r="J35" s="1539" t="str">
        <f t="shared" si="5"/>
        <v>X</v>
      </c>
    </row>
    <row r="36" spans="2:12" outlineLevel="1">
      <c r="B36" s="1668" t="s">
        <v>1833</v>
      </c>
      <c r="C36" s="58"/>
      <c r="D36" s="1419" t="s">
        <v>113</v>
      </c>
      <c r="E36" s="642" t="s">
        <v>67</v>
      </c>
      <c r="F36" s="1370"/>
      <c r="H36" s="1540" t="str">
        <f t="shared" si="3"/>
        <v/>
      </c>
      <c r="I36" s="1534" t="str">
        <f t="shared" si="4"/>
        <v/>
      </c>
      <c r="J36" s="1539" t="str">
        <f t="shared" si="5"/>
        <v>X</v>
      </c>
    </row>
    <row r="37" spans="2:12" outlineLevel="1">
      <c r="B37" s="1668" t="s">
        <v>1834</v>
      </c>
      <c r="C37" s="58"/>
      <c r="D37" s="1419" t="s">
        <v>114</v>
      </c>
      <c r="E37" s="642" t="s">
        <v>67</v>
      </c>
      <c r="F37" s="1370"/>
      <c r="H37" s="1540" t="str">
        <f t="shared" si="3"/>
        <v/>
      </c>
      <c r="I37" s="1534" t="str">
        <f t="shared" si="4"/>
        <v/>
      </c>
      <c r="J37" s="1539" t="str">
        <f t="shared" si="5"/>
        <v>X</v>
      </c>
    </row>
    <row r="38" spans="2:12" outlineLevel="1">
      <c r="B38" s="1668" t="s">
        <v>1835</v>
      </c>
      <c r="C38" s="58"/>
      <c r="D38" s="1419" t="s">
        <v>103</v>
      </c>
      <c r="E38" s="642" t="s">
        <v>67</v>
      </c>
      <c r="F38" s="1370"/>
      <c r="H38" s="1540" t="str">
        <f t="shared" si="3"/>
        <v/>
      </c>
      <c r="I38" s="1534" t="str">
        <f t="shared" si="4"/>
        <v/>
      </c>
      <c r="J38" s="1539" t="str">
        <f t="shared" si="5"/>
        <v>X</v>
      </c>
    </row>
    <row r="39" spans="2:12" outlineLevel="1">
      <c r="B39" s="1668" t="s">
        <v>1836</v>
      </c>
      <c r="C39" s="58"/>
      <c r="D39" s="1419" t="s">
        <v>104</v>
      </c>
      <c r="E39" s="642" t="s">
        <v>67</v>
      </c>
      <c r="F39" s="1370"/>
      <c r="H39" s="1540" t="str">
        <f t="shared" si="3"/>
        <v/>
      </c>
      <c r="I39" s="1534" t="str">
        <f t="shared" si="4"/>
        <v/>
      </c>
      <c r="J39" s="1539" t="str">
        <f t="shared" si="5"/>
        <v>X</v>
      </c>
    </row>
    <row r="40" spans="2:12" outlineLevel="1">
      <c r="B40" s="1668" t="s">
        <v>1837</v>
      </c>
      <c r="C40" s="58"/>
      <c r="D40" s="1419" t="s">
        <v>105</v>
      </c>
      <c r="E40" s="642" t="s">
        <v>67</v>
      </c>
      <c r="F40" s="1370"/>
      <c r="H40" s="1540" t="str">
        <f t="shared" si="3"/>
        <v/>
      </c>
      <c r="I40" s="1534" t="str">
        <f t="shared" si="4"/>
        <v/>
      </c>
      <c r="J40" s="1539" t="str">
        <f t="shared" si="5"/>
        <v>X</v>
      </c>
    </row>
    <row r="41" spans="2:12" outlineLevel="1">
      <c r="B41" s="1668" t="s">
        <v>1825</v>
      </c>
      <c r="C41" s="58"/>
      <c r="D41" s="1419" t="s">
        <v>106</v>
      </c>
      <c r="E41" s="642" t="s">
        <v>67</v>
      </c>
      <c r="F41" s="1370"/>
      <c r="H41" s="1540" t="str">
        <f t="shared" si="3"/>
        <v/>
      </c>
      <c r="I41" s="1534" t="str">
        <f t="shared" si="4"/>
        <v/>
      </c>
      <c r="J41" s="1539" t="str">
        <f t="shared" si="5"/>
        <v>X</v>
      </c>
    </row>
    <row r="42" spans="2:12" outlineLevel="1">
      <c r="B42" s="1668" t="s">
        <v>1826</v>
      </c>
      <c r="C42" s="58"/>
      <c r="D42" s="1420" t="s">
        <v>1153</v>
      </c>
      <c r="E42" s="643" t="s">
        <v>67</v>
      </c>
      <c r="F42" s="1371"/>
      <c r="H42" s="1542" t="str">
        <f t="shared" si="3"/>
        <v/>
      </c>
      <c r="I42" s="1551" t="str">
        <f t="shared" si="4"/>
        <v/>
      </c>
      <c r="J42" s="1541" t="str">
        <f t="shared" si="5"/>
        <v>X</v>
      </c>
    </row>
    <row r="43" spans="2:12">
      <c r="B43" s="1668" t="s">
        <v>1838</v>
      </c>
      <c r="C43" s="58"/>
      <c r="D43" s="966" t="s">
        <v>1152</v>
      </c>
      <c r="E43" s="967"/>
      <c r="F43" s="999">
        <f>SUM(F31:F42)</f>
        <v>0</v>
      </c>
    </row>
    <row r="44" spans="2:12" ht="15.75">
      <c r="B44" s="1421"/>
      <c r="C44" s="46"/>
    </row>
    <row r="45" spans="2:12" ht="18" customHeight="1">
      <c r="B45" s="628" t="s">
        <v>1254</v>
      </c>
      <c r="C45" s="973"/>
      <c r="D45" s="973"/>
      <c r="E45" s="973"/>
      <c r="F45" s="973"/>
      <c r="G45" s="44"/>
      <c r="H45" s="44"/>
      <c r="I45" s="44"/>
      <c r="J45" s="44"/>
      <c r="K45" s="44"/>
      <c r="L45" s="44"/>
    </row>
    <row r="46" spans="2:12" ht="18" customHeight="1">
      <c r="B46" s="1032" t="s">
        <v>1450</v>
      </c>
      <c r="C46" s="1032"/>
      <c r="D46" s="1032"/>
      <c r="E46" s="1032"/>
      <c r="F46" s="1032"/>
    </row>
    <row r="47" spans="2:12" s="632" customFormat="1" ht="12" customHeight="1">
      <c r="B47" s="647"/>
      <c r="C47" s="645"/>
      <c r="D47" s="646"/>
    </row>
    <row r="48" spans="2:12" s="632" customFormat="1" ht="18" customHeight="1">
      <c r="B48" s="647"/>
      <c r="C48" s="645"/>
      <c r="D48" s="1410" t="s">
        <v>108</v>
      </c>
      <c r="E48" s="1410"/>
      <c r="F48" s="1410"/>
    </row>
    <row r="49" spans="2:10" s="632" customFormat="1" ht="18" customHeight="1">
      <c r="B49" s="647"/>
      <c r="C49" s="645"/>
      <c r="D49" s="1422" t="s">
        <v>1284</v>
      </c>
      <c r="E49" s="1422"/>
      <c r="F49" s="1422"/>
    </row>
    <row r="50" spans="2:10" s="632" customFormat="1" ht="34.5" customHeight="1">
      <c r="B50" s="647"/>
      <c r="C50" s="647"/>
      <c r="D50" s="647"/>
      <c r="E50" s="647"/>
      <c r="F50" s="647"/>
      <c r="G50" s="647"/>
      <c r="H50" s="1594" t="s">
        <v>1430</v>
      </c>
      <c r="I50" s="1595" t="s">
        <v>1431</v>
      </c>
      <c r="J50" s="1596" t="s">
        <v>1432</v>
      </c>
    </row>
    <row r="51" spans="2:10" ht="18" customHeight="1">
      <c r="B51" s="1378"/>
      <c r="C51" s="56"/>
      <c r="D51" s="1423" t="s">
        <v>1154</v>
      </c>
      <c r="E51" s="958" t="s">
        <v>1192</v>
      </c>
      <c r="F51" s="1722" t="s">
        <v>1322</v>
      </c>
      <c r="H51" s="2107" t="s">
        <v>1322</v>
      </c>
      <c r="I51" s="2108"/>
      <c r="J51" s="2109"/>
    </row>
    <row r="52" spans="2:10" outlineLevel="1">
      <c r="B52" s="1668" t="s">
        <v>1839</v>
      </c>
      <c r="C52" s="58"/>
      <c r="D52" s="1418" t="s">
        <v>109</v>
      </c>
      <c r="E52" s="641" t="s">
        <v>107</v>
      </c>
      <c r="F52" s="1369"/>
      <c r="H52" s="1540" t="str">
        <f>IF(ISNONTEXT(F52)=TRUE,"","X")</f>
        <v/>
      </c>
      <c r="I52" s="1534" t="str">
        <f>IF(AND(F52&gt;=0)=TRUE,"","X")</f>
        <v/>
      </c>
      <c r="J52" s="1539" t="str">
        <f>IF(F52&lt;&gt;""=TRUE,"","X")</f>
        <v>X</v>
      </c>
    </row>
    <row r="53" spans="2:10" outlineLevel="1">
      <c r="B53" s="1668" t="s">
        <v>1840</v>
      </c>
      <c r="C53" s="58"/>
      <c r="D53" s="1419" t="s">
        <v>110</v>
      </c>
      <c r="E53" s="642" t="s">
        <v>107</v>
      </c>
      <c r="F53" s="1370"/>
      <c r="H53" s="1540" t="str">
        <f t="shared" ref="H53:H62" si="6">IF(ISNONTEXT(F53)=TRUE,"","X")</f>
        <v/>
      </c>
      <c r="I53" s="1534" t="str">
        <f t="shared" ref="I53:I62" si="7">IF(AND(F53&gt;=0)=TRUE,"","X")</f>
        <v/>
      </c>
      <c r="J53" s="1539" t="str">
        <f t="shared" ref="J53:J62" si="8">IF(F53&lt;&gt;""=TRUE,"","X")</f>
        <v>X</v>
      </c>
    </row>
    <row r="54" spans="2:10" outlineLevel="1">
      <c r="B54" s="1668" t="s">
        <v>1841</v>
      </c>
      <c r="C54" s="58"/>
      <c r="D54" s="1419" t="s">
        <v>111</v>
      </c>
      <c r="E54" s="642" t="s">
        <v>107</v>
      </c>
      <c r="F54" s="1370"/>
      <c r="H54" s="1540" t="str">
        <f t="shared" si="6"/>
        <v/>
      </c>
      <c r="I54" s="1534" t="str">
        <f t="shared" si="7"/>
        <v/>
      </c>
      <c r="J54" s="1539" t="str">
        <f t="shared" si="8"/>
        <v>X</v>
      </c>
    </row>
    <row r="55" spans="2:10" outlineLevel="1">
      <c r="B55" s="1668" t="s">
        <v>1842</v>
      </c>
      <c r="C55" s="58"/>
      <c r="D55" s="1419" t="s">
        <v>112</v>
      </c>
      <c r="E55" s="642" t="s">
        <v>107</v>
      </c>
      <c r="F55" s="1370"/>
      <c r="H55" s="1540" t="str">
        <f t="shared" si="6"/>
        <v/>
      </c>
      <c r="I55" s="1534" t="str">
        <f t="shared" si="7"/>
        <v/>
      </c>
      <c r="J55" s="1539" t="str">
        <f t="shared" si="8"/>
        <v>X</v>
      </c>
    </row>
    <row r="56" spans="2:10" outlineLevel="1">
      <c r="B56" s="1668" t="s">
        <v>1843</v>
      </c>
      <c r="C56" s="58"/>
      <c r="D56" s="1419" t="s">
        <v>102</v>
      </c>
      <c r="E56" s="642" t="s">
        <v>107</v>
      </c>
      <c r="F56" s="1370"/>
      <c r="H56" s="1540" t="str">
        <f t="shared" si="6"/>
        <v/>
      </c>
      <c r="I56" s="1534" t="str">
        <f t="shared" si="7"/>
        <v/>
      </c>
      <c r="J56" s="1539" t="str">
        <f t="shared" si="8"/>
        <v>X</v>
      </c>
    </row>
    <row r="57" spans="2:10" outlineLevel="1">
      <c r="B57" s="1668" t="s">
        <v>1844</v>
      </c>
      <c r="C57" s="58"/>
      <c r="D57" s="1419" t="s">
        <v>113</v>
      </c>
      <c r="E57" s="642" t="s">
        <v>107</v>
      </c>
      <c r="F57" s="1370"/>
      <c r="H57" s="1540" t="str">
        <f t="shared" si="6"/>
        <v/>
      </c>
      <c r="I57" s="1534" t="str">
        <f t="shared" si="7"/>
        <v/>
      </c>
      <c r="J57" s="1539" t="str">
        <f t="shared" si="8"/>
        <v>X</v>
      </c>
    </row>
    <row r="58" spans="2:10" outlineLevel="1">
      <c r="B58" s="1668" t="s">
        <v>1845</v>
      </c>
      <c r="C58" s="58"/>
      <c r="D58" s="1419" t="s">
        <v>114</v>
      </c>
      <c r="E58" s="642" t="s">
        <v>107</v>
      </c>
      <c r="F58" s="1370"/>
      <c r="H58" s="1540" t="str">
        <f t="shared" si="6"/>
        <v/>
      </c>
      <c r="I58" s="1534" t="str">
        <f t="shared" si="7"/>
        <v/>
      </c>
      <c r="J58" s="1539" t="str">
        <f t="shared" si="8"/>
        <v>X</v>
      </c>
    </row>
    <row r="59" spans="2:10" outlineLevel="1">
      <c r="B59" s="1668" t="s">
        <v>1846</v>
      </c>
      <c r="C59" s="58"/>
      <c r="D59" s="1419" t="s">
        <v>103</v>
      </c>
      <c r="E59" s="642" t="s">
        <v>107</v>
      </c>
      <c r="F59" s="1370"/>
      <c r="H59" s="1540" t="str">
        <f t="shared" si="6"/>
        <v/>
      </c>
      <c r="I59" s="1534" t="str">
        <f t="shared" si="7"/>
        <v/>
      </c>
      <c r="J59" s="1539" t="str">
        <f t="shared" si="8"/>
        <v>X</v>
      </c>
    </row>
    <row r="60" spans="2:10" outlineLevel="1">
      <c r="B60" s="1668" t="s">
        <v>1847</v>
      </c>
      <c r="C60" s="58"/>
      <c r="D60" s="1419" t="s">
        <v>104</v>
      </c>
      <c r="E60" s="642" t="s">
        <v>107</v>
      </c>
      <c r="F60" s="1370"/>
      <c r="H60" s="1540" t="str">
        <f t="shared" si="6"/>
        <v/>
      </c>
      <c r="I60" s="1534" t="str">
        <f t="shared" si="7"/>
        <v/>
      </c>
      <c r="J60" s="1539" t="str">
        <f t="shared" si="8"/>
        <v>X</v>
      </c>
    </row>
    <row r="61" spans="2:10" outlineLevel="1">
      <c r="B61" s="1668" t="s">
        <v>1848</v>
      </c>
      <c r="C61" s="58"/>
      <c r="D61" s="1419" t="s">
        <v>105</v>
      </c>
      <c r="E61" s="642" t="s">
        <v>107</v>
      </c>
      <c r="F61" s="1370"/>
      <c r="H61" s="1540" t="str">
        <f t="shared" si="6"/>
        <v/>
      </c>
      <c r="I61" s="1534" t="str">
        <f t="shared" si="7"/>
        <v/>
      </c>
      <c r="J61" s="1539" t="str">
        <f t="shared" si="8"/>
        <v>X</v>
      </c>
    </row>
    <row r="62" spans="2:10" outlineLevel="1">
      <c r="B62" s="1668" t="s">
        <v>1849</v>
      </c>
      <c r="C62" s="58"/>
      <c r="D62" s="1420" t="s">
        <v>106</v>
      </c>
      <c r="E62" s="643" t="s">
        <v>107</v>
      </c>
      <c r="F62" s="1371"/>
      <c r="H62" s="1542" t="str">
        <f t="shared" si="6"/>
        <v/>
      </c>
      <c r="I62" s="1551" t="str">
        <f t="shared" si="7"/>
        <v/>
      </c>
      <c r="J62" s="1541" t="str">
        <f t="shared" si="8"/>
        <v>X</v>
      </c>
    </row>
    <row r="63" spans="2:10" ht="15.75">
      <c r="B63" s="1421"/>
      <c r="C63" s="46"/>
    </row>
    <row r="64" spans="2:10" s="632" customFormat="1" ht="18" customHeight="1">
      <c r="B64" s="647"/>
      <c r="C64" s="645"/>
      <c r="D64" s="1410" t="s">
        <v>108</v>
      </c>
      <c r="E64" s="1410"/>
      <c r="F64" s="1410"/>
    </row>
    <row r="65" spans="2:10" s="632" customFormat="1" ht="18" customHeight="1">
      <c r="B65" s="647"/>
      <c r="C65" s="645"/>
      <c r="D65" s="1422" t="s">
        <v>1285</v>
      </c>
      <c r="E65" s="1422"/>
      <c r="F65" s="1422"/>
    </row>
    <row r="66" spans="2:10" s="632" customFormat="1" ht="33" customHeight="1">
      <c r="B66" s="647"/>
      <c r="C66" s="647"/>
      <c r="D66" s="647"/>
      <c r="E66" s="647"/>
      <c r="F66" s="647"/>
      <c r="G66" s="647"/>
      <c r="H66" s="1594" t="s">
        <v>1430</v>
      </c>
      <c r="I66" s="1595" t="s">
        <v>1431</v>
      </c>
      <c r="J66" s="1596" t="s">
        <v>1432</v>
      </c>
    </row>
    <row r="67" spans="2:10" s="1052" customFormat="1" ht="18" customHeight="1">
      <c r="B67" s="1424"/>
      <c r="C67" s="1425"/>
      <c r="D67" s="1423" t="s">
        <v>1155</v>
      </c>
      <c r="E67" s="958" t="s">
        <v>1192</v>
      </c>
      <c r="F67" s="1722" t="s">
        <v>1322</v>
      </c>
      <c r="H67" s="2107" t="s">
        <v>1322</v>
      </c>
      <c r="I67" s="2108"/>
      <c r="J67" s="2109"/>
    </row>
    <row r="68" spans="2:10" outlineLevel="1">
      <c r="B68" s="1668" t="s">
        <v>1850</v>
      </c>
      <c r="C68" s="58"/>
      <c r="D68" s="1418" t="s">
        <v>109</v>
      </c>
      <c r="E68" s="641" t="s">
        <v>107</v>
      </c>
      <c r="F68" s="1369"/>
      <c r="H68" s="1540" t="str">
        <f>IF(ISNONTEXT(F68)=TRUE,"","X")</f>
        <v/>
      </c>
      <c r="I68" s="1534" t="str">
        <f>IF(AND(F68&gt;=0)=TRUE,"","X")</f>
        <v/>
      </c>
      <c r="J68" s="1539" t="str">
        <f>IF(F68&lt;&gt;""=TRUE,"","X")</f>
        <v>X</v>
      </c>
    </row>
    <row r="69" spans="2:10" outlineLevel="1">
      <c r="B69" s="1668" t="s">
        <v>1851</v>
      </c>
      <c r="C69" s="58"/>
      <c r="D69" s="1419" t="s">
        <v>110</v>
      </c>
      <c r="E69" s="642" t="s">
        <v>107</v>
      </c>
      <c r="F69" s="1370"/>
      <c r="H69" s="1540" t="str">
        <f t="shared" ref="H69:H78" si="9">IF(ISNONTEXT(F69)=TRUE,"","X")</f>
        <v/>
      </c>
      <c r="I69" s="1534" t="str">
        <f t="shared" ref="I69:I78" si="10">IF(AND(F69&gt;=0)=TRUE,"","X")</f>
        <v/>
      </c>
      <c r="J69" s="1539" t="str">
        <f t="shared" ref="J69:J78" si="11">IF(F69&lt;&gt;""=TRUE,"","X")</f>
        <v>X</v>
      </c>
    </row>
    <row r="70" spans="2:10" outlineLevel="1">
      <c r="B70" s="1668" t="s">
        <v>1852</v>
      </c>
      <c r="C70" s="58"/>
      <c r="D70" s="1419" t="s">
        <v>111</v>
      </c>
      <c r="E70" s="642" t="s">
        <v>107</v>
      </c>
      <c r="F70" s="1370"/>
      <c r="H70" s="1540" t="str">
        <f t="shared" si="9"/>
        <v/>
      </c>
      <c r="I70" s="1534" t="str">
        <f t="shared" si="10"/>
        <v/>
      </c>
      <c r="J70" s="1539" t="str">
        <f t="shared" si="11"/>
        <v>X</v>
      </c>
    </row>
    <row r="71" spans="2:10" outlineLevel="1">
      <c r="B71" s="1668" t="s">
        <v>1853</v>
      </c>
      <c r="C71" s="58"/>
      <c r="D71" s="1419" t="s">
        <v>112</v>
      </c>
      <c r="E71" s="642" t="s">
        <v>107</v>
      </c>
      <c r="F71" s="1370"/>
      <c r="H71" s="1540" t="str">
        <f t="shared" si="9"/>
        <v/>
      </c>
      <c r="I71" s="1534" t="str">
        <f t="shared" si="10"/>
        <v/>
      </c>
      <c r="J71" s="1539" t="str">
        <f t="shared" si="11"/>
        <v>X</v>
      </c>
    </row>
    <row r="72" spans="2:10" outlineLevel="1">
      <c r="B72" s="1668" t="s">
        <v>1854</v>
      </c>
      <c r="C72" s="58"/>
      <c r="D72" s="1419" t="s">
        <v>102</v>
      </c>
      <c r="E72" s="642" t="s">
        <v>107</v>
      </c>
      <c r="F72" s="1370"/>
      <c r="H72" s="1540" t="str">
        <f t="shared" si="9"/>
        <v/>
      </c>
      <c r="I72" s="1534" t="str">
        <f t="shared" si="10"/>
        <v/>
      </c>
      <c r="J72" s="1539" t="str">
        <f t="shared" si="11"/>
        <v>X</v>
      </c>
    </row>
    <row r="73" spans="2:10" outlineLevel="1">
      <c r="B73" s="1668" t="s">
        <v>1855</v>
      </c>
      <c r="C73" s="58"/>
      <c r="D73" s="1419" t="s">
        <v>113</v>
      </c>
      <c r="E73" s="642" t="s">
        <v>107</v>
      </c>
      <c r="F73" s="1370"/>
      <c r="H73" s="1540" t="str">
        <f t="shared" si="9"/>
        <v/>
      </c>
      <c r="I73" s="1534" t="str">
        <f t="shared" si="10"/>
        <v/>
      </c>
      <c r="J73" s="1539" t="str">
        <f t="shared" si="11"/>
        <v>X</v>
      </c>
    </row>
    <row r="74" spans="2:10" outlineLevel="1">
      <c r="B74" s="1668" t="s">
        <v>1856</v>
      </c>
      <c r="C74" s="58"/>
      <c r="D74" s="1419" t="s">
        <v>114</v>
      </c>
      <c r="E74" s="642" t="s">
        <v>107</v>
      </c>
      <c r="F74" s="1370"/>
      <c r="H74" s="1540" t="str">
        <f t="shared" si="9"/>
        <v/>
      </c>
      <c r="I74" s="1534" t="str">
        <f t="shared" si="10"/>
        <v/>
      </c>
      <c r="J74" s="1539" t="str">
        <f t="shared" si="11"/>
        <v>X</v>
      </c>
    </row>
    <row r="75" spans="2:10" outlineLevel="1">
      <c r="B75" s="1668" t="s">
        <v>1857</v>
      </c>
      <c r="C75" s="58"/>
      <c r="D75" s="1419" t="s">
        <v>103</v>
      </c>
      <c r="E75" s="642" t="s">
        <v>107</v>
      </c>
      <c r="F75" s="1370"/>
      <c r="H75" s="1540" t="str">
        <f t="shared" si="9"/>
        <v/>
      </c>
      <c r="I75" s="1534" t="str">
        <f t="shared" si="10"/>
        <v/>
      </c>
      <c r="J75" s="1539" t="str">
        <f t="shared" si="11"/>
        <v>X</v>
      </c>
    </row>
    <row r="76" spans="2:10" outlineLevel="1">
      <c r="B76" s="1668" t="s">
        <v>1858</v>
      </c>
      <c r="C76" s="58"/>
      <c r="D76" s="1419" t="s">
        <v>104</v>
      </c>
      <c r="E76" s="642" t="s">
        <v>107</v>
      </c>
      <c r="F76" s="1370"/>
      <c r="H76" s="1540" t="str">
        <f t="shared" si="9"/>
        <v/>
      </c>
      <c r="I76" s="1534" t="str">
        <f t="shared" si="10"/>
        <v/>
      </c>
      <c r="J76" s="1539" t="str">
        <f t="shared" si="11"/>
        <v>X</v>
      </c>
    </row>
    <row r="77" spans="2:10" outlineLevel="1">
      <c r="B77" s="1668" t="s">
        <v>1859</v>
      </c>
      <c r="C77" s="58"/>
      <c r="D77" s="1419" t="s">
        <v>105</v>
      </c>
      <c r="E77" s="642" t="s">
        <v>107</v>
      </c>
      <c r="F77" s="1370"/>
      <c r="H77" s="1540" t="str">
        <f t="shared" si="9"/>
        <v/>
      </c>
      <c r="I77" s="1534" t="str">
        <f t="shared" si="10"/>
        <v/>
      </c>
      <c r="J77" s="1539" t="str">
        <f t="shared" si="11"/>
        <v>X</v>
      </c>
    </row>
    <row r="78" spans="2:10" outlineLevel="1">
      <c r="B78" s="1668" t="s">
        <v>1860</v>
      </c>
      <c r="C78" s="58"/>
      <c r="D78" s="1420" t="s">
        <v>106</v>
      </c>
      <c r="E78" s="643" t="s">
        <v>107</v>
      </c>
      <c r="F78" s="1371"/>
      <c r="H78" s="1542" t="str">
        <f t="shared" si="9"/>
        <v/>
      </c>
      <c r="I78" s="1551" t="str">
        <f t="shared" si="10"/>
        <v/>
      </c>
      <c r="J78" s="1541" t="str">
        <f t="shared" si="11"/>
        <v>X</v>
      </c>
    </row>
    <row r="79" spans="2:10" ht="15.75">
      <c r="B79" s="1421"/>
      <c r="C79" s="46"/>
    </row>
    <row r="81" spans="2:4">
      <c r="B81" s="1717" t="s">
        <v>1468</v>
      </c>
      <c r="C81" s="1714"/>
      <c r="D81" s="1715" t="s">
        <v>1488</v>
      </c>
    </row>
  </sheetData>
  <mergeCells count="4">
    <mergeCell ref="H12:J12"/>
    <mergeCell ref="H30:J30"/>
    <mergeCell ref="H51:J51"/>
    <mergeCell ref="H67:J67"/>
  </mergeCells>
  <phoneticPr fontId="92" type="noConversion"/>
  <conditionalFormatting sqref="D81">
    <cfRule type="cellIs" dxfId="53" priority="1" operator="equal">
      <formula>FALSE</formula>
    </cfRule>
  </conditionalFormatting>
  <dataValidations count="1">
    <dataValidation allowBlank="1" showErrorMessage="1" sqref="A1:XFD1048576" xr:uid="{996E201B-23DF-4C51-B13E-29786C6AD465}"/>
  </dataValidations>
  <pageMargins left="0.7" right="0.7" top="0.75" bottom="0.75" header="0.3" footer="0.3"/>
  <pageSetup paperSize="8" scale="9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6F5F9-7546-4464-A2CC-C3FC140C98AF}">
  <sheetPr codeName="Sheet26">
    <tabColor rgb="FF31869B"/>
    <pageSetUpPr fitToPage="1"/>
  </sheetPr>
  <dimension ref="B1:T65"/>
  <sheetViews>
    <sheetView workbookViewId="0"/>
  </sheetViews>
  <sheetFormatPr defaultColWidth="9.140625" defaultRowHeight="15" outlineLevelRow="1"/>
  <cols>
    <col min="1" max="1" width="20.7109375" style="46" customWidth="1"/>
    <col min="2" max="2" width="11.7109375" style="55" customWidth="1"/>
    <col min="3" max="3" width="2.5703125" style="55" customWidth="1"/>
    <col min="4" max="4" width="66.7109375" style="46" customWidth="1"/>
    <col min="5" max="5" width="25.28515625" style="46" customWidth="1"/>
    <col min="6" max="6" width="31.140625" style="46" customWidth="1"/>
    <col min="7" max="7" width="10.42578125" style="46" customWidth="1"/>
    <col min="8" max="20" width="3.7109375" style="46" customWidth="1"/>
    <col min="21" max="16384" width="9.140625" style="46"/>
  </cols>
  <sheetData>
    <row r="1" spans="2:20" s="1225" customFormat="1" ht="20.100000000000001" customHeight="1">
      <c r="B1" s="1002"/>
      <c r="C1" s="1002"/>
      <c r="D1" s="1002" t="str">
        <f>dms_SheetHeading1</f>
        <v>ANNUAL INFORMATION ORDER</v>
      </c>
      <c r="E1" s="1221"/>
      <c r="F1" s="1221"/>
      <c r="H1" s="1658" t="s">
        <v>1040</v>
      </c>
      <c r="I1" s="1323"/>
      <c r="J1" s="1323"/>
      <c r="K1" s="1323"/>
      <c r="L1" s="1323"/>
      <c r="M1" s="1323"/>
      <c r="N1" s="1657" t="s">
        <v>1039</v>
      </c>
      <c r="O1" s="1323"/>
      <c r="P1" s="1323"/>
      <c r="Q1" s="1323"/>
      <c r="R1" s="1323"/>
      <c r="S1" s="1323"/>
      <c r="T1" s="1323"/>
    </row>
    <row r="2" spans="2:20" s="1225" customFormat="1" ht="20.100000000000001" customHeight="1">
      <c r="B2" s="1003"/>
      <c r="C2" s="1003"/>
      <c r="D2" s="1003" t="str">
        <f>dms_SheetHeading2</f>
        <v>Australian Transmission Co.</v>
      </c>
      <c r="E2" s="1221"/>
      <c r="F2" s="1221"/>
      <c r="H2" s="1659" t="s">
        <v>1041</v>
      </c>
      <c r="I2" s="1324"/>
      <c r="J2" s="1324"/>
      <c r="K2" s="1324"/>
      <c r="L2" s="1324"/>
      <c r="M2" s="1324"/>
      <c r="N2" s="1379" t="s">
        <v>202</v>
      </c>
      <c r="O2" s="1324"/>
      <c r="P2" s="1324"/>
      <c r="Q2" s="1324"/>
      <c r="R2" s="1324"/>
      <c r="S2" s="1324"/>
      <c r="T2" s="1324"/>
    </row>
    <row r="3" spans="2:20" s="1225" customFormat="1" ht="20.100000000000001" customHeight="1">
      <c r="B3" s="1004"/>
      <c r="C3" s="1004"/>
      <c r="D3" s="1004" t="str">
        <f>dms_SheetHeading3</f>
        <v>REPORTING STATEMENT: 2024-25</v>
      </c>
      <c r="E3" s="1215"/>
      <c r="F3" s="1215"/>
      <c r="H3" s="1660" t="s">
        <v>1042</v>
      </c>
      <c r="I3" s="1325"/>
      <c r="J3" s="1325"/>
      <c r="K3" s="1325"/>
      <c r="L3" s="1325"/>
      <c r="M3" s="1325"/>
      <c r="N3" s="1380" t="s">
        <v>203</v>
      </c>
      <c r="O3" s="1325"/>
      <c r="P3" s="1325"/>
      <c r="Q3" s="1325"/>
      <c r="R3" s="1325"/>
      <c r="S3" s="1325"/>
      <c r="T3" s="1325"/>
    </row>
    <row r="4" spans="2:20" s="1225" customFormat="1" ht="20.100000000000001" customHeight="1">
      <c r="B4" s="1216"/>
      <c r="C4" s="1216"/>
      <c r="D4" s="1216" t="s">
        <v>1885</v>
      </c>
      <c r="E4" s="1216"/>
      <c r="F4" s="1216"/>
      <c r="H4" s="1662" t="s">
        <v>1044</v>
      </c>
      <c r="I4" s="1692"/>
      <c r="J4" s="1693"/>
      <c r="K4" s="1498"/>
      <c r="L4" s="1498"/>
      <c r="M4" s="1498"/>
      <c r="N4" s="1497" t="s">
        <v>1043</v>
      </c>
      <c r="O4" s="1498"/>
      <c r="P4" s="1498"/>
      <c r="Q4" s="1498"/>
      <c r="R4" s="1498"/>
      <c r="S4" s="1498"/>
      <c r="T4" s="1498"/>
    </row>
    <row r="5" spans="2:20" s="1225" customFormat="1" ht="13.5" customHeight="1">
      <c r="B5" s="1228"/>
      <c r="C5" s="1228"/>
      <c r="F5" s="1229"/>
    </row>
    <row r="6" spans="2:20" ht="18" customHeight="1">
      <c r="B6" s="628" t="s">
        <v>1343</v>
      </c>
      <c r="C6" s="973"/>
      <c r="D6" s="973"/>
      <c r="E6" s="973"/>
      <c r="F6" s="973"/>
    </row>
    <row r="7" spans="2:20" ht="18" customHeight="1">
      <c r="B7" s="1032" t="s">
        <v>1323</v>
      </c>
      <c r="C7" s="1032"/>
      <c r="D7" s="1032"/>
      <c r="E7" s="1032"/>
      <c r="F7" s="1032"/>
    </row>
    <row r="8" spans="2:20">
      <c r="B8" s="56"/>
      <c r="D8" s="1066"/>
      <c r="F8" s="1067"/>
    </row>
    <row r="9" spans="2:20" ht="25.5" customHeight="1">
      <c r="B9" s="971"/>
      <c r="C9" s="46"/>
      <c r="D9" s="1443" t="s">
        <v>1191</v>
      </c>
      <c r="E9" s="1410"/>
      <c r="F9" s="1410"/>
      <c r="H9" s="2116" t="s">
        <v>1441</v>
      </c>
      <c r="I9" s="2117"/>
      <c r="J9" s="1596" t="s">
        <v>1432</v>
      </c>
    </row>
    <row r="10" spans="2:20">
      <c r="B10" s="971"/>
      <c r="C10" s="46"/>
      <c r="H10" s="2107" t="s">
        <v>1451</v>
      </c>
      <c r="I10" s="2108"/>
      <c r="J10" s="2109"/>
    </row>
    <row r="11" spans="2:20" ht="19.5" customHeight="1">
      <c r="B11" s="971"/>
      <c r="C11" s="46"/>
      <c r="D11" s="1465" t="s">
        <v>1342</v>
      </c>
      <c r="E11" s="1466"/>
      <c r="F11" s="1458"/>
      <c r="H11" s="1593"/>
      <c r="I11" s="1605"/>
      <c r="J11" s="1583" t="str">
        <f>IF(F11&lt;&gt;""=TRUE,"","X")</f>
        <v>X</v>
      </c>
    </row>
    <row r="12" spans="2:20" ht="19.5" customHeight="1">
      <c r="B12" s="971"/>
      <c r="C12" s="46"/>
      <c r="D12" s="1447"/>
      <c r="E12" s="1368"/>
      <c r="F12" s="1368"/>
      <c r="G12" s="1368"/>
      <c r="H12" s="1368"/>
      <c r="I12" s="1368"/>
      <c r="J12" s="1368"/>
      <c r="K12" s="1368"/>
      <c r="L12" s="1368"/>
      <c r="M12" s="1368"/>
      <c r="N12" s="1368"/>
    </row>
    <row r="13" spans="2:20" ht="24.75">
      <c r="B13" s="971"/>
      <c r="C13" s="46"/>
      <c r="H13" s="1594" t="s">
        <v>1430</v>
      </c>
      <c r="I13" s="1595" t="s">
        <v>1431</v>
      </c>
      <c r="J13" s="1596" t="s">
        <v>1432</v>
      </c>
    </row>
    <row r="14" spans="2:20" ht="18" customHeight="1">
      <c r="B14" s="971"/>
      <c r="C14" s="46"/>
      <c r="D14" s="1447" t="s">
        <v>1338</v>
      </c>
      <c r="E14" s="958" t="s">
        <v>1192</v>
      </c>
      <c r="F14" s="1722" t="s">
        <v>1483</v>
      </c>
      <c r="H14" s="2107" t="s">
        <v>1484</v>
      </c>
      <c r="I14" s="2108"/>
      <c r="J14" s="2109"/>
    </row>
    <row r="15" spans="2:20" outlineLevel="1">
      <c r="B15" s="1668" t="s">
        <v>1861</v>
      </c>
      <c r="C15" s="46"/>
      <c r="D15" s="1444" t="s">
        <v>1193</v>
      </c>
      <c r="E15" s="1432" t="s">
        <v>115</v>
      </c>
      <c r="F15" s="1445" t="str">
        <f>IFERROR(F16/F17,"")</f>
        <v/>
      </c>
      <c r="H15" s="1535"/>
      <c r="I15" s="1535"/>
      <c r="J15" s="1535"/>
    </row>
    <row r="16" spans="2:20" outlineLevel="1">
      <c r="B16" s="1668" t="s">
        <v>1862</v>
      </c>
      <c r="C16" s="46"/>
      <c r="D16" s="1433" t="s">
        <v>1194</v>
      </c>
      <c r="E16" s="1434" t="s">
        <v>1036</v>
      </c>
      <c r="F16" s="1366"/>
      <c r="H16" s="1534" t="str">
        <f>IF(ISNONTEXT(F16)=TRUE,"","X")</f>
        <v/>
      </c>
      <c r="I16" s="1534" t="str">
        <f>IF(AND(F16&gt;=0)=TRUE,"","X")</f>
        <v/>
      </c>
      <c r="J16" s="1534" t="str">
        <f>IF(F16&lt;&gt;""=TRUE,"","X")</f>
        <v>X</v>
      </c>
    </row>
    <row r="17" spans="2:10" outlineLevel="1">
      <c r="B17" s="1668" t="s">
        <v>1863</v>
      </c>
      <c r="C17" s="46"/>
      <c r="D17" s="1446" t="s">
        <v>1195</v>
      </c>
      <c r="E17" s="1441" t="s">
        <v>1035</v>
      </c>
      <c r="F17" s="1367"/>
      <c r="H17" s="1534" t="str">
        <f>IF(ISNONTEXT(F17)=TRUE,"","X")</f>
        <v/>
      </c>
      <c r="I17" s="1534" t="str">
        <f>IF(AND(F17&gt;=0)=TRUE,"","X")</f>
        <v/>
      </c>
      <c r="J17" s="1534" t="str">
        <f>IF(F17&lt;&gt;""=TRUE,"","X")</f>
        <v>X</v>
      </c>
    </row>
    <row r="18" spans="2:10" outlineLevel="1">
      <c r="B18" s="1668" t="s">
        <v>1864</v>
      </c>
      <c r="C18" s="46"/>
      <c r="D18" s="1444" t="s">
        <v>1196</v>
      </c>
      <c r="E18" s="1432" t="s">
        <v>115</v>
      </c>
      <c r="F18" s="1445" t="str">
        <f>IFERROR(F19/F20,"")</f>
        <v/>
      </c>
      <c r="H18" s="1535"/>
      <c r="I18" s="1535"/>
      <c r="J18" s="1535"/>
    </row>
    <row r="19" spans="2:10" outlineLevel="1">
      <c r="B19" s="1668" t="s">
        <v>1865</v>
      </c>
      <c r="C19" s="46"/>
      <c r="D19" s="1433" t="s">
        <v>1197</v>
      </c>
      <c r="E19" s="1434" t="s">
        <v>1036</v>
      </c>
      <c r="F19" s="1366"/>
      <c r="H19" s="1534" t="str">
        <f t="shared" ref="H19:H29" si="0">IF(ISNONTEXT(F19)=TRUE,"","X")</f>
        <v/>
      </c>
      <c r="I19" s="1534" t="str">
        <f t="shared" ref="I19:I29" si="1">IF(AND(F19&gt;=0)=TRUE,"","X")</f>
        <v/>
      </c>
      <c r="J19" s="1534" t="str">
        <f t="shared" ref="J19:J29" si="2">IF(F19&lt;&gt;""=TRUE,"","X")</f>
        <v>X</v>
      </c>
    </row>
    <row r="20" spans="2:10" outlineLevel="1">
      <c r="B20" s="1668" t="s">
        <v>1866</v>
      </c>
      <c r="C20" s="46"/>
      <c r="D20" s="1446" t="s">
        <v>1198</v>
      </c>
      <c r="E20" s="1441" t="s">
        <v>1034</v>
      </c>
      <c r="F20" s="1367"/>
      <c r="H20" s="1534" t="str">
        <f t="shared" si="0"/>
        <v/>
      </c>
      <c r="I20" s="1534" t="str">
        <f t="shared" si="1"/>
        <v/>
      </c>
      <c r="J20" s="1534" t="str">
        <f t="shared" si="2"/>
        <v>X</v>
      </c>
    </row>
    <row r="21" spans="2:10" outlineLevel="1">
      <c r="B21" s="1668" t="s">
        <v>1867</v>
      </c>
      <c r="C21" s="46"/>
      <c r="D21" s="1444" t="s">
        <v>1199</v>
      </c>
      <c r="E21" s="1432" t="s">
        <v>115</v>
      </c>
      <c r="F21" s="1445" t="str">
        <f>IFERROR(F22/F23,"")</f>
        <v/>
      </c>
      <c r="H21" s="1535"/>
      <c r="I21" s="1535"/>
      <c r="J21" s="1535"/>
    </row>
    <row r="22" spans="2:10" outlineLevel="1">
      <c r="B22" s="1668" t="s">
        <v>1868</v>
      </c>
      <c r="C22" s="46"/>
      <c r="D22" s="1433" t="s">
        <v>1200</v>
      </c>
      <c r="E22" s="1434" t="s">
        <v>1036</v>
      </c>
      <c r="F22" s="1366"/>
      <c r="H22" s="1534" t="str">
        <f t="shared" si="0"/>
        <v/>
      </c>
      <c r="I22" s="1534" t="str">
        <f t="shared" si="1"/>
        <v/>
      </c>
      <c r="J22" s="1534" t="str">
        <f t="shared" si="2"/>
        <v>X</v>
      </c>
    </row>
    <row r="23" spans="2:10" outlineLevel="1">
      <c r="B23" s="1668" t="s">
        <v>1869</v>
      </c>
      <c r="C23" s="46"/>
      <c r="D23" s="1446" t="s">
        <v>1201</v>
      </c>
      <c r="E23" s="1441" t="s">
        <v>1208</v>
      </c>
      <c r="F23" s="1367"/>
      <c r="H23" s="1534" t="str">
        <f t="shared" si="0"/>
        <v/>
      </c>
      <c r="I23" s="1534" t="str">
        <f t="shared" si="1"/>
        <v/>
      </c>
      <c r="J23" s="1534" t="str">
        <f t="shared" si="2"/>
        <v>X</v>
      </c>
    </row>
    <row r="24" spans="2:10" outlineLevel="1">
      <c r="B24" s="1668" t="s">
        <v>1870</v>
      </c>
      <c r="C24" s="46"/>
      <c r="D24" s="1444" t="s">
        <v>1202</v>
      </c>
      <c r="E24" s="1432" t="s">
        <v>115</v>
      </c>
      <c r="F24" s="1445" t="str">
        <f>IFERROR(F25/F17,"")</f>
        <v/>
      </c>
      <c r="H24" s="1535"/>
      <c r="I24" s="1535"/>
      <c r="J24" s="1535"/>
    </row>
    <row r="25" spans="2:10" outlineLevel="1">
      <c r="B25" s="1668" t="s">
        <v>1871</v>
      </c>
      <c r="C25" s="46"/>
      <c r="D25" s="1446" t="s">
        <v>1203</v>
      </c>
      <c r="E25" s="1441" t="s">
        <v>1036</v>
      </c>
      <c r="F25" s="1367"/>
      <c r="H25" s="1534" t="str">
        <f t="shared" si="0"/>
        <v/>
      </c>
      <c r="I25" s="1534" t="str">
        <f t="shared" si="1"/>
        <v/>
      </c>
      <c r="J25" s="1534" t="str">
        <f t="shared" si="2"/>
        <v>X</v>
      </c>
    </row>
    <row r="26" spans="2:10" outlineLevel="1">
      <c r="B26" s="1668" t="s">
        <v>1872</v>
      </c>
      <c r="C26" s="46"/>
      <c r="D26" s="1444" t="s">
        <v>1206</v>
      </c>
      <c r="E26" s="1432" t="s">
        <v>115</v>
      </c>
      <c r="F26" s="1445" t="str">
        <f>IFERROR(F27/F20,"")</f>
        <v/>
      </c>
      <c r="H26" s="1535"/>
      <c r="I26" s="1535"/>
      <c r="J26" s="1535"/>
    </row>
    <row r="27" spans="2:10" outlineLevel="1">
      <c r="B27" s="1668" t="s">
        <v>1873</v>
      </c>
      <c r="C27" s="46"/>
      <c r="D27" s="1446" t="s">
        <v>1205</v>
      </c>
      <c r="E27" s="1441" t="s">
        <v>1036</v>
      </c>
      <c r="F27" s="1367"/>
      <c r="H27" s="1534" t="str">
        <f t="shared" si="0"/>
        <v/>
      </c>
      <c r="I27" s="1534" t="str">
        <f t="shared" si="1"/>
        <v/>
      </c>
      <c r="J27" s="1534" t="str">
        <f t="shared" si="2"/>
        <v>X</v>
      </c>
    </row>
    <row r="28" spans="2:10" outlineLevel="1">
      <c r="B28" s="1668" t="s">
        <v>1874</v>
      </c>
      <c r="D28" s="1444" t="s">
        <v>1207</v>
      </c>
      <c r="E28" s="1432" t="s">
        <v>115</v>
      </c>
      <c r="F28" s="1445" t="str">
        <f>IFERROR(F29/F23,"")</f>
        <v/>
      </c>
      <c r="H28" s="1535"/>
      <c r="I28" s="1535"/>
      <c r="J28" s="1535"/>
    </row>
    <row r="29" spans="2:10" ht="15.75" outlineLevel="1">
      <c r="B29" s="1668" t="s">
        <v>1875</v>
      </c>
      <c r="C29" s="1062"/>
      <c r="D29" s="1446" t="s">
        <v>1204</v>
      </c>
      <c r="E29" s="1441" t="s">
        <v>1036</v>
      </c>
      <c r="F29" s="1367"/>
      <c r="G29" s="1449"/>
      <c r="H29" s="1534" t="str">
        <f t="shared" si="0"/>
        <v/>
      </c>
      <c r="I29" s="1534" t="str">
        <f t="shared" si="1"/>
        <v/>
      </c>
      <c r="J29" s="1534" t="str">
        <f t="shared" si="2"/>
        <v>X</v>
      </c>
    </row>
    <row r="30" spans="2:10">
      <c r="B30" s="1468"/>
      <c r="C30" s="46"/>
      <c r="D30" s="1447" t="s">
        <v>1339</v>
      </c>
      <c r="E30" s="653"/>
      <c r="F30" s="1448"/>
      <c r="G30" s="1448"/>
      <c r="H30" s="1448"/>
      <c r="I30" s="1448"/>
    </row>
    <row r="31" spans="2:10" outlineLevel="1">
      <c r="B31" s="971"/>
      <c r="C31" s="46"/>
      <c r="D31" s="1439" t="s">
        <v>1337</v>
      </c>
      <c r="E31" s="1432" t="s">
        <v>1335</v>
      </c>
      <c r="F31" s="1604" t="str">
        <f>IFERROR(HLOOKUP(dms_TradingName,'LOS - x &amp; y values'!$B$3:$I$5,2,FALSE),"")</f>
        <v/>
      </c>
      <c r="G31" s="1448"/>
      <c r="H31" s="1535"/>
      <c r="I31" s="1535"/>
      <c r="J31" s="1535"/>
    </row>
    <row r="32" spans="2:10" outlineLevel="1">
      <c r="B32" s="971"/>
      <c r="C32" s="46"/>
      <c r="D32" s="1440" t="s">
        <v>1334</v>
      </c>
      <c r="E32" s="1434" t="s">
        <v>1335</v>
      </c>
      <c r="F32" s="1442" t="str">
        <f>IFERROR(HLOOKUP(dms_TradingName,'LOS - x &amp; y values'!$B$3:$I$5,3,FALSE),"")</f>
        <v/>
      </c>
      <c r="G32" s="1448"/>
      <c r="H32" s="1535"/>
      <c r="I32" s="1535"/>
      <c r="J32" s="1535"/>
    </row>
    <row r="33" spans="2:10" outlineLevel="1">
      <c r="B33" s="1668"/>
      <c r="C33" s="46"/>
      <c r="D33" s="1435" t="str">
        <f>CONCATENATE("S7. Loss of supply events: Number of events &gt; ", F31," system minutes per annum (x)")</f>
        <v>S7. Loss of supply events: Number of events &gt;  system minutes per annum (x)</v>
      </c>
      <c r="E33" s="1436" t="s">
        <v>1336</v>
      </c>
      <c r="F33" s="1442"/>
      <c r="G33" s="1448"/>
      <c r="H33" s="1534" t="str">
        <f t="shared" ref="H33" si="3">IF(ISNONTEXT(F33)=TRUE,"","X")</f>
        <v/>
      </c>
      <c r="I33" s="1534" t="str">
        <f t="shared" ref="I33" si="4">IF(AND(F33&gt;=0)=TRUE,"","X")</f>
        <v/>
      </c>
      <c r="J33" s="1535"/>
    </row>
    <row r="34" spans="2:10" outlineLevel="1">
      <c r="B34" s="1668"/>
      <c r="C34" s="46"/>
      <c r="D34" s="1437" t="str">
        <f>CONCATENATE("S8. Loss of supply events: Number of events &gt; ",F32," system minutes per annum (y)")</f>
        <v>S8. Loss of supply events: Number of events &gt;  system minutes per annum (y)</v>
      </c>
      <c r="E34" s="1438" t="s">
        <v>1336</v>
      </c>
      <c r="F34" s="1896"/>
      <c r="G34" s="1448"/>
      <c r="H34" s="1534" t="str">
        <f t="shared" ref="H34:H36" si="5">IF(ISNONTEXT(F34)=TRUE,"","X")</f>
        <v/>
      </c>
      <c r="I34" s="1534" t="str">
        <f t="shared" ref="I34:I36" si="6">IF(AND(F34&gt;=0)=TRUE,"","X")</f>
        <v/>
      </c>
      <c r="J34" s="1535"/>
    </row>
    <row r="35" spans="2:10">
      <c r="B35" s="1378"/>
      <c r="C35" s="1062"/>
      <c r="D35" s="1447" t="s">
        <v>1340</v>
      </c>
      <c r="E35" s="1448"/>
      <c r="F35" s="1448"/>
      <c r="G35" s="1448"/>
      <c r="H35" s="44"/>
    </row>
    <row r="36" spans="2:10" outlineLevel="1">
      <c r="B36" s="1668" t="s">
        <v>1876</v>
      </c>
      <c r="C36" s="1062"/>
      <c r="D36" s="1456" t="s">
        <v>1209</v>
      </c>
      <c r="E36" s="1457" t="s">
        <v>116</v>
      </c>
      <c r="F36" s="1939"/>
      <c r="G36" s="1448"/>
      <c r="H36" s="1534" t="str">
        <f t="shared" si="5"/>
        <v/>
      </c>
      <c r="I36" s="1534" t="str">
        <f t="shared" si="6"/>
        <v/>
      </c>
      <c r="J36" s="1535"/>
    </row>
    <row r="37" spans="2:10">
      <c r="B37" s="951"/>
      <c r="C37" s="1062"/>
      <c r="D37" s="1447" t="s">
        <v>1341</v>
      </c>
      <c r="E37" s="1448"/>
      <c r="F37" s="1448"/>
      <c r="G37" s="44"/>
      <c r="H37" s="44"/>
    </row>
    <row r="38" spans="2:10" outlineLevel="1">
      <c r="B38" s="1668" t="s">
        <v>1877</v>
      </c>
      <c r="C38" s="1062"/>
      <c r="D38" s="1454" t="s">
        <v>1210</v>
      </c>
      <c r="E38" s="1455" t="s">
        <v>1036</v>
      </c>
      <c r="F38" s="1365"/>
      <c r="G38" s="44"/>
      <c r="H38" s="1534" t="str">
        <f t="shared" ref="H38:H40" si="7">IF(ISNONTEXT(F38)=TRUE,"","X")</f>
        <v/>
      </c>
      <c r="I38" s="1534" t="str">
        <f t="shared" ref="I38:I40" si="8">IF(AND(F38&gt;=0)=TRUE,"","X")</f>
        <v/>
      </c>
      <c r="J38" s="1535"/>
    </row>
    <row r="39" spans="2:10" outlineLevel="1">
      <c r="B39" s="1668" t="s">
        <v>1878</v>
      </c>
      <c r="C39" s="1062"/>
      <c r="D39" s="1453" t="s">
        <v>1211</v>
      </c>
      <c r="E39" s="1436" t="s">
        <v>1036</v>
      </c>
      <c r="F39" s="1366"/>
      <c r="G39" s="44"/>
      <c r="H39" s="1534" t="str">
        <f t="shared" si="7"/>
        <v/>
      </c>
      <c r="I39" s="1534" t="str">
        <f t="shared" si="8"/>
        <v/>
      </c>
      <c r="J39" s="1535"/>
    </row>
    <row r="40" spans="2:10" outlineLevel="1">
      <c r="B40" s="1668" t="s">
        <v>1879</v>
      </c>
      <c r="D40" s="1459" t="s">
        <v>1212</v>
      </c>
      <c r="E40" s="1438" t="s">
        <v>1036</v>
      </c>
      <c r="F40" s="1367"/>
      <c r="H40" s="1534" t="str">
        <f t="shared" si="7"/>
        <v/>
      </c>
      <c r="I40" s="1534" t="str">
        <f t="shared" si="8"/>
        <v/>
      </c>
      <c r="J40" s="1535"/>
    </row>
    <row r="41" spans="2:10">
      <c r="B41" s="1065"/>
      <c r="D41" s="1450"/>
      <c r="E41" s="1451"/>
      <c r="F41" s="1451"/>
    </row>
    <row r="42" spans="2:10" ht="18" customHeight="1">
      <c r="B42" s="628" t="s">
        <v>1172</v>
      </c>
      <c r="C42" s="973"/>
      <c r="D42" s="973"/>
      <c r="E42" s="973"/>
      <c r="F42" s="973"/>
    </row>
    <row r="43" spans="2:10" ht="18" customHeight="1">
      <c r="B43" s="1032" t="s">
        <v>1157</v>
      </c>
      <c r="C43" s="1032"/>
      <c r="D43" s="1032"/>
      <c r="E43" s="1032"/>
      <c r="F43" s="1032"/>
    </row>
    <row r="44" spans="2:10">
      <c r="B44" s="952"/>
      <c r="D44" s="1066"/>
      <c r="F44" s="1067"/>
    </row>
    <row r="45" spans="2:10" ht="18" customHeight="1">
      <c r="B45" s="952"/>
      <c r="D45" s="1460" t="s">
        <v>117</v>
      </c>
      <c r="E45" s="1460"/>
      <c r="F45" s="1460"/>
    </row>
    <row r="46" spans="2:10" ht="18.75">
      <c r="B46" s="952"/>
      <c r="C46" s="952"/>
      <c r="D46" s="952"/>
      <c r="E46" s="952"/>
      <c r="F46" s="952"/>
      <c r="H46" s="60"/>
      <c r="I46" s="60"/>
    </row>
    <row r="47" spans="2:10" ht="19.5" customHeight="1">
      <c r="B47" s="46"/>
      <c r="C47" s="46"/>
      <c r="D47" s="1465" t="s">
        <v>1342</v>
      </c>
      <c r="E47" s="1466"/>
      <c r="F47" s="1467">
        <f>F11</f>
        <v>0</v>
      </c>
      <c r="H47" s="60"/>
      <c r="I47" s="60"/>
    </row>
    <row r="48" spans="2:10" ht="24.75">
      <c r="B48" s="46"/>
      <c r="C48" s="46"/>
      <c r="H48" s="1594" t="s">
        <v>1430</v>
      </c>
      <c r="I48" s="1595" t="s">
        <v>1431</v>
      </c>
      <c r="J48" s="1596" t="s">
        <v>1432</v>
      </c>
    </row>
    <row r="49" spans="2:10" s="60" customFormat="1" ht="18" customHeight="1">
      <c r="B49" s="1464"/>
      <c r="D49" s="1083"/>
      <c r="E49" s="958" t="s">
        <v>1192</v>
      </c>
      <c r="F49" s="1722" t="s">
        <v>1483</v>
      </c>
      <c r="G49" s="1530"/>
      <c r="H49" s="2107" t="s">
        <v>1484</v>
      </c>
      <c r="I49" s="2108"/>
      <c r="J49" s="2109"/>
    </row>
    <row r="50" spans="2:10">
      <c r="B50" s="1668" t="s">
        <v>1880</v>
      </c>
      <c r="C50" s="1062"/>
      <c r="D50" s="1462" t="s">
        <v>1158</v>
      </c>
      <c r="E50" s="1461" t="s">
        <v>1037</v>
      </c>
      <c r="F50" s="1458"/>
      <c r="H50" s="1534" t="str">
        <f t="shared" ref="H50" si="9">IF(ISNONTEXT(F50)=TRUE,"","X")</f>
        <v/>
      </c>
      <c r="I50" s="1534" t="str">
        <f t="shared" ref="I50" si="10">IF(AND(F50&gt;=0)=TRUE,"","X")</f>
        <v/>
      </c>
      <c r="J50" s="1534" t="str">
        <f t="shared" ref="J50" si="11">IF(F50&lt;&gt;""=TRUE,"","X")</f>
        <v>X</v>
      </c>
    </row>
    <row r="51" spans="2:10">
      <c r="B51" s="1378"/>
      <c r="D51" s="1066"/>
      <c r="E51" s="1068"/>
      <c r="F51" s="1069"/>
    </row>
    <row r="52" spans="2:10" ht="18.75">
      <c r="B52" s="644"/>
      <c r="D52" s="1066"/>
      <c r="E52" s="1068"/>
      <c r="F52" s="1069"/>
      <c r="H52" s="60"/>
      <c r="I52" s="60"/>
    </row>
    <row r="53" spans="2:10" ht="18" customHeight="1">
      <c r="B53" s="628" t="s">
        <v>1344</v>
      </c>
      <c r="C53" s="973"/>
      <c r="D53" s="973"/>
      <c r="E53" s="973"/>
      <c r="F53" s="973"/>
      <c r="H53" s="60"/>
      <c r="I53" s="60"/>
    </row>
    <row r="54" spans="2:10" ht="18" customHeight="1">
      <c r="B54" s="1032" t="s">
        <v>119</v>
      </c>
      <c r="C54" s="1032"/>
      <c r="D54" s="1032"/>
      <c r="E54" s="1032"/>
      <c r="F54" s="1032"/>
      <c r="H54" s="60"/>
      <c r="I54" s="60"/>
    </row>
    <row r="55" spans="2:10" ht="18.75">
      <c r="B55" s="952"/>
      <c r="D55" s="1066"/>
      <c r="F55" s="1067"/>
      <c r="H55" s="60"/>
      <c r="I55" s="60"/>
    </row>
    <row r="56" spans="2:10" ht="18" customHeight="1">
      <c r="B56" s="952"/>
      <c r="D56" s="1460" t="s">
        <v>118</v>
      </c>
      <c r="E56" s="1460"/>
      <c r="F56" s="1460"/>
      <c r="H56" s="60"/>
      <c r="I56" s="60"/>
    </row>
    <row r="57" spans="2:10" ht="27">
      <c r="B57" s="952"/>
      <c r="C57" s="952"/>
      <c r="D57" s="952"/>
      <c r="E57" s="952"/>
      <c r="F57" s="952"/>
      <c r="H57" s="60"/>
      <c r="I57" s="1606" t="s">
        <v>1452</v>
      </c>
      <c r="J57" s="1596" t="s">
        <v>1432</v>
      </c>
    </row>
    <row r="58" spans="2:10" s="60" customFormat="1" ht="18" customHeight="1">
      <c r="B58" s="649"/>
      <c r="E58" s="958" t="s">
        <v>1192</v>
      </c>
      <c r="F58" s="1722" t="s">
        <v>1485</v>
      </c>
      <c r="G58" s="1530"/>
      <c r="I58" s="2118" t="s">
        <v>1486</v>
      </c>
      <c r="J58" s="2119"/>
    </row>
    <row r="59" spans="2:10" ht="18.75">
      <c r="B59" s="1668" t="s">
        <v>1881</v>
      </c>
      <c r="C59" s="1062"/>
      <c r="D59" s="1462" t="s">
        <v>119</v>
      </c>
      <c r="E59" s="1461" t="s">
        <v>115</v>
      </c>
      <c r="F59" s="1463"/>
      <c r="H59" s="60"/>
      <c r="I59" s="1534" t="str">
        <f>IF(AND(F59&lt;=1,F59&gt;=0)=TRUE,"","X")</f>
        <v/>
      </c>
      <c r="J59" s="1534" t="str">
        <f t="shared" ref="J59" si="12">IF(F59&lt;&gt;""=TRUE,"","X")</f>
        <v>X</v>
      </c>
    </row>
    <row r="60" spans="2:10" ht="18.75">
      <c r="B60" s="644"/>
      <c r="C60" s="1062"/>
      <c r="D60" s="1449"/>
      <c r="E60" s="44"/>
      <c r="F60" s="44"/>
      <c r="H60" s="60"/>
      <c r="I60" s="60"/>
    </row>
    <row r="61" spans="2:10">
      <c r="B61" s="56"/>
    </row>
    <row r="62" spans="2:10">
      <c r="B62" s="1717" t="s">
        <v>1468</v>
      </c>
      <c r="C62" s="1714"/>
      <c r="D62" s="1715" t="s">
        <v>1488</v>
      </c>
    </row>
    <row r="64" spans="2:10">
      <c r="F64" s="44"/>
    </row>
    <row r="65" spans="6:6">
      <c r="F65" s="44"/>
    </row>
  </sheetData>
  <mergeCells count="5">
    <mergeCell ref="H14:J14"/>
    <mergeCell ref="H9:I9"/>
    <mergeCell ref="H10:J10"/>
    <mergeCell ref="H49:J49"/>
    <mergeCell ref="I58:J58"/>
  </mergeCells>
  <phoneticPr fontId="98" type="noConversion"/>
  <conditionalFormatting sqref="D62">
    <cfRule type="cellIs" dxfId="52" priority="1" operator="equal">
      <formula>FALSE</formula>
    </cfRule>
  </conditionalFormatting>
  <dataValidations count="1">
    <dataValidation allowBlank="1" showErrorMessage="1" sqref="A1:XFD1048576" xr:uid="{0ED77252-67F8-435B-BC2D-048A5B19E287}"/>
  </dataValidations>
  <pageMargins left="0.7" right="0.7" top="0.75" bottom="0.75" header="0.3" footer="0.3"/>
  <pageSetup paperSize="8" scale="3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8DE95-6908-48AA-8641-D658C8769977}">
  <sheetPr codeName="Sheet1">
    <tabColor rgb="FFDE98CA"/>
    <pageSetUpPr fitToPage="1"/>
  </sheetPr>
  <dimension ref="A1:T447"/>
  <sheetViews>
    <sheetView zoomScale="85" zoomScaleNormal="85" workbookViewId="0"/>
  </sheetViews>
  <sheetFormatPr defaultColWidth="9.140625" defaultRowHeight="15" outlineLevelRow="2"/>
  <cols>
    <col min="1" max="1" width="20.5703125" style="44" customWidth="1"/>
    <col min="2" max="2" width="19.5703125" style="44" customWidth="1"/>
    <col min="3" max="3" width="3.140625" style="44" customWidth="1"/>
    <col min="4" max="4" width="62.42578125" style="44" customWidth="1"/>
    <col min="5" max="5" width="7.7109375" style="44" customWidth="1"/>
    <col min="6" max="6" width="28.42578125" style="44" customWidth="1"/>
    <col min="7" max="7" width="2.7109375" style="44" customWidth="1"/>
    <col min="8" max="8" width="9.140625" style="44"/>
    <col min="9" max="9" width="12.7109375" style="44" customWidth="1"/>
    <col min="10" max="11" width="4.28515625" style="44" customWidth="1"/>
    <col min="12" max="21" width="3.7109375" style="44" customWidth="1"/>
    <col min="22" max="16384" width="9.140625" style="44"/>
  </cols>
  <sheetData>
    <row r="1" spans="2:20" s="42" customFormat="1" ht="20.100000000000001" customHeight="1">
      <c r="B1" s="1002"/>
      <c r="C1" s="1002"/>
      <c r="D1" s="1002" t="str">
        <f>dms_SheetHeading1</f>
        <v>ANNUAL INFORMATION ORDER</v>
      </c>
      <c r="E1" s="1208"/>
      <c r="F1" s="1208"/>
      <c r="G1" s="44"/>
      <c r="H1" s="1658" t="s">
        <v>1040</v>
      </c>
      <c r="I1" s="1323"/>
      <c r="J1" s="1323"/>
      <c r="K1" s="1323"/>
      <c r="L1" s="1323"/>
      <c r="M1" s="1323"/>
      <c r="N1" s="1657" t="s">
        <v>1039</v>
      </c>
      <c r="O1" s="1323"/>
      <c r="P1" s="1323"/>
      <c r="Q1" s="1323"/>
      <c r="R1" s="1323"/>
      <c r="S1" s="1323"/>
      <c r="T1" s="1323"/>
    </row>
    <row r="2" spans="2:20" s="42" customFormat="1" ht="20.100000000000001" customHeight="1">
      <c r="B2" s="1003"/>
      <c r="C2" s="1003"/>
      <c r="D2" s="1003" t="str">
        <f>dms_SheetHeading2</f>
        <v>Australian Transmission Co.</v>
      </c>
      <c r="E2" s="1208"/>
      <c r="F2" s="1208"/>
      <c r="G2" s="44"/>
      <c r="H2" s="1659" t="s">
        <v>1041</v>
      </c>
      <c r="I2" s="1324"/>
      <c r="J2" s="1324"/>
      <c r="K2" s="1324"/>
      <c r="L2" s="1324"/>
      <c r="M2" s="1324"/>
      <c r="N2" s="1379" t="s">
        <v>202</v>
      </c>
      <c r="O2" s="1324"/>
      <c r="P2" s="1324"/>
      <c r="Q2" s="1324"/>
      <c r="R2" s="1324"/>
      <c r="S2" s="1324"/>
      <c r="T2" s="1324"/>
    </row>
    <row r="3" spans="2:20" s="42" customFormat="1" ht="20.100000000000001" customHeight="1">
      <c r="B3" s="1004"/>
      <c r="C3" s="1004"/>
      <c r="D3" s="1004" t="str">
        <f>dms_SheetHeading3</f>
        <v>REPORTING STATEMENT: 2024-25</v>
      </c>
      <c r="E3" s="1209"/>
      <c r="F3" s="1209"/>
      <c r="G3" s="44"/>
      <c r="H3" s="1660" t="s">
        <v>1042</v>
      </c>
      <c r="I3" s="1325"/>
      <c r="J3" s="1325"/>
      <c r="K3" s="1325"/>
      <c r="L3" s="1325"/>
      <c r="M3" s="1325"/>
      <c r="N3" s="1380" t="s">
        <v>203</v>
      </c>
      <c r="O3" s="1325"/>
      <c r="P3" s="1325"/>
      <c r="Q3" s="1325"/>
      <c r="R3" s="1325"/>
      <c r="S3" s="1325"/>
      <c r="T3" s="1325"/>
    </row>
    <row r="4" spans="2:20" s="42" customFormat="1" ht="20.100000000000001" customHeight="1">
      <c r="B4" s="1218"/>
      <c r="C4" s="1218"/>
      <c r="D4" s="1005" t="s">
        <v>1889</v>
      </c>
      <c r="E4" s="1005"/>
      <c r="F4" s="1005"/>
      <c r="G4" s="44"/>
      <c r="H4" s="1662" t="s">
        <v>1044</v>
      </c>
      <c r="I4" s="1692"/>
      <c r="J4" s="1693"/>
      <c r="K4" s="1498"/>
      <c r="L4" s="1498"/>
      <c r="M4" s="1498"/>
      <c r="N4" s="1497" t="s">
        <v>1043</v>
      </c>
      <c r="O4" s="1498"/>
      <c r="P4" s="1498"/>
      <c r="Q4" s="1498"/>
      <c r="R4" s="1498"/>
      <c r="S4" s="1498"/>
      <c r="T4" s="1498"/>
    </row>
    <row r="5" spans="2:20" s="46" customFormat="1" ht="13.5" customHeight="1">
      <c r="B5" s="44"/>
      <c r="C5" s="44"/>
      <c r="D5" s="44"/>
      <c r="E5" s="44"/>
      <c r="G5" s="44"/>
      <c r="H5" s="44"/>
      <c r="I5" s="44"/>
    </row>
    <row r="6" spans="2:20" s="1007" customFormat="1">
      <c r="B6" s="628" t="s">
        <v>1287</v>
      </c>
      <c r="C6" s="628"/>
      <c r="D6" s="628"/>
      <c r="E6" s="628"/>
      <c r="F6" s="628"/>
      <c r="G6" s="44"/>
      <c r="H6" s="44"/>
      <c r="I6" s="50"/>
    </row>
    <row r="7" spans="2:20" s="46" customFormat="1">
      <c r="B7" s="974" t="s">
        <v>1243</v>
      </c>
      <c r="C7" s="972"/>
      <c r="D7" s="1098"/>
      <c r="E7" s="1098"/>
      <c r="F7" s="1099"/>
      <c r="G7" s="44"/>
      <c r="H7" s="44"/>
      <c r="J7" s="1007"/>
      <c r="L7" s="42"/>
      <c r="N7" s="45"/>
    </row>
    <row r="8" spans="2:20" s="46" customFormat="1">
      <c r="B8" s="44"/>
      <c r="C8" s="44"/>
      <c r="D8" s="44"/>
      <c r="G8" s="44"/>
      <c r="H8" s="44"/>
      <c r="K8" s="42"/>
    </row>
    <row r="9" spans="2:20" s="46" customFormat="1" ht="18" customHeight="1">
      <c r="B9" s="627"/>
      <c r="C9" s="44"/>
      <c r="D9" s="1326" t="s">
        <v>1418</v>
      </c>
      <c r="E9" s="1202"/>
      <c r="F9" s="1202"/>
      <c r="G9" s="44"/>
      <c r="H9" s="44"/>
      <c r="K9" s="42"/>
    </row>
    <row r="10" spans="2:20" s="971" customFormat="1" outlineLevel="1">
      <c r="B10" s="627"/>
      <c r="C10" s="627"/>
      <c r="D10" s="627"/>
      <c r="E10" s="627"/>
      <c r="F10" s="627"/>
      <c r="G10" s="627"/>
      <c r="H10" s="627"/>
      <c r="I10" s="627"/>
      <c r="J10" s="627"/>
      <c r="N10" s="46"/>
      <c r="O10" s="46"/>
      <c r="P10" s="46"/>
    </row>
    <row r="11" spans="2:20" s="627" customFormat="1" ht="42.75" customHeight="1" outlineLevel="1">
      <c r="E11" s="958" t="s">
        <v>1192</v>
      </c>
      <c r="F11" s="1103" t="s">
        <v>1238</v>
      </c>
      <c r="I11" s="1611" t="s">
        <v>1441</v>
      </c>
      <c r="J11" s="1608" t="s">
        <v>1430</v>
      </c>
      <c r="K11" s="1596" t="s">
        <v>1432</v>
      </c>
      <c r="L11" s="1533" t="s">
        <v>1440</v>
      </c>
      <c r="O11" s="46"/>
      <c r="P11" s="46"/>
    </row>
    <row r="12" spans="2:20" s="627" customFormat="1" ht="22.5" customHeight="1" outlineLevel="1">
      <c r="B12" s="1189"/>
      <c r="D12" s="1172" t="s">
        <v>1288</v>
      </c>
      <c r="E12" s="1173"/>
      <c r="F12" s="1173"/>
      <c r="G12" s="1164"/>
      <c r="I12" s="1612" t="s">
        <v>1435</v>
      </c>
      <c r="J12" s="2014" t="s">
        <v>1453</v>
      </c>
      <c r="K12" s="2015"/>
      <c r="L12" s="2019"/>
      <c r="O12" s="46"/>
      <c r="P12" s="46"/>
    </row>
    <row r="13" spans="2:20" s="627" customFormat="1" ht="15" customHeight="1" outlineLevel="1">
      <c r="B13" s="1189"/>
      <c r="D13" s="1881" t="s">
        <v>1053</v>
      </c>
      <c r="E13" s="1175" t="s">
        <v>88</v>
      </c>
      <c r="F13" s="1181"/>
      <c r="I13" s="2120" t="s">
        <v>1445</v>
      </c>
      <c r="J13" s="1599" t="str">
        <f>IF(ISNONTEXT(F13)=TRUE,"","X")</f>
        <v/>
      </c>
      <c r="K13" s="1698" t="str">
        <f>IF(F13&lt;&gt;""=TRUE,"","X")</f>
        <v>X</v>
      </c>
      <c r="L13" s="1700"/>
      <c r="O13" s="46"/>
      <c r="P13" s="46"/>
    </row>
    <row r="14" spans="2:20" s="627" customFormat="1" outlineLevel="1">
      <c r="B14" s="1189"/>
      <c r="D14" s="1882" t="s">
        <v>1053</v>
      </c>
      <c r="E14" s="1176" t="s">
        <v>88</v>
      </c>
      <c r="F14" s="1182"/>
      <c r="I14" s="2121"/>
      <c r="J14" s="1536" t="str">
        <f t="shared" ref="J14:J23" si="0">IF(ISNONTEXT(F14)=TRUE,"","X")</f>
        <v/>
      </c>
      <c r="K14" s="1694"/>
      <c r="L14" s="1539" t="str">
        <f>IF(AND(D14&lt;&gt;"",LEFT(D14,5)&lt;&gt;"&lt;TNSP",ISBLANK(F14))=TRUE,"X","")</f>
        <v/>
      </c>
      <c r="N14" s="46"/>
      <c r="O14" s="46"/>
      <c r="P14" s="46"/>
    </row>
    <row r="15" spans="2:20" s="627" customFormat="1" outlineLevel="1">
      <c r="B15" s="1189"/>
      <c r="D15" s="1882" t="s">
        <v>1053</v>
      </c>
      <c r="E15" s="1176" t="s">
        <v>88</v>
      </c>
      <c r="F15" s="1182"/>
      <c r="I15" s="2121"/>
      <c r="J15" s="1536" t="str">
        <f t="shared" si="0"/>
        <v/>
      </c>
      <c r="K15" s="1694"/>
      <c r="L15" s="1539" t="str">
        <f t="shared" ref="L15:L54" si="1">IF(AND(D15&lt;&gt;"",LEFT(D15,5)&lt;&gt;"&lt;TNSP",ISBLANK(F15))=TRUE,"X","")</f>
        <v/>
      </c>
      <c r="N15" s="46"/>
      <c r="O15" s="46"/>
      <c r="P15" s="46"/>
    </row>
    <row r="16" spans="2:20" s="627" customFormat="1" outlineLevel="1">
      <c r="B16" s="1189"/>
      <c r="D16" s="1882" t="s">
        <v>1053</v>
      </c>
      <c r="E16" s="1176" t="s">
        <v>88</v>
      </c>
      <c r="F16" s="1182"/>
      <c r="I16" s="2121"/>
      <c r="J16" s="1536" t="str">
        <f t="shared" si="0"/>
        <v/>
      </c>
      <c r="K16" s="1694"/>
      <c r="L16" s="1539" t="str">
        <f t="shared" si="1"/>
        <v/>
      </c>
      <c r="N16" s="46"/>
      <c r="O16" s="46"/>
      <c r="P16" s="46"/>
    </row>
    <row r="17" spans="2:16" s="627" customFormat="1" outlineLevel="1">
      <c r="B17" s="1189"/>
      <c r="D17" s="1882" t="s">
        <v>1053</v>
      </c>
      <c r="E17" s="1176" t="s">
        <v>88</v>
      </c>
      <c r="F17" s="1182"/>
      <c r="I17" s="2121"/>
      <c r="J17" s="1536" t="str">
        <f t="shared" si="0"/>
        <v/>
      </c>
      <c r="K17" s="1694"/>
      <c r="L17" s="1539" t="str">
        <f t="shared" si="1"/>
        <v/>
      </c>
      <c r="N17" s="46"/>
      <c r="O17" s="46"/>
      <c r="P17" s="46"/>
    </row>
    <row r="18" spans="2:16" s="627" customFormat="1" outlineLevel="1">
      <c r="B18" s="1189"/>
      <c r="D18" s="1882" t="s">
        <v>1053</v>
      </c>
      <c r="E18" s="1176" t="s">
        <v>88</v>
      </c>
      <c r="F18" s="1182"/>
      <c r="I18" s="2121"/>
      <c r="J18" s="1536" t="str">
        <f t="shared" si="0"/>
        <v/>
      </c>
      <c r="K18" s="1694"/>
      <c r="L18" s="1539" t="str">
        <f t="shared" si="1"/>
        <v/>
      </c>
      <c r="N18" s="46"/>
      <c r="O18" s="46"/>
      <c r="P18" s="46"/>
    </row>
    <row r="19" spans="2:16" s="627" customFormat="1" hidden="1" outlineLevel="2">
      <c r="B19" s="1189"/>
      <c r="D19" s="1882" t="s">
        <v>1053</v>
      </c>
      <c r="E19" s="1176" t="s">
        <v>88</v>
      </c>
      <c r="F19" s="1182"/>
      <c r="I19" s="1874"/>
      <c r="J19" s="1536" t="str">
        <f t="shared" si="0"/>
        <v/>
      </c>
      <c r="K19" s="1694"/>
      <c r="L19" s="1539" t="str">
        <f t="shared" si="1"/>
        <v/>
      </c>
      <c r="N19" s="46"/>
      <c r="O19" s="46"/>
      <c r="P19" s="46"/>
    </row>
    <row r="20" spans="2:16" s="627" customFormat="1" hidden="1" outlineLevel="2">
      <c r="B20" s="1189"/>
      <c r="D20" s="1882" t="s">
        <v>1053</v>
      </c>
      <c r="E20" s="1176" t="s">
        <v>88</v>
      </c>
      <c r="F20" s="1182"/>
      <c r="I20" s="1874"/>
      <c r="J20" s="1536" t="str">
        <f t="shared" si="0"/>
        <v/>
      </c>
      <c r="K20" s="1694"/>
      <c r="L20" s="1539" t="str">
        <f t="shared" si="1"/>
        <v/>
      </c>
      <c r="N20" s="46"/>
      <c r="O20" s="46"/>
      <c r="P20" s="46"/>
    </row>
    <row r="21" spans="2:16" s="627" customFormat="1" hidden="1" outlineLevel="2">
      <c r="B21" s="1189"/>
      <c r="D21" s="1882" t="s">
        <v>1053</v>
      </c>
      <c r="E21" s="1176" t="s">
        <v>88</v>
      </c>
      <c r="F21" s="1182"/>
      <c r="I21" s="1874"/>
      <c r="J21" s="1536" t="str">
        <f t="shared" si="0"/>
        <v/>
      </c>
      <c r="K21" s="1694"/>
      <c r="L21" s="1539" t="str">
        <f t="shared" si="1"/>
        <v/>
      </c>
      <c r="N21" s="46"/>
      <c r="O21" s="46"/>
      <c r="P21" s="46"/>
    </row>
    <row r="22" spans="2:16" s="627" customFormat="1" hidden="1" outlineLevel="2">
      <c r="B22" s="1189"/>
      <c r="D22" s="1882" t="s">
        <v>1053</v>
      </c>
      <c r="E22" s="1176" t="s">
        <v>88</v>
      </c>
      <c r="F22" s="1182"/>
      <c r="I22" s="1874"/>
      <c r="J22" s="1536" t="str">
        <f t="shared" si="0"/>
        <v/>
      </c>
      <c r="K22" s="1694"/>
      <c r="L22" s="1539" t="str">
        <f t="shared" si="1"/>
        <v/>
      </c>
      <c r="N22" s="46"/>
      <c r="O22" s="46"/>
      <c r="P22" s="46"/>
    </row>
    <row r="23" spans="2:16" s="627" customFormat="1" ht="14.45" hidden="1" customHeight="1" outlineLevel="2">
      <c r="B23" s="1189"/>
      <c r="D23" s="1882" t="s">
        <v>1053</v>
      </c>
      <c r="E23" s="1176" t="s">
        <v>88</v>
      </c>
      <c r="F23" s="1182"/>
      <c r="I23" s="1874"/>
      <c r="J23" s="1536" t="str">
        <f t="shared" si="0"/>
        <v/>
      </c>
      <c r="K23" s="1694"/>
      <c r="L23" s="1539" t="str">
        <f t="shared" si="1"/>
        <v/>
      </c>
      <c r="N23" s="46"/>
      <c r="O23" s="46"/>
      <c r="P23" s="46"/>
    </row>
    <row r="24" spans="2:16" s="627" customFormat="1" hidden="1" outlineLevel="2">
      <c r="B24" s="1189"/>
      <c r="D24" s="1882" t="s">
        <v>1053</v>
      </c>
      <c r="E24" s="1176" t="s">
        <v>88</v>
      </c>
      <c r="F24" s="1182"/>
      <c r="I24" s="1874"/>
      <c r="J24" s="1536" t="str">
        <f t="shared" ref="J24:J33" si="2">IF(ISNONTEXT(F24)=TRUE,"","X")</f>
        <v/>
      </c>
      <c r="K24" s="1694"/>
      <c r="L24" s="1539" t="str">
        <f t="shared" si="1"/>
        <v/>
      </c>
      <c r="N24" s="46"/>
      <c r="O24" s="46"/>
      <c r="P24" s="46"/>
    </row>
    <row r="25" spans="2:16" s="627" customFormat="1" hidden="1" outlineLevel="2">
      <c r="B25" s="1189"/>
      <c r="D25" s="1882" t="s">
        <v>1053</v>
      </c>
      <c r="E25" s="1176" t="s">
        <v>88</v>
      </c>
      <c r="F25" s="1182"/>
      <c r="I25" s="1874"/>
      <c r="J25" s="1536" t="str">
        <f t="shared" si="2"/>
        <v/>
      </c>
      <c r="K25" s="1694"/>
      <c r="L25" s="1539" t="str">
        <f t="shared" si="1"/>
        <v/>
      </c>
      <c r="N25" s="46"/>
      <c r="O25" s="46"/>
      <c r="P25" s="46"/>
    </row>
    <row r="26" spans="2:16" s="627" customFormat="1" hidden="1" outlineLevel="2">
      <c r="B26" s="1189"/>
      <c r="D26" s="1882" t="s">
        <v>1053</v>
      </c>
      <c r="E26" s="1176" t="s">
        <v>88</v>
      </c>
      <c r="F26" s="1182"/>
      <c r="I26" s="1874"/>
      <c r="J26" s="1536" t="str">
        <f t="shared" si="2"/>
        <v/>
      </c>
      <c r="K26" s="1694"/>
      <c r="L26" s="1539" t="str">
        <f t="shared" si="1"/>
        <v/>
      </c>
      <c r="N26" s="46"/>
      <c r="O26" s="46"/>
      <c r="P26" s="46"/>
    </row>
    <row r="27" spans="2:16" s="627" customFormat="1" hidden="1" outlineLevel="2">
      <c r="B27" s="1189"/>
      <c r="D27" s="1882" t="s">
        <v>1053</v>
      </c>
      <c r="E27" s="1176" t="s">
        <v>88</v>
      </c>
      <c r="F27" s="1182"/>
      <c r="I27" s="1874"/>
      <c r="J27" s="1536" t="str">
        <f t="shared" si="2"/>
        <v/>
      </c>
      <c r="K27" s="1694"/>
      <c r="L27" s="1539" t="str">
        <f t="shared" si="1"/>
        <v/>
      </c>
      <c r="N27" s="46"/>
      <c r="O27" s="46"/>
      <c r="P27" s="46"/>
    </row>
    <row r="28" spans="2:16" s="627" customFormat="1" hidden="1" outlineLevel="2">
      <c r="B28" s="1189"/>
      <c r="D28" s="1882" t="s">
        <v>1053</v>
      </c>
      <c r="E28" s="1176" t="s">
        <v>88</v>
      </c>
      <c r="F28" s="1182"/>
      <c r="I28" s="1874"/>
      <c r="J28" s="1536" t="str">
        <f t="shared" si="2"/>
        <v/>
      </c>
      <c r="K28" s="1694"/>
      <c r="L28" s="1539" t="str">
        <f t="shared" si="1"/>
        <v/>
      </c>
      <c r="N28" s="46"/>
      <c r="O28" s="46"/>
      <c r="P28" s="46"/>
    </row>
    <row r="29" spans="2:16" s="627" customFormat="1" hidden="1" outlineLevel="2">
      <c r="B29" s="1189"/>
      <c r="D29" s="1882" t="s">
        <v>1053</v>
      </c>
      <c r="E29" s="1176" t="s">
        <v>88</v>
      </c>
      <c r="F29" s="1182"/>
      <c r="I29" s="1874"/>
      <c r="J29" s="1536" t="str">
        <f t="shared" si="2"/>
        <v/>
      </c>
      <c r="K29" s="1694"/>
      <c r="L29" s="1539" t="str">
        <f t="shared" si="1"/>
        <v/>
      </c>
      <c r="N29" s="46"/>
      <c r="O29" s="46"/>
      <c r="P29" s="46"/>
    </row>
    <row r="30" spans="2:16" s="627" customFormat="1" hidden="1" outlineLevel="2">
      <c r="B30" s="1189"/>
      <c r="D30" s="1882" t="s">
        <v>1053</v>
      </c>
      <c r="E30" s="1176" t="s">
        <v>88</v>
      </c>
      <c r="F30" s="1182"/>
      <c r="I30" s="1874"/>
      <c r="J30" s="1536" t="str">
        <f t="shared" si="2"/>
        <v/>
      </c>
      <c r="K30" s="1694"/>
      <c r="L30" s="1539" t="str">
        <f t="shared" si="1"/>
        <v/>
      </c>
      <c r="N30" s="46"/>
      <c r="O30" s="46"/>
      <c r="P30" s="46"/>
    </row>
    <row r="31" spans="2:16" s="627" customFormat="1" hidden="1" outlineLevel="2">
      <c r="B31" s="1189"/>
      <c r="D31" s="1882" t="s">
        <v>1053</v>
      </c>
      <c r="E31" s="1176" t="s">
        <v>88</v>
      </c>
      <c r="F31" s="1182"/>
      <c r="I31" s="1874"/>
      <c r="J31" s="1536" t="str">
        <f t="shared" si="2"/>
        <v/>
      </c>
      <c r="K31" s="1694"/>
      <c r="L31" s="1539" t="str">
        <f t="shared" si="1"/>
        <v/>
      </c>
      <c r="N31" s="46"/>
      <c r="O31" s="46"/>
      <c r="P31" s="46"/>
    </row>
    <row r="32" spans="2:16" s="627" customFormat="1" hidden="1" outlineLevel="2">
      <c r="B32" s="1189"/>
      <c r="D32" s="1882" t="s">
        <v>1053</v>
      </c>
      <c r="E32" s="1176" t="s">
        <v>88</v>
      </c>
      <c r="F32" s="1182"/>
      <c r="I32" s="1874"/>
      <c r="J32" s="1536" t="str">
        <f t="shared" si="2"/>
        <v/>
      </c>
      <c r="K32" s="1694"/>
      <c r="L32" s="1539" t="str">
        <f t="shared" si="1"/>
        <v/>
      </c>
      <c r="N32" s="46"/>
      <c r="O32" s="46"/>
      <c r="P32" s="46"/>
    </row>
    <row r="33" spans="2:16" s="627" customFormat="1" ht="11.45" hidden="1" customHeight="1" outlineLevel="2">
      <c r="B33" s="1189"/>
      <c r="D33" s="1882" t="s">
        <v>1053</v>
      </c>
      <c r="E33" s="1176" t="s">
        <v>88</v>
      </c>
      <c r="F33" s="1182"/>
      <c r="I33" s="1874"/>
      <c r="J33" s="1536" t="str">
        <f t="shared" si="2"/>
        <v/>
      </c>
      <c r="K33" s="1694"/>
      <c r="L33" s="1539" t="str">
        <f t="shared" si="1"/>
        <v/>
      </c>
      <c r="N33" s="46"/>
      <c r="O33" s="46"/>
      <c r="P33" s="46"/>
    </row>
    <row r="34" spans="2:16" s="627" customFormat="1" hidden="1" outlineLevel="2">
      <c r="B34" s="1189"/>
      <c r="D34" s="1882" t="s">
        <v>1053</v>
      </c>
      <c r="E34" s="1176" t="s">
        <v>88</v>
      </c>
      <c r="F34" s="1182"/>
      <c r="I34" s="1874"/>
      <c r="J34" s="1536" t="str">
        <f t="shared" ref="J34:J43" si="3">IF(ISNONTEXT(F34)=TRUE,"","X")</f>
        <v/>
      </c>
      <c r="K34" s="1694"/>
      <c r="L34" s="1539" t="str">
        <f t="shared" si="1"/>
        <v/>
      </c>
      <c r="N34" s="46"/>
      <c r="O34" s="46"/>
      <c r="P34" s="46"/>
    </row>
    <row r="35" spans="2:16" s="627" customFormat="1" hidden="1" outlineLevel="2">
      <c r="B35" s="1189"/>
      <c r="D35" s="1882" t="s">
        <v>1053</v>
      </c>
      <c r="E35" s="1176" t="s">
        <v>88</v>
      </c>
      <c r="F35" s="1182"/>
      <c r="I35" s="1874"/>
      <c r="J35" s="1536" t="str">
        <f t="shared" si="3"/>
        <v/>
      </c>
      <c r="K35" s="1694"/>
      <c r="L35" s="1539" t="str">
        <f t="shared" si="1"/>
        <v/>
      </c>
      <c r="N35" s="46"/>
      <c r="O35" s="46"/>
      <c r="P35" s="46"/>
    </row>
    <row r="36" spans="2:16" s="627" customFormat="1" hidden="1" outlineLevel="2">
      <c r="B36" s="1189"/>
      <c r="D36" s="1882" t="s">
        <v>1053</v>
      </c>
      <c r="E36" s="1176" t="s">
        <v>88</v>
      </c>
      <c r="F36" s="1182"/>
      <c r="I36" s="1874"/>
      <c r="J36" s="1536" t="str">
        <f t="shared" si="3"/>
        <v/>
      </c>
      <c r="K36" s="1694"/>
      <c r="L36" s="1539" t="str">
        <f t="shared" si="1"/>
        <v/>
      </c>
      <c r="N36" s="46"/>
      <c r="O36" s="46"/>
      <c r="P36" s="46"/>
    </row>
    <row r="37" spans="2:16" s="627" customFormat="1" hidden="1" outlineLevel="2">
      <c r="B37" s="1189"/>
      <c r="D37" s="1882" t="s">
        <v>1053</v>
      </c>
      <c r="E37" s="1176" t="s">
        <v>88</v>
      </c>
      <c r="F37" s="1182"/>
      <c r="I37" s="1874"/>
      <c r="J37" s="1536" t="str">
        <f t="shared" si="3"/>
        <v/>
      </c>
      <c r="K37" s="1694"/>
      <c r="L37" s="1539" t="str">
        <f t="shared" si="1"/>
        <v/>
      </c>
      <c r="N37" s="46"/>
      <c r="O37" s="46"/>
      <c r="P37" s="46"/>
    </row>
    <row r="38" spans="2:16" s="627" customFormat="1" hidden="1" outlineLevel="2">
      <c r="B38" s="1189"/>
      <c r="D38" s="1882" t="s">
        <v>1053</v>
      </c>
      <c r="E38" s="1176" t="s">
        <v>88</v>
      </c>
      <c r="F38" s="1182"/>
      <c r="I38" s="1874"/>
      <c r="J38" s="1536" t="str">
        <f t="shared" si="3"/>
        <v/>
      </c>
      <c r="K38" s="1694"/>
      <c r="L38" s="1539" t="str">
        <f t="shared" si="1"/>
        <v/>
      </c>
      <c r="N38" s="46"/>
      <c r="O38" s="46"/>
      <c r="P38" s="46"/>
    </row>
    <row r="39" spans="2:16" s="627" customFormat="1" hidden="1" outlineLevel="2">
      <c r="B39" s="1189"/>
      <c r="D39" s="1882" t="s">
        <v>1053</v>
      </c>
      <c r="E39" s="1176" t="s">
        <v>88</v>
      </c>
      <c r="F39" s="1182"/>
      <c r="I39" s="1874"/>
      <c r="J39" s="1536" t="str">
        <f t="shared" si="3"/>
        <v/>
      </c>
      <c r="K39" s="1694"/>
      <c r="L39" s="1539" t="str">
        <f t="shared" si="1"/>
        <v/>
      </c>
      <c r="N39" s="46"/>
      <c r="O39" s="46"/>
      <c r="P39" s="46"/>
    </row>
    <row r="40" spans="2:16" s="627" customFormat="1" hidden="1" outlineLevel="2">
      <c r="B40" s="1189"/>
      <c r="D40" s="1882" t="s">
        <v>1053</v>
      </c>
      <c r="E40" s="1176" t="s">
        <v>88</v>
      </c>
      <c r="F40" s="1182"/>
      <c r="I40" s="1874"/>
      <c r="J40" s="1536" t="str">
        <f t="shared" si="3"/>
        <v/>
      </c>
      <c r="K40" s="1694"/>
      <c r="L40" s="1539" t="str">
        <f t="shared" si="1"/>
        <v/>
      </c>
      <c r="N40" s="46"/>
      <c r="O40" s="46"/>
      <c r="P40" s="46"/>
    </row>
    <row r="41" spans="2:16" s="627" customFormat="1" hidden="1" outlineLevel="2">
      <c r="B41" s="1189"/>
      <c r="D41" s="1882" t="s">
        <v>1053</v>
      </c>
      <c r="E41" s="1176" t="s">
        <v>88</v>
      </c>
      <c r="F41" s="1182"/>
      <c r="I41" s="1874"/>
      <c r="J41" s="1536" t="str">
        <f t="shared" si="3"/>
        <v/>
      </c>
      <c r="K41" s="1694"/>
      <c r="L41" s="1539" t="str">
        <f t="shared" si="1"/>
        <v/>
      </c>
      <c r="N41" s="46"/>
      <c r="O41" s="46"/>
      <c r="P41" s="46"/>
    </row>
    <row r="42" spans="2:16" s="627" customFormat="1" hidden="1" outlineLevel="2">
      <c r="B42" s="1189"/>
      <c r="D42" s="1882" t="s">
        <v>1053</v>
      </c>
      <c r="E42" s="1176" t="s">
        <v>88</v>
      </c>
      <c r="F42" s="1182"/>
      <c r="I42" s="1874"/>
      <c r="J42" s="1536" t="str">
        <f t="shared" si="3"/>
        <v/>
      </c>
      <c r="K42" s="1694"/>
      <c r="L42" s="1539" t="str">
        <f t="shared" si="1"/>
        <v/>
      </c>
      <c r="N42" s="46"/>
      <c r="O42" s="46"/>
      <c r="P42" s="46"/>
    </row>
    <row r="43" spans="2:16" s="627" customFormat="1" ht="12.95" hidden="1" customHeight="1" outlineLevel="2">
      <c r="B43" s="1189"/>
      <c r="D43" s="1882" t="s">
        <v>1053</v>
      </c>
      <c r="E43" s="1176" t="s">
        <v>88</v>
      </c>
      <c r="F43" s="1182"/>
      <c r="I43" s="1874"/>
      <c r="J43" s="1536" t="str">
        <f t="shared" si="3"/>
        <v/>
      </c>
      <c r="K43" s="1694"/>
      <c r="L43" s="1539" t="str">
        <f t="shared" si="1"/>
        <v/>
      </c>
      <c r="N43" s="46"/>
      <c r="O43" s="46"/>
      <c r="P43" s="46"/>
    </row>
    <row r="44" spans="2:16" s="627" customFormat="1" hidden="1" outlineLevel="2">
      <c r="B44" s="1189"/>
      <c r="D44" s="1882" t="s">
        <v>1053</v>
      </c>
      <c r="E44" s="1176" t="s">
        <v>88</v>
      </c>
      <c r="F44" s="1182"/>
      <c r="I44" s="1874"/>
      <c r="J44" s="1536" t="str">
        <f t="shared" ref="J44:J47" si="4">IF(ISNONTEXT(F44)=TRUE,"","X")</f>
        <v/>
      </c>
      <c r="K44" s="1694"/>
      <c r="L44" s="1539" t="str">
        <f t="shared" si="1"/>
        <v/>
      </c>
      <c r="N44" s="46"/>
      <c r="O44" s="46"/>
      <c r="P44" s="46"/>
    </row>
    <row r="45" spans="2:16" s="627" customFormat="1" hidden="1" outlineLevel="2">
      <c r="B45" s="1189"/>
      <c r="D45" s="1882" t="s">
        <v>1053</v>
      </c>
      <c r="E45" s="1176" t="s">
        <v>88</v>
      </c>
      <c r="F45" s="1182"/>
      <c r="I45" s="1874"/>
      <c r="J45" s="1536" t="str">
        <f t="shared" si="4"/>
        <v/>
      </c>
      <c r="K45" s="1694"/>
      <c r="L45" s="1539" t="str">
        <f t="shared" si="1"/>
        <v/>
      </c>
      <c r="N45" s="46"/>
      <c r="O45" s="46"/>
      <c r="P45" s="46"/>
    </row>
    <row r="46" spans="2:16" s="627" customFormat="1" hidden="1" outlineLevel="2">
      <c r="B46" s="1189"/>
      <c r="D46" s="1882" t="s">
        <v>1053</v>
      </c>
      <c r="E46" s="1176" t="s">
        <v>88</v>
      </c>
      <c r="F46" s="1182"/>
      <c r="I46" s="1874"/>
      <c r="J46" s="1536" t="str">
        <f t="shared" si="4"/>
        <v/>
      </c>
      <c r="K46" s="1694"/>
      <c r="L46" s="1539" t="str">
        <f t="shared" si="1"/>
        <v/>
      </c>
      <c r="N46" s="46"/>
      <c r="O46" s="46"/>
      <c r="P46" s="46"/>
    </row>
    <row r="47" spans="2:16" s="627" customFormat="1" hidden="1" outlineLevel="2">
      <c r="B47" s="1189"/>
      <c r="D47" s="1882" t="s">
        <v>1053</v>
      </c>
      <c r="E47" s="1176" t="s">
        <v>88</v>
      </c>
      <c r="F47" s="1182"/>
      <c r="I47" s="1874"/>
      <c r="J47" s="1536" t="str">
        <f t="shared" si="4"/>
        <v/>
      </c>
      <c r="K47" s="1694"/>
      <c r="L47" s="1539" t="str">
        <f t="shared" si="1"/>
        <v/>
      </c>
      <c r="N47" s="46"/>
      <c r="O47" s="46"/>
      <c r="P47" s="46"/>
    </row>
    <row r="48" spans="2:16" s="627" customFormat="1" hidden="1" outlineLevel="2">
      <c r="B48" s="1189"/>
      <c r="D48" s="1882" t="s">
        <v>1053</v>
      </c>
      <c r="E48" s="1176" t="s">
        <v>88</v>
      </c>
      <c r="F48" s="1182"/>
      <c r="I48" s="1874"/>
      <c r="J48" s="1536" t="str">
        <f t="shared" ref="J48:J50" si="5">IF(ISNONTEXT(F48)=TRUE,"","X")</f>
        <v/>
      </c>
      <c r="K48" s="1694"/>
      <c r="L48" s="1539" t="str">
        <f t="shared" si="1"/>
        <v/>
      </c>
      <c r="N48" s="46"/>
      <c r="O48" s="46"/>
      <c r="P48" s="46"/>
    </row>
    <row r="49" spans="1:16" s="627" customFormat="1" hidden="1" outlineLevel="2">
      <c r="B49" s="1189"/>
      <c r="D49" s="1882" t="s">
        <v>1053</v>
      </c>
      <c r="E49" s="1176" t="s">
        <v>88</v>
      </c>
      <c r="F49" s="1182"/>
      <c r="I49" s="1874"/>
      <c r="J49" s="1536" t="str">
        <f t="shared" si="5"/>
        <v/>
      </c>
      <c r="K49" s="1694"/>
      <c r="L49" s="1539" t="str">
        <f t="shared" si="1"/>
        <v/>
      </c>
      <c r="N49" s="46"/>
      <c r="O49" s="46"/>
      <c r="P49" s="46"/>
    </row>
    <row r="50" spans="1:16" s="627" customFormat="1" hidden="1" outlineLevel="2">
      <c r="B50" s="1189"/>
      <c r="D50" s="1882" t="s">
        <v>1053</v>
      </c>
      <c r="E50" s="1176" t="s">
        <v>88</v>
      </c>
      <c r="F50" s="1182"/>
      <c r="I50" s="1874"/>
      <c r="J50" s="1536" t="str">
        <f t="shared" si="5"/>
        <v/>
      </c>
      <c r="K50" s="1694"/>
      <c r="L50" s="1539" t="str">
        <f t="shared" si="1"/>
        <v/>
      </c>
      <c r="N50" s="46"/>
      <c r="O50" s="46"/>
      <c r="P50" s="46"/>
    </row>
    <row r="51" spans="1:16" s="627" customFormat="1" hidden="1" outlineLevel="2">
      <c r="B51" s="1189"/>
      <c r="D51" s="1882" t="s">
        <v>1053</v>
      </c>
      <c r="E51" s="1176" t="s">
        <v>88</v>
      </c>
      <c r="F51" s="1182"/>
      <c r="I51" s="1874"/>
      <c r="J51" s="1536" t="str">
        <f t="shared" ref="J51:J54" si="6">IF(ISNONTEXT(F51)=TRUE,"","X")</f>
        <v/>
      </c>
      <c r="K51" s="1694"/>
      <c r="L51" s="1539" t="str">
        <f t="shared" si="1"/>
        <v/>
      </c>
      <c r="N51" s="46"/>
      <c r="O51" s="46"/>
      <c r="P51" s="46"/>
    </row>
    <row r="52" spans="1:16" s="627" customFormat="1" hidden="1" outlineLevel="2">
      <c r="B52" s="1189"/>
      <c r="D52" s="1882" t="s">
        <v>1053</v>
      </c>
      <c r="E52" s="1176" t="s">
        <v>88</v>
      </c>
      <c r="F52" s="1182"/>
      <c r="I52" s="1874"/>
      <c r="J52" s="1536" t="str">
        <f t="shared" si="6"/>
        <v/>
      </c>
      <c r="K52" s="1694"/>
      <c r="L52" s="1539" t="str">
        <f t="shared" si="1"/>
        <v/>
      </c>
      <c r="N52" s="46"/>
      <c r="O52" s="46"/>
      <c r="P52" s="46"/>
    </row>
    <row r="53" spans="1:16" s="627" customFormat="1" ht="15" customHeight="1" outlineLevel="1" collapsed="1">
      <c r="A53" s="1666" t="s">
        <v>1487</v>
      </c>
      <c r="B53" s="1189"/>
      <c r="D53" s="1882" t="s">
        <v>1053</v>
      </c>
      <c r="E53" s="1176" t="s">
        <v>88</v>
      </c>
      <c r="F53" s="1182"/>
      <c r="I53" s="1874"/>
      <c r="J53" s="1536" t="str">
        <f t="shared" si="6"/>
        <v/>
      </c>
      <c r="K53" s="1694"/>
      <c r="L53" s="1539" t="str">
        <f t="shared" si="1"/>
        <v/>
      </c>
      <c r="N53" s="46"/>
      <c r="O53" s="46"/>
      <c r="P53" s="46"/>
    </row>
    <row r="54" spans="1:16" s="627" customFormat="1" outlineLevel="1">
      <c r="B54" s="1189"/>
      <c r="D54" s="1883" t="s">
        <v>1053</v>
      </c>
      <c r="E54" s="1177" t="s">
        <v>88</v>
      </c>
      <c r="F54" s="1183"/>
      <c r="I54" s="1874"/>
      <c r="J54" s="1536" t="str">
        <f t="shared" si="6"/>
        <v/>
      </c>
      <c r="K54" s="1694"/>
      <c r="L54" s="1539" t="str">
        <f t="shared" si="1"/>
        <v/>
      </c>
      <c r="N54" s="46"/>
      <c r="O54" s="46"/>
      <c r="P54" s="46"/>
    </row>
    <row r="55" spans="1:16" s="627" customFormat="1" outlineLevel="1">
      <c r="B55" s="1190"/>
      <c r="C55" s="1248"/>
      <c r="D55" s="1165" t="s">
        <v>1244</v>
      </c>
      <c r="E55" s="1166" t="s">
        <v>88</v>
      </c>
      <c r="F55" s="1184">
        <f>SUM(F13:F54)</f>
        <v>0</v>
      </c>
      <c r="I55" s="1610"/>
      <c r="J55" s="1609"/>
      <c r="K55" s="1699"/>
      <c r="L55" s="1579"/>
      <c r="N55" s="46"/>
      <c r="O55" s="46"/>
      <c r="P55" s="46"/>
    </row>
    <row r="56" spans="1:16" s="627" customFormat="1" outlineLevel="1">
      <c r="B56" s="1189"/>
      <c r="D56" s="1174" t="s">
        <v>1290</v>
      </c>
      <c r="N56" s="46"/>
      <c r="O56" s="46"/>
      <c r="P56" s="46"/>
    </row>
    <row r="57" spans="1:16" s="627" customFormat="1" ht="15" customHeight="1" outlineLevel="1">
      <c r="B57" s="1189"/>
      <c r="D57" s="1878" t="str">
        <f>D13</f>
        <v>&lt;TNSP specified&gt;</v>
      </c>
      <c r="E57" s="1875" t="s">
        <v>88</v>
      </c>
      <c r="F57" s="1181"/>
      <c r="I57" s="1613"/>
      <c r="J57" s="1561" t="str">
        <f t="shared" ref="J57:J98" si="7">IF(ISNONTEXT(F57)=TRUE,"","X")</f>
        <v/>
      </c>
      <c r="K57" s="1706" t="str">
        <f>IF(F57&lt;&gt;""=TRUE,"","X")</f>
        <v>X</v>
      </c>
      <c r="L57" s="1700"/>
      <c r="N57" s="46"/>
      <c r="O57" s="46"/>
      <c r="P57" s="46"/>
    </row>
    <row r="58" spans="1:16" s="627" customFormat="1" outlineLevel="1">
      <c r="B58" s="1189"/>
      <c r="D58" s="1879" t="str">
        <f t="shared" ref="D58:D98" si="8">D14</f>
        <v>&lt;TNSP specified&gt;</v>
      </c>
      <c r="E58" s="1876" t="s">
        <v>88</v>
      </c>
      <c r="F58" s="1182"/>
      <c r="I58" s="1614"/>
      <c r="J58" s="1540" t="str">
        <f t="shared" ref="J58:J63" si="9">IF(ISNONTEXT(F58)=TRUE,"","X")</f>
        <v/>
      </c>
      <c r="K58" s="1694"/>
      <c r="L58" s="1539" t="str">
        <f t="shared" ref="L58:L98" si="10">IF(AND(D58&lt;&gt;"",LEFT(D58,5)&lt;&gt;"&lt;TNSP",ISBLANK(F58))=TRUE,"X","")</f>
        <v/>
      </c>
      <c r="N58" s="46"/>
      <c r="O58" s="46"/>
      <c r="P58" s="46"/>
    </row>
    <row r="59" spans="1:16" s="627" customFormat="1" outlineLevel="1">
      <c r="B59" s="1189"/>
      <c r="D59" s="1879" t="str">
        <f t="shared" si="8"/>
        <v>&lt;TNSP specified&gt;</v>
      </c>
      <c r="E59" s="1876" t="s">
        <v>88</v>
      </c>
      <c r="F59" s="1182"/>
      <c r="I59" s="1614"/>
      <c r="J59" s="1540" t="str">
        <f t="shared" si="9"/>
        <v/>
      </c>
      <c r="K59" s="1694"/>
      <c r="L59" s="1539" t="str">
        <f t="shared" si="10"/>
        <v/>
      </c>
      <c r="N59" s="46"/>
      <c r="O59" s="46"/>
      <c r="P59" s="46"/>
    </row>
    <row r="60" spans="1:16" s="627" customFormat="1" outlineLevel="1">
      <c r="B60" s="1189"/>
      <c r="D60" s="1879" t="str">
        <f t="shared" si="8"/>
        <v>&lt;TNSP specified&gt;</v>
      </c>
      <c r="E60" s="1876" t="s">
        <v>88</v>
      </c>
      <c r="F60" s="1182"/>
      <c r="I60" s="1614"/>
      <c r="J60" s="1540" t="str">
        <f t="shared" si="9"/>
        <v/>
      </c>
      <c r="K60" s="1694"/>
      <c r="L60" s="1539" t="str">
        <f t="shared" si="10"/>
        <v/>
      </c>
      <c r="N60" s="46"/>
      <c r="O60" s="46"/>
      <c r="P60" s="46"/>
    </row>
    <row r="61" spans="1:16" s="627" customFormat="1" outlineLevel="1">
      <c r="B61" s="1189"/>
      <c r="D61" s="1879" t="str">
        <f t="shared" si="8"/>
        <v>&lt;TNSP specified&gt;</v>
      </c>
      <c r="E61" s="1876" t="s">
        <v>88</v>
      </c>
      <c r="F61" s="1182"/>
      <c r="I61" s="1614"/>
      <c r="J61" s="1540" t="str">
        <f t="shared" si="9"/>
        <v/>
      </c>
      <c r="K61" s="1694"/>
      <c r="L61" s="1539" t="str">
        <f t="shared" si="10"/>
        <v/>
      </c>
      <c r="N61" s="46"/>
      <c r="O61" s="46"/>
      <c r="P61" s="46"/>
    </row>
    <row r="62" spans="1:16" s="627" customFormat="1" outlineLevel="1">
      <c r="B62" s="1189"/>
      <c r="D62" s="1879" t="str">
        <f t="shared" si="8"/>
        <v>&lt;TNSP specified&gt;</v>
      </c>
      <c r="E62" s="1876" t="s">
        <v>88</v>
      </c>
      <c r="F62" s="1182"/>
      <c r="I62" s="1614"/>
      <c r="J62" s="1540" t="str">
        <f t="shared" si="9"/>
        <v/>
      </c>
      <c r="K62" s="1694"/>
      <c r="L62" s="1539" t="str">
        <f t="shared" si="10"/>
        <v/>
      </c>
      <c r="N62" s="46"/>
      <c r="O62" s="46"/>
      <c r="P62" s="46"/>
    </row>
    <row r="63" spans="1:16" s="627" customFormat="1" hidden="1" outlineLevel="2">
      <c r="B63" s="1189"/>
      <c r="D63" s="1879" t="str">
        <f t="shared" si="8"/>
        <v>&lt;TNSP specified&gt;</v>
      </c>
      <c r="E63" s="1876" t="s">
        <v>88</v>
      </c>
      <c r="F63" s="1182"/>
      <c r="I63" s="1614"/>
      <c r="J63" s="1540" t="str">
        <f t="shared" si="9"/>
        <v/>
      </c>
      <c r="K63" s="1694"/>
      <c r="L63" s="1539" t="str">
        <f t="shared" si="10"/>
        <v/>
      </c>
      <c r="N63" s="46"/>
      <c r="O63" s="46"/>
      <c r="P63" s="46"/>
    </row>
    <row r="64" spans="1:16" s="627" customFormat="1" hidden="1" outlineLevel="2">
      <c r="B64" s="1189"/>
      <c r="D64" s="1879" t="str">
        <f t="shared" si="8"/>
        <v>&lt;TNSP specified&gt;</v>
      </c>
      <c r="E64" s="1876" t="s">
        <v>88</v>
      </c>
      <c r="F64" s="1182"/>
      <c r="I64" s="1614"/>
      <c r="J64" s="1540" t="str">
        <f t="shared" si="7"/>
        <v/>
      </c>
      <c r="K64" s="1694"/>
      <c r="L64" s="1539" t="str">
        <f t="shared" si="10"/>
        <v/>
      </c>
      <c r="N64" s="46"/>
      <c r="O64" s="46"/>
      <c r="P64" s="46"/>
    </row>
    <row r="65" spans="2:16" s="627" customFormat="1" hidden="1" outlineLevel="2">
      <c r="B65" s="1189"/>
      <c r="D65" s="1879" t="str">
        <f t="shared" si="8"/>
        <v>&lt;TNSP specified&gt;</v>
      </c>
      <c r="E65" s="1876" t="s">
        <v>88</v>
      </c>
      <c r="F65" s="1182"/>
      <c r="I65" s="1614"/>
      <c r="J65" s="1540" t="str">
        <f t="shared" si="7"/>
        <v/>
      </c>
      <c r="K65" s="1694"/>
      <c r="L65" s="1539" t="str">
        <f t="shared" si="10"/>
        <v/>
      </c>
      <c r="N65" s="46"/>
      <c r="O65" s="46"/>
      <c r="P65" s="46"/>
    </row>
    <row r="66" spans="2:16" s="627" customFormat="1" hidden="1" outlineLevel="2">
      <c r="B66" s="1189"/>
      <c r="D66" s="1879" t="str">
        <f t="shared" si="8"/>
        <v>&lt;TNSP specified&gt;</v>
      </c>
      <c r="E66" s="1876" t="s">
        <v>88</v>
      </c>
      <c r="F66" s="1182"/>
      <c r="I66" s="1614"/>
      <c r="J66" s="1540" t="str">
        <f t="shared" si="7"/>
        <v/>
      </c>
      <c r="K66" s="1694"/>
      <c r="L66" s="1539" t="str">
        <f t="shared" si="10"/>
        <v/>
      </c>
      <c r="N66" s="46"/>
      <c r="O66" s="46"/>
      <c r="P66" s="46"/>
    </row>
    <row r="67" spans="2:16" s="627" customFormat="1" hidden="1" outlineLevel="2">
      <c r="B67" s="1189"/>
      <c r="D67" s="1879" t="str">
        <f t="shared" si="8"/>
        <v>&lt;TNSP specified&gt;</v>
      </c>
      <c r="E67" s="1876" t="s">
        <v>88</v>
      </c>
      <c r="F67" s="1182"/>
      <c r="I67" s="1614"/>
      <c r="J67" s="1540" t="str">
        <f t="shared" si="7"/>
        <v/>
      </c>
      <c r="K67" s="1694"/>
      <c r="L67" s="1539" t="str">
        <f t="shared" si="10"/>
        <v/>
      </c>
      <c r="N67" s="46"/>
      <c r="O67" s="46"/>
      <c r="P67" s="46"/>
    </row>
    <row r="68" spans="2:16" s="627" customFormat="1" hidden="1" outlineLevel="2">
      <c r="B68" s="1189"/>
      <c r="D68" s="1879" t="str">
        <f t="shared" si="8"/>
        <v>&lt;TNSP specified&gt;</v>
      </c>
      <c r="E68" s="1876" t="s">
        <v>88</v>
      </c>
      <c r="F68" s="1182"/>
      <c r="I68" s="1614"/>
      <c r="J68" s="1540" t="str">
        <f t="shared" si="7"/>
        <v/>
      </c>
      <c r="K68" s="1694"/>
      <c r="L68" s="1539" t="str">
        <f t="shared" si="10"/>
        <v/>
      </c>
      <c r="N68" s="46"/>
      <c r="O68" s="46"/>
      <c r="P68" s="46"/>
    </row>
    <row r="69" spans="2:16" s="627" customFormat="1" hidden="1" outlineLevel="2">
      <c r="B69" s="1189"/>
      <c r="D69" s="1879" t="str">
        <f t="shared" si="8"/>
        <v>&lt;TNSP specified&gt;</v>
      </c>
      <c r="E69" s="1876" t="s">
        <v>88</v>
      </c>
      <c r="F69" s="1182"/>
      <c r="I69" s="1614"/>
      <c r="J69" s="1540" t="str">
        <f t="shared" si="7"/>
        <v/>
      </c>
      <c r="K69" s="1694"/>
      <c r="L69" s="1539" t="str">
        <f t="shared" si="10"/>
        <v/>
      </c>
      <c r="N69" s="46"/>
      <c r="O69" s="46"/>
      <c r="P69" s="46"/>
    </row>
    <row r="70" spans="2:16" s="627" customFormat="1" hidden="1" outlineLevel="2">
      <c r="B70" s="1189"/>
      <c r="D70" s="1879" t="str">
        <f t="shared" si="8"/>
        <v>&lt;TNSP specified&gt;</v>
      </c>
      <c r="E70" s="1876" t="s">
        <v>88</v>
      </c>
      <c r="F70" s="1182"/>
      <c r="I70" s="1614"/>
      <c r="J70" s="1540" t="str">
        <f t="shared" ref="J70:J75" si="11">IF(ISNONTEXT(F70)=TRUE,"","X")</f>
        <v/>
      </c>
      <c r="K70" s="1694"/>
      <c r="L70" s="1539" t="str">
        <f t="shared" si="10"/>
        <v/>
      </c>
      <c r="N70" s="46"/>
      <c r="O70" s="46"/>
      <c r="P70" s="46"/>
    </row>
    <row r="71" spans="2:16" s="627" customFormat="1" hidden="1" outlineLevel="2">
      <c r="B71" s="1189"/>
      <c r="D71" s="1879" t="str">
        <f t="shared" si="8"/>
        <v>&lt;TNSP specified&gt;</v>
      </c>
      <c r="E71" s="1876" t="s">
        <v>88</v>
      </c>
      <c r="F71" s="1182"/>
      <c r="I71" s="1614"/>
      <c r="J71" s="1540" t="str">
        <f t="shared" si="11"/>
        <v/>
      </c>
      <c r="K71" s="1694"/>
      <c r="L71" s="1539" t="str">
        <f t="shared" si="10"/>
        <v/>
      </c>
      <c r="N71" s="46"/>
      <c r="O71" s="46"/>
      <c r="P71" s="46"/>
    </row>
    <row r="72" spans="2:16" s="627" customFormat="1" hidden="1" outlineLevel="2">
      <c r="B72" s="1189"/>
      <c r="D72" s="1879" t="str">
        <f t="shared" si="8"/>
        <v>&lt;TNSP specified&gt;</v>
      </c>
      <c r="E72" s="1876" t="s">
        <v>88</v>
      </c>
      <c r="F72" s="1182"/>
      <c r="I72" s="1614"/>
      <c r="J72" s="1540" t="str">
        <f t="shared" si="11"/>
        <v/>
      </c>
      <c r="K72" s="1694"/>
      <c r="L72" s="1539" t="str">
        <f t="shared" si="10"/>
        <v/>
      </c>
      <c r="N72" s="46"/>
      <c r="O72" s="46"/>
      <c r="P72" s="46"/>
    </row>
    <row r="73" spans="2:16" s="627" customFormat="1" hidden="1" outlineLevel="2">
      <c r="B73" s="1189"/>
      <c r="D73" s="1879" t="str">
        <f t="shared" si="8"/>
        <v>&lt;TNSP specified&gt;</v>
      </c>
      <c r="E73" s="1876" t="s">
        <v>88</v>
      </c>
      <c r="F73" s="1182"/>
      <c r="I73" s="1614"/>
      <c r="J73" s="1540" t="str">
        <f t="shared" si="11"/>
        <v/>
      </c>
      <c r="K73" s="1694"/>
      <c r="L73" s="1539" t="str">
        <f t="shared" si="10"/>
        <v/>
      </c>
      <c r="N73" s="46"/>
      <c r="O73" s="46"/>
      <c r="P73" s="46"/>
    </row>
    <row r="74" spans="2:16" s="627" customFormat="1" hidden="1" outlineLevel="2">
      <c r="B74" s="1189"/>
      <c r="D74" s="1879" t="str">
        <f t="shared" si="8"/>
        <v>&lt;TNSP specified&gt;</v>
      </c>
      <c r="E74" s="1876" t="s">
        <v>88</v>
      </c>
      <c r="F74" s="1182"/>
      <c r="I74" s="1614"/>
      <c r="J74" s="1540" t="str">
        <f t="shared" si="11"/>
        <v/>
      </c>
      <c r="K74" s="1694"/>
      <c r="L74" s="1539" t="str">
        <f t="shared" si="10"/>
        <v/>
      </c>
      <c r="N74" s="46"/>
      <c r="O74" s="46"/>
      <c r="P74" s="46"/>
    </row>
    <row r="75" spans="2:16" s="627" customFormat="1" hidden="1" outlineLevel="2">
      <c r="B75" s="1189"/>
      <c r="D75" s="1879" t="str">
        <f t="shared" si="8"/>
        <v>&lt;TNSP specified&gt;</v>
      </c>
      <c r="E75" s="1876" t="s">
        <v>88</v>
      </c>
      <c r="F75" s="1182"/>
      <c r="I75" s="1614"/>
      <c r="J75" s="1540" t="str">
        <f t="shared" si="11"/>
        <v/>
      </c>
      <c r="K75" s="1694"/>
      <c r="L75" s="1539" t="str">
        <f t="shared" si="10"/>
        <v/>
      </c>
      <c r="N75" s="46"/>
      <c r="O75" s="46"/>
      <c r="P75" s="46"/>
    </row>
    <row r="76" spans="2:16" s="627" customFormat="1" hidden="1" outlineLevel="2">
      <c r="B76" s="1189"/>
      <c r="D76" s="1879" t="str">
        <f t="shared" si="8"/>
        <v>&lt;TNSP specified&gt;</v>
      </c>
      <c r="E76" s="1876" t="s">
        <v>88</v>
      </c>
      <c r="F76" s="1182"/>
      <c r="I76" s="1614"/>
      <c r="J76" s="1540" t="str">
        <f t="shared" si="7"/>
        <v/>
      </c>
      <c r="K76" s="1694"/>
      <c r="L76" s="1539" t="str">
        <f t="shared" si="10"/>
        <v/>
      </c>
      <c r="N76" s="46"/>
      <c r="O76" s="46"/>
      <c r="P76" s="46"/>
    </row>
    <row r="77" spans="2:16" s="627" customFormat="1" hidden="1" outlineLevel="2">
      <c r="B77" s="1189"/>
      <c r="D77" s="1879" t="str">
        <f t="shared" si="8"/>
        <v>&lt;TNSP specified&gt;</v>
      </c>
      <c r="E77" s="1876" t="s">
        <v>88</v>
      </c>
      <c r="F77" s="1182"/>
      <c r="I77" s="1614"/>
      <c r="J77" s="1540" t="str">
        <f t="shared" ref="J77:J86" si="12">IF(ISNONTEXT(F77)=TRUE,"","X")</f>
        <v/>
      </c>
      <c r="K77" s="1694"/>
      <c r="L77" s="1539" t="str">
        <f t="shared" si="10"/>
        <v/>
      </c>
      <c r="N77" s="46"/>
      <c r="O77" s="46"/>
      <c r="P77" s="46"/>
    </row>
    <row r="78" spans="2:16" s="627" customFormat="1" hidden="1" outlineLevel="2">
      <c r="B78" s="1189"/>
      <c r="D78" s="1879" t="str">
        <f t="shared" si="8"/>
        <v>&lt;TNSP specified&gt;</v>
      </c>
      <c r="E78" s="1876" t="s">
        <v>88</v>
      </c>
      <c r="F78" s="1182"/>
      <c r="I78" s="1614"/>
      <c r="J78" s="1540" t="str">
        <f t="shared" si="12"/>
        <v/>
      </c>
      <c r="K78" s="1694"/>
      <c r="L78" s="1539" t="str">
        <f t="shared" si="10"/>
        <v/>
      </c>
      <c r="N78" s="46"/>
      <c r="O78" s="46"/>
      <c r="P78" s="46"/>
    </row>
    <row r="79" spans="2:16" s="627" customFormat="1" hidden="1" outlineLevel="2">
      <c r="B79" s="1189"/>
      <c r="D79" s="1879" t="str">
        <f t="shared" si="8"/>
        <v>&lt;TNSP specified&gt;</v>
      </c>
      <c r="E79" s="1876" t="s">
        <v>88</v>
      </c>
      <c r="F79" s="1182"/>
      <c r="I79" s="1614"/>
      <c r="J79" s="1540" t="str">
        <f t="shared" si="12"/>
        <v/>
      </c>
      <c r="K79" s="1694"/>
      <c r="L79" s="1539" t="str">
        <f t="shared" si="10"/>
        <v/>
      </c>
      <c r="N79" s="46"/>
      <c r="O79" s="46"/>
      <c r="P79" s="46"/>
    </row>
    <row r="80" spans="2:16" s="627" customFormat="1" hidden="1" outlineLevel="2">
      <c r="B80" s="1189"/>
      <c r="D80" s="1879" t="str">
        <f t="shared" si="8"/>
        <v>&lt;TNSP specified&gt;</v>
      </c>
      <c r="E80" s="1876" t="s">
        <v>88</v>
      </c>
      <c r="F80" s="1182"/>
      <c r="I80" s="1614"/>
      <c r="J80" s="1540" t="str">
        <f t="shared" si="12"/>
        <v/>
      </c>
      <c r="K80" s="1694"/>
      <c r="L80" s="1539" t="str">
        <f t="shared" si="10"/>
        <v/>
      </c>
      <c r="N80" s="46"/>
      <c r="O80" s="46"/>
      <c r="P80" s="46"/>
    </row>
    <row r="81" spans="2:16" s="627" customFormat="1" hidden="1" outlineLevel="2">
      <c r="B81" s="1189"/>
      <c r="D81" s="1879" t="str">
        <f t="shared" si="8"/>
        <v>&lt;TNSP specified&gt;</v>
      </c>
      <c r="E81" s="1876" t="s">
        <v>88</v>
      </c>
      <c r="F81" s="1182"/>
      <c r="I81" s="1614"/>
      <c r="J81" s="1540" t="str">
        <f t="shared" si="12"/>
        <v/>
      </c>
      <c r="K81" s="1694"/>
      <c r="L81" s="1539" t="str">
        <f t="shared" si="10"/>
        <v/>
      </c>
      <c r="N81" s="46"/>
      <c r="O81" s="46"/>
      <c r="P81" s="46"/>
    </row>
    <row r="82" spans="2:16" s="627" customFormat="1" hidden="1" outlineLevel="2">
      <c r="B82" s="1189"/>
      <c r="D82" s="1879" t="str">
        <f t="shared" si="8"/>
        <v>&lt;TNSP specified&gt;</v>
      </c>
      <c r="E82" s="1876" t="s">
        <v>88</v>
      </c>
      <c r="F82" s="1182"/>
      <c r="I82" s="1614"/>
      <c r="J82" s="1540" t="str">
        <f t="shared" si="12"/>
        <v/>
      </c>
      <c r="K82" s="1694"/>
      <c r="L82" s="1539" t="str">
        <f t="shared" si="10"/>
        <v/>
      </c>
      <c r="N82" s="46"/>
      <c r="O82" s="46"/>
      <c r="P82" s="46"/>
    </row>
    <row r="83" spans="2:16" s="627" customFormat="1" hidden="1" outlineLevel="2">
      <c r="B83" s="1189"/>
      <c r="D83" s="1879" t="str">
        <f t="shared" si="8"/>
        <v>&lt;TNSP specified&gt;</v>
      </c>
      <c r="E83" s="1876" t="s">
        <v>88</v>
      </c>
      <c r="F83" s="1182"/>
      <c r="I83" s="1614"/>
      <c r="J83" s="1540" t="str">
        <f t="shared" si="12"/>
        <v/>
      </c>
      <c r="K83" s="1694"/>
      <c r="L83" s="1539" t="str">
        <f t="shared" si="10"/>
        <v/>
      </c>
      <c r="N83" s="46"/>
      <c r="O83" s="46"/>
      <c r="P83" s="46"/>
    </row>
    <row r="84" spans="2:16" s="627" customFormat="1" hidden="1" outlineLevel="2">
      <c r="B84" s="1189"/>
      <c r="D84" s="1879" t="str">
        <f t="shared" si="8"/>
        <v>&lt;TNSP specified&gt;</v>
      </c>
      <c r="E84" s="1876" t="s">
        <v>88</v>
      </c>
      <c r="F84" s="1182"/>
      <c r="I84" s="1614"/>
      <c r="J84" s="1540" t="str">
        <f t="shared" si="12"/>
        <v/>
      </c>
      <c r="K84" s="1694"/>
      <c r="L84" s="1539" t="str">
        <f t="shared" si="10"/>
        <v/>
      </c>
      <c r="N84" s="46"/>
      <c r="O84" s="46"/>
      <c r="P84" s="46"/>
    </row>
    <row r="85" spans="2:16" s="627" customFormat="1" hidden="1" outlineLevel="2">
      <c r="B85" s="1189"/>
      <c r="D85" s="1879" t="str">
        <f t="shared" si="8"/>
        <v>&lt;TNSP specified&gt;</v>
      </c>
      <c r="E85" s="1876" t="s">
        <v>88</v>
      </c>
      <c r="F85" s="1182"/>
      <c r="I85" s="1614"/>
      <c r="J85" s="1540" t="str">
        <f t="shared" si="12"/>
        <v/>
      </c>
      <c r="K85" s="1694"/>
      <c r="L85" s="1539" t="str">
        <f t="shared" si="10"/>
        <v/>
      </c>
      <c r="N85" s="46"/>
      <c r="O85" s="46"/>
      <c r="P85" s="46"/>
    </row>
    <row r="86" spans="2:16" s="627" customFormat="1" hidden="1" outlineLevel="2">
      <c r="B86" s="1189"/>
      <c r="D86" s="1879" t="str">
        <f t="shared" si="8"/>
        <v>&lt;TNSP specified&gt;</v>
      </c>
      <c r="E86" s="1876" t="s">
        <v>88</v>
      </c>
      <c r="F86" s="1182"/>
      <c r="I86" s="1614"/>
      <c r="J86" s="1540" t="str">
        <f t="shared" si="12"/>
        <v/>
      </c>
      <c r="K86" s="1694"/>
      <c r="L86" s="1539" t="str">
        <f t="shared" si="10"/>
        <v/>
      </c>
      <c r="N86" s="46"/>
      <c r="O86" s="46"/>
      <c r="P86" s="46"/>
    </row>
    <row r="87" spans="2:16" s="627" customFormat="1" hidden="1" outlineLevel="2">
      <c r="B87" s="1189"/>
      <c r="D87" s="1879" t="str">
        <f t="shared" si="8"/>
        <v>&lt;TNSP specified&gt;</v>
      </c>
      <c r="E87" s="1876" t="s">
        <v>88</v>
      </c>
      <c r="F87" s="1182"/>
      <c r="I87" s="1614"/>
      <c r="J87" s="1540" t="str">
        <f t="shared" si="7"/>
        <v/>
      </c>
      <c r="K87" s="1694"/>
      <c r="L87" s="1539" t="str">
        <f t="shared" si="10"/>
        <v/>
      </c>
      <c r="N87" s="46"/>
      <c r="O87" s="46"/>
      <c r="P87" s="46"/>
    </row>
    <row r="88" spans="2:16" s="627" customFormat="1" hidden="1" outlineLevel="2">
      <c r="B88" s="1189"/>
      <c r="D88" s="1879" t="str">
        <f t="shared" si="8"/>
        <v>&lt;TNSP specified&gt;</v>
      </c>
      <c r="E88" s="1876" t="s">
        <v>88</v>
      </c>
      <c r="F88" s="1182"/>
      <c r="I88" s="1614"/>
      <c r="J88" s="1540" t="str">
        <f t="shared" si="7"/>
        <v/>
      </c>
      <c r="K88" s="1694"/>
      <c r="L88" s="1539" t="str">
        <f t="shared" si="10"/>
        <v/>
      </c>
      <c r="N88" s="46"/>
      <c r="O88" s="46"/>
      <c r="P88" s="46"/>
    </row>
    <row r="89" spans="2:16" s="627" customFormat="1" hidden="1" outlineLevel="2">
      <c r="B89" s="1189"/>
      <c r="D89" s="1879" t="str">
        <f t="shared" si="8"/>
        <v>&lt;TNSP specified&gt;</v>
      </c>
      <c r="E89" s="1876" t="s">
        <v>88</v>
      </c>
      <c r="F89" s="1182"/>
      <c r="I89" s="1614"/>
      <c r="J89" s="1540" t="str">
        <f t="shared" ref="J89:J91" si="13">IF(ISNONTEXT(F89)=TRUE,"","X")</f>
        <v/>
      </c>
      <c r="K89" s="1694"/>
      <c r="L89" s="1539" t="str">
        <f t="shared" si="10"/>
        <v/>
      </c>
      <c r="N89" s="46"/>
      <c r="O89" s="46"/>
      <c r="P89" s="46"/>
    </row>
    <row r="90" spans="2:16" s="627" customFormat="1" hidden="1" outlineLevel="2">
      <c r="B90" s="1189"/>
      <c r="D90" s="1879" t="str">
        <f t="shared" si="8"/>
        <v>&lt;TNSP specified&gt;</v>
      </c>
      <c r="E90" s="1876" t="s">
        <v>88</v>
      </c>
      <c r="F90" s="1182"/>
      <c r="I90" s="1614"/>
      <c r="J90" s="1540" t="str">
        <f t="shared" si="13"/>
        <v/>
      </c>
      <c r="K90" s="1694"/>
      <c r="L90" s="1539" t="str">
        <f t="shared" si="10"/>
        <v/>
      </c>
      <c r="N90" s="46"/>
      <c r="O90" s="46"/>
      <c r="P90" s="46"/>
    </row>
    <row r="91" spans="2:16" s="627" customFormat="1" hidden="1" outlineLevel="2">
      <c r="B91" s="1189"/>
      <c r="D91" s="1879" t="str">
        <f t="shared" si="8"/>
        <v>&lt;TNSP specified&gt;</v>
      </c>
      <c r="E91" s="1876" t="s">
        <v>88</v>
      </c>
      <c r="F91" s="1182"/>
      <c r="I91" s="1614"/>
      <c r="J91" s="1540" t="str">
        <f t="shared" si="13"/>
        <v/>
      </c>
      <c r="K91" s="1694"/>
      <c r="L91" s="1539" t="str">
        <f t="shared" si="10"/>
        <v/>
      </c>
      <c r="N91" s="46"/>
      <c r="O91" s="46"/>
      <c r="P91" s="46"/>
    </row>
    <row r="92" spans="2:16" s="627" customFormat="1" hidden="1" outlineLevel="2">
      <c r="B92" s="1189"/>
      <c r="D92" s="1879" t="str">
        <f t="shared" si="8"/>
        <v>&lt;TNSP specified&gt;</v>
      </c>
      <c r="E92" s="1876" t="s">
        <v>88</v>
      </c>
      <c r="F92" s="1182"/>
      <c r="I92" s="1614"/>
      <c r="J92" s="1540" t="str">
        <f t="shared" ref="J92:J94" si="14">IF(ISNONTEXT(F92)=TRUE,"","X")</f>
        <v/>
      </c>
      <c r="K92" s="1694"/>
      <c r="L92" s="1539" t="str">
        <f t="shared" si="10"/>
        <v/>
      </c>
      <c r="N92" s="46"/>
      <c r="O92" s="46"/>
      <c r="P92" s="46"/>
    </row>
    <row r="93" spans="2:16" s="627" customFormat="1" hidden="1" outlineLevel="2">
      <c r="B93" s="1189"/>
      <c r="D93" s="1879" t="str">
        <f t="shared" si="8"/>
        <v>&lt;TNSP specified&gt;</v>
      </c>
      <c r="E93" s="1876" t="s">
        <v>88</v>
      </c>
      <c r="F93" s="1182"/>
      <c r="I93" s="1614"/>
      <c r="J93" s="1540" t="str">
        <f t="shared" si="14"/>
        <v/>
      </c>
      <c r="K93" s="1694"/>
      <c r="L93" s="1539" t="str">
        <f t="shared" si="10"/>
        <v/>
      </c>
      <c r="N93" s="46"/>
      <c r="O93" s="46"/>
      <c r="P93" s="46"/>
    </row>
    <row r="94" spans="2:16" s="627" customFormat="1" hidden="1" outlineLevel="2">
      <c r="B94" s="1189"/>
      <c r="D94" s="1879" t="str">
        <f t="shared" si="8"/>
        <v>&lt;TNSP specified&gt;</v>
      </c>
      <c r="E94" s="1876" t="s">
        <v>88</v>
      </c>
      <c r="F94" s="1182"/>
      <c r="I94" s="1614"/>
      <c r="J94" s="1540" t="str">
        <f t="shared" si="14"/>
        <v/>
      </c>
      <c r="K94" s="1694"/>
      <c r="L94" s="1539" t="str">
        <f t="shared" si="10"/>
        <v/>
      </c>
      <c r="N94" s="46"/>
      <c r="O94" s="46"/>
      <c r="P94" s="46"/>
    </row>
    <row r="95" spans="2:16" s="627" customFormat="1" hidden="1" outlineLevel="2">
      <c r="B95" s="1189"/>
      <c r="D95" s="1879" t="str">
        <f t="shared" si="8"/>
        <v>&lt;TNSP specified&gt;</v>
      </c>
      <c r="E95" s="1876" t="s">
        <v>88</v>
      </c>
      <c r="F95" s="1182"/>
      <c r="I95" s="1614"/>
      <c r="J95" s="1540" t="str">
        <f t="shared" si="7"/>
        <v/>
      </c>
      <c r="K95" s="1694"/>
      <c r="L95" s="1539" t="str">
        <f t="shared" si="10"/>
        <v/>
      </c>
      <c r="N95" s="46"/>
      <c r="O95" s="46"/>
      <c r="P95" s="46"/>
    </row>
    <row r="96" spans="2:16" s="627" customFormat="1" hidden="1" outlineLevel="2">
      <c r="B96" s="1189"/>
      <c r="D96" s="1879" t="str">
        <f t="shared" si="8"/>
        <v>&lt;TNSP specified&gt;</v>
      </c>
      <c r="E96" s="1876" t="s">
        <v>88</v>
      </c>
      <c r="F96" s="1182"/>
      <c r="I96" s="1614"/>
      <c r="J96" s="1540" t="str">
        <f t="shared" si="7"/>
        <v/>
      </c>
      <c r="K96" s="1694"/>
      <c r="L96" s="1539" t="str">
        <f t="shared" si="10"/>
        <v/>
      </c>
      <c r="N96" s="46"/>
      <c r="O96" s="46"/>
      <c r="P96" s="46"/>
    </row>
    <row r="97" spans="1:16" s="627" customFormat="1" outlineLevel="1" collapsed="1">
      <c r="B97" s="1189"/>
      <c r="D97" s="1879" t="str">
        <f t="shared" si="8"/>
        <v>&lt;TNSP specified&gt;</v>
      </c>
      <c r="E97" s="1876" t="s">
        <v>88</v>
      </c>
      <c r="F97" s="1182"/>
      <c r="I97" s="1614"/>
      <c r="J97" s="1540" t="str">
        <f t="shared" si="7"/>
        <v/>
      </c>
      <c r="K97" s="1694"/>
      <c r="L97" s="1539" t="str">
        <f t="shared" si="10"/>
        <v/>
      </c>
      <c r="N97" s="46"/>
      <c r="O97" s="46"/>
      <c r="P97" s="46"/>
    </row>
    <row r="98" spans="1:16" s="627" customFormat="1" outlineLevel="1">
      <c r="A98" s="1666" t="s">
        <v>1487</v>
      </c>
      <c r="B98" s="1189"/>
      <c r="D98" s="1880" t="str">
        <f t="shared" si="8"/>
        <v>&lt;TNSP specified&gt;</v>
      </c>
      <c r="E98" s="1877" t="s">
        <v>88</v>
      </c>
      <c r="F98" s="1183"/>
      <c r="I98" s="1615"/>
      <c r="J98" s="1542" t="str">
        <f t="shared" si="7"/>
        <v/>
      </c>
      <c r="K98" s="1699"/>
      <c r="L98" s="1541" t="str">
        <f t="shared" si="10"/>
        <v/>
      </c>
      <c r="N98" s="46"/>
      <c r="O98" s="46"/>
      <c r="P98" s="46"/>
    </row>
    <row r="99" spans="1:16" s="627" customFormat="1" outlineLevel="1">
      <c r="B99" s="1189"/>
      <c r="D99" s="1174" t="s">
        <v>1291</v>
      </c>
      <c r="N99" s="46"/>
      <c r="O99" s="46"/>
      <c r="P99" s="46"/>
    </row>
    <row r="100" spans="1:16" s="627" customFormat="1" ht="15" customHeight="1" outlineLevel="1">
      <c r="B100" s="1189"/>
      <c r="D100" s="1884" t="str">
        <f>D13</f>
        <v>&lt;TNSP specified&gt;</v>
      </c>
      <c r="E100" s="1175" t="s">
        <v>88</v>
      </c>
      <c r="F100" s="1886">
        <f>F13-F57</f>
        <v>0</v>
      </c>
      <c r="I100" s="1613"/>
      <c r="J100" s="1616"/>
      <c r="K100" s="1701"/>
      <c r="L100" s="1700"/>
      <c r="N100" s="46"/>
      <c r="O100" s="46"/>
      <c r="P100" s="46"/>
    </row>
    <row r="101" spans="1:16" s="627" customFormat="1" outlineLevel="1">
      <c r="B101" s="1189"/>
      <c r="D101" s="1885" t="str">
        <f t="shared" ref="D101:D141" si="15">D14</f>
        <v>&lt;TNSP specified&gt;</v>
      </c>
      <c r="E101" s="1176" t="s">
        <v>88</v>
      </c>
      <c r="F101" s="1887">
        <f t="shared" ref="F101:F141" si="16">F14-F58</f>
        <v>0</v>
      </c>
      <c r="I101" s="1614"/>
      <c r="J101" s="1617"/>
      <c r="K101" s="1702"/>
      <c r="L101" s="1703"/>
      <c r="N101" s="46"/>
      <c r="O101" s="46"/>
      <c r="P101" s="46"/>
    </row>
    <row r="102" spans="1:16" s="627" customFormat="1" outlineLevel="1">
      <c r="B102" s="1189"/>
      <c r="D102" s="1885" t="str">
        <f t="shared" si="15"/>
        <v>&lt;TNSP specified&gt;</v>
      </c>
      <c r="E102" s="1176" t="s">
        <v>88</v>
      </c>
      <c r="F102" s="1887">
        <f t="shared" si="16"/>
        <v>0</v>
      </c>
      <c r="I102" s="1614"/>
      <c r="J102" s="1617"/>
      <c r="K102" s="1702"/>
      <c r="L102" s="1703"/>
      <c r="N102" s="46"/>
      <c r="O102" s="46"/>
      <c r="P102" s="46"/>
    </row>
    <row r="103" spans="1:16" s="627" customFormat="1" outlineLevel="1">
      <c r="B103" s="1189"/>
      <c r="D103" s="1885" t="str">
        <f t="shared" si="15"/>
        <v>&lt;TNSP specified&gt;</v>
      </c>
      <c r="E103" s="1176" t="s">
        <v>88</v>
      </c>
      <c r="F103" s="1887">
        <f t="shared" si="16"/>
        <v>0</v>
      </c>
      <c r="I103" s="1614"/>
      <c r="J103" s="1617"/>
      <c r="K103" s="1702"/>
      <c r="L103" s="1703"/>
      <c r="N103" s="46"/>
      <c r="O103" s="46"/>
      <c r="P103" s="46"/>
    </row>
    <row r="104" spans="1:16" s="627" customFormat="1" outlineLevel="1">
      <c r="B104" s="1189"/>
      <c r="D104" s="1885" t="str">
        <f t="shared" si="15"/>
        <v>&lt;TNSP specified&gt;</v>
      </c>
      <c r="E104" s="1176" t="s">
        <v>88</v>
      </c>
      <c r="F104" s="1887">
        <f t="shared" si="16"/>
        <v>0</v>
      </c>
      <c r="I104" s="1614"/>
      <c r="J104" s="1617"/>
      <c r="K104" s="1702"/>
      <c r="L104" s="1703"/>
      <c r="N104" s="46"/>
      <c r="O104" s="46"/>
      <c r="P104" s="46"/>
    </row>
    <row r="105" spans="1:16" s="627" customFormat="1" outlineLevel="1">
      <c r="B105" s="1189"/>
      <c r="D105" s="1885" t="str">
        <f t="shared" si="15"/>
        <v>&lt;TNSP specified&gt;</v>
      </c>
      <c r="E105" s="1176" t="s">
        <v>88</v>
      </c>
      <c r="F105" s="1887">
        <f t="shared" si="16"/>
        <v>0</v>
      </c>
      <c r="I105" s="1614"/>
      <c r="J105" s="1617"/>
      <c r="K105" s="1702"/>
      <c r="L105" s="1703"/>
      <c r="N105" s="46"/>
      <c r="O105" s="46"/>
      <c r="P105" s="46"/>
    </row>
    <row r="106" spans="1:16" s="627" customFormat="1" hidden="1" outlineLevel="2">
      <c r="A106" s="1681"/>
      <c r="B106" s="1189"/>
      <c r="D106" s="1885" t="str">
        <f t="shared" si="15"/>
        <v>&lt;TNSP specified&gt;</v>
      </c>
      <c r="E106" s="1176" t="s">
        <v>88</v>
      </c>
      <c r="F106" s="1887">
        <f t="shared" si="16"/>
        <v>0</v>
      </c>
      <c r="I106" s="1614"/>
      <c r="J106" s="1617"/>
      <c r="K106" s="1702"/>
      <c r="L106" s="1703"/>
      <c r="N106" s="46"/>
      <c r="O106" s="46"/>
      <c r="P106" s="46"/>
    </row>
    <row r="107" spans="1:16" s="627" customFormat="1" hidden="1" outlineLevel="2">
      <c r="B107" s="1189"/>
      <c r="D107" s="1885" t="str">
        <f t="shared" si="15"/>
        <v>&lt;TNSP specified&gt;</v>
      </c>
      <c r="E107" s="1176" t="s">
        <v>88</v>
      </c>
      <c r="F107" s="1887">
        <f t="shared" si="16"/>
        <v>0</v>
      </c>
      <c r="I107" s="1614"/>
      <c r="J107" s="1617"/>
      <c r="K107" s="1702"/>
      <c r="L107" s="1703"/>
      <c r="N107" s="46"/>
      <c r="O107" s="46"/>
      <c r="P107" s="46"/>
    </row>
    <row r="108" spans="1:16" s="627" customFormat="1" hidden="1" outlineLevel="2">
      <c r="B108" s="1189"/>
      <c r="D108" s="1885" t="str">
        <f t="shared" si="15"/>
        <v>&lt;TNSP specified&gt;</v>
      </c>
      <c r="E108" s="1176" t="s">
        <v>88</v>
      </c>
      <c r="F108" s="1887">
        <f t="shared" si="16"/>
        <v>0</v>
      </c>
      <c r="I108" s="1614"/>
      <c r="J108" s="1617"/>
      <c r="K108" s="1702"/>
      <c r="L108" s="1703"/>
      <c r="N108" s="46"/>
      <c r="O108" s="46"/>
      <c r="P108" s="46"/>
    </row>
    <row r="109" spans="1:16" s="627" customFormat="1" hidden="1" outlineLevel="2">
      <c r="B109" s="1189"/>
      <c r="D109" s="1885" t="str">
        <f t="shared" si="15"/>
        <v>&lt;TNSP specified&gt;</v>
      </c>
      <c r="E109" s="1176" t="s">
        <v>88</v>
      </c>
      <c r="F109" s="1887">
        <f t="shared" si="16"/>
        <v>0</v>
      </c>
      <c r="I109" s="1614"/>
      <c r="J109" s="1617"/>
      <c r="K109" s="1702"/>
      <c r="L109" s="1703"/>
      <c r="N109" s="46"/>
      <c r="O109" s="46"/>
      <c r="P109" s="46"/>
    </row>
    <row r="110" spans="1:16" s="627" customFormat="1" hidden="1" outlineLevel="2">
      <c r="B110" s="1189"/>
      <c r="D110" s="1885" t="str">
        <f t="shared" si="15"/>
        <v>&lt;TNSP specified&gt;</v>
      </c>
      <c r="E110" s="1176" t="s">
        <v>88</v>
      </c>
      <c r="F110" s="1887">
        <f t="shared" si="16"/>
        <v>0</v>
      </c>
      <c r="I110" s="1614"/>
      <c r="J110" s="1617"/>
      <c r="K110" s="1702"/>
      <c r="L110" s="1703"/>
      <c r="N110" s="46"/>
      <c r="O110" s="46"/>
      <c r="P110" s="46"/>
    </row>
    <row r="111" spans="1:16" s="627" customFormat="1" hidden="1" outlineLevel="2">
      <c r="B111" s="1189"/>
      <c r="D111" s="1885" t="str">
        <f t="shared" si="15"/>
        <v>&lt;TNSP specified&gt;</v>
      </c>
      <c r="E111" s="1176" t="s">
        <v>88</v>
      </c>
      <c r="F111" s="1887">
        <f t="shared" si="16"/>
        <v>0</v>
      </c>
      <c r="I111" s="1614"/>
      <c r="J111" s="1617"/>
      <c r="K111" s="1702"/>
      <c r="L111" s="1703"/>
      <c r="N111" s="46"/>
      <c r="O111" s="46"/>
      <c r="P111" s="46"/>
    </row>
    <row r="112" spans="1:16" s="627" customFormat="1" hidden="1" outlineLevel="2">
      <c r="A112" s="1681"/>
      <c r="B112" s="1189"/>
      <c r="D112" s="1885" t="str">
        <f t="shared" si="15"/>
        <v>&lt;TNSP specified&gt;</v>
      </c>
      <c r="E112" s="1176" t="s">
        <v>88</v>
      </c>
      <c r="F112" s="1887">
        <f t="shared" si="16"/>
        <v>0</v>
      </c>
      <c r="I112" s="1614"/>
      <c r="J112" s="1617"/>
      <c r="K112" s="1702"/>
      <c r="L112" s="1703"/>
      <c r="N112" s="46"/>
      <c r="O112" s="46"/>
      <c r="P112" s="46"/>
    </row>
    <row r="113" spans="1:16" s="627" customFormat="1" hidden="1" outlineLevel="2">
      <c r="B113" s="1189"/>
      <c r="D113" s="1885" t="str">
        <f t="shared" si="15"/>
        <v>&lt;TNSP specified&gt;</v>
      </c>
      <c r="E113" s="1176" t="s">
        <v>88</v>
      </c>
      <c r="F113" s="1887">
        <f t="shared" si="16"/>
        <v>0</v>
      </c>
      <c r="I113" s="1614"/>
      <c r="J113" s="1617"/>
      <c r="K113" s="1702"/>
      <c r="L113" s="1703"/>
      <c r="N113" s="46"/>
      <c r="O113" s="46"/>
      <c r="P113" s="46"/>
    </row>
    <row r="114" spans="1:16" s="627" customFormat="1" hidden="1" outlineLevel="2">
      <c r="B114" s="1189"/>
      <c r="D114" s="1885" t="str">
        <f t="shared" si="15"/>
        <v>&lt;TNSP specified&gt;</v>
      </c>
      <c r="E114" s="1176" t="s">
        <v>88</v>
      </c>
      <c r="F114" s="1887">
        <f t="shared" si="16"/>
        <v>0</v>
      </c>
      <c r="I114" s="1614"/>
      <c r="J114" s="1617"/>
      <c r="K114" s="1702"/>
      <c r="L114" s="1703"/>
      <c r="N114" s="46"/>
      <c r="O114" s="46"/>
      <c r="P114" s="46"/>
    </row>
    <row r="115" spans="1:16" s="627" customFormat="1" hidden="1" outlineLevel="2">
      <c r="B115" s="1189"/>
      <c r="D115" s="1885" t="str">
        <f t="shared" si="15"/>
        <v>&lt;TNSP specified&gt;</v>
      </c>
      <c r="E115" s="1176" t="s">
        <v>88</v>
      </c>
      <c r="F115" s="1887">
        <f t="shared" si="16"/>
        <v>0</v>
      </c>
      <c r="I115" s="1614"/>
      <c r="J115" s="1617"/>
      <c r="K115" s="1702"/>
      <c r="L115" s="1703"/>
      <c r="N115" s="46"/>
      <c r="O115" s="46"/>
      <c r="P115" s="46"/>
    </row>
    <row r="116" spans="1:16" s="627" customFormat="1" hidden="1" outlineLevel="2">
      <c r="B116" s="1189"/>
      <c r="D116" s="1885" t="str">
        <f t="shared" si="15"/>
        <v>&lt;TNSP specified&gt;</v>
      </c>
      <c r="E116" s="1176" t="s">
        <v>88</v>
      </c>
      <c r="F116" s="1887">
        <f t="shared" si="16"/>
        <v>0</v>
      </c>
      <c r="I116" s="1614"/>
      <c r="J116" s="1617"/>
      <c r="K116" s="1702"/>
      <c r="L116" s="1703"/>
      <c r="N116" s="46"/>
      <c r="O116" s="46"/>
      <c r="P116" s="46"/>
    </row>
    <row r="117" spans="1:16" s="627" customFormat="1" hidden="1" outlineLevel="2">
      <c r="B117" s="1189"/>
      <c r="D117" s="1885" t="str">
        <f t="shared" si="15"/>
        <v>&lt;TNSP specified&gt;</v>
      </c>
      <c r="E117" s="1176" t="s">
        <v>88</v>
      </c>
      <c r="F117" s="1887">
        <f t="shared" si="16"/>
        <v>0</v>
      </c>
      <c r="I117" s="1614"/>
      <c r="J117" s="1617"/>
      <c r="K117" s="1702"/>
      <c r="L117" s="1703"/>
      <c r="N117" s="46"/>
      <c r="O117" s="46"/>
      <c r="P117" s="46"/>
    </row>
    <row r="118" spans="1:16" s="627" customFormat="1" hidden="1" outlineLevel="2">
      <c r="A118" s="1681"/>
      <c r="B118" s="1189"/>
      <c r="D118" s="1885" t="str">
        <f t="shared" si="15"/>
        <v>&lt;TNSP specified&gt;</v>
      </c>
      <c r="E118" s="1176" t="s">
        <v>88</v>
      </c>
      <c r="F118" s="1887">
        <f t="shared" si="16"/>
        <v>0</v>
      </c>
      <c r="I118" s="1614"/>
      <c r="J118" s="1617"/>
      <c r="K118" s="1702"/>
      <c r="L118" s="1703"/>
      <c r="N118" s="46"/>
      <c r="O118" s="46"/>
      <c r="P118" s="46"/>
    </row>
    <row r="119" spans="1:16" s="627" customFormat="1" hidden="1" outlineLevel="2">
      <c r="B119" s="1189"/>
      <c r="D119" s="1885" t="str">
        <f t="shared" si="15"/>
        <v>&lt;TNSP specified&gt;</v>
      </c>
      <c r="E119" s="1176" t="s">
        <v>88</v>
      </c>
      <c r="F119" s="1887">
        <f t="shared" si="16"/>
        <v>0</v>
      </c>
      <c r="I119" s="1614"/>
      <c r="J119" s="1617"/>
      <c r="K119" s="1702"/>
      <c r="L119" s="1703"/>
      <c r="N119" s="46"/>
      <c r="O119" s="46"/>
      <c r="P119" s="46"/>
    </row>
    <row r="120" spans="1:16" s="627" customFormat="1" hidden="1" outlineLevel="2">
      <c r="B120" s="1189"/>
      <c r="D120" s="1885" t="str">
        <f t="shared" si="15"/>
        <v>&lt;TNSP specified&gt;</v>
      </c>
      <c r="E120" s="1176" t="s">
        <v>88</v>
      </c>
      <c r="F120" s="1887">
        <f t="shared" si="16"/>
        <v>0</v>
      </c>
      <c r="I120" s="1614"/>
      <c r="J120" s="1617"/>
      <c r="K120" s="1702"/>
      <c r="L120" s="1703"/>
      <c r="N120" s="46"/>
      <c r="O120" s="46"/>
      <c r="P120" s="46"/>
    </row>
    <row r="121" spans="1:16" s="627" customFormat="1" hidden="1" outlineLevel="2">
      <c r="B121" s="1189"/>
      <c r="D121" s="1885" t="str">
        <f t="shared" si="15"/>
        <v>&lt;TNSP specified&gt;</v>
      </c>
      <c r="E121" s="1176" t="s">
        <v>88</v>
      </c>
      <c r="F121" s="1887">
        <f t="shared" si="16"/>
        <v>0</v>
      </c>
      <c r="I121" s="1614"/>
      <c r="J121" s="1617"/>
      <c r="K121" s="1702"/>
      <c r="L121" s="1703"/>
      <c r="N121" s="46"/>
      <c r="O121" s="46"/>
      <c r="P121" s="46"/>
    </row>
    <row r="122" spans="1:16" s="627" customFormat="1" hidden="1" outlineLevel="2">
      <c r="B122" s="1189"/>
      <c r="D122" s="1885" t="str">
        <f t="shared" si="15"/>
        <v>&lt;TNSP specified&gt;</v>
      </c>
      <c r="E122" s="1176" t="s">
        <v>88</v>
      </c>
      <c r="F122" s="1887">
        <f t="shared" si="16"/>
        <v>0</v>
      </c>
      <c r="I122" s="1614"/>
      <c r="J122" s="1617"/>
      <c r="K122" s="1702"/>
      <c r="L122" s="1703"/>
      <c r="N122" s="46"/>
      <c r="O122" s="46"/>
      <c r="P122" s="46"/>
    </row>
    <row r="123" spans="1:16" s="627" customFormat="1" hidden="1" outlineLevel="2">
      <c r="A123" s="1681"/>
      <c r="B123" s="1189"/>
      <c r="D123" s="1885" t="str">
        <f t="shared" si="15"/>
        <v>&lt;TNSP specified&gt;</v>
      </c>
      <c r="E123" s="1176" t="s">
        <v>88</v>
      </c>
      <c r="F123" s="1887">
        <f t="shared" si="16"/>
        <v>0</v>
      </c>
      <c r="I123" s="1614"/>
      <c r="J123" s="1617"/>
      <c r="K123" s="1702"/>
      <c r="L123" s="1703"/>
      <c r="N123" s="46"/>
      <c r="O123" s="46"/>
      <c r="P123" s="46"/>
    </row>
    <row r="124" spans="1:16" s="627" customFormat="1" hidden="1" outlineLevel="2">
      <c r="B124" s="1189"/>
      <c r="D124" s="1885" t="str">
        <f t="shared" si="15"/>
        <v>&lt;TNSP specified&gt;</v>
      </c>
      <c r="E124" s="1176" t="s">
        <v>88</v>
      </c>
      <c r="F124" s="1887">
        <f t="shared" si="16"/>
        <v>0</v>
      </c>
      <c r="I124" s="1614"/>
      <c r="J124" s="1617"/>
      <c r="K124" s="1702"/>
      <c r="L124" s="1703"/>
      <c r="N124" s="46"/>
      <c r="O124" s="46"/>
      <c r="P124" s="46"/>
    </row>
    <row r="125" spans="1:16" s="627" customFormat="1" hidden="1" outlineLevel="2">
      <c r="B125" s="1189"/>
      <c r="D125" s="1885" t="str">
        <f t="shared" si="15"/>
        <v>&lt;TNSP specified&gt;</v>
      </c>
      <c r="E125" s="1176" t="s">
        <v>88</v>
      </c>
      <c r="F125" s="1887">
        <f t="shared" si="16"/>
        <v>0</v>
      </c>
      <c r="I125" s="1614"/>
      <c r="J125" s="1617"/>
      <c r="K125" s="1702"/>
      <c r="L125" s="1703"/>
      <c r="N125" s="46"/>
      <c r="O125" s="46"/>
      <c r="P125" s="46"/>
    </row>
    <row r="126" spans="1:16" s="627" customFormat="1" hidden="1" outlineLevel="2">
      <c r="B126" s="1189"/>
      <c r="D126" s="1885" t="str">
        <f t="shared" si="15"/>
        <v>&lt;TNSP specified&gt;</v>
      </c>
      <c r="E126" s="1176" t="s">
        <v>88</v>
      </c>
      <c r="F126" s="1887">
        <f t="shared" si="16"/>
        <v>0</v>
      </c>
      <c r="I126" s="1614"/>
      <c r="J126" s="1617"/>
      <c r="K126" s="1702"/>
      <c r="L126" s="1703"/>
      <c r="N126" s="46"/>
      <c r="O126" s="46"/>
      <c r="P126" s="46"/>
    </row>
    <row r="127" spans="1:16" s="627" customFormat="1" hidden="1" outlineLevel="2">
      <c r="B127" s="1189"/>
      <c r="D127" s="1885" t="str">
        <f t="shared" si="15"/>
        <v>&lt;TNSP specified&gt;</v>
      </c>
      <c r="E127" s="1176" t="s">
        <v>88</v>
      </c>
      <c r="F127" s="1887">
        <f t="shared" si="16"/>
        <v>0</v>
      </c>
      <c r="I127" s="1614"/>
      <c r="J127" s="1617"/>
      <c r="K127" s="1702"/>
      <c r="L127" s="1703"/>
      <c r="N127" s="46"/>
      <c r="O127" s="46"/>
      <c r="P127" s="46"/>
    </row>
    <row r="128" spans="1:16" s="627" customFormat="1" hidden="1" outlineLevel="2">
      <c r="B128" s="1189"/>
      <c r="D128" s="1885" t="str">
        <f t="shared" si="15"/>
        <v>&lt;TNSP specified&gt;</v>
      </c>
      <c r="E128" s="1176" t="s">
        <v>88</v>
      </c>
      <c r="F128" s="1887">
        <f t="shared" si="16"/>
        <v>0</v>
      </c>
      <c r="I128" s="1614"/>
      <c r="J128" s="1617"/>
      <c r="K128" s="1702"/>
      <c r="L128" s="1703"/>
      <c r="N128" s="46"/>
      <c r="O128" s="46"/>
      <c r="P128" s="46"/>
    </row>
    <row r="129" spans="1:16" s="627" customFormat="1" hidden="1" outlineLevel="2">
      <c r="A129" s="1681"/>
      <c r="B129" s="1189"/>
      <c r="D129" s="1885" t="str">
        <f t="shared" si="15"/>
        <v>&lt;TNSP specified&gt;</v>
      </c>
      <c r="E129" s="1176" t="s">
        <v>88</v>
      </c>
      <c r="F129" s="1887">
        <f t="shared" si="16"/>
        <v>0</v>
      </c>
      <c r="I129" s="1614"/>
      <c r="J129" s="1617"/>
      <c r="K129" s="1702"/>
      <c r="L129" s="1703"/>
      <c r="N129" s="46"/>
      <c r="O129" s="46"/>
      <c r="P129" s="46"/>
    </row>
    <row r="130" spans="1:16" s="627" customFormat="1" hidden="1" outlineLevel="2">
      <c r="B130" s="1189"/>
      <c r="D130" s="1885" t="str">
        <f t="shared" si="15"/>
        <v>&lt;TNSP specified&gt;</v>
      </c>
      <c r="E130" s="1176" t="s">
        <v>88</v>
      </c>
      <c r="F130" s="1887">
        <f t="shared" si="16"/>
        <v>0</v>
      </c>
      <c r="I130" s="1614"/>
      <c r="J130" s="1617"/>
      <c r="K130" s="1702"/>
      <c r="L130" s="1703"/>
      <c r="N130" s="46"/>
      <c r="O130" s="46"/>
      <c r="P130" s="46"/>
    </row>
    <row r="131" spans="1:16" s="627" customFormat="1" hidden="1" outlineLevel="2">
      <c r="B131" s="1189"/>
      <c r="D131" s="1885" t="str">
        <f t="shared" si="15"/>
        <v>&lt;TNSP specified&gt;</v>
      </c>
      <c r="E131" s="1176" t="s">
        <v>88</v>
      </c>
      <c r="F131" s="1887">
        <f t="shared" si="16"/>
        <v>0</v>
      </c>
      <c r="I131" s="1614"/>
      <c r="J131" s="1617"/>
      <c r="K131" s="1702"/>
      <c r="L131" s="1703"/>
      <c r="N131" s="46"/>
      <c r="O131" s="46"/>
      <c r="P131" s="46"/>
    </row>
    <row r="132" spans="1:16" s="627" customFormat="1" hidden="1" outlineLevel="2">
      <c r="B132" s="1189"/>
      <c r="D132" s="1885" t="str">
        <f t="shared" si="15"/>
        <v>&lt;TNSP specified&gt;</v>
      </c>
      <c r="E132" s="1176" t="s">
        <v>88</v>
      </c>
      <c r="F132" s="1887">
        <f t="shared" si="16"/>
        <v>0</v>
      </c>
      <c r="I132" s="1614"/>
      <c r="J132" s="1617"/>
      <c r="K132" s="1702"/>
      <c r="L132" s="1703"/>
      <c r="N132" s="46"/>
      <c r="O132" s="46"/>
      <c r="P132" s="46"/>
    </row>
    <row r="133" spans="1:16" s="627" customFormat="1" hidden="1" outlineLevel="2">
      <c r="B133" s="1189"/>
      <c r="D133" s="1885" t="str">
        <f t="shared" si="15"/>
        <v>&lt;TNSP specified&gt;</v>
      </c>
      <c r="E133" s="1176" t="s">
        <v>88</v>
      </c>
      <c r="F133" s="1887">
        <f t="shared" si="16"/>
        <v>0</v>
      </c>
      <c r="I133" s="1614"/>
      <c r="J133" s="1617"/>
      <c r="K133" s="1702"/>
      <c r="L133" s="1703"/>
      <c r="N133" s="46"/>
      <c r="O133" s="46"/>
      <c r="P133" s="46"/>
    </row>
    <row r="134" spans="1:16" s="627" customFormat="1" hidden="1" outlineLevel="2">
      <c r="A134" s="1681"/>
      <c r="B134" s="1189"/>
      <c r="D134" s="1885" t="str">
        <f t="shared" si="15"/>
        <v>&lt;TNSP specified&gt;</v>
      </c>
      <c r="E134" s="1176" t="s">
        <v>88</v>
      </c>
      <c r="F134" s="1887">
        <f t="shared" si="16"/>
        <v>0</v>
      </c>
      <c r="I134" s="1614"/>
      <c r="J134" s="1617"/>
      <c r="K134" s="1702"/>
      <c r="L134" s="1703"/>
      <c r="N134" s="46"/>
      <c r="O134" s="46"/>
      <c r="P134" s="46"/>
    </row>
    <row r="135" spans="1:16" s="627" customFormat="1" hidden="1" outlineLevel="2">
      <c r="B135" s="1189"/>
      <c r="D135" s="1885" t="str">
        <f t="shared" si="15"/>
        <v>&lt;TNSP specified&gt;</v>
      </c>
      <c r="E135" s="1176" t="s">
        <v>88</v>
      </c>
      <c r="F135" s="1887">
        <f t="shared" si="16"/>
        <v>0</v>
      </c>
      <c r="I135" s="1614"/>
      <c r="J135" s="1617"/>
      <c r="K135" s="1702"/>
      <c r="L135" s="1703"/>
      <c r="N135" s="46"/>
      <c r="O135" s="46"/>
      <c r="P135" s="46"/>
    </row>
    <row r="136" spans="1:16" s="627" customFormat="1" hidden="1" outlineLevel="2">
      <c r="B136" s="1189"/>
      <c r="D136" s="1885" t="str">
        <f t="shared" si="15"/>
        <v>&lt;TNSP specified&gt;</v>
      </c>
      <c r="E136" s="1176" t="s">
        <v>88</v>
      </c>
      <c r="F136" s="1887">
        <f t="shared" si="16"/>
        <v>0</v>
      </c>
      <c r="I136" s="1614"/>
      <c r="J136" s="1617"/>
      <c r="K136" s="1702"/>
      <c r="L136" s="1703"/>
      <c r="N136" s="46"/>
      <c r="O136" s="46"/>
      <c r="P136" s="46"/>
    </row>
    <row r="137" spans="1:16" s="627" customFormat="1" hidden="1" outlineLevel="2">
      <c r="B137" s="1189"/>
      <c r="D137" s="1885" t="str">
        <f t="shared" si="15"/>
        <v>&lt;TNSP specified&gt;</v>
      </c>
      <c r="E137" s="1176" t="s">
        <v>88</v>
      </c>
      <c r="F137" s="1887">
        <f t="shared" si="16"/>
        <v>0</v>
      </c>
      <c r="I137" s="1614"/>
      <c r="J137" s="1617"/>
      <c r="K137" s="1702"/>
      <c r="L137" s="1703"/>
      <c r="N137" s="46"/>
      <c r="O137" s="46"/>
      <c r="P137" s="46"/>
    </row>
    <row r="138" spans="1:16" s="627" customFormat="1" hidden="1" outlineLevel="2">
      <c r="B138" s="1189"/>
      <c r="D138" s="1885" t="str">
        <f t="shared" si="15"/>
        <v>&lt;TNSP specified&gt;</v>
      </c>
      <c r="E138" s="1176" t="s">
        <v>88</v>
      </c>
      <c r="F138" s="1887">
        <f t="shared" si="16"/>
        <v>0</v>
      </c>
      <c r="I138" s="1614"/>
      <c r="J138" s="1617"/>
      <c r="K138" s="1702"/>
      <c r="L138" s="1703"/>
      <c r="N138" s="46"/>
      <c r="O138" s="46"/>
      <c r="P138" s="46"/>
    </row>
    <row r="139" spans="1:16" s="627" customFormat="1" hidden="1" outlineLevel="2">
      <c r="B139" s="1189"/>
      <c r="D139" s="1885" t="str">
        <f t="shared" si="15"/>
        <v>&lt;TNSP specified&gt;</v>
      </c>
      <c r="E139" s="1176" t="s">
        <v>88</v>
      </c>
      <c r="F139" s="1887">
        <f t="shared" si="16"/>
        <v>0</v>
      </c>
      <c r="I139" s="1614"/>
      <c r="J139" s="1617"/>
      <c r="K139" s="1702"/>
      <c r="L139" s="1703"/>
      <c r="N139" s="46"/>
      <c r="O139" s="46"/>
      <c r="P139" s="46"/>
    </row>
    <row r="140" spans="1:16" s="627" customFormat="1" outlineLevel="1" collapsed="1">
      <c r="A140" s="1666" t="s">
        <v>1487</v>
      </c>
      <c r="B140" s="1189"/>
      <c r="D140" s="1885" t="str">
        <f t="shared" si="15"/>
        <v>&lt;TNSP specified&gt;</v>
      </c>
      <c r="E140" s="1176" t="s">
        <v>88</v>
      </c>
      <c r="F140" s="1887">
        <f t="shared" si="16"/>
        <v>0</v>
      </c>
      <c r="I140" s="1614"/>
      <c r="J140" s="1617"/>
      <c r="K140" s="1702"/>
      <c r="L140" s="1703"/>
      <c r="N140" s="46"/>
      <c r="O140" s="46"/>
      <c r="P140" s="46"/>
    </row>
    <row r="141" spans="1:16" s="627" customFormat="1" outlineLevel="1">
      <c r="B141" s="1189"/>
      <c r="D141" s="1888" t="str">
        <f t="shared" si="15"/>
        <v>&lt;TNSP specified&gt;</v>
      </c>
      <c r="E141" s="1177" t="s">
        <v>88</v>
      </c>
      <c r="F141" s="1889">
        <f t="shared" si="16"/>
        <v>0</v>
      </c>
      <c r="I141" s="1615"/>
      <c r="J141" s="1618"/>
      <c r="K141" s="1704"/>
      <c r="L141" s="1705"/>
      <c r="N141" s="46"/>
      <c r="O141" s="46"/>
      <c r="P141" s="46"/>
    </row>
    <row r="142" spans="1:16" s="627" customFormat="1" outlineLevel="1">
      <c r="B142" s="1189"/>
      <c r="D142" s="1170" t="s">
        <v>1292</v>
      </c>
      <c r="I142" s="969"/>
      <c r="N142" s="46"/>
      <c r="O142" s="46"/>
      <c r="P142" s="46"/>
    </row>
    <row r="143" spans="1:16" s="627" customFormat="1" ht="15" customHeight="1" outlineLevel="1">
      <c r="B143" s="1189"/>
      <c r="D143" s="1884" t="str">
        <f>D13</f>
        <v>&lt;TNSP specified&gt;</v>
      </c>
      <c r="E143" s="1175" t="s">
        <v>88</v>
      </c>
      <c r="F143" s="1181"/>
      <c r="I143" s="1613"/>
      <c r="J143" s="1561" t="str">
        <f t="shared" ref="J143:J184" si="17">IF(ISNONTEXT(F143)=TRUE,"","X")</f>
        <v/>
      </c>
      <c r="K143" s="1559" t="str">
        <f>IF(F143&lt;&gt;""=TRUE,"","X")</f>
        <v>X</v>
      </c>
      <c r="L143" s="1700"/>
      <c r="N143" s="46"/>
      <c r="O143" s="46"/>
      <c r="P143" s="46"/>
    </row>
    <row r="144" spans="1:16" s="627" customFormat="1" outlineLevel="1">
      <c r="B144" s="1189"/>
      <c r="D144" s="1885" t="str">
        <f t="shared" ref="D144:D184" si="18">D14</f>
        <v>&lt;TNSP specified&gt;</v>
      </c>
      <c r="E144" s="1176" t="s">
        <v>88</v>
      </c>
      <c r="F144" s="1182"/>
      <c r="I144" s="1614"/>
      <c r="J144" s="1540" t="str">
        <f t="shared" si="17"/>
        <v/>
      </c>
      <c r="K144" s="1535"/>
      <c r="L144" s="1539" t="str">
        <f t="shared" ref="L144:L184" si="19">IF(AND(D144&lt;&gt;"",LEFT(D144,5)&lt;&gt;"&lt;TNSP",ISBLANK(F144))=TRUE,"X","")</f>
        <v/>
      </c>
    </row>
    <row r="145" spans="1:12" s="627" customFormat="1" outlineLevel="1">
      <c r="B145" s="1189"/>
      <c r="D145" s="1885" t="str">
        <f t="shared" si="18"/>
        <v>&lt;TNSP specified&gt;</v>
      </c>
      <c r="E145" s="1176" t="s">
        <v>88</v>
      </c>
      <c r="F145" s="1182"/>
      <c r="I145" s="1614"/>
      <c r="J145" s="1540" t="str">
        <f t="shared" si="17"/>
        <v/>
      </c>
      <c r="K145" s="1535"/>
      <c r="L145" s="1539" t="str">
        <f t="shared" si="19"/>
        <v/>
      </c>
    </row>
    <row r="146" spans="1:12" s="627" customFormat="1" outlineLevel="1">
      <c r="B146" s="1189"/>
      <c r="D146" s="1885" t="str">
        <f t="shared" si="18"/>
        <v>&lt;TNSP specified&gt;</v>
      </c>
      <c r="E146" s="1176" t="s">
        <v>88</v>
      </c>
      <c r="F146" s="1182"/>
      <c r="I146" s="1614"/>
      <c r="J146" s="1540" t="str">
        <f t="shared" si="17"/>
        <v/>
      </c>
      <c r="K146" s="1535"/>
      <c r="L146" s="1539" t="str">
        <f t="shared" si="19"/>
        <v/>
      </c>
    </row>
    <row r="147" spans="1:12" s="627" customFormat="1" outlineLevel="1">
      <c r="B147" s="1189"/>
      <c r="D147" s="1885" t="str">
        <f t="shared" si="18"/>
        <v>&lt;TNSP specified&gt;</v>
      </c>
      <c r="E147" s="1176" t="s">
        <v>88</v>
      </c>
      <c r="F147" s="1182"/>
      <c r="I147" s="1614"/>
      <c r="J147" s="1540" t="str">
        <f t="shared" si="17"/>
        <v/>
      </c>
      <c r="K147" s="1535"/>
      <c r="L147" s="1539" t="str">
        <f t="shared" si="19"/>
        <v/>
      </c>
    </row>
    <row r="148" spans="1:12" s="627" customFormat="1" outlineLevel="1">
      <c r="B148" s="1189"/>
      <c r="D148" s="1885" t="str">
        <f t="shared" si="18"/>
        <v>&lt;TNSP specified&gt;</v>
      </c>
      <c r="E148" s="1176" t="s">
        <v>88</v>
      </c>
      <c r="F148" s="1182"/>
      <c r="I148" s="1614"/>
      <c r="J148" s="1540" t="str">
        <f t="shared" si="17"/>
        <v/>
      </c>
      <c r="K148" s="1535"/>
      <c r="L148" s="1539" t="str">
        <f t="shared" si="19"/>
        <v/>
      </c>
    </row>
    <row r="149" spans="1:12" s="627" customFormat="1" hidden="1" outlineLevel="2">
      <c r="A149" s="1681"/>
      <c r="B149" s="1189"/>
      <c r="D149" s="1885" t="str">
        <f t="shared" si="18"/>
        <v>&lt;TNSP specified&gt;</v>
      </c>
      <c r="E149" s="1176" t="s">
        <v>88</v>
      </c>
      <c r="F149" s="1182"/>
      <c r="I149" s="1614"/>
      <c r="J149" s="1540" t="str">
        <f t="shared" si="17"/>
        <v/>
      </c>
      <c r="K149" s="1535"/>
      <c r="L149" s="1539" t="str">
        <f t="shared" si="19"/>
        <v/>
      </c>
    </row>
    <row r="150" spans="1:12" s="627" customFormat="1" hidden="1" outlineLevel="2">
      <c r="B150" s="1189"/>
      <c r="D150" s="1885" t="str">
        <f t="shared" si="18"/>
        <v>&lt;TNSP specified&gt;</v>
      </c>
      <c r="E150" s="1176" t="s">
        <v>88</v>
      </c>
      <c r="F150" s="1182"/>
      <c r="I150" s="1614"/>
      <c r="J150" s="1540" t="str">
        <f t="shared" si="17"/>
        <v/>
      </c>
      <c r="K150" s="1535"/>
      <c r="L150" s="1539" t="str">
        <f t="shared" si="19"/>
        <v/>
      </c>
    </row>
    <row r="151" spans="1:12" s="627" customFormat="1" hidden="1" outlineLevel="2">
      <c r="B151" s="1189"/>
      <c r="D151" s="1885" t="str">
        <f t="shared" si="18"/>
        <v>&lt;TNSP specified&gt;</v>
      </c>
      <c r="E151" s="1176" t="s">
        <v>88</v>
      </c>
      <c r="F151" s="1182"/>
      <c r="I151" s="1614"/>
      <c r="J151" s="1540" t="str">
        <f t="shared" si="17"/>
        <v/>
      </c>
      <c r="K151" s="1535"/>
      <c r="L151" s="1539" t="str">
        <f t="shared" si="19"/>
        <v/>
      </c>
    </row>
    <row r="152" spans="1:12" s="627" customFormat="1" hidden="1" outlineLevel="2">
      <c r="B152" s="1189"/>
      <c r="D152" s="1885" t="str">
        <f t="shared" si="18"/>
        <v>&lt;TNSP specified&gt;</v>
      </c>
      <c r="E152" s="1176" t="s">
        <v>88</v>
      </c>
      <c r="F152" s="1182"/>
      <c r="I152" s="1614"/>
      <c r="J152" s="1540" t="str">
        <f t="shared" si="17"/>
        <v/>
      </c>
      <c r="K152" s="1535"/>
      <c r="L152" s="1539" t="str">
        <f t="shared" si="19"/>
        <v/>
      </c>
    </row>
    <row r="153" spans="1:12" s="627" customFormat="1" hidden="1" outlineLevel="2">
      <c r="B153" s="1189"/>
      <c r="D153" s="1885" t="str">
        <f t="shared" si="18"/>
        <v>&lt;TNSP specified&gt;</v>
      </c>
      <c r="E153" s="1176" t="s">
        <v>88</v>
      </c>
      <c r="F153" s="1182"/>
      <c r="I153" s="1614"/>
      <c r="J153" s="1540" t="str">
        <f t="shared" si="17"/>
        <v/>
      </c>
      <c r="K153" s="1535"/>
      <c r="L153" s="1539" t="str">
        <f t="shared" si="19"/>
        <v/>
      </c>
    </row>
    <row r="154" spans="1:12" s="627" customFormat="1" hidden="1" outlineLevel="2">
      <c r="B154" s="1189"/>
      <c r="D154" s="1885" t="str">
        <f t="shared" si="18"/>
        <v>&lt;TNSP specified&gt;</v>
      </c>
      <c r="E154" s="1176" t="s">
        <v>88</v>
      </c>
      <c r="F154" s="1182"/>
      <c r="I154" s="1614"/>
      <c r="J154" s="1540" t="str">
        <f t="shared" si="17"/>
        <v/>
      </c>
      <c r="K154" s="1535"/>
      <c r="L154" s="1539" t="str">
        <f t="shared" si="19"/>
        <v/>
      </c>
    </row>
    <row r="155" spans="1:12" s="627" customFormat="1" hidden="1" outlineLevel="2">
      <c r="A155" s="1681"/>
      <c r="B155" s="1189"/>
      <c r="D155" s="1885" t="str">
        <f t="shared" si="18"/>
        <v>&lt;TNSP specified&gt;</v>
      </c>
      <c r="E155" s="1176" t="s">
        <v>88</v>
      </c>
      <c r="F155" s="1182"/>
      <c r="I155" s="1614"/>
      <c r="J155" s="1540" t="str">
        <f t="shared" si="17"/>
        <v/>
      </c>
      <c r="K155" s="1535"/>
      <c r="L155" s="1539" t="str">
        <f t="shared" si="19"/>
        <v/>
      </c>
    </row>
    <row r="156" spans="1:12" s="627" customFormat="1" hidden="1" outlineLevel="2">
      <c r="B156" s="1189"/>
      <c r="D156" s="1885" t="str">
        <f t="shared" si="18"/>
        <v>&lt;TNSP specified&gt;</v>
      </c>
      <c r="E156" s="1176" t="s">
        <v>88</v>
      </c>
      <c r="F156" s="1182"/>
      <c r="I156" s="1614"/>
      <c r="J156" s="1540" t="str">
        <f t="shared" si="17"/>
        <v/>
      </c>
      <c r="K156" s="1535"/>
      <c r="L156" s="1539" t="str">
        <f t="shared" si="19"/>
        <v/>
      </c>
    </row>
    <row r="157" spans="1:12" s="627" customFormat="1" hidden="1" outlineLevel="2">
      <c r="B157" s="1189"/>
      <c r="D157" s="1885" t="str">
        <f t="shared" si="18"/>
        <v>&lt;TNSP specified&gt;</v>
      </c>
      <c r="E157" s="1176" t="s">
        <v>88</v>
      </c>
      <c r="F157" s="1182"/>
      <c r="I157" s="1614"/>
      <c r="J157" s="1540" t="str">
        <f t="shared" si="17"/>
        <v/>
      </c>
      <c r="K157" s="1535"/>
      <c r="L157" s="1539" t="str">
        <f t="shared" si="19"/>
        <v/>
      </c>
    </row>
    <row r="158" spans="1:12" s="627" customFormat="1" hidden="1" outlineLevel="2">
      <c r="B158" s="1189"/>
      <c r="D158" s="1885" t="str">
        <f t="shared" si="18"/>
        <v>&lt;TNSP specified&gt;</v>
      </c>
      <c r="E158" s="1176" t="s">
        <v>88</v>
      </c>
      <c r="F158" s="1182"/>
      <c r="I158" s="1614"/>
      <c r="J158" s="1540" t="str">
        <f t="shared" si="17"/>
        <v/>
      </c>
      <c r="K158" s="1535"/>
      <c r="L158" s="1539" t="str">
        <f t="shared" si="19"/>
        <v/>
      </c>
    </row>
    <row r="159" spans="1:12" s="627" customFormat="1" hidden="1" outlineLevel="2">
      <c r="B159" s="1189"/>
      <c r="D159" s="1885" t="str">
        <f t="shared" si="18"/>
        <v>&lt;TNSP specified&gt;</v>
      </c>
      <c r="E159" s="1176" t="s">
        <v>88</v>
      </c>
      <c r="F159" s="1182"/>
      <c r="I159" s="1614"/>
      <c r="J159" s="1540" t="str">
        <f t="shared" si="17"/>
        <v/>
      </c>
      <c r="K159" s="1535"/>
      <c r="L159" s="1539" t="str">
        <f t="shared" si="19"/>
        <v/>
      </c>
    </row>
    <row r="160" spans="1:12" s="627" customFormat="1" hidden="1" outlineLevel="2">
      <c r="B160" s="1189"/>
      <c r="D160" s="1885" t="str">
        <f t="shared" si="18"/>
        <v>&lt;TNSP specified&gt;</v>
      </c>
      <c r="E160" s="1176" t="s">
        <v>88</v>
      </c>
      <c r="F160" s="1182"/>
      <c r="I160" s="1614"/>
      <c r="J160" s="1540" t="str">
        <f t="shared" si="17"/>
        <v/>
      </c>
      <c r="K160" s="1535"/>
      <c r="L160" s="1539" t="str">
        <f t="shared" si="19"/>
        <v/>
      </c>
    </row>
    <row r="161" spans="1:12" s="627" customFormat="1" hidden="1" outlineLevel="2">
      <c r="A161" s="1681"/>
      <c r="B161" s="1189"/>
      <c r="D161" s="1885" t="str">
        <f t="shared" si="18"/>
        <v>&lt;TNSP specified&gt;</v>
      </c>
      <c r="E161" s="1176" t="s">
        <v>88</v>
      </c>
      <c r="F161" s="1182"/>
      <c r="I161" s="1614"/>
      <c r="J161" s="1540" t="str">
        <f t="shared" si="17"/>
        <v/>
      </c>
      <c r="K161" s="1535"/>
      <c r="L161" s="1539" t="str">
        <f t="shared" si="19"/>
        <v/>
      </c>
    </row>
    <row r="162" spans="1:12" s="627" customFormat="1" hidden="1" outlineLevel="2">
      <c r="B162" s="1189"/>
      <c r="D162" s="1885" t="str">
        <f t="shared" si="18"/>
        <v>&lt;TNSP specified&gt;</v>
      </c>
      <c r="E162" s="1176" t="s">
        <v>88</v>
      </c>
      <c r="F162" s="1182"/>
      <c r="I162" s="1614"/>
      <c r="J162" s="1540" t="str">
        <f t="shared" si="17"/>
        <v/>
      </c>
      <c r="K162" s="1535"/>
      <c r="L162" s="1539" t="str">
        <f t="shared" si="19"/>
        <v/>
      </c>
    </row>
    <row r="163" spans="1:12" s="627" customFormat="1" hidden="1" outlineLevel="2">
      <c r="B163" s="1189"/>
      <c r="D163" s="1885" t="str">
        <f t="shared" si="18"/>
        <v>&lt;TNSP specified&gt;</v>
      </c>
      <c r="E163" s="1176" t="s">
        <v>88</v>
      </c>
      <c r="F163" s="1182"/>
      <c r="I163" s="1614"/>
      <c r="J163" s="1540" t="str">
        <f t="shared" si="17"/>
        <v/>
      </c>
      <c r="K163" s="1535"/>
      <c r="L163" s="1539" t="str">
        <f t="shared" si="19"/>
        <v/>
      </c>
    </row>
    <row r="164" spans="1:12" s="627" customFormat="1" hidden="1" outlineLevel="2">
      <c r="B164" s="1189"/>
      <c r="D164" s="1885" t="str">
        <f t="shared" si="18"/>
        <v>&lt;TNSP specified&gt;</v>
      </c>
      <c r="E164" s="1176" t="s">
        <v>88</v>
      </c>
      <c r="F164" s="1182"/>
      <c r="I164" s="1614"/>
      <c r="J164" s="1540" t="str">
        <f t="shared" si="17"/>
        <v/>
      </c>
      <c r="K164" s="1535"/>
      <c r="L164" s="1539" t="str">
        <f t="shared" si="19"/>
        <v/>
      </c>
    </row>
    <row r="165" spans="1:12" s="627" customFormat="1" hidden="1" outlineLevel="2">
      <c r="B165" s="1189"/>
      <c r="D165" s="1885" t="str">
        <f t="shared" si="18"/>
        <v>&lt;TNSP specified&gt;</v>
      </c>
      <c r="E165" s="1176" t="s">
        <v>88</v>
      </c>
      <c r="F165" s="1182"/>
      <c r="I165" s="1614"/>
      <c r="J165" s="1540" t="str">
        <f t="shared" si="17"/>
        <v/>
      </c>
      <c r="K165" s="1535"/>
      <c r="L165" s="1539" t="str">
        <f t="shared" si="19"/>
        <v/>
      </c>
    </row>
    <row r="166" spans="1:12" s="627" customFormat="1" hidden="1" outlineLevel="2">
      <c r="B166" s="1189"/>
      <c r="D166" s="1885" t="str">
        <f t="shared" si="18"/>
        <v>&lt;TNSP specified&gt;</v>
      </c>
      <c r="E166" s="1176" t="s">
        <v>88</v>
      </c>
      <c r="F166" s="1182"/>
      <c r="I166" s="1614"/>
      <c r="J166" s="1540" t="str">
        <f t="shared" si="17"/>
        <v/>
      </c>
      <c r="K166" s="1535"/>
      <c r="L166" s="1539" t="str">
        <f t="shared" si="19"/>
        <v/>
      </c>
    </row>
    <row r="167" spans="1:12" s="627" customFormat="1" hidden="1" outlineLevel="2">
      <c r="B167" s="1189"/>
      <c r="D167" s="1885" t="str">
        <f t="shared" si="18"/>
        <v>&lt;TNSP specified&gt;</v>
      </c>
      <c r="E167" s="1176" t="s">
        <v>88</v>
      </c>
      <c r="F167" s="1182"/>
      <c r="I167" s="1614"/>
      <c r="J167" s="1540" t="str">
        <f t="shared" si="17"/>
        <v/>
      </c>
      <c r="K167" s="1535"/>
      <c r="L167" s="1539" t="str">
        <f t="shared" si="19"/>
        <v/>
      </c>
    </row>
    <row r="168" spans="1:12" s="627" customFormat="1" hidden="1" outlineLevel="2">
      <c r="B168" s="1189"/>
      <c r="D168" s="1885" t="str">
        <f t="shared" si="18"/>
        <v>&lt;TNSP specified&gt;</v>
      </c>
      <c r="E168" s="1176" t="s">
        <v>88</v>
      </c>
      <c r="F168" s="1182"/>
      <c r="I168" s="1614"/>
      <c r="J168" s="1540" t="str">
        <f t="shared" si="17"/>
        <v/>
      </c>
      <c r="K168" s="1535"/>
      <c r="L168" s="1539" t="str">
        <f t="shared" si="19"/>
        <v/>
      </c>
    </row>
    <row r="169" spans="1:12" s="627" customFormat="1" hidden="1" outlineLevel="2">
      <c r="B169" s="1189"/>
      <c r="D169" s="1885" t="str">
        <f t="shared" si="18"/>
        <v>&lt;TNSP specified&gt;</v>
      </c>
      <c r="E169" s="1176" t="s">
        <v>88</v>
      </c>
      <c r="F169" s="1182"/>
      <c r="I169" s="1614"/>
      <c r="J169" s="1540" t="str">
        <f t="shared" si="17"/>
        <v/>
      </c>
      <c r="K169" s="1535"/>
      <c r="L169" s="1539" t="str">
        <f t="shared" si="19"/>
        <v/>
      </c>
    </row>
    <row r="170" spans="1:12" s="627" customFormat="1" hidden="1" outlineLevel="2">
      <c r="B170" s="1189"/>
      <c r="D170" s="1885" t="str">
        <f t="shared" si="18"/>
        <v>&lt;TNSP specified&gt;</v>
      </c>
      <c r="E170" s="1176" t="s">
        <v>88</v>
      </c>
      <c r="F170" s="1182"/>
      <c r="I170" s="1614"/>
      <c r="J170" s="1540" t="str">
        <f t="shared" si="17"/>
        <v/>
      </c>
      <c r="K170" s="1535"/>
      <c r="L170" s="1539" t="str">
        <f t="shared" si="19"/>
        <v/>
      </c>
    </row>
    <row r="171" spans="1:12" s="627" customFormat="1" hidden="1" outlineLevel="2">
      <c r="A171" s="1681"/>
      <c r="B171" s="1189"/>
      <c r="D171" s="1885" t="str">
        <f t="shared" si="18"/>
        <v>&lt;TNSP specified&gt;</v>
      </c>
      <c r="E171" s="1176" t="s">
        <v>88</v>
      </c>
      <c r="F171" s="1182"/>
      <c r="I171" s="1614"/>
      <c r="J171" s="1540" t="str">
        <f t="shared" si="17"/>
        <v/>
      </c>
      <c r="K171" s="1535"/>
      <c r="L171" s="1539" t="str">
        <f t="shared" si="19"/>
        <v/>
      </c>
    </row>
    <row r="172" spans="1:12" s="627" customFormat="1" hidden="1" outlineLevel="2">
      <c r="B172" s="1189"/>
      <c r="D172" s="1885" t="str">
        <f t="shared" si="18"/>
        <v>&lt;TNSP specified&gt;</v>
      </c>
      <c r="E172" s="1176" t="s">
        <v>88</v>
      </c>
      <c r="F172" s="1182"/>
      <c r="I172" s="1614"/>
      <c r="J172" s="1540" t="str">
        <f t="shared" si="17"/>
        <v/>
      </c>
      <c r="K172" s="1535"/>
      <c r="L172" s="1539" t="str">
        <f t="shared" si="19"/>
        <v/>
      </c>
    </row>
    <row r="173" spans="1:12" s="627" customFormat="1" hidden="1" outlineLevel="2">
      <c r="B173" s="1189"/>
      <c r="D173" s="1885" t="str">
        <f t="shared" si="18"/>
        <v>&lt;TNSP specified&gt;</v>
      </c>
      <c r="E173" s="1176" t="s">
        <v>88</v>
      </c>
      <c r="F173" s="1182"/>
      <c r="I173" s="1614"/>
      <c r="J173" s="1540" t="str">
        <f t="shared" si="17"/>
        <v/>
      </c>
      <c r="K173" s="1535"/>
      <c r="L173" s="1539" t="str">
        <f t="shared" si="19"/>
        <v/>
      </c>
    </row>
    <row r="174" spans="1:12" s="627" customFormat="1" hidden="1" outlineLevel="2">
      <c r="B174" s="1189"/>
      <c r="D174" s="1885" t="str">
        <f t="shared" si="18"/>
        <v>&lt;TNSP specified&gt;</v>
      </c>
      <c r="E174" s="1176" t="s">
        <v>88</v>
      </c>
      <c r="F174" s="1182"/>
      <c r="I174" s="1614"/>
      <c r="J174" s="1540" t="str">
        <f t="shared" si="17"/>
        <v/>
      </c>
      <c r="K174" s="1535"/>
      <c r="L174" s="1539" t="str">
        <f t="shared" si="19"/>
        <v/>
      </c>
    </row>
    <row r="175" spans="1:12" s="627" customFormat="1" hidden="1" outlineLevel="2">
      <c r="B175" s="1189"/>
      <c r="D175" s="1885" t="str">
        <f t="shared" si="18"/>
        <v>&lt;TNSP specified&gt;</v>
      </c>
      <c r="E175" s="1176" t="s">
        <v>88</v>
      </c>
      <c r="F175" s="1182"/>
      <c r="I175" s="1614"/>
      <c r="J175" s="1540" t="str">
        <f t="shared" si="17"/>
        <v/>
      </c>
      <c r="K175" s="1535"/>
      <c r="L175" s="1539" t="str">
        <f t="shared" si="19"/>
        <v/>
      </c>
    </row>
    <row r="176" spans="1:12" s="627" customFormat="1" hidden="1" outlineLevel="2">
      <c r="B176" s="1189"/>
      <c r="D176" s="1885" t="str">
        <f t="shared" si="18"/>
        <v>&lt;TNSP specified&gt;</v>
      </c>
      <c r="E176" s="1176" t="s">
        <v>88</v>
      </c>
      <c r="F176" s="1182"/>
      <c r="I176" s="1614"/>
      <c r="J176" s="1540" t="str">
        <f t="shared" si="17"/>
        <v/>
      </c>
      <c r="K176" s="1535"/>
      <c r="L176" s="1539" t="str">
        <f t="shared" si="19"/>
        <v/>
      </c>
    </row>
    <row r="177" spans="1:12" s="627" customFormat="1" hidden="1" outlineLevel="2">
      <c r="A177" s="1681"/>
      <c r="B177" s="1189"/>
      <c r="D177" s="1885" t="str">
        <f t="shared" si="18"/>
        <v>&lt;TNSP specified&gt;</v>
      </c>
      <c r="E177" s="1176" t="s">
        <v>88</v>
      </c>
      <c r="F177" s="1182"/>
      <c r="I177" s="1614"/>
      <c r="J177" s="1540" t="str">
        <f t="shared" si="17"/>
        <v/>
      </c>
      <c r="K177" s="1535"/>
      <c r="L177" s="1539" t="str">
        <f t="shared" si="19"/>
        <v/>
      </c>
    </row>
    <row r="178" spans="1:12" s="627" customFormat="1" hidden="1" outlineLevel="2">
      <c r="B178" s="1189"/>
      <c r="D178" s="1885" t="str">
        <f t="shared" si="18"/>
        <v>&lt;TNSP specified&gt;</v>
      </c>
      <c r="E178" s="1176" t="s">
        <v>88</v>
      </c>
      <c r="F178" s="1182"/>
      <c r="I178" s="1614"/>
      <c r="J178" s="1540" t="str">
        <f t="shared" si="17"/>
        <v/>
      </c>
      <c r="K178" s="1535"/>
      <c r="L178" s="1539" t="str">
        <f t="shared" si="19"/>
        <v/>
      </c>
    </row>
    <row r="179" spans="1:12" s="627" customFormat="1" hidden="1" outlineLevel="2">
      <c r="B179" s="1189"/>
      <c r="D179" s="1885" t="str">
        <f t="shared" si="18"/>
        <v>&lt;TNSP specified&gt;</v>
      </c>
      <c r="E179" s="1176" t="s">
        <v>88</v>
      </c>
      <c r="F179" s="1182"/>
      <c r="I179" s="1614"/>
      <c r="J179" s="1540" t="str">
        <f t="shared" si="17"/>
        <v/>
      </c>
      <c r="K179" s="1535"/>
      <c r="L179" s="1539" t="str">
        <f t="shared" si="19"/>
        <v/>
      </c>
    </row>
    <row r="180" spans="1:12" s="627" customFormat="1" hidden="1" outlineLevel="2">
      <c r="B180" s="1189"/>
      <c r="D180" s="1885" t="str">
        <f t="shared" si="18"/>
        <v>&lt;TNSP specified&gt;</v>
      </c>
      <c r="E180" s="1176" t="s">
        <v>88</v>
      </c>
      <c r="F180" s="1182"/>
      <c r="I180" s="1614"/>
      <c r="J180" s="1540" t="str">
        <f t="shared" si="17"/>
        <v/>
      </c>
      <c r="K180" s="1535"/>
      <c r="L180" s="1539" t="str">
        <f t="shared" si="19"/>
        <v/>
      </c>
    </row>
    <row r="181" spans="1:12" s="627" customFormat="1" hidden="1" outlineLevel="2">
      <c r="B181" s="1189"/>
      <c r="D181" s="1885" t="str">
        <f t="shared" si="18"/>
        <v>&lt;TNSP specified&gt;</v>
      </c>
      <c r="E181" s="1176" t="s">
        <v>88</v>
      </c>
      <c r="F181" s="1182"/>
      <c r="I181" s="1614"/>
      <c r="J181" s="1540" t="str">
        <f t="shared" si="17"/>
        <v/>
      </c>
      <c r="K181" s="1535"/>
      <c r="L181" s="1539" t="str">
        <f t="shared" si="19"/>
        <v/>
      </c>
    </row>
    <row r="182" spans="1:12" s="627" customFormat="1" hidden="1" outlineLevel="2">
      <c r="B182" s="1189"/>
      <c r="D182" s="1885" t="str">
        <f t="shared" si="18"/>
        <v>&lt;TNSP specified&gt;</v>
      </c>
      <c r="E182" s="1176" t="s">
        <v>88</v>
      </c>
      <c r="F182" s="1182"/>
      <c r="I182" s="1614"/>
      <c r="J182" s="1540" t="str">
        <f t="shared" si="17"/>
        <v/>
      </c>
      <c r="K182" s="1535"/>
      <c r="L182" s="1539" t="str">
        <f t="shared" si="19"/>
        <v/>
      </c>
    </row>
    <row r="183" spans="1:12" s="627" customFormat="1" outlineLevel="1" collapsed="1">
      <c r="A183" s="1666" t="s">
        <v>1487</v>
      </c>
      <c r="B183" s="1189"/>
      <c r="D183" s="1885" t="str">
        <f t="shared" si="18"/>
        <v>&lt;TNSP specified&gt;</v>
      </c>
      <c r="E183" s="1176" t="s">
        <v>88</v>
      </c>
      <c r="F183" s="1182"/>
      <c r="I183" s="1614"/>
      <c r="J183" s="1540" t="str">
        <f t="shared" si="17"/>
        <v/>
      </c>
      <c r="K183" s="1535"/>
      <c r="L183" s="1539" t="str">
        <f t="shared" si="19"/>
        <v/>
      </c>
    </row>
    <row r="184" spans="1:12" s="627" customFormat="1" outlineLevel="1">
      <c r="B184" s="1189"/>
      <c r="D184" s="1888" t="str">
        <f t="shared" si="18"/>
        <v>&lt;TNSP specified&gt;</v>
      </c>
      <c r="E184" s="1177" t="s">
        <v>88</v>
      </c>
      <c r="F184" s="1183"/>
      <c r="I184" s="1614"/>
      <c r="J184" s="1540" t="str">
        <f t="shared" si="17"/>
        <v/>
      </c>
      <c r="K184" s="1535"/>
      <c r="L184" s="1539" t="str">
        <f t="shared" si="19"/>
        <v/>
      </c>
    </row>
    <row r="185" spans="1:12" s="627" customFormat="1" ht="12.75" outlineLevel="1">
      <c r="B185" s="1189"/>
      <c r="D185" s="1168" t="s">
        <v>1245</v>
      </c>
      <c r="E185" s="1166" t="s">
        <v>88</v>
      </c>
      <c r="F185" s="1184">
        <f>SUM(F143:F184)</f>
        <v>0</v>
      </c>
      <c r="I185" s="1615"/>
      <c r="J185" s="1618"/>
      <c r="K185" s="1704"/>
      <c r="L185" s="1619"/>
    </row>
    <row r="186" spans="1:12" s="627" customFormat="1" ht="12.75" outlineLevel="1">
      <c r="B186" s="1189"/>
      <c r="D186" s="1170" t="s">
        <v>1293</v>
      </c>
      <c r="I186" s="1246"/>
    </row>
    <row r="187" spans="1:12" s="627" customFormat="1" ht="15" customHeight="1" outlineLevel="1">
      <c r="B187" s="1189"/>
      <c r="D187" s="1884" t="str">
        <f>D13</f>
        <v>&lt;TNSP specified&gt;</v>
      </c>
      <c r="E187" s="1175" t="s">
        <v>88</v>
      </c>
      <c r="F187" s="1181"/>
      <c r="I187" s="1613"/>
      <c r="J187" s="1561" t="str">
        <f t="shared" ref="J187:J228" si="20">IF(ISNONTEXT(F187)=TRUE,"","X")</f>
        <v/>
      </c>
      <c r="K187" s="1559" t="str">
        <f>IF(F187&lt;&gt;""=TRUE,"","X")</f>
        <v>X</v>
      </c>
      <c r="L187" s="1700"/>
    </row>
    <row r="188" spans="1:12" s="627" customFormat="1" outlineLevel="1">
      <c r="B188" s="1189"/>
      <c r="D188" s="1885" t="str">
        <f t="shared" ref="D188:D228" si="21">D14</f>
        <v>&lt;TNSP specified&gt;</v>
      </c>
      <c r="E188" s="1176" t="s">
        <v>88</v>
      </c>
      <c r="F188" s="1182"/>
      <c r="I188" s="1614"/>
      <c r="J188" s="1540" t="str">
        <f t="shared" si="20"/>
        <v/>
      </c>
      <c r="K188" s="1535"/>
      <c r="L188" s="1539" t="str">
        <f t="shared" ref="L188:L228" si="22">IF(AND(D188&lt;&gt;"",LEFT(D188,5)&lt;&gt;"&lt;TNSP",ISBLANK(F188))=TRUE,"X","")</f>
        <v/>
      </c>
    </row>
    <row r="189" spans="1:12" s="627" customFormat="1" outlineLevel="1">
      <c r="B189" s="1189"/>
      <c r="D189" s="1885" t="str">
        <f t="shared" si="21"/>
        <v>&lt;TNSP specified&gt;</v>
      </c>
      <c r="E189" s="1176" t="s">
        <v>88</v>
      </c>
      <c r="F189" s="1182"/>
      <c r="I189" s="1614"/>
      <c r="J189" s="1540" t="str">
        <f t="shared" si="20"/>
        <v/>
      </c>
      <c r="K189" s="1535"/>
      <c r="L189" s="1539" t="str">
        <f t="shared" si="22"/>
        <v/>
      </c>
    </row>
    <row r="190" spans="1:12" s="627" customFormat="1" outlineLevel="1">
      <c r="B190" s="1189"/>
      <c r="D190" s="1885" t="str">
        <f t="shared" si="21"/>
        <v>&lt;TNSP specified&gt;</v>
      </c>
      <c r="E190" s="1176" t="s">
        <v>88</v>
      </c>
      <c r="F190" s="1182"/>
      <c r="I190" s="1614"/>
      <c r="J190" s="1540" t="str">
        <f t="shared" si="20"/>
        <v/>
      </c>
      <c r="K190" s="1535"/>
      <c r="L190" s="1539" t="str">
        <f t="shared" si="22"/>
        <v/>
      </c>
    </row>
    <row r="191" spans="1:12" s="627" customFormat="1" outlineLevel="1">
      <c r="B191" s="1189"/>
      <c r="D191" s="1885" t="str">
        <f t="shared" si="21"/>
        <v>&lt;TNSP specified&gt;</v>
      </c>
      <c r="E191" s="1176" t="s">
        <v>88</v>
      </c>
      <c r="F191" s="1182"/>
      <c r="I191" s="1614"/>
      <c r="J191" s="1540" t="str">
        <f t="shared" si="20"/>
        <v/>
      </c>
      <c r="K191" s="1535"/>
      <c r="L191" s="1539" t="str">
        <f t="shared" si="22"/>
        <v/>
      </c>
    </row>
    <row r="192" spans="1:12" s="627" customFormat="1" outlineLevel="1">
      <c r="B192" s="1189"/>
      <c r="D192" s="1885" t="str">
        <f t="shared" si="21"/>
        <v>&lt;TNSP specified&gt;</v>
      </c>
      <c r="E192" s="1176" t="s">
        <v>88</v>
      </c>
      <c r="F192" s="1182"/>
      <c r="I192" s="1614"/>
      <c r="J192" s="1540" t="str">
        <f t="shared" si="20"/>
        <v/>
      </c>
      <c r="K192" s="1535"/>
      <c r="L192" s="1539" t="str">
        <f t="shared" si="22"/>
        <v/>
      </c>
    </row>
    <row r="193" spans="1:12" s="627" customFormat="1" hidden="1" outlineLevel="2">
      <c r="A193" s="1681"/>
      <c r="B193" s="1189"/>
      <c r="D193" s="1885" t="str">
        <f t="shared" si="21"/>
        <v>&lt;TNSP specified&gt;</v>
      </c>
      <c r="E193" s="1176" t="s">
        <v>88</v>
      </c>
      <c r="F193" s="1182"/>
      <c r="I193" s="1614"/>
      <c r="J193" s="1540" t="str">
        <f t="shared" si="20"/>
        <v/>
      </c>
      <c r="K193" s="1535"/>
      <c r="L193" s="1539" t="str">
        <f t="shared" si="22"/>
        <v/>
      </c>
    </row>
    <row r="194" spans="1:12" s="627" customFormat="1" hidden="1" outlineLevel="2">
      <c r="B194" s="1189"/>
      <c r="D194" s="1885" t="str">
        <f t="shared" si="21"/>
        <v>&lt;TNSP specified&gt;</v>
      </c>
      <c r="E194" s="1176" t="s">
        <v>88</v>
      </c>
      <c r="F194" s="1182"/>
      <c r="I194" s="1614"/>
      <c r="J194" s="1540" t="str">
        <f t="shared" si="20"/>
        <v/>
      </c>
      <c r="K194" s="1535"/>
      <c r="L194" s="1539" t="str">
        <f t="shared" si="22"/>
        <v/>
      </c>
    </row>
    <row r="195" spans="1:12" s="627" customFormat="1" hidden="1" outlineLevel="2">
      <c r="B195" s="1189"/>
      <c r="D195" s="1885" t="str">
        <f t="shared" si="21"/>
        <v>&lt;TNSP specified&gt;</v>
      </c>
      <c r="E195" s="1176" t="s">
        <v>88</v>
      </c>
      <c r="F195" s="1182"/>
      <c r="I195" s="1614"/>
      <c r="J195" s="1540" t="str">
        <f t="shared" si="20"/>
        <v/>
      </c>
      <c r="K195" s="1535"/>
      <c r="L195" s="1539" t="str">
        <f t="shared" si="22"/>
        <v/>
      </c>
    </row>
    <row r="196" spans="1:12" s="627" customFormat="1" hidden="1" outlineLevel="2">
      <c r="B196" s="1189"/>
      <c r="D196" s="1885" t="str">
        <f t="shared" si="21"/>
        <v>&lt;TNSP specified&gt;</v>
      </c>
      <c r="E196" s="1176" t="s">
        <v>88</v>
      </c>
      <c r="F196" s="1182"/>
      <c r="I196" s="1614"/>
      <c r="J196" s="1540" t="str">
        <f t="shared" si="20"/>
        <v/>
      </c>
      <c r="K196" s="1535"/>
      <c r="L196" s="1539" t="str">
        <f t="shared" si="22"/>
        <v/>
      </c>
    </row>
    <row r="197" spans="1:12" s="627" customFormat="1" hidden="1" outlineLevel="2">
      <c r="B197" s="1189"/>
      <c r="D197" s="1885" t="str">
        <f t="shared" si="21"/>
        <v>&lt;TNSP specified&gt;</v>
      </c>
      <c r="E197" s="1176" t="s">
        <v>88</v>
      </c>
      <c r="F197" s="1182"/>
      <c r="I197" s="1614"/>
      <c r="J197" s="1540" t="str">
        <f t="shared" si="20"/>
        <v/>
      </c>
      <c r="K197" s="1535"/>
      <c r="L197" s="1539" t="str">
        <f t="shared" si="22"/>
        <v/>
      </c>
    </row>
    <row r="198" spans="1:12" s="627" customFormat="1" hidden="1" outlineLevel="2">
      <c r="B198" s="1189"/>
      <c r="D198" s="1885" t="str">
        <f t="shared" si="21"/>
        <v>&lt;TNSP specified&gt;</v>
      </c>
      <c r="E198" s="1176" t="s">
        <v>88</v>
      </c>
      <c r="F198" s="1182"/>
      <c r="I198" s="1614"/>
      <c r="J198" s="1540" t="str">
        <f t="shared" si="20"/>
        <v/>
      </c>
      <c r="K198" s="1535"/>
      <c r="L198" s="1539" t="str">
        <f t="shared" si="22"/>
        <v/>
      </c>
    </row>
    <row r="199" spans="1:12" s="627" customFormat="1" hidden="1" outlineLevel="2">
      <c r="A199" s="1681"/>
      <c r="B199" s="1189"/>
      <c r="D199" s="1885" t="str">
        <f t="shared" si="21"/>
        <v>&lt;TNSP specified&gt;</v>
      </c>
      <c r="E199" s="1176" t="s">
        <v>88</v>
      </c>
      <c r="F199" s="1182"/>
      <c r="I199" s="1614"/>
      <c r="J199" s="1540" t="str">
        <f t="shared" si="20"/>
        <v/>
      </c>
      <c r="K199" s="1535"/>
      <c r="L199" s="1539" t="str">
        <f t="shared" si="22"/>
        <v/>
      </c>
    </row>
    <row r="200" spans="1:12" s="627" customFormat="1" hidden="1" outlineLevel="2">
      <c r="B200" s="1189"/>
      <c r="D200" s="1885" t="str">
        <f t="shared" si="21"/>
        <v>&lt;TNSP specified&gt;</v>
      </c>
      <c r="E200" s="1176" t="s">
        <v>88</v>
      </c>
      <c r="F200" s="1182"/>
      <c r="I200" s="1614"/>
      <c r="J200" s="1540" t="str">
        <f t="shared" si="20"/>
        <v/>
      </c>
      <c r="K200" s="1535"/>
      <c r="L200" s="1539" t="str">
        <f t="shared" si="22"/>
        <v/>
      </c>
    </row>
    <row r="201" spans="1:12" s="627" customFormat="1" hidden="1" outlineLevel="2">
      <c r="B201" s="1189"/>
      <c r="D201" s="1885" t="str">
        <f t="shared" si="21"/>
        <v>&lt;TNSP specified&gt;</v>
      </c>
      <c r="E201" s="1176" t="s">
        <v>88</v>
      </c>
      <c r="F201" s="1182"/>
      <c r="I201" s="1614"/>
      <c r="J201" s="1540" t="str">
        <f t="shared" si="20"/>
        <v/>
      </c>
      <c r="K201" s="1535"/>
      <c r="L201" s="1539" t="str">
        <f t="shared" si="22"/>
        <v/>
      </c>
    </row>
    <row r="202" spans="1:12" s="627" customFormat="1" hidden="1" outlineLevel="2">
      <c r="B202" s="1189"/>
      <c r="D202" s="1885" t="str">
        <f t="shared" si="21"/>
        <v>&lt;TNSP specified&gt;</v>
      </c>
      <c r="E202" s="1176" t="s">
        <v>88</v>
      </c>
      <c r="F202" s="1182"/>
      <c r="I202" s="1614"/>
      <c r="J202" s="1540" t="str">
        <f t="shared" si="20"/>
        <v/>
      </c>
      <c r="K202" s="1535"/>
      <c r="L202" s="1539" t="str">
        <f t="shared" si="22"/>
        <v/>
      </c>
    </row>
    <row r="203" spans="1:12" s="627" customFormat="1" hidden="1" outlineLevel="2">
      <c r="B203" s="1189"/>
      <c r="D203" s="1885" t="str">
        <f t="shared" si="21"/>
        <v>&lt;TNSP specified&gt;</v>
      </c>
      <c r="E203" s="1176" t="s">
        <v>88</v>
      </c>
      <c r="F203" s="1182"/>
      <c r="I203" s="1614"/>
      <c r="J203" s="1540" t="str">
        <f t="shared" si="20"/>
        <v/>
      </c>
      <c r="K203" s="1535"/>
      <c r="L203" s="1539" t="str">
        <f t="shared" si="22"/>
        <v/>
      </c>
    </row>
    <row r="204" spans="1:12" s="627" customFormat="1" hidden="1" outlineLevel="2">
      <c r="B204" s="1189"/>
      <c r="D204" s="1885" t="str">
        <f t="shared" si="21"/>
        <v>&lt;TNSP specified&gt;</v>
      </c>
      <c r="E204" s="1176" t="s">
        <v>88</v>
      </c>
      <c r="F204" s="1182"/>
      <c r="I204" s="1614"/>
      <c r="J204" s="1540" t="str">
        <f t="shared" si="20"/>
        <v/>
      </c>
      <c r="K204" s="1535"/>
      <c r="L204" s="1539" t="str">
        <f t="shared" si="22"/>
        <v/>
      </c>
    </row>
    <row r="205" spans="1:12" s="627" customFormat="1" hidden="1" outlineLevel="2">
      <c r="A205" s="1681"/>
      <c r="B205" s="1189"/>
      <c r="D205" s="1885" t="str">
        <f t="shared" si="21"/>
        <v>&lt;TNSP specified&gt;</v>
      </c>
      <c r="E205" s="1176" t="s">
        <v>88</v>
      </c>
      <c r="F205" s="1182"/>
      <c r="I205" s="1614"/>
      <c r="J205" s="1540" t="str">
        <f t="shared" si="20"/>
        <v/>
      </c>
      <c r="K205" s="1535"/>
      <c r="L205" s="1539" t="str">
        <f t="shared" si="22"/>
        <v/>
      </c>
    </row>
    <row r="206" spans="1:12" s="627" customFormat="1" hidden="1" outlineLevel="2">
      <c r="B206" s="1189"/>
      <c r="D206" s="1885" t="str">
        <f t="shared" si="21"/>
        <v>&lt;TNSP specified&gt;</v>
      </c>
      <c r="E206" s="1176" t="s">
        <v>88</v>
      </c>
      <c r="F206" s="1182"/>
      <c r="I206" s="1614"/>
      <c r="J206" s="1540" t="str">
        <f t="shared" si="20"/>
        <v/>
      </c>
      <c r="K206" s="1535"/>
      <c r="L206" s="1539" t="str">
        <f t="shared" si="22"/>
        <v/>
      </c>
    </row>
    <row r="207" spans="1:12" s="627" customFormat="1" hidden="1" outlineLevel="2">
      <c r="B207" s="1189"/>
      <c r="D207" s="1885" t="str">
        <f t="shared" si="21"/>
        <v>&lt;TNSP specified&gt;</v>
      </c>
      <c r="E207" s="1176" t="s">
        <v>88</v>
      </c>
      <c r="F207" s="1182"/>
      <c r="I207" s="1614"/>
      <c r="J207" s="1540" t="str">
        <f t="shared" si="20"/>
        <v/>
      </c>
      <c r="K207" s="1535"/>
      <c r="L207" s="1539" t="str">
        <f t="shared" si="22"/>
        <v/>
      </c>
    </row>
    <row r="208" spans="1:12" s="627" customFormat="1" hidden="1" outlineLevel="2">
      <c r="B208" s="1189"/>
      <c r="D208" s="1885" t="str">
        <f t="shared" si="21"/>
        <v>&lt;TNSP specified&gt;</v>
      </c>
      <c r="E208" s="1176" t="s">
        <v>88</v>
      </c>
      <c r="F208" s="1182"/>
      <c r="I208" s="1614"/>
      <c r="J208" s="1540" t="str">
        <f t="shared" si="20"/>
        <v/>
      </c>
      <c r="K208" s="1535"/>
      <c r="L208" s="1539" t="str">
        <f t="shared" si="22"/>
        <v/>
      </c>
    </row>
    <row r="209" spans="1:12" s="627" customFormat="1" hidden="1" outlineLevel="2">
      <c r="B209" s="1189"/>
      <c r="D209" s="1885" t="str">
        <f t="shared" si="21"/>
        <v>&lt;TNSP specified&gt;</v>
      </c>
      <c r="E209" s="1176" t="s">
        <v>88</v>
      </c>
      <c r="F209" s="1182"/>
      <c r="I209" s="1614"/>
      <c r="J209" s="1540" t="str">
        <f t="shared" si="20"/>
        <v/>
      </c>
      <c r="K209" s="1535"/>
      <c r="L209" s="1539" t="str">
        <f t="shared" si="22"/>
        <v/>
      </c>
    </row>
    <row r="210" spans="1:12" s="627" customFormat="1" hidden="1" outlineLevel="2">
      <c r="B210" s="1189"/>
      <c r="D210" s="1885" t="str">
        <f t="shared" si="21"/>
        <v>&lt;TNSP specified&gt;</v>
      </c>
      <c r="E210" s="1176" t="s">
        <v>88</v>
      </c>
      <c r="F210" s="1182"/>
      <c r="I210" s="1614"/>
      <c r="J210" s="1540" t="str">
        <f t="shared" si="20"/>
        <v/>
      </c>
      <c r="K210" s="1535"/>
      <c r="L210" s="1539" t="str">
        <f t="shared" si="22"/>
        <v/>
      </c>
    </row>
    <row r="211" spans="1:12" s="627" customFormat="1" hidden="1" outlineLevel="2">
      <c r="B211" s="1189"/>
      <c r="D211" s="1885" t="str">
        <f t="shared" si="21"/>
        <v>&lt;TNSP specified&gt;</v>
      </c>
      <c r="E211" s="1176" t="s">
        <v>88</v>
      </c>
      <c r="F211" s="1182"/>
      <c r="I211" s="1614"/>
      <c r="J211" s="1540" t="str">
        <f t="shared" si="20"/>
        <v/>
      </c>
      <c r="K211" s="1535"/>
      <c r="L211" s="1539" t="str">
        <f t="shared" si="22"/>
        <v/>
      </c>
    </row>
    <row r="212" spans="1:12" s="627" customFormat="1" hidden="1" outlineLevel="2">
      <c r="B212" s="1189"/>
      <c r="D212" s="1885" t="str">
        <f t="shared" si="21"/>
        <v>&lt;TNSP specified&gt;</v>
      </c>
      <c r="E212" s="1176" t="s">
        <v>88</v>
      </c>
      <c r="F212" s="1182"/>
      <c r="I212" s="1614"/>
      <c r="J212" s="1540" t="str">
        <f t="shared" si="20"/>
        <v/>
      </c>
      <c r="K212" s="1535"/>
      <c r="L212" s="1539" t="str">
        <f t="shared" si="22"/>
        <v/>
      </c>
    </row>
    <row r="213" spans="1:12" s="627" customFormat="1" hidden="1" outlineLevel="2">
      <c r="B213" s="1189"/>
      <c r="D213" s="1885" t="str">
        <f t="shared" si="21"/>
        <v>&lt;TNSP specified&gt;</v>
      </c>
      <c r="E213" s="1176" t="s">
        <v>88</v>
      </c>
      <c r="F213" s="1182"/>
      <c r="I213" s="1614"/>
      <c r="J213" s="1540" t="str">
        <f t="shared" si="20"/>
        <v/>
      </c>
      <c r="K213" s="1535"/>
      <c r="L213" s="1539" t="str">
        <f t="shared" si="22"/>
        <v/>
      </c>
    </row>
    <row r="214" spans="1:12" s="627" customFormat="1" hidden="1" outlineLevel="2">
      <c r="B214" s="1189"/>
      <c r="D214" s="1885" t="str">
        <f t="shared" si="21"/>
        <v>&lt;TNSP specified&gt;</v>
      </c>
      <c r="E214" s="1176" t="s">
        <v>88</v>
      </c>
      <c r="F214" s="1182"/>
      <c r="I214" s="1614"/>
      <c r="J214" s="1540" t="str">
        <f t="shared" si="20"/>
        <v/>
      </c>
      <c r="K214" s="1535"/>
      <c r="L214" s="1539" t="str">
        <f t="shared" si="22"/>
        <v/>
      </c>
    </row>
    <row r="215" spans="1:12" s="627" customFormat="1" hidden="1" outlineLevel="2">
      <c r="A215" s="1681"/>
      <c r="B215" s="1189"/>
      <c r="D215" s="1885" t="str">
        <f t="shared" si="21"/>
        <v>&lt;TNSP specified&gt;</v>
      </c>
      <c r="E215" s="1176" t="s">
        <v>88</v>
      </c>
      <c r="F215" s="1182"/>
      <c r="I215" s="1614"/>
      <c r="J215" s="1540" t="str">
        <f t="shared" si="20"/>
        <v/>
      </c>
      <c r="K215" s="1535"/>
      <c r="L215" s="1539" t="str">
        <f t="shared" si="22"/>
        <v/>
      </c>
    </row>
    <row r="216" spans="1:12" s="627" customFormat="1" hidden="1" outlineLevel="2">
      <c r="B216" s="1189"/>
      <c r="D216" s="1885" t="str">
        <f t="shared" si="21"/>
        <v>&lt;TNSP specified&gt;</v>
      </c>
      <c r="E216" s="1176" t="s">
        <v>88</v>
      </c>
      <c r="F216" s="1182"/>
      <c r="I216" s="1614"/>
      <c r="J216" s="1540" t="str">
        <f t="shared" si="20"/>
        <v/>
      </c>
      <c r="K216" s="1535"/>
      <c r="L216" s="1539" t="str">
        <f t="shared" si="22"/>
        <v/>
      </c>
    </row>
    <row r="217" spans="1:12" s="627" customFormat="1" hidden="1" outlineLevel="2">
      <c r="B217" s="1189"/>
      <c r="D217" s="1885" t="str">
        <f t="shared" si="21"/>
        <v>&lt;TNSP specified&gt;</v>
      </c>
      <c r="E217" s="1176" t="s">
        <v>88</v>
      </c>
      <c r="F217" s="1182"/>
      <c r="I217" s="1614"/>
      <c r="J217" s="1540" t="str">
        <f t="shared" si="20"/>
        <v/>
      </c>
      <c r="K217" s="1535"/>
      <c r="L217" s="1539" t="str">
        <f t="shared" si="22"/>
        <v/>
      </c>
    </row>
    <row r="218" spans="1:12" s="627" customFormat="1" hidden="1" outlineLevel="2">
      <c r="B218" s="1189"/>
      <c r="D218" s="1885" t="str">
        <f t="shared" si="21"/>
        <v>&lt;TNSP specified&gt;</v>
      </c>
      <c r="E218" s="1176" t="s">
        <v>88</v>
      </c>
      <c r="F218" s="1182"/>
      <c r="I218" s="1614"/>
      <c r="J218" s="1540" t="str">
        <f t="shared" si="20"/>
        <v/>
      </c>
      <c r="K218" s="1535"/>
      <c r="L218" s="1539" t="str">
        <f t="shared" si="22"/>
        <v/>
      </c>
    </row>
    <row r="219" spans="1:12" s="627" customFormat="1" hidden="1" outlineLevel="2">
      <c r="B219" s="1189"/>
      <c r="D219" s="1885" t="str">
        <f t="shared" si="21"/>
        <v>&lt;TNSP specified&gt;</v>
      </c>
      <c r="E219" s="1176" t="s">
        <v>88</v>
      </c>
      <c r="F219" s="1182"/>
      <c r="I219" s="1614"/>
      <c r="J219" s="1540" t="str">
        <f t="shared" si="20"/>
        <v/>
      </c>
      <c r="K219" s="1535"/>
      <c r="L219" s="1539" t="str">
        <f t="shared" si="22"/>
        <v/>
      </c>
    </row>
    <row r="220" spans="1:12" s="627" customFormat="1" hidden="1" outlineLevel="2">
      <c r="B220" s="1189"/>
      <c r="D220" s="1885" t="str">
        <f t="shared" si="21"/>
        <v>&lt;TNSP specified&gt;</v>
      </c>
      <c r="E220" s="1176" t="s">
        <v>88</v>
      </c>
      <c r="F220" s="1182"/>
      <c r="I220" s="1614"/>
      <c r="J220" s="1540" t="str">
        <f t="shared" si="20"/>
        <v/>
      </c>
      <c r="K220" s="1535"/>
      <c r="L220" s="1539" t="str">
        <f t="shared" si="22"/>
        <v/>
      </c>
    </row>
    <row r="221" spans="1:12" s="627" customFormat="1" hidden="1" outlineLevel="2">
      <c r="A221" s="1681"/>
      <c r="B221" s="1189"/>
      <c r="D221" s="1885" t="str">
        <f t="shared" si="21"/>
        <v>&lt;TNSP specified&gt;</v>
      </c>
      <c r="E221" s="1176" t="s">
        <v>88</v>
      </c>
      <c r="F221" s="1182"/>
      <c r="I221" s="1614"/>
      <c r="J221" s="1540" t="str">
        <f t="shared" si="20"/>
        <v/>
      </c>
      <c r="K221" s="1535"/>
      <c r="L221" s="1539" t="str">
        <f t="shared" si="22"/>
        <v/>
      </c>
    </row>
    <row r="222" spans="1:12" s="627" customFormat="1" hidden="1" outlineLevel="2">
      <c r="B222" s="1189"/>
      <c r="D222" s="1885" t="str">
        <f t="shared" si="21"/>
        <v>&lt;TNSP specified&gt;</v>
      </c>
      <c r="E222" s="1176" t="s">
        <v>88</v>
      </c>
      <c r="F222" s="1182"/>
      <c r="I222" s="1614"/>
      <c r="J222" s="1540" t="str">
        <f t="shared" si="20"/>
        <v/>
      </c>
      <c r="K222" s="1535"/>
      <c r="L222" s="1539" t="str">
        <f t="shared" si="22"/>
        <v/>
      </c>
    </row>
    <row r="223" spans="1:12" s="627" customFormat="1" hidden="1" outlineLevel="2">
      <c r="B223" s="1189"/>
      <c r="D223" s="1885" t="str">
        <f t="shared" si="21"/>
        <v>&lt;TNSP specified&gt;</v>
      </c>
      <c r="E223" s="1176" t="s">
        <v>88</v>
      </c>
      <c r="F223" s="1182"/>
      <c r="I223" s="1614"/>
      <c r="J223" s="1540" t="str">
        <f t="shared" si="20"/>
        <v/>
      </c>
      <c r="K223" s="1535"/>
      <c r="L223" s="1539" t="str">
        <f t="shared" si="22"/>
        <v/>
      </c>
    </row>
    <row r="224" spans="1:12" s="627" customFormat="1" hidden="1" outlineLevel="2">
      <c r="B224" s="1189"/>
      <c r="D224" s="1885" t="str">
        <f t="shared" si="21"/>
        <v>&lt;TNSP specified&gt;</v>
      </c>
      <c r="E224" s="1176" t="s">
        <v>88</v>
      </c>
      <c r="F224" s="1182"/>
      <c r="I224" s="1614"/>
      <c r="J224" s="1540" t="str">
        <f t="shared" si="20"/>
        <v/>
      </c>
      <c r="K224" s="1535"/>
      <c r="L224" s="1539" t="str">
        <f t="shared" si="22"/>
        <v/>
      </c>
    </row>
    <row r="225" spans="1:12" s="627" customFormat="1" hidden="1" outlineLevel="2">
      <c r="B225" s="1189"/>
      <c r="D225" s="1885" t="str">
        <f t="shared" si="21"/>
        <v>&lt;TNSP specified&gt;</v>
      </c>
      <c r="E225" s="1176" t="s">
        <v>88</v>
      </c>
      <c r="F225" s="1182"/>
      <c r="I225" s="1614"/>
      <c r="J225" s="1540" t="str">
        <f t="shared" si="20"/>
        <v/>
      </c>
      <c r="K225" s="1535"/>
      <c r="L225" s="1539" t="str">
        <f t="shared" si="22"/>
        <v/>
      </c>
    </row>
    <row r="226" spans="1:12" s="627" customFormat="1" hidden="1" outlineLevel="2">
      <c r="B226" s="1189"/>
      <c r="D226" s="1885" t="str">
        <f t="shared" si="21"/>
        <v>&lt;TNSP specified&gt;</v>
      </c>
      <c r="E226" s="1176" t="s">
        <v>88</v>
      </c>
      <c r="F226" s="1182"/>
      <c r="I226" s="1614"/>
      <c r="J226" s="1540" t="str">
        <f t="shared" si="20"/>
        <v/>
      </c>
      <c r="K226" s="1535"/>
      <c r="L226" s="1539" t="str">
        <f t="shared" si="22"/>
        <v/>
      </c>
    </row>
    <row r="227" spans="1:12" s="627" customFormat="1" outlineLevel="1" collapsed="1">
      <c r="A227" s="1666" t="s">
        <v>1487</v>
      </c>
      <c r="B227" s="1189"/>
      <c r="D227" s="1885" t="str">
        <f t="shared" si="21"/>
        <v>&lt;TNSP specified&gt;</v>
      </c>
      <c r="E227" s="1176" t="s">
        <v>88</v>
      </c>
      <c r="F227" s="1182"/>
      <c r="I227" s="1614"/>
      <c r="J227" s="1540" t="str">
        <f t="shared" si="20"/>
        <v/>
      </c>
      <c r="K227" s="1535"/>
      <c r="L227" s="1539" t="str">
        <f t="shared" si="22"/>
        <v/>
      </c>
    </row>
    <row r="228" spans="1:12" s="627" customFormat="1" outlineLevel="1">
      <c r="B228" s="1189"/>
      <c r="D228" s="1888" t="str">
        <f t="shared" si="21"/>
        <v>&lt;TNSP specified&gt;</v>
      </c>
      <c r="E228" s="1177" t="s">
        <v>88</v>
      </c>
      <c r="F228" s="1183"/>
      <c r="I228" s="1614"/>
      <c r="J228" s="1540" t="str">
        <f t="shared" si="20"/>
        <v/>
      </c>
      <c r="K228" s="1535"/>
      <c r="L228" s="1539" t="str">
        <f t="shared" si="22"/>
        <v/>
      </c>
    </row>
    <row r="229" spans="1:12" s="627" customFormat="1" ht="12.75" outlineLevel="1">
      <c r="B229" s="1189"/>
      <c r="D229" s="1168" t="s">
        <v>1246</v>
      </c>
      <c r="E229" s="1166" t="s">
        <v>88</v>
      </c>
      <c r="F229" s="1184">
        <f>SUM(F187:F228)</f>
        <v>0</v>
      </c>
      <c r="I229" s="1615"/>
      <c r="J229" s="1618"/>
      <c r="K229" s="1704"/>
      <c r="L229" s="1619"/>
    </row>
    <row r="230" spans="1:12" s="627" customFormat="1" ht="15.75" customHeight="1" outlineLevel="1">
      <c r="B230" s="1189"/>
      <c r="D230" s="1170" t="s">
        <v>1294</v>
      </c>
      <c r="I230" s="1246"/>
    </row>
    <row r="231" spans="1:12" s="627" customFormat="1" ht="15" customHeight="1" outlineLevel="1">
      <c r="B231" s="1189"/>
      <c r="D231" s="1178" t="s">
        <v>1053</v>
      </c>
      <c r="E231" s="1175" t="s">
        <v>88</v>
      </c>
      <c r="F231" s="1181"/>
      <c r="I231" s="2120" t="s">
        <v>1445</v>
      </c>
      <c r="J231" s="1561" t="str">
        <f t="shared" ref="J231" si="23">IF(ISNONTEXT(F231)=TRUE,"","X")</f>
        <v/>
      </c>
      <c r="K231" s="1589"/>
      <c r="L231" s="1560" t="str">
        <f t="shared" ref="L231:L245" si="24">IF(AND(D231&lt;&gt;"",LEFT(D231,5)&lt;&gt;"&lt;TNSP",ISBLANK(F231))=TRUE,"X","")</f>
        <v/>
      </c>
    </row>
    <row r="232" spans="1:12" s="627" customFormat="1" outlineLevel="1">
      <c r="B232" s="1189"/>
      <c r="D232" s="1179" t="s">
        <v>1053</v>
      </c>
      <c r="E232" s="1176" t="s">
        <v>88</v>
      </c>
      <c r="F232" s="1182"/>
      <c r="I232" s="2121"/>
      <c r="J232" s="1540" t="str">
        <f t="shared" ref="J232:J245" si="25">IF(ISNONTEXT(F232)=TRUE,"","X")</f>
        <v/>
      </c>
      <c r="K232" s="1535"/>
      <c r="L232" s="1539" t="str">
        <f t="shared" si="24"/>
        <v/>
      </c>
    </row>
    <row r="233" spans="1:12" s="627" customFormat="1" outlineLevel="1">
      <c r="B233" s="1189"/>
      <c r="D233" s="1179" t="s">
        <v>1053</v>
      </c>
      <c r="E233" s="1176" t="s">
        <v>88</v>
      </c>
      <c r="F233" s="1182"/>
      <c r="I233" s="2121"/>
      <c r="J233" s="1540" t="str">
        <f t="shared" si="25"/>
        <v/>
      </c>
      <c r="K233" s="1535"/>
      <c r="L233" s="1539" t="str">
        <f t="shared" si="24"/>
        <v/>
      </c>
    </row>
    <row r="234" spans="1:12" s="627" customFormat="1" outlineLevel="1">
      <c r="B234" s="1189"/>
      <c r="D234" s="1179" t="s">
        <v>1053</v>
      </c>
      <c r="E234" s="1176" t="s">
        <v>88</v>
      </c>
      <c r="F234" s="1182"/>
      <c r="I234" s="2121"/>
      <c r="J234" s="1540" t="str">
        <f t="shared" si="25"/>
        <v/>
      </c>
      <c r="K234" s="1535"/>
      <c r="L234" s="1539" t="str">
        <f t="shared" si="24"/>
        <v/>
      </c>
    </row>
    <row r="235" spans="1:12" s="627" customFormat="1" outlineLevel="1">
      <c r="B235" s="1189"/>
      <c r="D235" s="1179" t="s">
        <v>1053</v>
      </c>
      <c r="E235" s="1176" t="s">
        <v>88</v>
      </c>
      <c r="F235" s="1182"/>
      <c r="I235" s="2121"/>
      <c r="J235" s="1540" t="str">
        <f t="shared" si="25"/>
        <v/>
      </c>
      <c r="K235" s="1535"/>
      <c r="L235" s="1539" t="str">
        <f t="shared" si="24"/>
        <v/>
      </c>
    </row>
    <row r="236" spans="1:12" s="627" customFormat="1" outlineLevel="1">
      <c r="B236" s="1189"/>
      <c r="D236" s="1179" t="s">
        <v>1053</v>
      </c>
      <c r="E236" s="1176" t="s">
        <v>88</v>
      </c>
      <c r="F236" s="1182"/>
      <c r="I236" s="2121"/>
      <c r="J236" s="1540" t="str">
        <f t="shared" si="25"/>
        <v/>
      </c>
      <c r="K236" s="1535"/>
      <c r="L236" s="1539" t="str">
        <f t="shared" si="24"/>
        <v/>
      </c>
    </row>
    <row r="237" spans="1:12" s="627" customFormat="1" outlineLevel="1">
      <c r="B237" s="1189"/>
      <c r="D237" s="1179" t="s">
        <v>1053</v>
      </c>
      <c r="E237" s="1176" t="s">
        <v>88</v>
      </c>
      <c r="F237" s="1182"/>
      <c r="I237" s="2121"/>
      <c r="J237" s="1540" t="str">
        <f t="shared" si="25"/>
        <v/>
      </c>
      <c r="K237" s="1535"/>
      <c r="L237" s="1539" t="str">
        <f t="shared" si="24"/>
        <v/>
      </c>
    </row>
    <row r="238" spans="1:12" s="627" customFormat="1" outlineLevel="1">
      <c r="A238" s="1681"/>
      <c r="B238" s="1189"/>
      <c r="D238" s="1179" t="s">
        <v>1053</v>
      </c>
      <c r="E238" s="1176" t="s">
        <v>88</v>
      </c>
      <c r="F238" s="1182"/>
      <c r="I238" s="2121"/>
      <c r="J238" s="1540" t="str">
        <f t="shared" si="25"/>
        <v/>
      </c>
      <c r="K238" s="1535"/>
      <c r="L238" s="1539" t="str">
        <f t="shared" si="24"/>
        <v/>
      </c>
    </row>
    <row r="239" spans="1:12" s="627" customFormat="1" outlineLevel="1">
      <c r="B239" s="1189"/>
      <c r="D239" s="1179" t="s">
        <v>1053</v>
      </c>
      <c r="E239" s="1176" t="s">
        <v>88</v>
      </c>
      <c r="F239" s="1182"/>
      <c r="I239" s="2121"/>
      <c r="J239" s="1540" t="str">
        <f t="shared" si="25"/>
        <v/>
      </c>
      <c r="K239" s="1535"/>
      <c r="L239" s="1539" t="str">
        <f t="shared" si="24"/>
        <v/>
      </c>
    </row>
    <row r="240" spans="1:12" s="627" customFormat="1" outlineLevel="1">
      <c r="B240" s="1189"/>
      <c r="D240" s="1179" t="s">
        <v>1053</v>
      </c>
      <c r="E240" s="1176" t="s">
        <v>88</v>
      </c>
      <c r="F240" s="1182"/>
      <c r="I240" s="2121"/>
      <c r="J240" s="1540" t="str">
        <f t="shared" si="25"/>
        <v/>
      </c>
      <c r="K240" s="1535"/>
      <c r="L240" s="1539" t="str">
        <f t="shared" si="24"/>
        <v/>
      </c>
    </row>
    <row r="241" spans="1:14" s="627" customFormat="1" outlineLevel="1">
      <c r="B241" s="1189"/>
      <c r="D241" s="1179" t="s">
        <v>1053</v>
      </c>
      <c r="E241" s="1176" t="s">
        <v>88</v>
      </c>
      <c r="F241" s="1182"/>
      <c r="I241" s="2121"/>
      <c r="J241" s="1540" t="str">
        <f t="shared" si="25"/>
        <v/>
      </c>
      <c r="K241" s="1535"/>
      <c r="L241" s="1539" t="str">
        <f t="shared" si="24"/>
        <v/>
      </c>
    </row>
    <row r="242" spans="1:14" s="627" customFormat="1" outlineLevel="1">
      <c r="B242" s="1189"/>
      <c r="D242" s="1179" t="s">
        <v>1053</v>
      </c>
      <c r="E242" s="1176" t="s">
        <v>88</v>
      </c>
      <c r="F242" s="1182"/>
      <c r="I242" s="2121"/>
      <c r="J242" s="1540" t="str">
        <f t="shared" si="25"/>
        <v/>
      </c>
      <c r="K242" s="1535"/>
      <c r="L242" s="1539" t="str">
        <f t="shared" si="24"/>
        <v/>
      </c>
    </row>
    <row r="243" spans="1:14" s="627" customFormat="1" outlineLevel="1">
      <c r="B243" s="1189"/>
      <c r="D243" s="1179" t="s">
        <v>1053</v>
      </c>
      <c r="E243" s="1176" t="s">
        <v>88</v>
      </c>
      <c r="F243" s="1182"/>
      <c r="I243" s="2121"/>
      <c r="J243" s="1540" t="str">
        <f t="shared" si="25"/>
        <v/>
      </c>
      <c r="K243" s="1535"/>
      <c r="L243" s="1539" t="str">
        <f t="shared" si="24"/>
        <v/>
      </c>
    </row>
    <row r="244" spans="1:14" s="627" customFormat="1" outlineLevel="1">
      <c r="A244" s="1666" t="s">
        <v>1487</v>
      </c>
      <c r="B244" s="1189"/>
      <c r="D244" s="1179" t="s">
        <v>1053</v>
      </c>
      <c r="E244" s="1176" t="s">
        <v>88</v>
      </c>
      <c r="F244" s="1182"/>
      <c r="I244" s="2121"/>
      <c r="J244" s="1540" t="str">
        <f t="shared" si="25"/>
        <v/>
      </c>
      <c r="K244" s="1535"/>
      <c r="L244" s="1539" t="str">
        <f t="shared" si="24"/>
        <v/>
      </c>
    </row>
    <row r="245" spans="1:14" s="627" customFormat="1" outlineLevel="1">
      <c r="B245" s="1189"/>
      <c r="D245" s="1180" t="s">
        <v>1053</v>
      </c>
      <c r="E245" s="1177" t="s">
        <v>88</v>
      </c>
      <c r="F245" s="1183"/>
      <c r="I245" s="2121"/>
      <c r="J245" s="1540" t="str">
        <f t="shared" si="25"/>
        <v/>
      </c>
      <c r="K245" s="1535"/>
      <c r="L245" s="1539" t="str">
        <f t="shared" si="24"/>
        <v/>
      </c>
    </row>
    <row r="246" spans="1:14" s="627" customFormat="1" outlineLevel="1">
      <c r="B246" s="1189"/>
      <c r="D246" s="1165" t="s">
        <v>1247</v>
      </c>
      <c r="E246" s="1166" t="s">
        <v>88</v>
      </c>
      <c r="F246" s="1184">
        <f>SUM(F231:F245)</f>
        <v>0</v>
      </c>
      <c r="G246" s="969"/>
      <c r="I246" s="1615"/>
      <c r="J246" s="1577"/>
      <c r="K246" s="1578"/>
      <c r="L246" s="1579"/>
    </row>
    <row r="247" spans="1:14" s="627" customFormat="1" ht="17.25" customHeight="1">
      <c r="B247" s="1189"/>
      <c r="D247" s="1165"/>
      <c r="E247" s="1166"/>
      <c r="F247" s="1166"/>
      <c r="G247" s="969"/>
      <c r="I247" s="1246"/>
    </row>
    <row r="248" spans="1:14" s="1007" customFormat="1">
      <c r="B248" s="628" t="s">
        <v>1287</v>
      </c>
      <c r="C248" s="628"/>
      <c r="D248" s="628"/>
      <c r="E248" s="628"/>
      <c r="F248" s="628"/>
      <c r="G248" s="44"/>
      <c r="H248" s="44"/>
      <c r="I248" s="50"/>
    </row>
    <row r="249" spans="1:14" s="46" customFormat="1">
      <c r="B249" s="974" t="s">
        <v>1402</v>
      </c>
      <c r="C249" s="972"/>
      <c r="D249" s="1098"/>
      <c r="E249" s="1098"/>
      <c r="F249" s="1099"/>
      <c r="G249" s="44"/>
      <c r="H249" s="44"/>
      <c r="J249" s="1007"/>
      <c r="L249" s="42"/>
      <c r="N249" s="45"/>
    </row>
    <row r="250" spans="1:14" s="46" customFormat="1">
      <c r="N250" s="45"/>
    </row>
    <row r="251" spans="1:14" ht="19.5" customHeight="1">
      <c r="B251" s="1188"/>
      <c r="D251" s="1326" t="s">
        <v>1417</v>
      </c>
      <c r="E251" s="1202"/>
      <c r="F251" s="1202"/>
      <c r="G251" s="1247"/>
      <c r="I251" s="1070"/>
    </row>
    <row r="252" spans="1:14" outlineLevel="1">
      <c r="B252" s="1189"/>
      <c r="C252" s="1189"/>
      <c r="D252" s="1189"/>
      <c r="E252" s="1189"/>
      <c r="F252" s="1189"/>
      <c r="G252" s="969"/>
      <c r="I252" s="1070"/>
    </row>
    <row r="253" spans="1:14" s="627" customFormat="1" ht="45" customHeight="1" outlineLevel="1">
      <c r="B253" s="1189"/>
      <c r="C253" s="1189"/>
      <c r="D253" s="1189"/>
      <c r="E253" s="958" t="s">
        <v>1192</v>
      </c>
      <c r="F253" s="1103" t="s">
        <v>1238</v>
      </c>
      <c r="G253" s="969"/>
      <c r="I253" s="1611" t="s">
        <v>1441</v>
      </c>
      <c r="J253" s="1594" t="s">
        <v>1430</v>
      </c>
      <c r="K253" s="1596" t="s">
        <v>1432</v>
      </c>
      <c r="L253" s="1557" t="s">
        <v>1440</v>
      </c>
    </row>
    <row r="254" spans="1:14" s="627" customFormat="1" ht="28.5" customHeight="1" outlineLevel="1">
      <c r="B254" s="1189"/>
      <c r="D254" s="1172" t="s">
        <v>1289</v>
      </c>
      <c r="E254" s="1171"/>
      <c r="F254" s="1171"/>
      <c r="I254" s="1601" t="s">
        <v>1435</v>
      </c>
      <c r="J254" s="2122" t="s">
        <v>1453</v>
      </c>
      <c r="K254" s="2123"/>
      <c r="L254" s="2124"/>
    </row>
    <row r="255" spans="1:14" s="627" customFormat="1" ht="15" customHeight="1" outlineLevel="1">
      <c r="B255" s="1189"/>
      <c r="D255" s="1884" t="str">
        <f t="shared" ref="D255:D296" si="26">D13</f>
        <v>&lt;TNSP specified&gt;</v>
      </c>
      <c r="E255" s="1175" t="s">
        <v>88</v>
      </c>
      <c r="F255" s="1181"/>
      <c r="I255" s="1613"/>
      <c r="J255" s="1561" t="str">
        <f t="shared" ref="J255:J296" si="27">IF(ISNONTEXT(F255)=TRUE,"","X")</f>
        <v/>
      </c>
      <c r="K255" s="1559" t="str">
        <f>IF(F255&lt;&gt;""=TRUE,"","X")</f>
        <v>X</v>
      </c>
      <c r="L255" s="1700"/>
    </row>
    <row r="256" spans="1:14" s="627" customFormat="1" outlineLevel="1">
      <c r="B256" s="1189"/>
      <c r="D256" s="1885" t="str">
        <f t="shared" si="26"/>
        <v>&lt;TNSP specified&gt;</v>
      </c>
      <c r="E256" s="1176" t="s">
        <v>88</v>
      </c>
      <c r="F256" s="1182"/>
      <c r="I256" s="1614"/>
      <c r="J256" s="1540" t="str">
        <f t="shared" si="27"/>
        <v/>
      </c>
      <c r="K256" s="1535"/>
      <c r="L256" s="1539" t="str">
        <f t="shared" ref="L256:L296" si="28">IF(AND(D256&lt;&gt;"",LEFT(D256,5)&lt;&gt;"&lt;TNSP",ISBLANK(F256))=TRUE,"X","")</f>
        <v/>
      </c>
    </row>
    <row r="257" spans="1:12" s="627" customFormat="1" outlineLevel="1">
      <c r="B257" s="1189"/>
      <c r="D257" s="1885" t="str">
        <f t="shared" si="26"/>
        <v>&lt;TNSP specified&gt;</v>
      </c>
      <c r="E257" s="1176" t="s">
        <v>88</v>
      </c>
      <c r="F257" s="1182"/>
      <c r="I257" s="1614"/>
      <c r="J257" s="1540" t="str">
        <f t="shared" si="27"/>
        <v/>
      </c>
      <c r="K257" s="1535"/>
      <c r="L257" s="1539" t="str">
        <f t="shared" si="28"/>
        <v/>
      </c>
    </row>
    <row r="258" spans="1:12" s="627" customFormat="1" outlineLevel="1">
      <c r="B258" s="1189"/>
      <c r="D258" s="1885" t="str">
        <f t="shared" si="26"/>
        <v>&lt;TNSP specified&gt;</v>
      </c>
      <c r="E258" s="1176" t="s">
        <v>88</v>
      </c>
      <c r="F258" s="1182"/>
      <c r="I258" s="1614"/>
      <c r="J258" s="1540" t="str">
        <f t="shared" si="27"/>
        <v/>
      </c>
      <c r="K258" s="1535"/>
      <c r="L258" s="1539" t="str">
        <f t="shared" si="28"/>
        <v/>
      </c>
    </row>
    <row r="259" spans="1:12" s="627" customFormat="1" outlineLevel="1">
      <c r="B259" s="1189"/>
      <c r="D259" s="1885" t="str">
        <f t="shared" si="26"/>
        <v>&lt;TNSP specified&gt;</v>
      </c>
      <c r="E259" s="1176" t="s">
        <v>88</v>
      </c>
      <c r="F259" s="1182"/>
      <c r="I259" s="1614"/>
      <c r="J259" s="1540" t="str">
        <f t="shared" si="27"/>
        <v/>
      </c>
      <c r="K259" s="1535"/>
      <c r="L259" s="1539" t="str">
        <f t="shared" si="28"/>
        <v/>
      </c>
    </row>
    <row r="260" spans="1:12" s="627" customFormat="1" outlineLevel="1">
      <c r="B260" s="1189"/>
      <c r="D260" s="1885" t="str">
        <f t="shared" si="26"/>
        <v>&lt;TNSP specified&gt;</v>
      </c>
      <c r="E260" s="1176" t="s">
        <v>88</v>
      </c>
      <c r="F260" s="1182"/>
      <c r="I260" s="1614"/>
      <c r="J260" s="1540" t="str">
        <f t="shared" si="27"/>
        <v/>
      </c>
      <c r="K260" s="1535"/>
      <c r="L260" s="1539" t="str">
        <f t="shared" si="28"/>
        <v/>
      </c>
    </row>
    <row r="261" spans="1:12" s="627" customFormat="1" hidden="1" outlineLevel="2">
      <c r="A261" s="1681"/>
      <c r="B261" s="1189"/>
      <c r="D261" s="1885" t="str">
        <f t="shared" si="26"/>
        <v>&lt;TNSP specified&gt;</v>
      </c>
      <c r="E261" s="1176" t="s">
        <v>88</v>
      </c>
      <c r="F261" s="1182"/>
      <c r="I261" s="1614"/>
      <c r="J261" s="1540" t="str">
        <f t="shared" si="27"/>
        <v/>
      </c>
      <c r="K261" s="1535"/>
      <c r="L261" s="1539" t="str">
        <f t="shared" si="28"/>
        <v/>
      </c>
    </row>
    <row r="262" spans="1:12" s="627" customFormat="1" hidden="1" outlineLevel="2">
      <c r="B262" s="1189"/>
      <c r="D262" s="1885" t="str">
        <f t="shared" si="26"/>
        <v>&lt;TNSP specified&gt;</v>
      </c>
      <c r="E262" s="1176" t="s">
        <v>88</v>
      </c>
      <c r="F262" s="1182"/>
      <c r="I262" s="1614"/>
      <c r="J262" s="1540" t="str">
        <f t="shared" si="27"/>
        <v/>
      </c>
      <c r="K262" s="1535"/>
      <c r="L262" s="1539" t="str">
        <f t="shared" si="28"/>
        <v/>
      </c>
    </row>
    <row r="263" spans="1:12" s="627" customFormat="1" hidden="1" outlineLevel="2">
      <c r="B263" s="1189"/>
      <c r="D263" s="1885" t="str">
        <f t="shared" si="26"/>
        <v>&lt;TNSP specified&gt;</v>
      </c>
      <c r="E263" s="1176" t="s">
        <v>88</v>
      </c>
      <c r="F263" s="1182"/>
      <c r="I263" s="1614"/>
      <c r="J263" s="1540" t="str">
        <f t="shared" si="27"/>
        <v/>
      </c>
      <c r="K263" s="1535"/>
      <c r="L263" s="1539" t="str">
        <f t="shared" si="28"/>
        <v/>
      </c>
    </row>
    <row r="264" spans="1:12" s="627" customFormat="1" hidden="1" outlineLevel="2">
      <c r="B264" s="1189"/>
      <c r="D264" s="1885" t="str">
        <f t="shared" si="26"/>
        <v>&lt;TNSP specified&gt;</v>
      </c>
      <c r="E264" s="1176" t="s">
        <v>88</v>
      </c>
      <c r="F264" s="1182"/>
      <c r="I264" s="1614"/>
      <c r="J264" s="1540" t="str">
        <f t="shared" si="27"/>
        <v/>
      </c>
      <c r="K264" s="1535"/>
      <c r="L264" s="1539" t="str">
        <f t="shared" si="28"/>
        <v/>
      </c>
    </row>
    <row r="265" spans="1:12" s="627" customFormat="1" hidden="1" outlineLevel="2">
      <c r="B265" s="1189"/>
      <c r="D265" s="1885" t="str">
        <f t="shared" si="26"/>
        <v>&lt;TNSP specified&gt;</v>
      </c>
      <c r="E265" s="1176" t="s">
        <v>88</v>
      </c>
      <c r="F265" s="1182"/>
      <c r="I265" s="1614"/>
      <c r="J265" s="1540" t="str">
        <f t="shared" si="27"/>
        <v/>
      </c>
      <c r="K265" s="1535"/>
      <c r="L265" s="1539" t="str">
        <f t="shared" si="28"/>
        <v/>
      </c>
    </row>
    <row r="266" spans="1:12" s="627" customFormat="1" hidden="1" outlineLevel="2">
      <c r="B266" s="1189"/>
      <c r="D266" s="1885" t="str">
        <f t="shared" si="26"/>
        <v>&lt;TNSP specified&gt;</v>
      </c>
      <c r="E266" s="1176" t="s">
        <v>88</v>
      </c>
      <c r="F266" s="1182"/>
      <c r="I266" s="1614"/>
      <c r="J266" s="1540" t="str">
        <f t="shared" si="27"/>
        <v/>
      </c>
      <c r="K266" s="1535"/>
      <c r="L266" s="1539" t="str">
        <f t="shared" si="28"/>
        <v/>
      </c>
    </row>
    <row r="267" spans="1:12" s="627" customFormat="1" hidden="1" outlineLevel="2">
      <c r="A267" s="1681"/>
      <c r="B267" s="1189"/>
      <c r="D267" s="1885" t="str">
        <f t="shared" si="26"/>
        <v>&lt;TNSP specified&gt;</v>
      </c>
      <c r="E267" s="1176" t="s">
        <v>88</v>
      </c>
      <c r="F267" s="1182"/>
      <c r="I267" s="1614"/>
      <c r="J267" s="1540" t="str">
        <f t="shared" si="27"/>
        <v/>
      </c>
      <c r="K267" s="1535"/>
      <c r="L267" s="1539" t="str">
        <f t="shared" si="28"/>
        <v/>
      </c>
    </row>
    <row r="268" spans="1:12" s="627" customFormat="1" hidden="1" outlineLevel="2">
      <c r="B268" s="1189"/>
      <c r="D268" s="1885" t="str">
        <f t="shared" si="26"/>
        <v>&lt;TNSP specified&gt;</v>
      </c>
      <c r="E268" s="1176" t="s">
        <v>88</v>
      </c>
      <c r="F268" s="1182"/>
      <c r="I268" s="1614"/>
      <c r="J268" s="1540" t="str">
        <f t="shared" si="27"/>
        <v/>
      </c>
      <c r="K268" s="1535"/>
      <c r="L268" s="1539" t="str">
        <f t="shared" si="28"/>
        <v/>
      </c>
    </row>
    <row r="269" spans="1:12" s="627" customFormat="1" hidden="1" outlineLevel="2">
      <c r="B269" s="1189"/>
      <c r="D269" s="1885" t="str">
        <f t="shared" si="26"/>
        <v>&lt;TNSP specified&gt;</v>
      </c>
      <c r="E269" s="1176" t="s">
        <v>88</v>
      </c>
      <c r="F269" s="1182"/>
      <c r="I269" s="1614"/>
      <c r="J269" s="1540" t="str">
        <f t="shared" si="27"/>
        <v/>
      </c>
      <c r="K269" s="1535"/>
      <c r="L269" s="1539" t="str">
        <f t="shared" si="28"/>
        <v/>
      </c>
    </row>
    <row r="270" spans="1:12" s="627" customFormat="1" hidden="1" outlineLevel="2">
      <c r="B270" s="1189"/>
      <c r="D270" s="1885" t="str">
        <f t="shared" si="26"/>
        <v>&lt;TNSP specified&gt;</v>
      </c>
      <c r="E270" s="1176" t="s">
        <v>88</v>
      </c>
      <c r="F270" s="1182"/>
      <c r="I270" s="1614"/>
      <c r="J270" s="1540" t="str">
        <f t="shared" si="27"/>
        <v/>
      </c>
      <c r="K270" s="1535"/>
      <c r="L270" s="1539" t="str">
        <f t="shared" si="28"/>
        <v/>
      </c>
    </row>
    <row r="271" spans="1:12" s="627" customFormat="1" hidden="1" outlineLevel="2">
      <c r="B271" s="1189"/>
      <c r="D271" s="1885" t="str">
        <f t="shared" si="26"/>
        <v>&lt;TNSP specified&gt;</v>
      </c>
      <c r="E271" s="1176" t="s">
        <v>88</v>
      </c>
      <c r="F271" s="1182"/>
      <c r="I271" s="1614"/>
      <c r="J271" s="1540" t="str">
        <f t="shared" si="27"/>
        <v/>
      </c>
      <c r="K271" s="1535"/>
      <c r="L271" s="1539" t="str">
        <f t="shared" si="28"/>
        <v/>
      </c>
    </row>
    <row r="272" spans="1:12" s="627" customFormat="1" hidden="1" outlineLevel="2">
      <c r="B272" s="1189"/>
      <c r="D272" s="1885" t="str">
        <f t="shared" si="26"/>
        <v>&lt;TNSP specified&gt;</v>
      </c>
      <c r="E272" s="1176" t="s">
        <v>88</v>
      </c>
      <c r="F272" s="1182"/>
      <c r="I272" s="1614"/>
      <c r="J272" s="1540" t="str">
        <f t="shared" si="27"/>
        <v/>
      </c>
      <c r="K272" s="1535"/>
      <c r="L272" s="1539" t="str">
        <f t="shared" si="28"/>
        <v/>
      </c>
    </row>
    <row r="273" spans="1:12" s="627" customFormat="1" hidden="1" outlineLevel="2">
      <c r="A273" s="1681"/>
      <c r="B273" s="1189"/>
      <c r="D273" s="1885" t="str">
        <f t="shared" si="26"/>
        <v>&lt;TNSP specified&gt;</v>
      </c>
      <c r="E273" s="1176" t="s">
        <v>88</v>
      </c>
      <c r="F273" s="1182"/>
      <c r="I273" s="1614"/>
      <c r="J273" s="1540" t="str">
        <f t="shared" si="27"/>
        <v/>
      </c>
      <c r="K273" s="1535"/>
      <c r="L273" s="1539" t="str">
        <f t="shared" si="28"/>
        <v/>
      </c>
    </row>
    <row r="274" spans="1:12" s="627" customFormat="1" hidden="1" outlineLevel="2">
      <c r="B274" s="1189"/>
      <c r="D274" s="1885" t="str">
        <f t="shared" si="26"/>
        <v>&lt;TNSP specified&gt;</v>
      </c>
      <c r="E274" s="1176" t="s">
        <v>88</v>
      </c>
      <c r="F274" s="1182"/>
      <c r="I274" s="1614"/>
      <c r="J274" s="1540" t="str">
        <f t="shared" si="27"/>
        <v/>
      </c>
      <c r="K274" s="1535"/>
      <c r="L274" s="1539" t="str">
        <f t="shared" si="28"/>
        <v/>
      </c>
    </row>
    <row r="275" spans="1:12" s="627" customFormat="1" hidden="1" outlineLevel="2">
      <c r="B275" s="1189"/>
      <c r="D275" s="1885" t="str">
        <f t="shared" si="26"/>
        <v>&lt;TNSP specified&gt;</v>
      </c>
      <c r="E275" s="1176" t="s">
        <v>88</v>
      </c>
      <c r="F275" s="1182"/>
      <c r="I275" s="1614"/>
      <c r="J275" s="1540" t="str">
        <f t="shared" si="27"/>
        <v/>
      </c>
      <c r="K275" s="1535"/>
      <c r="L275" s="1539" t="str">
        <f t="shared" si="28"/>
        <v/>
      </c>
    </row>
    <row r="276" spans="1:12" s="627" customFormat="1" hidden="1" outlineLevel="2">
      <c r="B276" s="1189"/>
      <c r="D276" s="1885" t="str">
        <f t="shared" si="26"/>
        <v>&lt;TNSP specified&gt;</v>
      </c>
      <c r="E276" s="1176" t="s">
        <v>88</v>
      </c>
      <c r="F276" s="1182"/>
      <c r="I276" s="1614"/>
      <c r="J276" s="1540" t="str">
        <f t="shared" si="27"/>
        <v/>
      </c>
      <c r="K276" s="1535"/>
      <c r="L276" s="1539" t="str">
        <f t="shared" si="28"/>
        <v/>
      </c>
    </row>
    <row r="277" spans="1:12" s="627" customFormat="1" hidden="1" outlineLevel="2">
      <c r="B277" s="1189"/>
      <c r="D277" s="1885" t="str">
        <f t="shared" si="26"/>
        <v>&lt;TNSP specified&gt;</v>
      </c>
      <c r="E277" s="1176" t="s">
        <v>88</v>
      </c>
      <c r="F277" s="1182"/>
      <c r="I277" s="1614"/>
      <c r="J277" s="1540" t="str">
        <f t="shared" si="27"/>
        <v/>
      </c>
      <c r="K277" s="1535"/>
      <c r="L277" s="1539" t="str">
        <f t="shared" si="28"/>
        <v/>
      </c>
    </row>
    <row r="278" spans="1:12" s="627" customFormat="1" hidden="1" outlineLevel="2">
      <c r="B278" s="1189"/>
      <c r="D278" s="1885" t="str">
        <f t="shared" si="26"/>
        <v>&lt;TNSP specified&gt;</v>
      </c>
      <c r="E278" s="1176" t="s">
        <v>88</v>
      </c>
      <c r="F278" s="1182"/>
      <c r="I278" s="1614"/>
      <c r="J278" s="1540" t="str">
        <f t="shared" si="27"/>
        <v/>
      </c>
      <c r="K278" s="1535"/>
      <c r="L278" s="1539" t="str">
        <f t="shared" si="28"/>
        <v/>
      </c>
    </row>
    <row r="279" spans="1:12" s="627" customFormat="1" hidden="1" outlineLevel="2">
      <c r="A279" s="1681"/>
      <c r="B279" s="1189"/>
      <c r="D279" s="1885" t="str">
        <f t="shared" si="26"/>
        <v>&lt;TNSP specified&gt;</v>
      </c>
      <c r="E279" s="1176" t="s">
        <v>88</v>
      </c>
      <c r="F279" s="1182"/>
      <c r="I279" s="1614"/>
      <c r="J279" s="1540" t="str">
        <f t="shared" si="27"/>
        <v/>
      </c>
      <c r="K279" s="1535"/>
      <c r="L279" s="1539" t="str">
        <f t="shared" si="28"/>
        <v/>
      </c>
    </row>
    <row r="280" spans="1:12" s="627" customFormat="1" hidden="1" outlineLevel="2">
      <c r="B280" s="1189"/>
      <c r="D280" s="1885" t="str">
        <f t="shared" si="26"/>
        <v>&lt;TNSP specified&gt;</v>
      </c>
      <c r="E280" s="1176" t="s">
        <v>88</v>
      </c>
      <c r="F280" s="1182"/>
      <c r="I280" s="1614"/>
      <c r="J280" s="1540" t="str">
        <f t="shared" si="27"/>
        <v/>
      </c>
      <c r="K280" s="1535"/>
      <c r="L280" s="1539" t="str">
        <f t="shared" si="28"/>
        <v/>
      </c>
    </row>
    <row r="281" spans="1:12" s="627" customFormat="1" hidden="1" outlineLevel="2">
      <c r="B281" s="1189"/>
      <c r="D281" s="1885" t="str">
        <f t="shared" si="26"/>
        <v>&lt;TNSP specified&gt;</v>
      </c>
      <c r="E281" s="1176" t="s">
        <v>88</v>
      </c>
      <c r="F281" s="1182"/>
      <c r="I281" s="1614"/>
      <c r="J281" s="1540" t="str">
        <f t="shared" si="27"/>
        <v/>
      </c>
      <c r="K281" s="1535"/>
      <c r="L281" s="1539" t="str">
        <f t="shared" si="28"/>
        <v/>
      </c>
    </row>
    <row r="282" spans="1:12" s="627" customFormat="1" hidden="1" outlineLevel="2">
      <c r="B282" s="1189"/>
      <c r="D282" s="1885" t="str">
        <f t="shared" si="26"/>
        <v>&lt;TNSP specified&gt;</v>
      </c>
      <c r="E282" s="1176" t="s">
        <v>88</v>
      </c>
      <c r="F282" s="1182"/>
      <c r="I282" s="1614"/>
      <c r="J282" s="1540" t="str">
        <f t="shared" si="27"/>
        <v/>
      </c>
      <c r="K282" s="1535"/>
      <c r="L282" s="1539" t="str">
        <f t="shared" si="28"/>
        <v/>
      </c>
    </row>
    <row r="283" spans="1:12" s="627" customFormat="1" hidden="1" outlineLevel="2">
      <c r="B283" s="1189"/>
      <c r="D283" s="1885" t="str">
        <f t="shared" si="26"/>
        <v>&lt;TNSP specified&gt;</v>
      </c>
      <c r="E283" s="1176" t="s">
        <v>88</v>
      </c>
      <c r="F283" s="1182"/>
      <c r="I283" s="1614"/>
      <c r="J283" s="1540" t="str">
        <f t="shared" si="27"/>
        <v/>
      </c>
      <c r="K283" s="1535"/>
      <c r="L283" s="1539" t="str">
        <f t="shared" si="28"/>
        <v/>
      </c>
    </row>
    <row r="284" spans="1:12" s="627" customFormat="1" hidden="1" outlineLevel="2">
      <c r="B284" s="1189"/>
      <c r="D284" s="1885" t="str">
        <f t="shared" si="26"/>
        <v>&lt;TNSP specified&gt;</v>
      </c>
      <c r="E284" s="1176" t="s">
        <v>88</v>
      </c>
      <c r="F284" s="1182"/>
      <c r="I284" s="1614"/>
      <c r="J284" s="1540" t="str">
        <f t="shared" si="27"/>
        <v/>
      </c>
      <c r="K284" s="1535"/>
      <c r="L284" s="1539" t="str">
        <f t="shared" si="28"/>
        <v/>
      </c>
    </row>
    <row r="285" spans="1:12" s="627" customFormat="1" hidden="1" outlineLevel="2">
      <c r="B285" s="1189"/>
      <c r="D285" s="1885" t="str">
        <f t="shared" si="26"/>
        <v>&lt;TNSP specified&gt;</v>
      </c>
      <c r="E285" s="1176" t="s">
        <v>88</v>
      </c>
      <c r="F285" s="1182"/>
      <c r="I285" s="1614"/>
      <c r="J285" s="1540" t="str">
        <f t="shared" si="27"/>
        <v/>
      </c>
      <c r="K285" s="1535"/>
      <c r="L285" s="1539" t="str">
        <f t="shared" si="28"/>
        <v/>
      </c>
    </row>
    <row r="286" spans="1:12" s="627" customFormat="1" hidden="1" outlineLevel="2">
      <c r="B286" s="1189"/>
      <c r="D286" s="1885" t="str">
        <f t="shared" si="26"/>
        <v>&lt;TNSP specified&gt;</v>
      </c>
      <c r="E286" s="1176" t="s">
        <v>88</v>
      </c>
      <c r="F286" s="1182"/>
      <c r="I286" s="1614"/>
      <c r="J286" s="1540" t="str">
        <f t="shared" si="27"/>
        <v/>
      </c>
      <c r="K286" s="1535"/>
      <c r="L286" s="1539" t="str">
        <f t="shared" si="28"/>
        <v/>
      </c>
    </row>
    <row r="287" spans="1:12" s="627" customFormat="1" hidden="1" outlineLevel="2">
      <c r="B287" s="1189"/>
      <c r="D287" s="1885" t="str">
        <f t="shared" si="26"/>
        <v>&lt;TNSP specified&gt;</v>
      </c>
      <c r="E287" s="1176" t="s">
        <v>88</v>
      </c>
      <c r="F287" s="1182"/>
      <c r="I287" s="1614"/>
      <c r="J287" s="1540" t="str">
        <f t="shared" si="27"/>
        <v/>
      </c>
      <c r="K287" s="1535"/>
      <c r="L287" s="1539" t="str">
        <f t="shared" si="28"/>
        <v/>
      </c>
    </row>
    <row r="288" spans="1:12" s="627" customFormat="1" hidden="1" outlineLevel="2">
      <c r="B288" s="1189"/>
      <c r="D288" s="1885" t="str">
        <f t="shared" si="26"/>
        <v>&lt;TNSP specified&gt;</v>
      </c>
      <c r="E288" s="1176" t="s">
        <v>88</v>
      </c>
      <c r="F288" s="1182"/>
      <c r="I288" s="1614"/>
      <c r="J288" s="1540" t="str">
        <f t="shared" si="27"/>
        <v/>
      </c>
      <c r="K288" s="1535"/>
      <c r="L288" s="1539" t="str">
        <f t="shared" si="28"/>
        <v/>
      </c>
    </row>
    <row r="289" spans="1:12" s="627" customFormat="1" hidden="1" outlineLevel="2">
      <c r="A289" s="1681"/>
      <c r="B289" s="1189"/>
      <c r="D289" s="1885" t="str">
        <f t="shared" si="26"/>
        <v>&lt;TNSP specified&gt;</v>
      </c>
      <c r="E289" s="1176" t="s">
        <v>88</v>
      </c>
      <c r="F289" s="1182"/>
      <c r="I289" s="1614"/>
      <c r="J289" s="1540" t="str">
        <f t="shared" si="27"/>
        <v/>
      </c>
      <c r="K289" s="1535"/>
      <c r="L289" s="1539" t="str">
        <f t="shared" si="28"/>
        <v/>
      </c>
    </row>
    <row r="290" spans="1:12" s="627" customFormat="1" hidden="1" outlineLevel="2">
      <c r="B290" s="1189"/>
      <c r="D290" s="1885" t="str">
        <f t="shared" si="26"/>
        <v>&lt;TNSP specified&gt;</v>
      </c>
      <c r="E290" s="1176" t="s">
        <v>88</v>
      </c>
      <c r="F290" s="1182"/>
      <c r="I290" s="1614"/>
      <c r="J290" s="1540" t="str">
        <f t="shared" si="27"/>
        <v/>
      </c>
      <c r="K290" s="1535"/>
      <c r="L290" s="1539" t="str">
        <f t="shared" si="28"/>
        <v/>
      </c>
    </row>
    <row r="291" spans="1:12" s="627" customFormat="1" hidden="1" outlineLevel="2">
      <c r="B291" s="1189"/>
      <c r="D291" s="1885" t="str">
        <f t="shared" si="26"/>
        <v>&lt;TNSP specified&gt;</v>
      </c>
      <c r="E291" s="1176" t="s">
        <v>88</v>
      </c>
      <c r="F291" s="1182"/>
      <c r="I291" s="1614"/>
      <c r="J291" s="1540" t="str">
        <f t="shared" si="27"/>
        <v/>
      </c>
      <c r="K291" s="1535"/>
      <c r="L291" s="1539" t="str">
        <f t="shared" si="28"/>
        <v/>
      </c>
    </row>
    <row r="292" spans="1:12" s="627" customFormat="1" hidden="1" outlineLevel="2">
      <c r="B292" s="1189"/>
      <c r="D292" s="1885" t="str">
        <f t="shared" si="26"/>
        <v>&lt;TNSP specified&gt;</v>
      </c>
      <c r="E292" s="1176" t="s">
        <v>88</v>
      </c>
      <c r="F292" s="1182"/>
      <c r="I292" s="1614"/>
      <c r="J292" s="1540" t="str">
        <f t="shared" si="27"/>
        <v/>
      </c>
      <c r="K292" s="1535"/>
      <c r="L292" s="1539" t="str">
        <f t="shared" si="28"/>
        <v/>
      </c>
    </row>
    <row r="293" spans="1:12" s="627" customFormat="1" hidden="1" outlineLevel="2">
      <c r="B293" s="1189"/>
      <c r="D293" s="1885" t="str">
        <f t="shared" si="26"/>
        <v>&lt;TNSP specified&gt;</v>
      </c>
      <c r="E293" s="1176" t="s">
        <v>88</v>
      </c>
      <c r="F293" s="1182"/>
      <c r="I293" s="1614"/>
      <c r="J293" s="1540" t="str">
        <f t="shared" si="27"/>
        <v/>
      </c>
      <c r="K293" s="1535"/>
      <c r="L293" s="1539" t="str">
        <f t="shared" si="28"/>
        <v/>
      </c>
    </row>
    <row r="294" spans="1:12" s="627" customFormat="1" hidden="1" outlineLevel="2">
      <c r="B294" s="1189"/>
      <c r="D294" s="1885" t="str">
        <f t="shared" si="26"/>
        <v>&lt;TNSP specified&gt;</v>
      </c>
      <c r="E294" s="1176" t="s">
        <v>88</v>
      </c>
      <c r="F294" s="1182"/>
      <c r="I294" s="1614"/>
      <c r="J294" s="1540" t="str">
        <f t="shared" si="27"/>
        <v/>
      </c>
      <c r="K294" s="1535"/>
      <c r="L294" s="1539" t="str">
        <f t="shared" si="28"/>
        <v/>
      </c>
    </row>
    <row r="295" spans="1:12" s="627" customFormat="1" outlineLevel="1" collapsed="1">
      <c r="A295" s="1681"/>
      <c r="B295" s="1189"/>
      <c r="D295" s="1885" t="str">
        <f t="shared" si="26"/>
        <v>&lt;TNSP specified&gt;</v>
      </c>
      <c r="E295" s="1176" t="s">
        <v>88</v>
      </c>
      <c r="F295" s="1182"/>
      <c r="I295" s="1614"/>
      <c r="J295" s="1540" t="str">
        <f t="shared" si="27"/>
        <v/>
      </c>
      <c r="K295" s="1535"/>
      <c r="L295" s="1539" t="str">
        <f t="shared" si="28"/>
        <v/>
      </c>
    </row>
    <row r="296" spans="1:12" s="627" customFormat="1" outlineLevel="1">
      <c r="A296" s="1666" t="s">
        <v>1487</v>
      </c>
      <c r="B296" s="1189"/>
      <c r="D296" s="1888" t="str">
        <f t="shared" si="26"/>
        <v>&lt;TNSP specified&gt;</v>
      </c>
      <c r="E296" s="1177" t="s">
        <v>88</v>
      </c>
      <c r="F296" s="1183"/>
      <c r="I296" s="1614"/>
      <c r="J296" s="1540" t="str">
        <f t="shared" si="27"/>
        <v/>
      </c>
      <c r="K296" s="1535"/>
      <c r="L296" s="1539" t="str">
        <f t="shared" si="28"/>
        <v/>
      </c>
    </row>
    <row r="297" spans="1:12" s="627" customFormat="1" ht="12.75" outlineLevel="1">
      <c r="B297" s="1189"/>
      <c r="D297" s="1168" t="s">
        <v>1244</v>
      </c>
      <c r="E297" s="1166" t="s">
        <v>88</v>
      </c>
      <c r="F297" s="1184">
        <f>SUM(F255:F296)</f>
        <v>0</v>
      </c>
      <c r="I297" s="1615"/>
      <c r="J297" s="1618"/>
      <c r="K297" s="1704"/>
      <c r="L297" s="1619"/>
    </row>
    <row r="298" spans="1:12" s="627" customFormat="1" ht="12.75" outlineLevel="1">
      <c r="B298" s="1189"/>
      <c r="D298" s="1174" t="s">
        <v>1295</v>
      </c>
      <c r="I298" s="1246"/>
    </row>
    <row r="299" spans="1:12" s="627" customFormat="1" ht="15" customHeight="1" outlineLevel="1">
      <c r="B299" s="1189"/>
      <c r="D299" s="1884" t="str">
        <f>D255</f>
        <v>&lt;TNSP specified&gt;</v>
      </c>
      <c r="E299" s="1175" t="s">
        <v>88</v>
      </c>
      <c r="F299" s="1181"/>
      <c r="I299" s="1613"/>
      <c r="J299" s="1561" t="str">
        <f t="shared" ref="J299:J340" si="29">IF(ISNONTEXT(F299)=TRUE,"","X")</f>
        <v/>
      </c>
      <c r="K299" s="1559" t="str">
        <f>IF(F299&lt;&gt;""=TRUE,"","X")</f>
        <v>X</v>
      </c>
      <c r="L299" s="1700"/>
    </row>
    <row r="300" spans="1:12" s="627" customFormat="1" outlineLevel="1">
      <c r="B300" s="1189"/>
      <c r="D300" s="1885" t="str">
        <f t="shared" ref="D300:D340" si="30">D256</f>
        <v>&lt;TNSP specified&gt;</v>
      </c>
      <c r="E300" s="1176" t="s">
        <v>88</v>
      </c>
      <c r="F300" s="1182"/>
      <c r="I300" s="1614"/>
      <c r="J300" s="1540" t="str">
        <f t="shared" si="29"/>
        <v/>
      </c>
      <c r="K300" s="1535"/>
      <c r="L300" s="1539" t="str">
        <f t="shared" ref="L300:L340" si="31">IF(AND(D300&lt;&gt;"",LEFT(D300,5)&lt;&gt;"&lt;TNSP",ISBLANK(F300))=TRUE,"X","")</f>
        <v/>
      </c>
    </row>
    <row r="301" spans="1:12" s="627" customFormat="1" outlineLevel="1">
      <c r="B301" s="1189"/>
      <c r="D301" s="1885" t="str">
        <f t="shared" si="30"/>
        <v>&lt;TNSP specified&gt;</v>
      </c>
      <c r="E301" s="1176" t="s">
        <v>88</v>
      </c>
      <c r="F301" s="1182"/>
      <c r="I301" s="1614"/>
      <c r="J301" s="1540" t="str">
        <f t="shared" si="29"/>
        <v/>
      </c>
      <c r="K301" s="1535"/>
      <c r="L301" s="1539" t="str">
        <f t="shared" si="31"/>
        <v/>
      </c>
    </row>
    <row r="302" spans="1:12" s="627" customFormat="1" outlineLevel="1">
      <c r="B302" s="1189"/>
      <c r="D302" s="1885" t="str">
        <f t="shared" si="30"/>
        <v>&lt;TNSP specified&gt;</v>
      </c>
      <c r="E302" s="1176" t="s">
        <v>88</v>
      </c>
      <c r="F302" s="1182"/>
      <c r="I302" s="1614"/>
      <c r="J302" s="1540" t="str">
        <f t="shared" si="29"/>
        <v/>
      </c>
      <c r="K302" s="1535"/>
      <c r="L302" s="1539" t="str">
        <f t="shared" si="31"/>
        <v/>
      </c>
    </row>
    <row r="303" spans="1:12" s="627" customFormat="1" outlineLevel="1">
      <c r="B303" s="1189"/>
      <c r="D303" s="1885" t="str">
        <f t="shared" si="30"/>
        <v>&lt;TNSP specified&gt;</v>
      </c>
      <c r="E303" s="1176" t="s">
        <v>88</v>
      </c>
      <c r="F303" s="1182"/>
      <c r="I303" s="1614"/>
      <c r="J303" s="1540" t="str">
        <f t="shared" si="29"/>
        <v/>
      </c>
      <c r="K303" s="1535"/>
      <c r="L303" s="1539" t="str">
        <f t="shared" si="31"/>
        <v/>
      </c>
    </row>
    <row r="304" spans="1:12" s="627" customFormat="1" outlineLevel="1">
      <c r="B304" s="1189"/>
      <c r="D304" s="1885" t="str">
        <f t="shared" si="30"/>
        <v>&lt;TNSP specified&gt;</v>
      </c>
      <c r="E304" s="1176" t="s">
        <v>88</v>
      </c>
      <c r="F304" s="1182"/>
      <c r="I304" s="1614"/>
      <c r="J304" s="1540" t="str">
        <f t="shared" si="29"/>
        <v/>
      </c>
      <c r="K304" s="1535"/>
      <c r="L304" s="1539" t="str">
        <f t="shared" si="31"/>
        <v/>
      </c>
    </row>
    <row r="305" spans="1:12" s="627" customFormat="1" outlineLevel="1">
      <c r="A305" s="1681"/>
      <c r="B305" s="1189"/>
      <c r="D305" s="1885" t="str">
        <f t="shared" si="30"/>
        <v>&lt;TNSP specified&gt;</v>
      </c>
      <c r="E305" s="1176" t="s">
        <v>88</v>
      </c>
      <c r="F305" s="1182"/>
      <c r="I305" s="1614"/>
      <c r="J305" s="1540" t="str">
        <f t="shared" si="29"/>
        <v/>
      </c>
      <c r="K305" s="1535"/>
      <c r="L305" s="1539" t="str">
        <f t="shared" si="31"/>
        <v/>
      </c>
    </row>
    <row r="306" spans="1:12" s="627" customFormat="1" hidden="1" outlineLevel="2">
      <c r="B306" s="1189"/>
      <c r="D306" s="1885" t="str">
        <f t="shared" si="30"/>
        <v>&lt;TNSP specified&gt;</v>
      </c>
      <c r="E306" s="1176" t="s">
        <v>88</v>
      </c>
      <c r="F306" s="1182"/>
      <c r="I306" s="1614"/>
      <c r="J306" s="1540" t="str">
        <f t="shared" si="29"/>
        <v/>
      </c>
      <c r="K306" s="1535"/>
      <c r="L306" s="1539" t="str">
        <f t="shared" si="31"/>
        <v/>
      </c>
    </row>
    <row r="307" spans="1:12" s="627" customFormat="1" hidden="1" outlineLevel="2">
      <c r="B307" s="1189"/>
      <c r="D307" s="1885" t="str">
        <f t="shared" si="30"/>
        <v>&lt;TNSP specified&gt;</v>
      </c>
      <c r="E307" s="1176" t="s">
        <v>88</v>
      </c>
      <c r="F307" s="1182"/>
      <c r="I307" s="1614"/>
      <c r="J307" s="1540" t="str">
        <f t="shared" si="29"/>
        <v/>
      </c>
      <c r="K307" s="1535"/>
      <c r="L307" s="1539" t="str">
        <f t="shared" si="31"/>
        <v/>
      </c>
    </row>
    <row r="308" spans="1:12" s="627" customFormat="1" hidden="1" outlineLevel="2">
      <c r="B308" s="1189"/>
      <c r="D308" s="1885" t="str">
        <f t="shared" si="30"/>
        <v>&lt;TNSP specified&gt;</v>
      </c>
      <c r="E308" s="1176" t="s">
        <v>88</v>
      </c>
      <c r="F308" s="1182"/>
      <c r="I308" s="1614"/>
      <c r="J308" s="1540" t="str">
        <f t="shared" si="29"/>
        <v/>
      </c>
      <c r="K308" s="1535"/>
      <c r="L308" s="1539" t="str">
        <f t="shared" si="31"/>
        <v/>
      </c>
    </row>
    <row r="309" spans="1:12" s="627" customFormat="1" hidden="1" outlineLevel="2">
      <c r="B309" s="1189"/>
      <c r="D309" s="1885" t="str">
        <f t="shared" si="30"/>
        <v>&lt;TNSP specified&gt;</v>
      </c>
      <c r="E309" s="1176" t="s">
        <v>88</v>
      </c>
      <c r="F309" s="1182"/>
      <c r="I309" s="1614"/>
      <c r="J309" s="1540" t="str">
        <f t="shared" si="29"/>
        <v/>
      </c>
      <c r="K309" s="1535"/>
      <c r="L309" s="1539" t="str">
        <f t="shared" si="31"/>
        <v/>
      </c>
    </row>
    <row r="310" spans="1:12" s="627" customFormat="1" hidden="1" outlineLevel="2">
      <c r="B310" s="1189"/>
      <c r="D310" s="1885" t="str">
        <f t="shared" si="30"/>
        <v>&lt;TNSP specified&gt;</v>
      </c>
      <c r="E310" s="1176" t="s">
        <v>88</v>
      </c>
      <c r="F310" s="1182"/>
      <c r="I310" s="1614"/>
      <c r="J310" s="1540" t="str">
        <f t="shared" si="29"/>
        <v/>
      </c>
      <c r="K310" s="1535"/>
      <c r="L310" s="1539" t="str">
        <f t="shared" si="31"/>
        <v/>
      </c>
    </row>
    <row r="311" spans="1:12" s="627" customFormat="1" hidden="1" outlineLevel="2">
      <c r="A311" s="1681"/>
      <c r="B311" s="1189"/>
      <c r="D311" s="1885" t="str">
        <f t="shared" si="30"/>
        <v>&lt;TNSP specified&gt;</v>
      </c>
      <c r="E311" s="1176" t="s">
        <v>88</v>
      </c>
      <c r="F311" s="1182"/>
      <c r="I311" s="1614"/>
      <c r="J311" s="1540" t="str">
        <f t="shared" si="29"/>
        <v/>
      </c>
      <c r="K311" s="1535"/>
      <c r="L311" s="1539" t="str">
        <f t="shared" si="31"/>
        <v/>
      </c>
    </row>
    <row r="312" spans="1:12" s="627" customFormat="1" hidden="1" outlineLevel="2">
      <c r="B312" s="1189"/>
      <c r="D312" s="1885" t="str">
        <f t="shared" si="30"/>
        <v>&lt;TNSP specified&gt;</v>
      </c>
      <c r="E312" s="1176" t="s">
        <v>88</v>
      </c>
      <c r="F312" s="1182"/>
      <c r="I312" s="1614"/>
      <c r="J312" s="1540" t="str">
        <f t="shared" si="29"/>
        <v/>
      </c>
      <c r="K312" s="1535"/>
      <c r="L312" s="1539" t="str">
        <f t="shared" si="31"/>
        <v/>
      </c>
    </row>
    <row r="313" spans="1:12" s="627" customFormat="1" hidden="1" outlineLevel="2">
      <c r="B313" s="1189"/>
      <c r="D313" s="1885" t="str">
        <f t="shared" si="30"/>
        <v>&lt;TNSP specified&gt;</v>
      </c>
      <c r="E313" s="1176" t="s">
        <v>88</v>
      </c>
      <c r="F313" s="1182"/>
      <c r="I313" s="1614"/>
      <c r="J313" s="1540" t="str">
        <f t="shared" si="29"/>
        <v/>
      </c>
      <c r="K313" s="1535"/>
      <c r="L313" s="1539" t="str">
        <f t="shared" si="31"/>
        <v/>
      </c>
    </row>
    <row r="314" spans="1:12" s="627" customFormat="1" hidden="1" outlineLevel="2">
      <c r="B314" s="1189"/>
      <c r="D314" s="1885" t="str">
        <f t="shared" si="30"/>
        <v>&lt;TNSP specified&gt;</v>
      </c>
      <c r="E314" s="1176" t="s">
        <v>88</v>
      </c>
      <c r="F314" s="1182"/>
      <c r="I314" s="1614"/>
      <c r="J314" s="1540" t="str">
        <f t="shared" si="29"/>
        <v/>
      </c>
      <c r="K314" s="1535"/>
      <c r="L314" s="1539" t="str">
        <f t="shared" si="31"/>
        <v/>
      </c>
    </row>
    <row r="315" spans="1:12" s="627" customFormat="1" hidden="1" outlineLevel="2">
      <c r="B315" s="1189"/>
      <c r="D315" s="1885" t="str">
        <f t="shared" si="30"/>
        <v>&lt;TNSP specified&gt;</v>
      </c>
      <c r="E315" s="1176" t="s">
        <v>88</v>
      </c>
      <c r="F315" s="1182"/>
      <c r="I315" s="1614"/>
      <c r="J315" s="1540" t="str">
        <f t="shared" si="29"/>
        <v/>
      </c>
      <c r="K315" s="1535"/>
      <c r="L315" s="1539" t="str">
        <f t="shared" si="31"/>
        <v/>
      </c>
    </row>
    <row r="316" spans="1:12" s="627" customFormat="1" hidden="1" outlineLevel="2">
      <c r="B316" s="1189"/>
      <c r="D316" s="1885" t="str">
        <f t="shared" si="30"/>
        <v>&lt;TNSP specified&gt;</v>
      </c>
      <c r="E316" s="1176" t="s">
        <v>88</v>
      </c>
      <c r="F316" s="1182"/>
      <c r="I316" s="1614"/>
      <c r="J316" s="1540" t="str">
        <f t="shared" si="29"/>
        <v/>
      </c>
      <c r="K316" s="1535"/>
      <c r="L316" s="1539" t="str">
        <f t="shared" si="31"/>
        <v/>
      </c>
    </row>
    <row r="317" spans="1:12" s="627" customFormat="1" hidden="1" outlineLevel="2">
      <c r="A317" s="1681"/>
      <c r="B317" s="1189"/>
      <c r="D317" s="1885" t="str">
        <f t="shared" si="30"/>
        <v>&lt;TNSP specified&gt;</v>
      </c>
      <c r="E317" s="1176" t="s">
        <v>88</v>
      </c>
      <c r="F317" s="1182"/>
      <c r="I317" s="1614"/>
      <c r="J317" s="1540" t="str">
        <f t="shared" si="29"/>
        <v/>
      </c>
      <c r="K317" s="1535"/>
      <c r="L317" s="1539" t="str">
        <f t="shared" si="31"/>
        <v/>
      </c>
    </row>
    <row r="318" spans="1:12" s="627" customFormat="1" hidden="1" outlineLevel="2">
      <c r="B318" s="1189"/>
      <c r="D318" s="1885" t="str">
        <f t="shared" si="30"/>
        <v>&lt;TNSP specified&gt;</v>
      </c>
      <c r="E318" s="1176" t="s">
        <v>88</v>
      </c>
      <c r="F318" s="1182"/>
      <c r="I318" s="1614"/>
      <c r="J318" s="1540" t="str">
        <f t="shared" si="29"/>
        <v/>
      </c>
      <c r="K318" s="1535"/>
      <c r="L318" s="1539" t="str">
        <f t="shared" si="31"/>
        <v/>
      </c>
    </row>
    <row r="319" spans="1:12" s="627" customFormat="1" hidden="1" outlineLevel="2">
      <c r="B319" s="1189"/>
      <c r="D319" s="1885" t="str">
        <f t="shared" si="30"/>
        <v>&lt;TNSP specified&gt;</v>
      </c>
      <c r="E319" s="1176" t="s">
        <v>88</v>
      </c>
      <c r="F319" s="1182"/>
      <c r="I319" s="1614"/>
      <c r="J319" s="1540" t="str">
        <f t="shared" si="29"/>
        <v/>
      </c>
      <c r="K319" s="1535"/>
      <c r="L319" s="1539" t="str">
        <f t="shared" si="31"/>
        <v/>
      </c>
    </row>
    <row r="320" spans="1:12" s="627" customFormat="1" hidden="1" outlineLevel="2">
      <c r="B320" s="1189"/>
      <c r="D320" s="1885" t="str">
        <f t="shared" si="30"/>
        <v>&lt;TNSP specified&gt;</v>
      </c>
      <c r="E320" s="1176" t="s">
        <v>88</v>
      </c>
      <c r="F320" s="1182"/>
      <c r="I320" s="1614"/>
      <c r="J320" s="1540" t="str">
        <f t="shared" si="29"/>
        <v/>
      </c>
      <c r="K320" s="1535"/>
      <c r="L320" s="1539" t="str">
        <f t="shared" si="31"/>
        <v/>
      </c>
    </row>
    <row r="321" spans="1:12" s="627" customFormat="1" hidden="1" outlineLevel="2">
      <c r="B321" s="1189"/>
      <c r="D321" s="1885" t="str">
        <f t="shared" si="30"/>
        <v>&lt;TNSP specified&gt;</v>
      </c>
      <c r="E321" s="1176" t="s">
        <v>88</v>
      </c>
      <c r="F321" s="1182"/>
      <c r="I321" s="1614"/>
      <c r="J321" s="1540" t="str">
        <f t="shared" si="29"/>
        <v/>
      </c>
      <c r="K321" s="1535"/>
      <c r="L321" s="1539" t="str">
        <f t="shared" si="31"/>
        <v/>
      </c>
    </row>
    <row r="322" spans="1:12" s="627" customFormat="1" hidden="1" outlineLevel="2">
      <c r="B322" s="1189"/>
      <c r="D322" s="1885" t="str">
        <f t="shared" si="30"/>
        <v>&lt;TNSP specified&gt;</v>
      </c>
      <c r="E322" s="1176" t="s">
        <v>88</v>
      </c>
      <c r="F322" s="1182"/>
      <c r="I322" s="1614"/>
      <c r="J322" s="1540" t="str">
        <f t="shared" si="29"/>
        <v/>
      </c>
      <c r="K322" s="1535"/>
      <c r="L322" s="1539" t="str">
        <f t="shared" si="31"/>
        <v/>
      </c>
    </row>
    <row r="323" spans="1:12" s="627" customFormat="1" hidden="1" outlineLevel="2">
      <c r="A323" s="1681"/>
      <c r="B323" s="1189"/>
      <c r="D323" s="1885" t="str">
        <f t="shared" si="30"/>
        <v>&lt;TNSP specified&gt;</v>
      </c>
      <c r="E323" s="1176" t="s">
        <v>88</v>
      </c>
      <c r="F323" s="1182"/>
      <c r="I323" s="1614"/>
      <c r="J323" s="1540" t="str">
        <f t="shared" si="29"/>
        <v/>
      </c>
      <c r="K323" s="1535"/>
      <c r="L323" s="1539" t="str">
        <f t="shared" si="31"/>
        <v/>
      </c>
    </row>
    <row r="324" spans="1:12" s="627" customFormat="1" hidden="1" outlineLevel="2">
      <c r="B324" s="1189"/>
      <c r="D324" s="1885" t="str">
        <f t="shared" si="30"/>
        <v>&lt;TNSP specified&gt;</v>
      </c>
      <c r="E324" s="1176" t="s">
        <v>88</v>
      </c>
      <c r="F324" s="1182"/>
      <c r="I324" s="1614"/>
      <c r="J324" s="1540" t="str">
        <f t="shared" si="29"/>
        <v/>
      </c>
      <c r="K324" s="1535"/>
      <c r="L324" s="1539" t="str">
        <f t="shared" si="31"/>
        <v/>
      </c>
    </row>
    <row r="325" spans="1:12" s="627" customFormat="1" hidden="1" outlineLevel="2">
      <c r="B325" s="1189"/>
      <c r="D325" s="1885" t="str">
        <f t="shared" si="30"/>
        <v>&lt;TNSP specified&gt;</v>
      </c>
      <c r="E325" s="1176" t="s">
        <v>88</v>
      </c>
      <c r="F325" s="1182"/>
      <c r="I325" s="1614"/>
      <c r="J325" s="1540" t="str">
        <f t="shared" si="29"/>
        <v/>
      </c>
      <c r="K325" s="1535"/>
      <c r="L325" s="1539" t="str">
        <f t="shared" si="31"/>
        <v/>
      </c>
    </row>
    <row r="326" spans="1:12" s="627" customFormat="1" hidden="1" outlineLevel="2">
      <c r="B326" s="1189"/>
      <c r="D326" s="1885" t="str">
        <f t="shared" si="30"/>
        <v>&lt;TNSP specified&gt;</v>
      </c>
      <c r="E326" s="1176" t="s">
        <v>88</v>
      </c>
      <c r="F326" s="1182"/>
      <c r="I326" s="1614"/>
      <c r="J326" s="1540" t="str">
        <f t="shared" si="29"/>
        <v/>
      </c>
      <c r="K326" s="1535"/>
      <c r="L326" s="1539" t="str">
        <f t="shared" si="31"/>
        <v/>
      </c>
    </row>
    <row r="327" spans="1:12" s="627" customFormat="1" hidden="1" outlineLevel="2">
      <c r="B327" s="1189"/>
      <c r="D327" s="1885" t="str">
        <f t="shared" si="30"/>
        <v>&lt;TNSP specified&gt;</v>
      </c>
      <c r="E327" s="1176" t="s">
        <v>88</v>
      </c>
      <c r="F327" s="1182"/>
      <c r="I327" s="1614"/>
      <c r="J327" s="1540" t="str">
        <f t="shared" si="29"/>
        <v/>
      </c>
      <c r="K327" s="1535"/>
      <c r="L327" s="1539" t="str">
        <f t="shared" si="31"/>
        <v/>
      </c>
    </row>
    <row r="328" spans="1:12" s="627" customFormat="1" hidden="1" outlineLevel="2">
      <c r="A328" s="1681"/>
      <c r="B328" s="1189"/>
      <c r="D328" s="1885" t="str">
        <f t="shared" si="30"/>
        <v>&lt;TNSP specified&gt;</v>
      </c>
      <c r="E328" s="1176" t="s">
        <v>88</v>
      </c>
      <c r="F328" s="1182"/>
      <c r="I328" s="1614"/>
      <c r="J328" s="1540" t="str">
        <f t="shared" si="29"/>
        <v/>
      </c>
      <c r="K328" s="1535"/>
      <c r="L328" s="1539" t="str">
        <f t="shared" si="31"/>
        <v/>
      </c>
    </row>
    <row r="329" spans="1:12" s="627" customFormat="1" hidden="1" outlineLevel="2">
      <c r="B329" s="1189"/>
      <c r="D329" s="1885" t="str">
        <f t="shared" si="30"/>
        <v>&lt;TNSP specified&gt;</v>
      </c>
      <c r="E329" s="1176" t="s">
        <v>88</v>
      </c>
      <c r="F329" s="1182"/>
      <c r="I329" s="1614"/>
      <c r="J329" s="1540" t="str">
        <f t="shared" si="29"/>
        <v/>
      </c>
      <c r="K329" s="1535"/>
      <c r="L329" s="1539" t="str">
        <f t="shared" si="31"/>
        <v/>
      </c>
    </row>
    <row r="330" spans="1:12" s="627" customFormat="1" hidden="1" outlineLevel="2">
      <c r="B330" s="1189"/>
      <c r="D330" s="1885" t="str">
        <f t="shared" si="30"/>
        <v>&lt;TNSP specified&gt;</v>
      </c>
      <c r="E330" s="1176" t="s">
        <v>88</v>
      </c>
      <c r="F330" s="1182"/>
      <c r="I330" s="1614"/>
      <c r="J330" s="1540" t="str">
        <f t="shared" si="29"/>
        <v/>
      </c>
      <c r="K330" s="1535"/>
      <c r="L330" s="1539" t="str">
        <f t="shared" si="31"/>
        <v/>
      </c>
    </row>
    <row r="331" spans="1:12" s="627" customFormat="1" hidden="1" outlineLevel="2">
      <c r="B331" s="1189"/>
      <c r="D331" s="1885" t="str">
        <f t="shared" si="30"/>
        <v>&lt;TNSP specified&gt;</v>
      </c>
      <c r="E331" s="1176" t="s">
        <v>88</v>
      </c>
      <c r="F331" s="1182"/>
      <c r="I331" s="1614"/>
      <c r="J331" s="1540" t="str">
        <f t="shared" si="29"/>
        <v/>
      </c>
      <c r="K331" s="1535"/>
      <c r="L331" s="1539" t="str">
        <f t="shared" si="31"/>
        <v/>
      </c>
    </row>
    <row r="332" spans="1:12" s="627" customFormat="1" hidden="1" outlineLevel="2">
      <c r="B332" s="1189"/>
      <c r="D332" s="1885" t="str">
        <f t="shared" si="30"/>
        <v>&lt;TNSP specified&gt;</v>
      </c>
      <c r="E332" s="1176" t="s">
        <v>88</v>
      </c>
      <c r="F332" s="1182"/>
      <c r="I332" s="1614"/>
      <c r="J332" s="1540" t="str">
        <f t="shared" si="29"/>
        <v/>
      </c>
      <c r="K332" s="1535"/>
      <c r="L332" s="1539" t="str">
        <f t="shared" si="31"/>
        <v/>
      </c>
    </row>
    <row r="333" spans="1:12" s="627" customFormat="1" hidden="1" outlineLevel="2">
      <c r="A333" s="1681"/>
      <c r="B333" s="1189"/>
      <c r="D333" s="1885" t="str">
        <f t="shared" si="30"/>
        <v>&lt;TNSP specified&gt;</v>
      </c>
      <c r="E333" s="1176" t="s">
        <v>88</v>
      </c>
      <c r="F333" s="1182"/>
      <c r="I333" s="1614"/>
      <c r="J333" s="1540" t="str">
        <f t="shared" si="29"/>
        <v/>
      </c>
      <c r="K333" s="1535"/>
      <c r="L333" s="1539" t="str">
        <f t="shared" si="31"/>
        <v/>
      </c>
    </row>
    <row r="334" spans="1:12" s="627" customFormat="1" hidden="1" outlineLevel="2">
      <c r="B334" s="1189"/>
      <c r="D334" s="1885" t="str">
        <f t="shared" si="30"/>
        <v>&lt;TNSP specified&gt;</v>
      </c>
      <c r="E334" s="1176" t="s">
        <v>88</v>
      </c>
      <c r="F334" s="1182"/>
      <c r="I334" s="1614"/>
      <c r="J334" s="1540" t="str">
        <f t="shared" si="29"/>
        <v/>
      </c>
      <c r="K334" s="1535"/>
      <c r="L334" s="1539" t="str">
        <f t="shared" si="31"/>
        <v/>
      </c>
    </row>
    <row r="335" spans="1:12" s="627" customFormat="1" hidden="1" outlineLevel="2">
      <c r="B335" s="1189"/>
      <c r="D335" s="1885" t="str">
        <f t="shared" si="30"/>
        <v>&lt;TNSP specified&gt;</v>
      </c>
      <c r="E335" s="1176" t="s">
        <v>88</v>
      </c>
      <c r="F335" s="1182"/>
      <c r="I335" s="1614"/>
      <c r="J335" s="1540" t="str">
        <f t="shared" si="29"/>
        <v/>
      </c>
      <c r="K335" s="1535"/>
      <c r="L335" s="1539" t="str">
        <f t="shared" si="31"/>
        <v/>
      </c>
    </row>
    <row r="336" spans="1:12" s="627" customFormat="1" hidden="1" outlineLevel="2">
      <c r="B336" s="1189"/>
      <c r="D336" s="1885" t="str">
        <f t="shared" si="30"/>
        <v>&lt;TNSP specified&gt;</v>
      </c>
      <c r="E336" s="1176" t="s">
        <v>88</v>
      </c>
      <c r="F336" s="1182"/>
      <c r="I336" s="1614"/>
      <c r="J336" s="1540" t="str">
        <f t="shared" si="29"/>
        <v/>
      </c>
      <c r="K336" s="1535"/>
      <c r="L336" s="1539" t="str">
        <f t="shared" si="31"/>
        <v/>
      </c>
    </row>
    <row r="337" spans="1:12" s="627" customFormat="1" hidden="1" outlineLevel="2">
      <c r="B337" s="1189"/>
      <c r="D337" s="1885" t="str">
        <f t="shared" si="30"/>
        <v>&lt;TNSP specified&gt;</v>
      </c>
      <c r="E337" s="1176" t="s">
        <v>88</v>
      </c>
      <c r="F337" s="1182"/>
      <c r="I337" s="1614"/>
      <c r="J337" s="1540" t="str">
        <f t="shared" si="29"/>
        <v/>
      </c>
      <c r="K337" s="1535"/>
      <c r="L337" s="1539" t="str">
        <f t="shared" si="31"/>
        <v/>
      </c>
    </row>
    <row r="338" spans="1:12" s="627" customFormat="1" hidden="1" outlineLevel="2">
      <c r="B338" s="1189"/>
      <c r="D338" s="1885" t="str">
        <f t="shared" si="30"/>
        <v>&lt;TNSP specified&gt;</v>
      </c>
      <c r="E338" s="1176" t="s">
        <v>88</v>
      </c>
      <c r="F338" s="1182"/>
      <c r="I338" s="1614"/>
      <c r="J338" s="1540" t="str">
        <f t="shared" si="29"/>
        <v/>
      </c>
      <c r="K338" s="1535"/>
      <c r="L338" s="1539" t="str">
        <f t="shared" si="31"/>
        <v/>
      </c>
    </row>
    <row r="339" spans="1:12" s="627" customFormat="1" outlineLevel="1" collapsed="1">
      <c r="A339" s="1681"/>
      <c r="B339" s="1189"/>
      <c r="D339" s="1885" t="str">
        <f t="shared" si="30"/>
        <v>&lt;TNSP specified&gt;</v>
      </c>
      <c r="E339" s="1176" t="s">
        <v>88</v>
      </c>
      <c r="F339" s="1182"/>
      <c r="I339" s="1614"/>
      <c r="J339" s="1540" t="str">
        <f t="shared" si="29"/>
        <v/>
      </c>
      <c r="K339" s="1535"/>
      <c r="L339" s="1539" t="str">
        <f t="shared" si="31"/>
        <v/>
      </c>
    </row>
    <row r="340" spans="1:12" s="627" customFormat="1" outlineLevel="1">
      <c r="A340" s="1666" t="s">
        <v>1487</v>
      </c>
      <c r="B340" s="1189"/>
      <c r="D340" s="1888" t="str">
        <f t="shared" si="30"/>
        <v>&lt;TNSP specified&gt;</v>
      </c>
      <c r="E340" s="1177" t="s">
        <v>88</v>
      </c>
      <c r="F340" s="1183"/>
      <c r="I340" s="1615"/>
      <c r="J340" s="1542" t="str">
        <f t="shared" si="29"/>
        <v/>
      </c>
      <c r="K340" s="1578"/>
      <c r="L340" s="1539" t="str">
        <f t="shared" si="31"/>
        <v/>
      </c>
    </row>
    <row r="341" spans="1:12" s="627" customFormat="1" ht="12.75" outlineLevel="1">
      <c r="B341" s="1189"/>
      <c r="D341" s="1174" t="s">
        <v>1291</v>
      </c>
    </row>
    <row r="342" spans="1:12" s="627" customFormat="1" ht="15" customHeight="1" outlineLevel="1">
      <c r="B342" s="1189"/>
      <c r="D342" s="1884" t="str">
        <f>D255</f>
        <v>&lt;TNSP specified&gt;</v>
      </c>
      <c r="E342" s="1175" t="s">
        <v>88</v>
      </c>
      <c r="F342" s="1185">
        <f>F255-F299</f>
        <v>0</v>
      </c>
      <c r="I342" s="1613"/>
      <c r="J342" s="1620"/>
      <c r="K342" s="1589"/>
      <c r="L342" s="1584"/>
    </row>
    <row r="343" spans="1:12" s="627" customFormat="1" outlineLevel="1">
      <c r="B343" s="1189"/>
      <c r="D343" s="1885" t="str">
        <f t="shared" ref="D343:D383" si="32">D256</f>
        <v>&lt;TNSP specified&gt;</v>
      </c>
      <c r="E343" s="1176" t="s">
        <v>88</v>
      </c>
      <c r="F343" s="1186">
        <f t="shared" ref="F343:F366" si="33">F260-F304</f>
        <v>0</v>
      </c>
      <c r="I343" s="1614"/>
      <c r="J343" s="1538"/>
      <c r="K343" s="1535"/>
      <c r="L343" s="1537"/>
    </row>
    <row r="344" spans="1:12" s="627" customFormat="1" outlineLevel="1">
      <c r="B344" s="1189"/>
      <c r="D344" s="1885" t="str">
        <f t="shared" si="32"/>
        <v>&lt;TNSP specified&gt;</v>
      </c>
      <c r="E344" s="1176" t="s">
        <v>88</v>
      </c>
      <c r="F344" s="1186">
        <f t="shared" si="33"/>
        <v>0</v>
      </c>
      <c r="I344" s="1614"/>
      <c r="J344" s="1538"/>
      <c r="K344" s="1535"/>
      <c r="L344" s="1537"/>
    </row>
    <row r="345" spans="1:12" s="627" customFormat="1" outlineLevel="1">
      <c r="B345" s="1189"/>
      <c r="D345" s="1885" t="str">
        <f t="shared" si="32"/>
        <v>&lt;TNSP specified&gt;</v>
      </c>
      <c r="E345" s="1176" t="s">
        <v>88</v>
      </c>
      <c r="F345" s="1186">
        <f t="shared" si="33"/>
        <v>0</v>
      </c>
      <c r="I345" s="1614"/>
      <c r="J345" s="1538"/>
      <c r="K345" s="1535"/>
      <c r="L345" s="1537"/>
    </row>
    <row r="346" spans="1:12" s="627" customFormat="1" outlineLevel="1">
      <c r="B346" s="1189"/>
      <c r="D346" s="1885" t="str">
        <f t="shared" si="32"/>
        <v>&lt;TNSP specified&gt;</v>
      </c>
      <c r="E346" s="1176" t="s">
        <v>88</v>
      </c>
      <c r="F346" s="1186">
        <f t="shared" si="33"/>
        <v>0</v>
      </c>
      <c r="I346" s="1614"/>
      <c r="J346" s="1538"/>
      <c r="K346" s="1535"/>
      <c r="L346" s="1537"/>
    </row>
    <row r="347" spans="1:12" s="627" customFormat="1" outlineLevel="1">
      <c r="B347" s="1189"/>
      <c r="D347" s="1885" t="str">
        <f t="shared" si="32"/>
        <v>&lt;TNSP specified&gt;</v>
      </c>
      <c r="E347" s="1176" t="s">
        <v>88</v>
      </c>
      <c r="F347" s="1186">
        <f t="shared" si="33"/>
        <v>0</v>
      </c>
      <c r="I347" s="1614"/>
      <c r="J347" s="1538"/>
      <c r="K347" s="1535"/>
      <c r="L347" s="1537"/>
    </row>
    <row r="348" spans="1:12" s="627" customFormat="1" hidden="1" outlineLevel="2">
      <c r="A348" s="1681"/>
      <c r="B348" s="1189"/>
      <c r="D348" s="1885" t="str">
        <f t="shared" si="32"/>
        <v>&lt;TNSP specified&gt;</v>
      </c>
      <c r="E348" s="1176" t="s">
        <v>88</v>
      </c>
      <c r="F348" s="1186">
        <f t="shared" si="33"/>
        <v>0</v>
      </c>
      <c r="I348" s="1614"/>
      <c r="J348" s="1538"/>
      <c r="K348" s="1535"/>
      <c r="L348" s="1537"/>
    </row>
    <row r="349" spans="1:12" s="627" customFormat="1" hidden="1" outlineLevel="2">
      <c r="B349" s="1189"/>
      <c r="D349" s="1885" t="str">
        <f t="shared" si="32"/>
        <v>&lt;TNSP specified&gt;</v>
      </c>
      <c r="E349" s="1176" t="s">
        <v>88</v>
      </c>
      <c r="F349" s="1186">
        <f t="shared" si="33"/>
        <v>0</v>
      </c>
      <c r="I349" s="1614"/>
      <c r="J349" s="1538"/>
      <c r="K349" s="1535"/>
      <c r="L349" s="1537"/>
    </row>
    <row r="350" spans="1:12" s="627" customFormat="1" hidden="1" outlineLevel="2">
      <c r="B350" s="1189"/>
      <c r="D350" s="1885" t="str">
        <f t="shared" si="32"/>
        <v>&lt;TNSP specified&gt;</v>
      </c>
      <c r="E350" s="1176" t="s">
        <v>88</v>
      </c>
      <c r="F350" s="1186">
        <f t="shared" si="33"/>
        <v>0</v>
      </c>
      <c r="I350" s="1614"/>
      <c r="J350" s="1538"/>
      <c r="K350" s="1535"/>
      <c r="L350" s="1537"/>
    </row>
    <row r="351" spans="1:12" s="627" customFormat="1" hidden="1" outlineLevel="2">
      <c r="B351" s="1189"/>
      <c r="D351" s="1885" t="str">
        <f t="shared" si="32"/>
        <v>&lt;TNSP specified&gt;</v>
      </c>
      <c r="E351" s="1176" t="s">
        <v>88</v>
      </c>
      <c r="F351" s="1186">
        <f t="shared" si="33"/>
        <v>0</v>
      </c>
      <c r="I351" s="1614"/>
      <c r="J351" s="1538"/>
      <c r="K351" s="1535"/>
      <c r="L351" s="1537"/>
    </row>
    <row r="352" spans="1:12" s="627" customFormat="1" hidden="1" outlineLevel="2">
      <c r="B352" s="1189"/>
      <c r="D352" s="1885" t="str">
        <f t="shared" si="32"/>
        <v>&lt;TNSP specified&gt;</v>
      </c>
      <c r="E352" s="1176" t="s">
        <v>88</v>
      </c>
      <c r="F352" s="1186">
        <f t="shared" si="33"/>
        <v>0</v>
      </c>
      <c r="I352" s="1614"/>
      <c r="J352" s="1538"/>
      <c r="K352" s="1535"/>
      <c r="L352" s="1537"/>
    </row>
    <row r="353" spans="1:12" s="627" customFormat="1" hidden="1" outlineLevel="2">
      <c r="B353" s="1189"/>
      <c r="D353" s="1885" t="str">
        <f t="shared" si="32"/>
        <v>&lt;TNSP specified&gt;</v>
      </c>
      <c r="E353" s="1176" t="s">
        <v>88</v>
      </c>
      <c r="F353" s="1186">
        <f t="shared" si="33"/>
        <v>0</v>
      </c>
      <c r="I353" s="1614"/>
      <c r="J353" s="1538"/>
      <c r="K353" s="1535"/>
      <c r="L353" s="1537"/>
    </row>
    <row r="354" spans="1:12" s="627" customFormat="1" hidden="1" outlineLevel="2">
      <c r="A354" s="1681"/>
      <c r="B354" s="1189"/>
      <c r="D354" s="1885" t="str">
        <f t="shared" si="32"/>
        <v>&lt;TNSP specified&gt;</v>
      </c>
      <c r="E354" s="1176" t="s">
        <v>88</v>
      </c>
      <c r="F354" s="1186">
        <f t="shared" si="33"/>
        <v>0</v>
      </c>
      <c r="I354" s="1614"/>
      <c r="J354" s="1538"/>
      <c r="K354" s="1535"/>
      <c r="L354" s="1537"/>
    </row>
    <row r="355" spans="1:12" s="627" customFormat="1" hidden="1" outlineLevel="2">
      <c r="B355" s="1189"/>
      <c r="D355" s="1885" t="str">
        <f t="shared" si="32"/>
        <v>&lt;TNSP specified&gt;</v>
      </c>
      <c r="E355" s="1176" t="s">
        <v>88</v>
      </c>
      <c r="F355" s="1186">
        <f t="shared" si="33"/>
        <v>0</v>
      </c>
      <c r="I355" s="1614"/>
      <c r="J355" s="1538"/>
      <c r="K355" s="1535"/>
      <c r="L355" s="1537"/>
    </row>
    <row r="356" spans="1:12" s="627" customFormat="1" hidden="1" outlineLevel="2">
      <c r="B356" s="1189"/>
      <c r="D356" s="1885" t="str">
        <f t="shared" si="32"/>
        <v>&lt;TNSP specified&gt;</v>
      </c>
      <c r="E356" s="1176" t="s">
        <v>88</v>
      </c>
      <c r="F356" s="1186">
        <f t="shared" si="33"/>
        <v>0</v>
      </c>
      <c r="I356" s="1614"/>
      <c r="J356" s="1538"/>
      <c r="K356" s="1535"/>
      <c r="L356" s="1537"/>
    </row>
    <row r="357" spans="1:12" s="627" customFormat="1" hidden="1" outlineLevel="2">
      <c r="B357" s="1189"/>
      <c r="D357" s="1885" t="str">
        <f t="shared" si="32"/>
        <v>&lt;TNSP specified&gt;</v>
      </c>
      <c r="E357" s="1176" t="s">
        <v>88</v>
      </c>
      <c r="F357" s="1186">
        <f t="shared" si="33"/>
        <v>0</v>
      </c>
      <c r="I357" s="1614"/>
      <c r="J357" s="1538"/>
      <c r="K357" s="1535"/>
      <c r="L357" s="1537"/>
    </row>
    <row r="358" spans="1:12" s="627" customFormat="1" hidden="1" outlineLevel="2">
      <c r="B358" s="1189"/>
      <c r="D358" s="1885" t="str">
        <f t="shared" si="32"/>
        <v>&lt;TNSP specified&gt;</v>
      </c>
      <c r="E358" s="1176" t="s">
        <v>88</v>
      </c>
      <c r="F358" s="1186">
        <f t="shared" si="33"/>
        <v>0</v>
      </c>
      <c r="I358" s="1614"/>
      <c r="J358" s="1538"/>
      <c r="K358" s="1535"/>
      <c r="L358" s="1537"/>
    </row>
    <row r="359" spans="1:12" s="627" customFormat="1" hidden="1" outlineLevel="2">
      <c r="B359" s="1189"/>
      <c r="D359" s="1885" t="str">
        <f t="shared" si="32"/>
        <v>&lt;TNSP specified&gt;</v>
      </c>
      <c r="E359" s="1176" t="s">
        <v>88</v>
      </c>
      <c r="F359" s="1186">
        <f t="shared" si="33"/>
        <v>0</v>
      </c>
      <c r="I359" s="1614"/>
      <c r="J359" s="1538"/>
      <c r="K359" s="1535"/>
      <c r="L359" s="1537"/>
    </row>
    <row r="360" spans="1:12" s="627" customFormat="1" hidden="1" outlineLevel="2">
      <c r="A360" s="1681"/>
      <c r="B360" s="1189"/>
      <c r="D360" s="1885" t="str">
        <f t="shared" si="32"/>
        <v>&lt;TNSP specified&gt;</v>
      </c>
      <c r="E360" s="1176" t="s">
        <v>88</v>
      </c>
      <c r="F360" s="1186">
        <f t="shared" si="33"/>
        <v>0</v>
      </c>
      <c r="I360" s="1614"/>
      <c r="J360" s="1538"/>
      <c r="K360" s="1535"/>
      <c r="L360" s="1537"/>
    </row>
    <row r="361" spans="1:12" s="627" customFormat="1" hidden="1" outlineLevel="2">
      <c r="B361" s="1189"/>
      <c r="D361" s="1885" t="str">
        <f t="shared" si="32"/>
        <v>&lt;TNSP specified&gt;</v>
      </c>
      <c r="E361" s="1176" t="s">
        <v>88</v>
      </c>
      <c r="F361" s="1186">
        <f t="shared" si="33"/>
        <v>0</v>
      </c>
      <c r="I361" s="1614"/>
      <c r="J361" s="1538"/>
      <c r="K361" s="1535"/>
      <c r="L361" s="1537"/>
    </row>
    <row r="362" spans="1:12" s="627" customFormat="1" hidden="1" outlineLevel="2">
      <c r="B362" s="1189"/>
      <c r="D362" s="1885" t="str">
        <f t="shared" si="32"/>
        <v>&lt;TNSP specified&gt;</v>
      </c>
      <c r="E362" s="1176" t="s">
        <v>88</v>
      </c>
      <c r="F362" s="1186">
        <f t="shared" si="33"/>
        <v>0</v>
      </c>
      <c r="I362" s="1614"/>
      <c r="J362" s="1538"/>
      <c r="K362" s="1535"/>
      <c r="L362" s="1537"/>
    </row>
    <row r="363" spans="1:12" s="627" customFormat="1" hidden="1" outlineLevel="2">
      <c r="B363" s="1189"/>
      <c r="D363" s="1885" t="str">
        <f t="shared" si="32"/>
        <v>&lt;TNSP specified&gt;</v>
      </c>
      <c r="E363" s="1176" t="s">
        <v>88</v>
      </c>
      <c r="F363" s="1186">
        <f t="shared" si="33"/>
        <v>0</v>
      </c>
      <c r="I363" s="1614"/>
      <c r="J363" s="1538"/>
      <c r="K363" s="1535"/>
      <c r="L363" s="1537"/>
    </row>
    <row r="364" spans="1:12" s="627" customFormat="1" hidden="1" outlineLevel="2">
      <c r="B364" s="1189"/>
      <c r="D364" s="1885" t="str">
        <f t="shared" si="32"/>
        <v>&lt;TNSP specified&gt;</v>
      </c>
      <c r="E364" s="1176" t="s">
        <v>88</v>
      </c>
      <c r="F364" s="1186">
        <f t="shared" si="33"/>
        <v>0</v>
      </c>
      <c r="I364" s="1614"/>
      <c r="J364" s="1538"/>
      <c r="K364" s="1535"/>
      <c r="L364" s="1537"/>
    </row>
    <row r="365" spans="1:12" s="627" customFormat="1" hidden="1" outlineLevel="2">
      <c r="B365" s="1189"/>
      <c r="D365" s="1885" t="str">
        <f t="shared" si="32"/>
        <v>&lt;TNSP specified&gt;</v>
      </c>
      <c r="E365" s="1176" t="s">
        <v>88</v>
      </c>
      <c r="F365" s="1186">
        <f t="shared" si="33"/>
        <v>0</v>
      </c>
      <c r="I365" s="1614"/>
      <c r="J365" s="1538"/>
      <c r="K365" s="1535"/>
      <c r="L365" s="1537"/>
    </row>
    <row r="366" spans="1:12" s="627" customFormat="1" hidden="1" outlineLevel="2">
      <c r="A366" s="1681"/>
      <c r="B366" s="1189"/>
      <c r="D366" s="1885" t="str">
        <f t="shared" si="32"/>
        <v>&lt;TNSP specified&gt;</v>
      </c>
      <c r="E366" s="1176" t="s">
        <v>88</v>
      </c>
      <c r="F366" s="1186">
        <f t="shared" si="33"/>
        <v>0</v>
      </c>
      <c r="I366" s="1614"/>
      <c r="J366" s="1538"/>
      <c r="K366" s="1535"/>
      <c r="L366" s="1537"/>
    </row>
    <row r="367" spans="1:12" s="627" customFormat="1" hidden="1" outlineLevel="2">
      <c r="B367" s="1189"/>
      <c r="D367" s="1885" t="str">
        <f t="shared" si="32"/>
        <v>&lt;TNSP specified&gt;</v>
      </c>
      <c r="E367" s="1176" t="s">
        <v>88</v>
      </c>
      <c r="F367" s="1186">
        <f t="shared" ref="F367:F375" si="34">F272-F316</f>
        <v>0</v>
      </c>
      <c r="I367" s="1614"/>
      <c r="J367" s="1538"/>
      <c r="K367" s="1535"/>
      <c r="L367" s="1537"/>
    </row>
    <row r="368" spans="1:12" s="627" customFormat="1" hidden="1" outlineLevel="2">
      <c r="B368" s="1189"/>
      <c r="D368" s="1885" t="str">
        <f t="shared" si="32"/>
        <v>&lt;TNSP specified&gt;</v>
      </c>
      <c r="E368" s="1176" t="s">
        <v>88</v>
      </c>
      <c r="F368" s="1186">
        <f t="shared" si="34"/>
        <v>0</v>
      </c>
      <c r="I368" s="1614"/>
      <c r="J368" s="1538"/>
      <c r="K368" s="1535"/>
      <c r="L368" s="1537"/>
    </row>
    <row r="369" spans="1:12" s="627" customFormat="1" hidden="1" outlineLevel="2">
      <c r="B369" s="1189"/>
      <c r="D369" s="1885" t="str">
        <f t="shared" si="32"/>
        <v>&lt;TNSP specified&gt;</v>
      </c>
      <c r="E369" s="1176" t="s">
        <v>88</v>
      </c>
      <c r="F369" s="1186">
        <f t="shared" si="34"/>
        <v>0</v>
      </c>
      <c r="I369" s="1614"/>
      <c r="J369" s="1538"/>
      <c r="K369" s="1535"/>
      <c r="L369" s="1537"/>
    </row>
    <row r="370" spans="1:12" s="627" customFormat="1" hidden="1" outlineLevel="2">
      <c r="B370" s="1189"/>
      <c r="D370" s="1885" t="str">
        <f t="shared" si="32"/>
        <v>&lt;TNSP specified&gt;</v>
      </c>
      <c r="E370" s="1176" t="s">
        <v>88</v>
      </c>
      <c r="F370" s="1186">
        <f t="shared" si="34"/>
        <v>0</v>
      </c>
      <c r="I370" s="1614"/>
      <c r="J370" s="1538"/>
      <c r="K370" s="1535"/>
      <c r="L370" s="1537"/>
    </row>
    <row r="371" spans="1:12" s="627" customFormat="1" hidden="1" outlineLevel="2">
      <c r="B371" s="1189"/>
      <c r="D371" s="1885" t="str">
        <f t="shared" si="32"/>
        <v>&lt;TNSP specified&gt;</v>
      </c>
      <c r="E371" s="1176" t="s">
        <v>88</v>
      </c>
      <c r="F371" s="1186">
        <f t="shared" si="34"/>
        <v>0</v>
      </c>
      <c r="I371" s="1614"/>
      <c r="J371" s="1538"/>
      <c r="K371" s="1535"/>
      <c r="L371" s="1537"/>
    </row>
    <row r="372" spans="1:12" s="627" customFormat="1" hidden="1" outlineLevel="2">
      <c r="A372" s="1681"/>
      <c r="B372" s="1189"/>
      <c r="D372" s="1885" t="str">
        <f t="shared" si="32"/>
        <v>&lt;TNSP specified&gt;</v>
      </c>
      <c r="E372" s="1176" t="s">
        <v>88</v>
      </c>
      <c r="F372" s="1186">
        <f t="shared" si="34"/>
        <v>0</v>
      </c>
      <c r="I372" s="1614"/>
      <c r="J372" s="1538"/>
      <c r="K372" s="1535"/>
      <c r="L372" s="1537"/>
    </row>
    <row r="373" spans="1:12" s="627" customFormat="1" hidden="1" outlineLevel="2">
      <c r="B373" s="1189"/>
      <c r="D373" s="1885" t="str">
        <f t="shared" si="32"/>
        <v>&lt;TNSP specified&gt;</v>
      </c>
      <c r="E373" s="1176" t="s">
        <v>88</v>
      </c>
      <c r="F373" s="1186">
        <f t="shared" si="34"/>
        <v>0</v>
      </c>
      <c r="I373" s="1614"/>
      <c r="J373" s="1538"/>
      <c r="K373" s="1535"/>
      <c r="L373" s="1537"/>
    </row>
    <row r="374" spans="1:12" s="627" customFormat="1" hidden="1" outlineLevel="2">
      <c r="B374" s="1189"/>
      <c r="D374" s="1885" t="str">
        <f t="shared" si="32"/>
        <v>&lt;TNSP specified&gt;</v>
      </c>
      <c r="E374" s="1176" t="s">
        <v>88</v>
      </c>
      <c r="F374" s="1186">
        <f t="shared" si="34"/>
        <v>0</v>
      </c>
      <c r="I374" s="1614"/>
      <c r="J374" s="1538"/>
      <c r="K374" s="1535"/>
      <c r="L374" s="1537"/>
    </row>
    <row r="375" spans="1:12" s="627" customFormat="1" hidden="1" outlineLevel="2">
      <c r="B375" s="1189"/>
      <c r="D375" s="1885" t="str">
        <f t="shared" si="32"/>
        <v>&lt;TNSP specified&gt;</v>
      </c>
      <c r="E375" s="1176" t="s">
        <v>88</v>
      </c>
      <c r="F375" s="1186">
        <f t="shared" si="34"/>
        <v>0</v>
      </c>
      <c r="I375" s="1614"/>
      <c r="J375" s="1538"/>
      <c r="K375" s="1535"/>
      <c r="L375" s="1537"/>
    </row>
    <row r="376" spans="1:12" s="627" customFormat="1" hidden="1" outlineLevel="2">
      <c r="A376" s="1681"/>
      <c r="B376" s="1189"/>
      <c r="D376" s="1885" t="str">
        <f t="shared" si="32"/>
        <v>&lt;TNSP specified&gt;</v>
      </c>
      <c r="E376" s="1176" t="s">
        <v>88</v>
      </c>
      <c r="F376" s="1186">
        <f t="shared" ref="F376:F383" si="35">F289-F333</f>
        <v>0</v>
      </c>
      <c r="I376" s="1614"/>
      <c r="J376" s="1538"/>
      <c r="K376" s="1535"/>
      <c r="L376" s="1537"/>
    </row>
    <row r="377" spans="1:12" s="627" customFormat="1" hidden="1" outlineLevel="2">
      <c r="B377" s="1189"/>
      <c r="D377" s="1885" t="str">
        <f t="shared" si="32"/>
        <v>&lt;TNSP specified&gt;</v>
      </c>
      <c r="E377" s="1176" t="s">
        <v>88</v>
      </c>
      <c r="F377" s="1186">
        <f t="shared" si="35"/>
        <v>0</v>
      </c>
      <c r="I377" s="1614"/>
      <c r="J377" s="1538"/>
      <c r="K377" s="1535"/>
      <c r="L377" s="1537"/>
    </row>
    <row r="378" spans="1:12" s="627" customFormat="1" hidden="1" outlineLevel="2">
      <c r="B378" s="1189"/>
      <c r="D378" s="1885" t="str">
        <f t="shared" si="32"/>
        <v>&lt;TNSP specified&gt;</v>
      </c>
      <c r="E378" s="1176" t="s">
        <v>88</v>
      </c>
      <c r="F378" s="1186">
        <f t="shared" si="35"/>
        <v>0</v>
      </c>
      <c r="I378" s="1614"/>
      <c r="J378" s="1538"/>
      <c r="K378" s="1535"/>
      <c r="L378" s="1537"/>
    </row>
    <row r="379" spans="1:12" s="627" customFormat="1" hidden="1" outlineLevel="2">
      <c r="B379" s="1189"/>
      <c r="D379" s="1885" t="str">
        <f t="shared" si="32"/>
        <v>&lt;TNSP specified&gt;</v>
      </c>
      <c r="E379" s="1176" t="s">
        <v>88</v>
      </c>
      <c r="F379" s="1186">
        <f t="shared" si="35"/>
        <v>0</v>
      </c>
      <c r="I379" s="1614"/>
      <c r="J379" s="1538"/>
      <c r="K379" s="1535"/>
      <c r="L379" s="1537"/>
    </row>
    <row r="380" spans="1:12" s="627" customFormat="1" hidden="1" outlineLevel="2">
      <c r="B380" s="1189"/>
      <c r="D380" s="1885" t="str">
        <f t="shared" si="32"/>
        <v>&lt;TNSP specified&gt;</v>
      </c>
      <c r="E380" s="1176" t="s">
        <v>88</v>
      </c>
      <c r="F380" s="1186">
        <f t="shared" si="35"/>
        <v>0</v>
      </c>
      <c r="I380" s="1614"/>
      <c r="J380" s="1538"/>
      <c r="K380" s="1535"/>
      <c r="L380" s="1537"/>
    </row>
    <row r="381" spans="1:12" s="627" customFormat="1" hidden="1" outlineLevel="2">
      <c r="B381" s="1189"/>
      <c r="D381" s="1885" t="str">
        <f t="shared" si="32"/>
        <v>&lt;TNSP specified&gt;</v>
      </c>
      <c r="E381" s="1176" t="s">
        <v>88</v>
      </c>
      <c r="F381" s="1186">
        <f t="shared" si="35"/>
        <v>0</v>
      </c>
      <c r="I381" s="1614"/>
      <c r="J381" s="1538"/>
      <c r="K381" s="1535"/>
      <c r="L381" s="1537"/>
    </row>
    <row r="382" spans="1:12" s="627" customFormat="1" outlineLevel="1" collapsed="1">
      <c r="A382" s="1681"/>
      <c r="B382" s="1189"/>
      <c r="D382" s="1885" t="str">
        <f t="shared" si="32"/>
        <v>&lt;TNSP specified&gt;</v>
      </c>
      <c r="E382" s="1176" t="s">
        <v>88</v>
      </c>
      <c r="F382" s="1186">
        <f t="shared" si="35"/>
        <v>0</v>
      </c>
      <c r="I382" s="1614"/>
      <c r="J382" s="1538"/>
      <c r="K382" s="1535"/>
      <c r="L382" s="1537"/>
    </row>
    <row r="383" spans="1:12" s="627" customFormat="1" outlineLevel="1">
      <c r="A383" s="1666" t="s">
        <v>1487</v>
      </c>
      <c r="B383" s="1189"/>
      <c r="D383" s="1888" t="str">
        <f t="shared" si="32"/>
        <v>&lt;TNSP specified&gt;</v>
      </c>
      <c r="E383" s="1177" t="s">
        <v>88</v>
      </c>
      <c r="F383" s="1187">
        <f t="shared" si="35"/>
        <v>0</v>
      </c>
      <c r="I383" s="1615"/>
      <c r="J383" s="1577"/>
      <c r="K383" s="1578"/>
      <c r="L383" s="1579"/>
    </row>
    <row r="384" spans="1:12" s="627" customFormat="1" ht="12.75" outlineLevel="1">
      <c r="B384" s="1189"/>
      <c r="D384" s="1170" t="s">
        <v>1292</v>
      </c>
      <c r="E384" s="1166" t="s">
        <v>88</v>
      </c>
      <c r="I384" s="1246"/>
    </row>
    <row r="385" spans="1:12" s="627" customFormat="1" ht="15" customHeight="1" outlineLevel="1">
      <c r="B385" s="1189"/>
      <c r="D385" s="1884" t="str">
        <f>D255</f>
        <v>&lt;TNSP specified&gt;</v>
      </c>
      <c r="E385" s="1175" t="s">
        <v>88</v>
      </c>
      <c r="F385" s="1181"/>
      <c r="I385" s="1613"/>
      <c r="J385" s="1561" t="str">
        <f t="shared" ref="J385:J426" si="36">IF(ISNONTEXT(F385)=TRUE,"","X")</f>
        <v/>
      </c>
      <c r="K385" s="1559" t="str">
        <f>IF(F385&lt;&gt;""=TRUE,"","X")</f>
        <v>X</v>
      </c>
      <c r="L385" s="1700"/>
    </row>
    <row r="386" spans="1:12" s="627" customFormat="1" outlineLevel="1">
      <c r="B386" s="1189"/>
      <c r="D386" s="1885" t="str">
        <f t="shared" ref="D386:D426" si="37">D256</f>
        <v>&lt;TNSP specified&gt;</v>
      </c>
      <c r="E386" s="1176" t="s">
        <v>88</v>
      </c>
      <c r="F386" s="1182"/>
      <c r="I386" s="1614"/>
      <c r="J386" s="1540" t="str">
        <f t="shared" si="36"/>
        <v/>
      </c>
      <c r="K386" s="1535"/>
      <c r="L386" s="1539" t="str">
        <f t="shared" ref="L386:L426" si="38">IF(AND(D386&lt;&gt;"",LEFT(D386,5)&lt;&gt;"&lt;TNSP",ISBLANK(F386))=TRUE,"X","")</f>
        <v/>
      </c>
    </row>
    <row r="387" spans="1:12" s="627" customFormat="1" outlineLevel="1">
      <c r="B387" s="1189"/>
      <c r="D387" s="1885" t="str">
        <f t="shared" si="37"/>
        <v>&lt;TNSP specified&gt;</v>
      </c>
      <c r="E387" s="1176" t="s">
        <v>88</v>
      </c>
      <c r="F387" s="1182"/>
      <c r="I387" s="1614"/>
      <c r="J387" s="1540" t="str">
        <f t="shared" si="36"/>
        <v/>
      </c>
      <c r="K387" s="1535"/>
      <c r="L387" s="1539" t="str">
        <f t="shared" si="38"/>
        <v/>
      </c>
    </row>
    <row r="388" spans="1:12" s="627" customFormat="1" outlineLevel="1">
      <c r="B388" s="1189"/>
      <c r="D388" s="1885" t="str">
        <f t="shared" si="37"/>
        <v>&lt;TNSP specified&gt;</v>
      </c>
      <c r="E388" s="1176" t="s">
        <v>88</v>
      </c>
      <c r="F388" s="1182"/>
      <c r="I388" s="1614"/>
      <c r="J388" s="1540" t="str">
        <f t="shared" si="36"/>
        <v/>
      </c>
      <c r="K388" s="1535"/>
      <c r="L388" s="1539" t="str">
        <f t="shared" si="38"/>
        <v/>
      </c>
    </row>
    <row r="389" spans="1:12" s="627" customFormat="1" outlineLevel="1">
      <c r="B389" s="1189"/>
      <c r="D389" s="1885" t="str">
        <f t="shared" si="37"/>
        <v>&lt;TNSP specified&gt;</v>
      </c>
      <c r="E389" s="1176" t="s">
        <v>88</v>
      </c>
      <c r="F389" s="1182"/>
      <c r="I389" s="1614"/>
      <c r="J389" s="1540" t="str">
        <f t="shared" si="36"/>
        <v/>
      </c>
      <c r="K389" s="1535"/>
      <c r="L389" s="1539" t="str">
        <f t="shared" si="38"/>
        <v/>
      </c>
    </row>
    <row r="390" spans="1:12" s="627" customFormat="1" outlineLevel="1">
      <c r="B390" s="1189"/>
      <c r="D390" s="1885" t="str">
        <f t="shared" si="37"/>
        <v>&lt;TNSP specified&gt;</v>
      </c>
      <c r="E390" s="1176" t="s">
        <v>88</v>
      </c>
      <c r="F390" s="1182"/>
      <c r="I390" s="1614"/>
      <c r="J390" s="1540" t="str">
        <f t="shared" si="36"/>
        <v/>
      </c>
      <c r="K390" s="1535"/>
      <c r="L390" s="1539" t="str">
        <f t="shared" si="38"/>
        <v/>
      </c>
    </row>
    <row r="391" spans="1:12" s="627" customFormat="1" hidden="1" outlineLevel="2">
      <c r="A391" s="1681"/>
      <c r="B391" s="1189"/>
      <c r="D391" s="1885" t="str">
        <f t="shared" si="37"/>
        <v>&lt;TNSP specified&gt;</v>
      </c>
      <c r="E391" s="1176" t="s">
        <v>88</v>
      </c>
      <c r="F391" s="1182"/>
      <c r="I391" s="1614"/>
      <c r="J391" s="1540" t="str">
        <f t="shared" si="36"/>
        <v/>
      </c>
      <c r="K391" s="1535"/>
      <c r="L391" s="1539" t="str">
        <f t="shared" si="38"/>
        <v/>
      </c>
    </row>
    <row r="392" spans="1:12" s="627" customFormat="1" hidden="1" outlineLevel="2">
      <c r="B392" s="1189"/>
      <c r="D392" s="1885" t="str">
        <f t="shared" si="37"/>
        <v>&lt;TNSP specified&gt;</v>
      </c>
      <c r="E392" s="1176" t="s">
        <v>88</v>
      </c>
      <c r="F392" s="1182"/>
      <c r="I392" s="1614"/>
      <c r="J392" s="1540" t="str">
        <f t="shared" si="36"/>
        <v/>
      </c>
      <c r="K392" s="1535"/>
      <c r="L392" s="1539" t="str">
        <f t="shared" si="38"/>
        <v/>
      </c>
    </row>
    <row r="393" spans="1:12" s="627" customFormat="1" hidden="1" outlineLevel="2">
      <c r="B393" s="1189"/>
      <c r="D393" s="1885" t="str">
        <f t="shared" si="37"/>
        <v>&lt;TNSP specified&gt;</v>
      </c>
      <c r="E393" s="1176" t="s">
        <v>88</v>
      </c>
      <c r="F393" s="1182"/>
      <c r="I393" s="1614"/>
      <c r="J393" s="1540" t="str">
        <f t="shared" si="36"/>
        <v/>
      </c>
      <c r="K393" s="1535"/>
      <c r="L393" s="1539" t="str">
        <f t="shared" si="38"/>
        <v/>
      </c>
    </row>
    <row r="394" spans="1:12" s="627" customFormat="1" hidden="1" outlineLevel="2">
      <c r="B394" s="1189"/>
      <c r="D394" s="1885" t="str">
        <f t="shared" si="37"/>
        <v>&lt;TNSP specified&gt;</v>
      </c>
      <c r="E394" s="1176" t="s">
        <v>88</v>
      </c>
      <c r="F394" s="1182"/>
      <c r="I394" s="1614"/>
      <c r="J394" s="1540" t="str">
        <f t="shared" si="36"/>
        <v/>
      </c>
      <c r="K394" s="1535"/>
      <c r="L394" s="1539" t="str">
        <f t="shared" si="38"/>
        <v/>
      </c>
    </row>
    <row r="395" spans="1:12" s="627" customFormat="1" hidden="1" outlineLevel="2">
      <c r="B395" s="1189"/>
      <c r="D395" s="1885" t="str">
        <f t="shared" si="37"/>
        <v>&lt;TNSP specified&gt;</v>
      </c>
      <c r="E395" s="1176" t="s">
        <v>88</v>
      </c>
      <c r="F395" s="1182"/>
      <c r="I395" s="1614"/>
      <c r="J395" s="1540" t="str">
        <f t="shared" si="36"/>
        <v/>
      </c>
      <c r="K395" s="1535"/>
      <c r="L395" s="1539" t="str">
        <f t="shared" si="38"/>
        <v/>
      </c>
    </row>
    <row r="396" spans="1:12" s="627" customFormat="1" hidden="1" outlineLevel="2">
      <c r="B396" s="1189"/>
      <c r="D396" s="1885" t="str">
        <f t="shared" si="37"/>
        <v>&lt;TNSP specified&gt;</v>
      </c>
      <c r="E396" s="1176" t="s">
        <v>88</v>
      </c>
      <c r="F396" s="1182"/>
      <c r="I396" s="1614"/>
      <c r="J396" s="1540" t="str">
        <f t="shared" si="36"/>
        <v/>
      </c>
      <c r="K396" s="1535"/>
      <c r="L396" s="1539" t="str">
        <f t="shared" si="38"/>
        <v/>
      </c>
    </row>
    <row r="397" spans="1:12" s="627" customFormat="1" hidden="1" outlineLevel="2">
      <c r="B397" s="1189"/>
      <c r="D397" s="1885" t="str">
        <f t="shared" si="37"/>
        <v>&lt;TNSP specified&gt;</v>
      </c>
      <c r="E397" s="1176" t="s">
        <v>88</v>
      </c>
      <c r="F397" s="1182"/>
      <c r="I397" s="1614"/>
      <c r="J397" s="1540" t="str">
        <f t="shared" si="36"/>
        <v/>
      </c>
      <c r="K397" s="1535"/>
      <c r="L397" s="1539" t="str">
        <f t="shared" si="38"/>
        <v/>
      </c>
    </row>
    <row r="398" spans="1:12" s="627" customFormat="1" hidden="1" outlineLevel="2">
      <c r="B398" s="1189"/>
      <c r="D398" s="1885" t="str">
        <f t="shared" si="37"/>
        <v>&lt;TNSP specified&gt;</v>
      </c>
      <c r="E398" s="1176" t="s">
        <v>88</v>
      </c>
      <c r="F398" s="1182"/>
      <c r="I398" s="1614"/>
      <c r="J398" s="1540" t="str">
        <f t="shared" si="36"/>
        <v/>
      </c>
      <c r="K398" s="1535"/>
      <c r="L398" s="1539" t="str">
        <f t="shared" si="38"/>
        <v/>
      </c>
    </row>
    <row r="399" spans="1:12" s="627" customFormat="1" hidden="1" outlineLevel="2">
      <c r="B399" s="1189"/>
      <c r="D399" s="1885" t="str">
        <f t="shared" si="37"/>
        <v>&lt;TNSP specified&gt;</v>
      </c>
      <c r="E399" s="1176" t="s">
        <v>88</v>
      </c>
      <c r="F399" s="1182"/>
      <c r="I399" s="1614"/>
      <c r="J399" s="1540" t="str">
        <f t="shared" si="36"/>
        <v/>
      </c>
      <c r="K399" s="1535"/>
      <c r="L399" s="1539" t="str">
        <f t="shared" si="38"/>
        <v/>
      </c>
    </row>
    <row r="400" spans="1:12" s="627" customFormat="1" hidden="1" outlineLevel="2">
      <c r="B400" s="1189"/>
      <c r="D400" s="1885" t="str">
        <f t="shared" si="37"/>
        <v>&lt;TNSP specified&gt;</v>
      </c>
      <c r="E400" s="1176" t="s">
        <v>88</v>
      </c>
      <c r="F400" s="1182"/>
      <c r="I400" s="1614"/>
      <c r="J400" s="1540" t="str">
        <f t="shared" si="36"/>
        <v/>
      </c>
      <c r="K400" s="1535"/>
      <c r="L400" s="1539" t="str">
        <f t="shared" si="38"/>
        <v/>
      </c>
    </row>
    <row r="401" spans="1:12" s="627" customFormat="1" hidden="1" outlineLevel="2">
      <c r="A401" s="1681"/>
      <c r="B401" s="1189"/>
      <c r="D401" s="1885" t="str">
        <f t="shared" si="37"/>
        <v>&lt;TNSP specified&gt;</v>
      </c>
      <c r="E401" s="1176" t="s">
        <v>88</v>
      </c>
      <c r="F401" s="1182"/>
      <c r="I401" s="1614"/>
      <c r="J401" s="1540" t="str">
        <f t="shared" si="36"/>
        <v/>
      </c>
      <c r="K401" s="1535"/>
      <c r="L401" s="1539" t="str">
        <f t="shared" si="38"/>
        <v/>
      </c>
    </row>
    <row r="402" spans="1:12" s="627" customFormat="1" hidden="1" outlineLevel="2">
      <c r="B402" s="1189"/>
      <c r="D402" s="1885" t="str">
        <f t="shared" si="37"/>
        <v>&lt;TNSP specified&gt;</v>
      </c>
      <c r="E402" s="1176" t="s">
        <v>88</v>
      </c>
      <c r="F402" s="1182"/>
      <c r="I402" s="1614"/>
      <c r="J402" s="1540" t="str">
        <f t="shared" si="36"/>
        <v/>
      </c>
      <c r="K402" s="1535"/>
      <c r="L402" s="1539" t="str">
        <f t="shared" si="38"/>
        <v/>
      </c>
    </row>
    <row r="403" spans="1:12" s="627" customFormat="1" hidden="1" outlineLevel="2">
      <c r="B403" s="1189"/>
      <c r="D403" s="1885" t="str">
        <f t="shared" si="37"/>
        <v>&lt;TNSP specified&gt;</v>
      </c>
      <c r="E403" s="1176" t="s">
        <v>88</v>
      </c>
      <c r="F403" s="1182"/>
      <c r="I403" s="1614"/>
      <c r="J403" s="1540" t="str">
        <f t="shared" si="36"/>
        <v/>
      </c>
      <c r="K403" s="1535"/>
      <c r="L403" s="1539" t="str">
        <f t="shared" si="38"/>
        <v/>
      </c>
    </row>
    <row r="404" spans="1:12" s="627" customFormat="1" hidden="1" outlineLevel="2">
      <c r="B404" s="1189"/>
      <c r="D404" s="1885" t="str">
        <f t="shared" si="37"/>
        <v>&lt;TNSP specified&gt;</v>
      </c>
      <c r="E404" s="1176" t="s">
        <v>88</v>
      </c>
      <c r="F404" s="1182"/>
      <c r="I404" s="1614"/>
      <c r="J404" s="1540" t="str">
        <f t="shared" si="36"/>
        <v/>
      </c>
      <c r="K404" s="1535"/>
      <c r="L404" s="1539" t="str">
        <f t="shared" si="38"/>
        <v/>
      </c>
    </row>
    <row r="405" spans="1:12" s="627" customFormat="1" hidden="1" outlineLevel="2">
      <c r="B405" s="1189"/>
      <c r="D405" s="1885" t="str">
        <f t="shared" si="37"/>
        <v>&lt;TNSP specified&gt;</v>
      </c>
      <c r="E405" s="1176" t="s">
        <v>88</v>
      </c>
      <c r="F405" s="1182"/>
      <c r="I405" s="1614"/>
      <c r="J405" s="1540" t="str">
        <f t="shared" si="36"/>
        <v/>
      </c>
      <c r="K405" s="1535"/>
      <c r="L405" s="1539" t="str">
        <f t="shared" si="38"/>
        <v/>
      </c>
    </row>
    <row r="406" spans="1:12" s="627" customFormat="1" hidden="1" outlineLevel="2">
      <c r="B406" s="1189"/>
      <c r="D406" s="1885" t="str">
        <f t="shared" si="37"/>
        <v>&lt;TNSP specified&gt;</v>
      </c>
      <c r="E406" s="1176" t="s">
        <v>88</v>
      </c>
      <c r="F406" s="1182"/>
      <c r="I406" s="1614"/>
      <c r="J406" s="1540" t="str">
        <f t="shared" si="36"/>
        <v/>
      </c>
      <c r="K406" s="1535"/>
      <c r="L406" s="1539" t="str">
        <f t="shared" si="38"/>
        <v/>
      </c>
    </row>
    <row r="407" spans="1:12" s="627" customFormat="1" hidden="1" outlineLevel="2">
      <c r="A407" s="1681"/>
      <c r="B407" s="1189"/>
      <c r="D407" s="1885" t="str">
        <f t="shared" si="37"/>
        <v>&lt;TNSP specified&gt;</v>
      </c>
      <c r="E407" s="1176" t="s">
        <v>88</v>
      </c>
      <c r="F407" s="1182"/>
      <c r="I407" s="1614"/>
      <c r="J407" s="1540" t="str">
        <f t="shared" si="36"/>
        <v/>
      </c>
      <c r="K407" s="1535"/>
      <c r="L407" s="1539" t="str">
        <f t="shared" si="38"/>
        <v/>
      </c>
    </row>
    <row r="408" spans="1:12" s="627" customFormat="1" hidden="1" outlineLevel="2">
      <c r="B408" s="1189"/>
      <c r="D408" s="1885" t="str">
        <f t="shared" si="37"/>
        <v>&lt;TNSP specified&gt;</v>
      </c>
      <c r="E408" s="1176" t="s">
        <v>88</v>
      </c>
      <c r="F408" s="1182"/>
      <c r="I408" s="1614"/>
      <c r="J408" s="1540" t="str">
        <f t="shared" si="36"/>
        <v/>
      </c>
      <c r="K408" s="1535"/>
      <c r="L408" s="1539" t="str">
        <f t="shared" si="38"/>
        <v/>
      </c>
    </row>
    <row r="409" spans="1:12" s="627" customFormat="1" hidden="1" outlineLevel="2">
      <c r="B409" s="1189"/>
      <c r="D409" s="1885" t="str">
        <f t="shared" si="37"/>
        <v>&lt;TNSP specified&gt;</v>
      </c>
      <c r="E409" s="1176" t="s">
        <v>88</v>
      </c>
      <c r="F409" s="1182"/>
      <c r="I409" s="1614"/>
      <c r="J409" s="1540" t="str">
        <f t="shared" si="36"/>
        <v/>
      </c>
      <c r="K409" s="1535"/>
      <c r="L409" s="1539" t="str">
        <f t="shared" si="38"/>
        <v/>
      </c>
    </row>
    <row r="410" spans="1:12" s="627" customFormat="1" hidden="1" outlineLevel="2">
      <c r="B410" s="1189"/>
      <c r="D410" s="1885" t="str">
        <f t="shared" si="37"/>
        <v>&lt;TNSP specified&gt;</v>
      </c>
      <c r="E410" s="1176" t="s">
        <v>88</v>
      </c>
      <c r="F410" s="1182"/>
      <c r="I410" s="1614"/>
      <c r="J410" s="1540" t="str">
        <f t="shared" si="36"/>
        <v/>
      </c>
      <c r="K410" s="1535"/>
      <c r="L410" s="1539" t="str">
        <f t="shared" si="38"/>
        <v/>
      </c>
    </row>
    <row r="411" spans="1:12" s="627" customFormat="1" hidden="1" outlineLevel="2">
      <c r="B411" s="1189"/>
      <c r="D411" s="1885" t="str">
        <f t="shared" si="37"/>
        <v>&lt;TNSP specified&gt;</v>
      </c>
      <c r="E411" s="1176" t="s">
        <v>88</v>
      </c>
      <c r="F411" s="1182"/>
      <c r="I411" s="1614"/>
      <c r="J411" s="1540" t="str">
        <f t="shared" si="36"/>
        <v/>
      </c>
      <c r="K411" s="1535"/>
      <c r="L411" s="1539" t="str">
        <f t="shared" si="38"/>
        <v/>
      </c>
    </row>
    <row r="412" spans="1:12" s="627" customFormat="1" hidden="1" outlineLevel="2">
      <c r="B412" s="1189"/>
      <c r="D412" s="1885" t="str">
        <f t="shared" si="37"/>
        <v>&lt;TNSP specified&gt;</v>
      </c>
      <c r="E412" s="1176" t="s">
        <v>88</v>
      </c>
      <c r="F412" s="1182"/>
      <c r="I412" s="1614"/>
      <c r="J412" s="1540" t="str">
        <f t="shared" si="36"/>
        <v/>
      </c>
      <c r="K412" s="1535"/>
      <c r="L412" s="1539" t="str">
        <f t="shared" si="38"/>
        <v/>
      </c>
    </row>
    <row r="413" spans="1:12" s="627" customFormat="1" hidden="1" outlineLevel="2">
      <c r="A413" s="1681"/>
      <c r="B413" s="1189"/>
      <c r="D413" s="1885" t="str">
        <f t="shared" si="37"/>
        <v>&lt;TNSP specified&gt;</v>
      </c>
      <c r="E413" s="1176" t="s">
        <v>88</v>
      </c>
      <c r="F413" s="1182"/>
      <c r="I413" s="1614"/>
      <c r="J413" s="1540" t="str">
        <f t="shared" si="36"/>
        <v/>
      </c>
      <c r="K413" s="1535"/>
      <c r="L413" s="1539" t="str">
        <f t="shared" si="38"/>
        <v/>
      </c>
    </row>
    <row r="414" spans="1:12" s="627" customFormat="1" hidden="1" outlineLevel="2">
      <c r="B414" s="1189"/>
      <c r="D414" s="1885" t="str">
        <f t="shared" si="37"/>
        <v>&lt;TNSP specified&gt;</v>
      </c>
      <c r="E414" s="1176" t="s">
        <v>88</v>
      </c>
      <c r="F414" s="1182"/>
      <c r="I414" s="1614"/>
      <c r="J414" s="1540" t="str">
        <f t="shared" si="36"/>
        <v/>
      </c>
      <c r="K414" s="1535"/>
      <c r="L414" s="1539" t="str">
        <f t="shared" si="38"/>
        <v/>
      </c>
    </row>
    <row r="415" spans="1:12" s="627" customFormat="1" hidden="1" outlineLevel="2">
      <c r="B415" s="1189"/>
      <c r="D415" s="1885" t="str">
        <f t="shared" si="37"/>
        <v>&lt;TNSP specified&gt;</v>
      </c>
      <c r="E415" s="1176" t="s">
        <v>88</v>
      </c>
      <c r="F415" s="1182"/>
      <c r="I415" s="1614"/>
      <c r="J415" s="1540" t="str">
        <f t="shared" si="36"/>
        <v/>
      </c>
      <c r="K415" s="1535"/>
      <c r="L415" s="1539" t="str">
        <f t="shared" si="38"/>
        <v/>
      </c>
    </row>
    <row r="416" spans="1:12" s="627" customFormat="1" hidden="1" outlineLevel="2">
      <c r="B416" s="1189"/>
      <c r="D416" s="1885" t="str">
        <f t="shared" si="37"/>
        <v>&lt;TNSP specified&gt;</v>
      </c>
      <c r="E416" s="1176" t="s">
        <v>88</v>
      </c>
      <c r="F416" s="1182"/>
      <c r="I416" s="1614"/>
      <c r="J416" s="1540" t="str">
        <f t="shared" si="36"/>
        <v/>
      </c>
      <c r="K416" s="1535"/>
      <c r="L416" s="1539" t="str">
        <f t="shared" si="38"/>
        <v/>
      </c>
    </row>
    <row r="417" spans="1:12" s="627" customFormat="1" hidden="1" outlineLevel="2">
      <c r="B417" s="1189"/>
      <c r="D417" s="1885" t="str">
        <f t="shared" si="37"/>
        <v>&lt;TNSP specified&gt;</v>
      </c>
      <c r="E417" s="1176" t="s">
        <v>88</v>
      </c>
      <c r="F417" s="1182"/>
      <c r="I417" s="1614"/>
      <c r="J417" s="1540" t="str">
        <f t="shared" si="36"/>
        <v/>
      </c>
      <c r="K417" s="1535"/>
      <c r="L417" s="1539" t="str">
        <f t="shared" si="38"/>
        <v/>
      </c>
    </row>
    <row r="418" spans="1:12" s="627" customFormat="1" hidden="1" outlineLevel="2">
      <c r="B418" s="1189"/>
      <c r="D418" s="1885" t="str">
        <f t="shared" si="37"/>
        <v>&lt;TNSP specified&gt;</v>
      </c>
      <c r="E418" s="1176" t="s">
        <v>88</v>
      </c>
      <c r="F418" s="1182"/>
      <c r="I418" s="1614"/>
      <c r="J418" s="1540" t="str">
        <f t="shared" si="36"/>
        <v/>
      </c>
      <c r="K418" s="1535"/>
      <c r="L418" s="1539" t="str">
        <f t="shared" si="38"/>
        <v/>
      </c>
    </row>
    <row r="419" spans="1:12" s="627" customFormat="1" hidden="1" outlineLevel="2">
      <c r="A419" s="1681"/>
      <c r="B419" s="1189"/>
      <c r="D419" s="1885" t="str">
        <f t="shared" si="37"/>
        <v>&lt;TNSP specified&gt;</v>
      </c>
      <c r="E419" s="1176" t="s">
        <v>88</v>
      </c>
      <c r="F419" s="1182"/>
      <c r="I419" s="1614"/>
      <c r="J419" s="1540" t="str">
        <f t="shared" si="36"/>
        <v/>
      </c>
      <c r="K419" s="1535"/>
      <c r="L419" s="1539" t="str">
        <f t="shared" si="38"/>
        <v/>
      </c>
    </row>
    <row r="420" spans="1:12" s="627" customFormat="1" hidden="1" outlineLevel="2">
      <c r="B420" s="1189"/>
      <c r="D420" s="1885" t="str">
        <f t="shared" si="37"/>
        <v>&lt;TNSP specified&gt;</v>
      </c>
      <c r="E420" s="1176" t="s">
        <v>88</v>
      </c>
      <c r="F420" s="1182"/>
      <c r="I420" s="1614"/>
      <c r="J420" s="1540" t="str">
        <f t="shared" si="36"/>
        <v/>
      </c>
      <c r="K420" s="1535"/>
      <c r="L420" s="1539" t="str">
        <f t="shared" si="38"/>
        <v/>
      </c>
    </row>
    <row r="421" spans="1:12" s="627" customFormat="1" hidden="1" outlineLevel="2">
      <c r="B421" s="1189"/>
      <c r="D421" s="1885" t="str">
        <f t="shared" si="37"/>
        <v>&lt;TNSP specified&gt;</v>
      </c>
      <c r="E421" s="1176" t="s">
        <v>88</v>
      </c>
      <c r="F421" s="1182"/>
      <c r="I421" s="1614"/>
      <c r="J421" s="1540" t="str">
        <f t="shared" si="36"/>
        <v/>
      </c>
      <c r="K421" s="1535"/>
      <c r="L421" s="1539" t="str">
        <f t="shared" si="38"/>
        <v/>
      </c>
    </row>
    <row r="422" spans="1:12" s="627" customFormat="1" hidden="1" outlineLevel="2">
      <c r="B422" s="1189"/>
      <c r="D422" s="1885" t="str">
        <f t="shared" si="37"/>
        <v>&lt;TNSP specified&gt;</v>
      </c>
      <c r="E422" s="1176" t="s">
        <v>88</v>
      </c>
      <c r="F422" s="1182"/>
      <c r="I422" s="1614"/>
      <c r="J422" s="1540" t="str">
        <f t="shared" si="36"/>
        <v/>
      </c>
      <c r="K422" s="1535"/>
      <c r="L422" s="1539" t="str">
        <f t="shared" si="38"/>
        <v/>
      </c>
    </row>
    <row r="423" spans="1:12" s="627" customFormat="1" hidden="1" outlineLevel="2">
      <c r="B423" s="1189"/>
      <c r="D423" s="1885" t="str">
        <f t="shared" si="37"/>
        <v>&lt;TNSP specified&gt;</v>
      </c>
      <c r="E423" s="1176" t="s">
        <v>88</v>
      </c>
      <c r="F423" s="1182"/>
      <c r="I423" s="1614"/>
      <c r="J423" s="1540" t="str">
        <f t="shared" si="36"/>
        <v/>
      </c>
      <c r="K423" s="1535"/>
      <c r="L423" s="1539" t="str">
        <f t="shared" si="38"/>
        <v/>
      </c>
    </row>
    <row r="424" spans="1:12" s="627" customFormat="1" hidden="1" outlineLevel="2">
      <c r="B424" s="1189"/>
      <c r="D424" s="1885" t="str">
        <f t="shared" si="37"/>
        <v>&lt;TNSP specified&gt;</v>
      </c>
      <c r="E424" s="1176" t="s">
        <v>88</v>
      </c>
      <c r="F424" s="1182"/>
      <c r="I424" s="1614"/>
      <c r="J424" s="1540" t="str">
        <f t="shared" si="36"/>
        <v/>
      </c>
      <c r="K424" s="1535"/>
      <c r="L424" s="1539" t="str">
        <f t="shared" si="38"/>
        <v/>
      </c>
    </row>
    <row r="425" spans="1:12" s="627" customFormat="1" outlineLevel="1" collapsed="1">
      <c r="A425" s="1681"/>
      <c r="B425" s="1189"/>
      <c r="D425" s="1885" t="str">
        <f t="shared" si="37"/>
        <v>&lt;TNSP specified&gt;</v>
      </c>
      <c r="E425" s="1176" t="s">
        <v>88</v>
      </c>
      <c r="F425" s="1182"/>
      <c r="I425" s="1614"/>
      <c r="J425" s="1540" t="str">
        <f t="shared" si="36"/>
        <v/>
      </c>
      <c r="K425" s="1535"/>
      <c r="L425" s="1539" t="str">
        <f t="shared" si="38"/>
        <v/>
      </c>
    </row>
    <row r="426" spans="1:12" s="627" customFormat="1" outlineLevel="1">
      <c r="A426" s="1666" t="s">
        <v>1487</v>
      </c>
      <c r="B426" s="1189"/>
      <c r="D426" s="1888" t="str">
        <f t="shared" si="37"/>
        <v>&lt;TNSP specified&gt;</v>
      </c>
      <c r="E426" s="1177" t="s">
        <v>88</v>
      </c>
      <c r="F426" s="1183"/>
      <c r="I426" s="1707"/>
      <c r="J426" s="1708" t="str">
        <f t="shared" si="36"/>
        <v/>
      </c>
      <c r="K426" s="1709"/>
      <c r="L426" s="1539" t="str">
        <f t="shared" si="38"/>
        <v/>
      </c>
    </row>
    <row r="427" spans="1:12" s="627" customFormat="1" outlineLevel="1">
      <c r="B427" s="1189"/>
      <c r="D427" s="1168" t="s">
        <v>1245</v>
      </c>
      <c r="E427" s="1166" t="s">
        <v>88</v>
      </c>
      <c r="F427" s="1184">
        <f>SUM(F385:F426)</f>
        <v>0</v>
      </c>
      <c r="I427" s="1615"/>
      <c r="J427" s="1577"/>
      <c r="K427" s="1578"/>
      <c r="L427" s="1579"/>
    </row>
    <row r="428" spans="1:12" s="627" customFormat="1" ht="12.75" outlineLevel="1">
      <c r="B428" s="1189"/>
      <c r="D428" s="1167" t="s">
        <v>1294</v>
      </c>
      <c r="E428" s="1166" t="s">
        <v>88</v>
      </c>
      <c r="I428" s="1246"/>
    </row>
    <row r="429" spans="1:12" s="627" customFormat="1" ht="15" customHeight="1" outlineLevel="1">
      <c r="B429" s="1189"/>
      <c r="D429" s="1735" t="s">
        <v>1053</v>
      </c>
      <c r="E429" s="1175" t="s">
        <v>88</v>
      </c>
      <c r="F429" s="1181"/>
      <c r="I429" s="2120" t="s">
        <v>1445</v>
      </c>
      <c r="J429" s="1561" t="str">
        <f t="shared" ref="J429" si="39">IF(ISNONTEXT(F429)=TRUE,"","X")</f>
        <v/>
      </c>
      <c r="K429" s="1589"/>
      <c r="L429" s="1560" t="str">
        <f t="shared" ref="L429:L443" si="40">IF(AND(D429&lt;&gt;"",LEFT(D429,5)&lt;&gt;"&lt;TNSP",ISBLANK(F429))=TRUE,"X","")</f>
        <v/>
      </c>
    </row>
    <row r="430" spans="1:12" s="627" customFormat="1" outlineLevel="1">
      <c r="B430" s="1189"/>
      <c r="D430" s="1736" t="s">
        <v>1053</v>
      </c>
      <c r="E430" s="1176" t="s">
        <v>88</v>
      </c>
      <c r="F430" s="1182"/>
      <c r="I430" s="2121"/>
      <c r="J430" s="1540" t="str">
        <f t="shared" ref="J430:J443" si="41">IF(ISNONTEXT(F430)=TRUE,"","X")</f>
        <v/>
      </c>
      <c r="K430" s="1535"/>
      <c r="L430" s="1539" t="str">
        <f t="shared" si="40"/>
        <v/>
      </c>
    </row>
    <row r="431" spans="1:12" s="627" customFormat="1" outlineLevel="1">
      <c r="B431" s="1189"/>
      <c r="D431" s="1736" t="s">
        <v>1053</v>
      </c>
      <c r="E431" s="1176" t="s">
        <v>88</v>
      </c>
      <c r="F431" s="1182"/>
      <c r="I431" s="2121"/>
      <c r="J431" s="1540" t="str">
        <f t="shared" si="41"/>
        <v/>
      </c>
      <c r="K431" s="1535"/>
      <c r="L431" s="1539" t="str">
        <f t="shared" si="40"/>
        <v/>
      </c>
    </row>
    <row r="432" spans="1:12" s="627" customFormat="1" outlineLevel="1">
      <c r="B432" s="1189"/>
      <c r="D432" s="1736" t="s">
        <v>1053</v>
      </c>
      <c r="E432" s="1176" t="s">
        <v>88</v>
      </c>
      <c r="F432" s="1182"/>
      <c r="I432" s="2121"/>
      <c r="J432" s="1540" t="str">
        <f t="shared" si="41"/>
        <v/>
      </c>
      <c r="K432" s="1535"/>
      <c r="L432" s="1539" t="str">
        <f t="shared" si="40"/>
        <v/>
      </c>
    </row>
    <row r="433" spans="1:12" s="627" customFormat="1" outlineLevel="1">
      <c r="B433" s="1189"/>
      <c r="D433" s="1736" t="s">
        <v>1053</v>
      </c>
      <c r="E433" s="1176" t="s">
        <v>88</v>
      </c>
      <c r="F433" s="1182"/>
      <c r="I433" s="2121"/>
      <c r="J433" s="1540" t="str">
        <f t="shared" si="41"/>
        <v/>
      </c>
      <c r="K433" s="1535"/>
      <c r="L433" s="1539" t="str">
        <f t="shared" si="40"/>
        <v/>
      </c>
    </row>
    <row r="434" spans="1:12" s="627" customFormat="1" outlineLevel="1">
      <c r="B434" s="1189"/>
      <c r="D434" s="1736" t="s">
        <v>1053</v>
      </c>
      <c r="E434" s="1176" t="s">
        <v>88</v>
      </c>
      <c r="F434" s="1182"/>
      <c r="I434" s="2121"/>
      <c r="J434" s="1540" t="str">
        <f t="shared" si="41"/>
        <v/>
      </c>
      <c r="K434" s="1535"/>
      <c r="L434" s="1539" t="str">
        <f t="shared" si="40"/>
        <v/>
      </c>
    </row>
    <row r="435" spans="1:12" s="627" customFormat="1" outlineLevel="1">
      <c r="B435" s="1189"/>
      <c r="D435" s="1736" t="s">
        <v>1053</v>
      </c>
      <c r="E435" s="1176" t="s">
        <v>88</v>
      </c>
      <c r="F435" s="1182"/>
      <c r="I435" s="2121"/>
      <c r="J435" s="1540" t="str">
        <f t="shared" si="41"/>
        <v/>
      </c>
      <c r="K435" s="1535"/>
      <c r="L435" s="1539" t="str">
        <f t="shared" si="40"/>
        <v/>
      </c>
    </row>
    <row r="436" spans="1:12" s="627" customFormat="1" outlineLevel="1">
      <c r="B436" s="1189"/>
      <c r="D436" s="1736" t="s">
        <v>1053</v>
      </c>
      <c r="E436" s="1176" t="s">
        <v>88</v>
      </c>
      <c r="F436" s="1182"/>
      <c r="I436" s="2121"/>
      <c r="J436" s="1540" t="str">
        <f t="shared" si="41"/>
        <v/>
      </c>
      <c r="K436" s="1535"/>
      <c r="L436" s="1539" t="str">
        <f t="shared" si="40"/>
        <v/>
      </c>
    </row>
    <row r="437" spans="1:12" s="627" customFormat="1" outlineLevel="1">
      <c r="B437" s="1189"/>
      <c r="D437" s="1736" t="s">
        <v>1053</v>
      </c>
      <c r="E437" s="1176" t="s">
        <v>88</v>
      </c>
      <c r="F437" s="1182"/>
      <c r="I437" s="2121"/>
      <c r="J437" s="1540" t="str">
        <f t="shared" si="41"/>
        <v/>
      </c>
      <c r="K437" s="1535"/>
      <c r="L437" s="1539" t="str">
        <f t="shared" si="40"/>
        <v/>
      </c>
    </row>
    <row r="438" spans="1:12" s="627" customFormat="1" outlineLevel="1">
      <c r="B438" s="1189"/>
      <c r="D438" s="1736" t="s">
        <v>1053</v>
      </c>
      <c r="E438" s="1176" t="s">
        <v>88</v>
      </c>
      <c r="F438" s="1182"/>
      <c r="I438" s="2121"/>
      <c r="J438" s="1540" t="str">
        <f t="shared" si="41"/>
        <v/>
      </c>
      <c r="K438" s="1535"/>
      <c r="L438" s="1539" t="str">
        <f t="shared" si="40"/>
        <v/>
      </c>
    </row>
    <row r="439" spans="1:12" s="627" customFormat="1" outlineLevel="1">
      <c r="B439" s="1189"/>
      <c r="D439" s="1736" t="s">
        <v>1053</v>
      </c>
      <c r="E439" s="1176" t="s">
        <v>88</v>
      </c>
      <c r="F439" s="1182"/>
      <c r="I439" s="2121"/>
      <c r="J439" s="1540" t="str">
        <f t="shared" si="41"/>
        <v/>
      </c>
      <c r="K439" s="1535"/>
      <c r="L439" s="1539" t="str">
        <f t="shared" si="40"/>
        <v/>
      </c>
    </row>
    <row r="440" spans="1:12" s="627" customFormat="1" outlineLevel="1">
      <c r="B440" s="1189"/>
      <c r="D440" s="1736" t="s">
        <v>1053</v>
      </c>
      <c r="E440" s="1176" t="s">
        <v>88</v>
      </c>
      <c r="F440" s="1182"/>
      <c r="I440" s="2121"/>
      <c r="J440" s="1540" t="str">
        <f t="shared" si="41"/>
        <v/>
      </c>
      <c r="K440" s="1535"/>
      <c r="L440" s="1539" t="str">
        <f t="shared" si="40"/>
        <v/>
      </c>
    </row>
    <row r="441" spans="1:12" s="627" customFormat="1" outlineLevel="1">
      <c r="B441" s="1189"/>
      <c r="D441" s="1736" t="s">
        <v>1053</v>
      </c>
      <c r="E441" s="1176" t="s">
        <v>88</v>
      </c>
      <c r="F441" s="1182"/>
      <c r="I441" s="2121"/>
      <c r="J441" s="1540" t="str">
        <f t="shared" si="41"/>
        <v/>
      </c>
      <c r="K441" s="1535"/>
      <c r="L441" s="1539" t="str">
        <f t="shared" si="40"/>
        <v/>
      </c>
    </row>
    <row r="442" spans="1:12" s="627" customFormat="1" outlineLevel="1">
      <c r="A442" s="1666" t="s">
        <v>1487</v>
      </c>
      <c r="B442" s="1189"/>
      <c r="D442" s="1736" t="s">
        <v>1053</v>
      </c>
      <c r="E442" s="1176" t="s">
        <v>88</v>
      </c>
      <c r="F442" s="1182"/>
      <c r="I442" s="2121"/>
      <c r="J442" s="1540" t="str">
        <f t="shared" si="41"/>
        <v/>
      </c>
      <c r="K442" s="1535"/>
      <c r="L442" s="1539" t="str">
        <f t="shared" si="40"/>
        <v/>
      </c>
    </row>
    <row r="443" spans="1:12" s="627" customFormat="1" outlineLevel="1">
      <c r="B443" s="1189"/>
      <c r="D443" s="1737" t="s">
        <v>1053</v>
      </c>
      <c r="E443" s="1177" t="s">
        <v>88</v>
      </c>
      <c r="F443" s="1183"/>
      <c r="I443" s="2121"/>
      <c r="J443" s="1540" t="str">
        <f t="shared" si="41"/>
        <v/>
      </c>
      <c r="K443" s="1535"/>
      <c r="L443" s="1539" t="str">
        <f t="shared" si="40"/>
        <v/>
      </c>
    </row>
    <row r="444" spans="1:12" s="627" customFormat="1" outlineLevel="1">
      <c r="D444" s="1165" t="s">
        <v>1247</v>
      </c>
      <c r="E444" s="1166" t="s">
        <v>88</v>
      </c>
      <c r="F444" s="1184">
        <f>SUM(F429:F443)</f>
        <v>0</v>
      </c>
      <c r="I444" s="1615"/>
      <c r="J444" s="1577"/>
      <c r="K444" s="1578"/>
      <c r="L444" s="1579"/>
    </row>
    <row r="445" spans="1:12" s="627" customFormat="1" ht="22.5" customHeight="1"/>
    <row r="446" spans="1:12" s="627" customFormat="1" ht="12.75"/>
    <row r="447" spans="1:12">
      <c r="B447" s="1717" t="s">
        <v>1468</v>
      </c>
      <c r="C447" s="1714"/>
      <c r="D447" s="1715" t="s">
        <v>1488</v>
      </c>
    </row>
  </sheetData>
  <mergeCells count="5">
    <mergeCell ref="I429:I443"/>
    <mergeCell ref="I231:I245"/>
    <mergeCell ref="J12:L12"/>
    <mergeCell ref="J254:L254"/>
    <mergeCell ref="I13:I18"/>
  </mergeCells>
  <conditionalFormatting sqref="D447">
    <cfRule type="cellIs" dxfId="51" priority="1" operator="equal">
      <formula>FALSE</formula>
    </cfRule>
  </conditionalFormatting>
  <dataValidations count="2">
    <dataValidation allowBlank="1" sqref="K10:M10 I11:L11 I253:L253 I5:M9 N1:N4 H1:H4 M248:M250 I248:L249" xr:uid="{1D59FFD3-6ADA-43A1-BA93-F78FE9DBF236}"/>
    <dataValidation allowBlank="1" showErrorMessage="1" sqref="D13:D54" xr:uid="{57D4E43B-EB76-4529-A33C-2F2408346D02}"/>
  </dataValidations>
  <pageMargins left="0.25" right="0.25" top="0.75" bottom="0.75" header="0.3" footer="0.3"/>
  <pageSetup paperSize="9" scale="67" fitToHeight="0" orientation="portrait" r:id="rId1"/>
  <rowBreaks count="1" manualBreakCount="1">
    <brk id="253" min="3"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7E11C-968D-4F7D-A832-31C7DCC83E8F}">
  <sheetPr codeName="Sheet31">
    <tabColor rgb="FFDE98CA"/>
    <pageSetUpPr fitToPage="1"/>
  </sheetPr>
  <dimension ref="A1:AI71"/>
  <sheetViews>
    <sheetView workbookViewId="0"/>
  </sheetViews>
  <sheetFormatPr defaultColWidth="9.140625" defaultRowHeight="15" outlineLevelRow="1"/>
  <cols>
    <col min="1" max="1" width="24.85546875" style="44" customWidth="1"/>
    <col min="2" max="2" width="11.140625" style="1272" customWidth="1"/>
    <col min="3" max="3" width="2.5703125" style="1272" customWidth="1"/>
    <col min="4" max="4" width="46.42578125" style="44" customWidth="1"/>
    <col min="5" max="5" width="7.85546875" style="44" customWidth="1"/>
    <col min="6" max="10" width="17.140625" style="44" customWidth="1"/>
    <col min="11" max="11" width="14.28515625" style="44" customWidth="1"/>
    <col min="12" max="34" width="3.7109375" style="44" customWidth="1"/>
    <col min="35" max="16384" width="9.140625" style="44"/>
  </cols>
  <sheetData>
    <row r="1" spans="2:35" ht="20.100000000000001" customHeight="1">
      <c r="B1" s="1002"/>
      <c r="C1" s="1002"/>
      <c r="D1" s="1002" t="str">
        <f>dms_SheetHeading1</f>
        <v>ANNUAL INFORMATION ORDER</v>
      </c>
      <c r="E1" s="1205"/>
      <c r="F1" s="1205"/>
      <c r="G1" s="1205"/>
      <c r="H1" s="1205"/>
      <c r="I1" s="1205"/>
      <c r="J1" s="1205"/>
      <c r="K1" s="1338"/>
      <c r="L1" s="1658" t="s">
        <v>1040</v>
      </c>
      <c r="M1" s="1323"/>
      <c r="N1" s="1323"/>
      <c r="O1" s="1323"/>
      <c r="P1" s="1323"/>
      <c r="Q1" s="1323"/>
      <c r="R1" s="1657" t="s">
        <v>1039</v>
      </c>
      <c r="S1" s="1323"/>
      <c r="T1" s="1323"/>
      <c r="U1" s="1323"/>
      <c r="V1" s="1323"/>
      <c r="W1" s="1323"/>
      <c r="X1" s="1323"/>
      <c r="Y1" s="1323"/>
      <c r="Z1" s="1323"/>
    </row>
    <row r="2" spans="2:35" ht="20.100000000000001" customHeight="1">
      <c r="B2" s="1003"/>
      <c r="C2" s="1003"/>
      <c r="D2" s="1003" t="str">
        <f>dms_SheetHeading2</f>
        <v>Australian Transmission Co.</v>
      </c>
      <c r="E2" s="1205"/>
      <c r="F2" s="1205"/>
      <c r="G2" s="1205"/>
      <c r="H2" s="1205"/>
      <c r="I2" s="1205"/>
      <c r="J2" s="1205"/>
      <c r="K2" s="1338"/>
      <c r="L2" s="1659" t="s">
        <v>1041</v>
      </c>
      <c r="M2" s="1324"/>
      <c r="N2" s="1324"/>
      <c r="O2" s="1324"/>
      <c r="P2" s="1324"/>
      <c r="Q2" s="1324"/>
      <c r="R2" s="1379" t="s">
        <v>202</v>
      </c>
      <c r="S2" s="1324"/>
      <c r="T2" s="1324"/>
      <c r="U2" s="1324"/>
      <c r="V2" s="1324"/>
      <c r="W2" s="1324"/>
      <c r="X2" s="1324"/>
      <c r="Y2" s="1324"/>
      <c r="Z2" s="1324"/>
    </row>
    <row r="3" spans="2:35" ht="20.100000000000001" customHeight="1">
      <c r="B3" s="1004"/>
      <c r="C3" s="1004"/>
      <c r="D3" s="1004" t="str">
        <f>dms_SheetHeading3</f>
        <v>REPORTING STATEMENT: 2024-25</v>
      </c>
      <c r="E3" s="1205"/>
      <c r="F3" s="1205"/>
      <c r="G3" s="1205"/>
      <c r="H3" s="1205"/>
      <c r="I3" s="1205"/>
      <c r="J3" s="1205"/>
      <c r="K3" s="1338"/>
      <c r="L3" s="1660" t="s">
        <v>1042</v>
      </c>
      <c r="M3" s="1325"/>
      <c r="N3" s="1325"/>
      <c r="O3" s="1325"/>
      <c r="P3" s="1325"/>
      <c r="Q3" s="1325"/>
      <c r="R3" s="1380" t="s">
        <v>203</v>
      </c>
      <c r="S3" s="1325"/>
      <c r="T3" s="1325"/>
      <c r="U3" s="1325"/>
      <c r="V3" s="1325"/>
      <c r="W3" s="1325"/>
      <c r="X3" s="1325"/>
      <c r="Y3" s="1325"/>
      <c r="Z3" s="1325"/>
    </row>
    <row r="4" spans="2:35" ht="20.100000000000001" customHeight="1">
      <c r="B4" s="1206"/>
      <c r="C4" s="1206"/>
      <c r="D4" s="1206" t="s">
        <v>1890</v>
      </c>
      <c r="E4" s="1207"/>
      <c r="F4" s="1207"/>
      <c r="G4" s="1207"/>
      <c r="H4" s="1207"/>
      <c r="I4" s="1207"/>
      <c r="J4" s="1207"/>
      <c r="K4" s="1339"/>
      <c r="L4" s="1662" t="s">
        <v>1044</v>
      </c>
      <c r="M4" s="1692"/>
      <c r="N4" s="1693"/>
      <c r="O4" s="1498"/>
      <c r="P4" s="1498"/>
      <c r="Q4" s="1498"/>
      <c r="R4" s="1497" t="s">
        <v>1043</v>
      </c>
      <c r="S4" s="1498"/>
      <c r="T4" s="1498"/>
      <c r="U4" s="1498"/>
      <c r="V4" s="1498"/>
      <c r="W4" s="1498"/>
      <c r="X4" s="1498"/>
      <c r="Y4" s="1498"/>
      <c r="Z4" s="1498"/>
    </row>
    <row r="5" spans="2:35" ht="13.5" customHeight="1">
      <c r="B5" s="44"/>
      <c r="C5" s="44"/>
      <c r="D5" s="1087"/>
    </row>
    <row r="6" spans="2:35" s="46" customFormat="1" ht="19.5" customHeight="1">
      <c r="B6" s="628" t="s">
        <v>1302</v>
      </c>
      <c r="C6" s="973"/>
      <c r="D6" s="973"/>
      <c r="E6" s="973"/>
      <c r="F6" s="973"/>
      <c r="G6" s="973"/>
      <c r="H6" s="973"/>
      <c r="I6" s="973"/>
      <c r="J6" s="973"/>
      <c r="K6" s="1105"/>
      <c r="L6" s="1105"/>
      <c r="M6" s="1105"/>
      <c r="N6" s="1105"/>
    </row>
    <row r="7" spans="2:35" ht="19.5" customHeight="1">
      <c r="B7" s="628" t="s">
        <v>1303</v>
      </c>
      <c r="C7" s="973"/>
      <c r="D7" s="973"/>
      <c r="E7" s="973"/>
      <c r="F7" s="973"/>
      <c r="G7" s="973"/>
      <c r="H7" s="973"/>
      <c r="I7" s="973"/>
      <c r="J7" s="973"/>
      <c r="K7" s="1105"/>
      <c r="L7" s="1105"/>
      <c r="M7" s="1105"/>
      <c r="N7" s="1105"/>
    </row>
    <row r="8" spans="2:35" ht="19.5" customHeight="1">
      <c r="B8" s="1032" t="s">
        <v>1079</v>
      </c>
      <c r="C8" s="1032"/>
      <c r="D8" s="1032"/>
      <c r="E8" s="1032"/>
      <c r="F8" s="1032"/>
      <c r="G8" s="1032"/>
      <c r="H8" s="1032"/>
      <c r="I8" s="1032"/>
      <c r="J8" s="1032"/>
      <c r="K8" s="1137"/>
      <c r="L8" s="1137"/>
      <c r="M8" s="1137"/>
      <c r="N8" s="1137"/>
      <c r="AF8" s="46"/>
      <c r="AG8" s="46"/>
      <c r="AH8" s="46"/>
    </row>
    <row r="9" spans="2:35" s="46" customFormat="1">
      <c r="B9" s="44"/>
      <c r="C9" s="44"/>
      <c r="D9" s="44"/>
      <c r="E9" s="44"/>
      <c r="F9" s="44"/>
      <c r="G9" s="44"/>
      <c r="AF9" s="44"/>
      <c r="AG9" s="44"/>
      <c r="AH9" s="44"/>
    </row>
    <row r="10" spans="2:35" ht="18" customHeight="1">
      <c r="B10" s="1326" t="s">
        <v>1428</v>
      </c>
      <c r="C10" s="1327"/>
      <c r="D10" s="1327"/>
      <c r="E10" s="1327"/>
      <c r="F10" s="1327"/>
      <c r="G10" s="1327"/>
      <c r="H10" s="1327"/>
      <c r="I10" s="1327"/>
      <c r="J10" s="1327"/>
      <c r="K10" s="1621"/>
      <c r="L10" s="1621"/>
      <c r="M10" s="1621"/>
      <c r="N10" s="1621"/>
      <c r="O10" s="46"/>
      <c r="P10" s="46"/>
      <c r="Q10" s="46"/>
      <c r="AF10" s="46"/>
      <c r="AG10" s="46"/>
      <c r="AH10" s="46"/>
    </row>
    <row r="11" spans="2:35" s="46" customFormat="1" ht="36.75" customHeight="1">
      <c r="B11" s="44"/>
      <c r="C11" s="44"/>
      <c r="D11" s="44"/>
      <c r="E11" s="44"/>
      <c r="F11" s="44"/>
      <c r="G11" s="44"/>
      <c r="H11" s="44"/>
      <c r="I11" s="44"/>
      <c r="J11" s="44"/>
      <c r="K11" s="44"/>
      <c r="L11" s="2143" t="s">
        <v>1441</v>
      </c>
      <c r="M11" s="2144"/>
      <c r="N11" s="2144"/>
      <c r="O11" s="2143"/>
      <c r="P11" s="2144"/>
      <c r="Q11" s="2149"/>
      <c r="R11" s="1608" t="s">
        <v>1430</v>
      </c>
      <c r="S11" s="1595" t="s">
        <v>1431</v>
      </c>
      <c r="T11" s="1533" t="s">
        <v>1440</v>
      </c>
      <c r="U11" s="1594" t="s">
        <v>1430</v>
      </c>
      <c r="V11" s="1595" t="s">
        <v>1431</v>
      </c>
      <c r="W11" s="1533" t="s">
        <v>1440</v>
      </c>
      <c r="X11" s="1594" t="s">
        <v>1430</v>
      </c>
      <c r="Y11" s="1595" t="s">
        <v>1431</v>
      </c>
      <c r="Z11" s="1533" t="s">
        <v>1440</v>
      </c>
      <c r="AA11" s="1594" t="s">
        <v>1430</v>
      </c>
      <c r="AB11" s="1595" t="s">
        <v>1431</v>
      </c>
      <c r="AC11" s="1533" t="s">
        <v>1440</v>
      </c>
      <c r="AF11" s="44"/>
      <c r="AG11" s="44"/>
      <c r="AH11" s="44"/>
      <c r="AI11" s="44"/>
    </row>
    <row r="12" spans="2:35" s="1303" customFormat="1" ht="38.25" customHeight="1">
      <c r="B12" s="1304"/>
      <c r="C12" s="1304"/>
      <c r="D12" s="1245" t="s">
        <v>1049</v>
      </c>
      <c r="E12" s="958" t="s">
        <v>1192</v>
      </c>
      <c r="F12" s="1689" t="s">
        <v>1296</v>
      </c>
      <c r="G12" s="1731" t="s">
        <v>1255</v>
      </c>
      <c r="H12" s="1731" t="s">
        <v>1297</v>
      </c>
      <c r="I12" s="1731" t="s">
        <v>1298</v>
      </c>
      <c r="J12" s="1742" t="s">
        <v>1299</v>
      </c>
      <c r="K12" s="1531"/>
      <c r="L12" s="2145" t="s">
        <v>1435</v>
      </c>
      <c r="M12" s="2146"/>
      <c r="N12" s="2146"/>
      <c r="O12" s="2145" t="s">
        <v>1296</v>
      </c>
      <c r="P12" s="2146"/>
      <c r="Q12" s="2130"/>
      <c r="R12" s="2130" t="s">
        <v>1454</v>
      </c>
      <c r="S12" s="2125"/>
      <c r="T12" s="2125"/>
      <c r="U12" s="2125" t="s">
        <v>1297</v>
      </c>
      <c r="V12" s="2125"/>
      <c r="W12" s="2125"/>
      <c r="X12" s="2125" t="s">
        <v>1298</v>
      </c>
      <c r="Y12" s="2125"/>
      <c r="Z12" s="2125"/>
      <c r="AA12" s="2125" t="s">
        <v>1299</v>
      </c>
      <c r="AB12" s="2125"/>
      <c r="AC12" s="2125"/>
      <c r="AF12" s="46"/>
      <c r="AG12" s="46"/>
      <c r="AH12" s="46"/>
      <c r="AI12" s="44"/>
    </row>
    <row r="13" spans="2:35" ht="15" customHeight="1" outlineLevel="1">
      <c r="B13" s="1531"/>
      <c r="C13" s="1305"/>
      <c r="D13" s="1743" t="s">
        <v>1053</v>
      </c>
      <c r="E13" s="1738" t="s">
        <v>88</v>
      </c>
      <c r="F13" s="1726">
        <f>SUM(G13:J13)</f>
        <v>0</v>
      </c>
      <c r="G13" s="1193"/>
      <c r="H13" s="1193"/>
      <c r="I13" s="1193"/>
      <c r="J13" s="1194"/>
      <c r="K13" s="1531"/>
      <c r="L13" s="2131" t="s">
        <v>1445</v>
      </c>
      <c r="M13" s="2132"/>
      <c r="N13" s="2132"/>
      <c r="O13" s="2150"/>
      <c r="P13" s="2151"/>
      <c r="Q13" s="2152"/>
      <c r="R13" s="1599" t="str">
        <f t="shared" ref="R13:R22" si="0">IF(ISNONTEXT(G13)=TRUE,"","X")</f>
        <v/>
      </c>
      <c r="S13" s="1592" t="str">
        <f t="shared" ref="S13:S22" si="1">IF(AND(G13&gt;=0)=TRUE,"","X")</f>
        <v/>
      </c>
      <c r="T13" s="1539" t="str">
        <f>IF(AND(D13&lt;&gt;"",LEFT(D13,5)&lt;&gt;"&lt;TNSP",ISBLANK(G13))=TRUE,"X","")</f>
        <v/>
      </c>
      <c r="U13" s="1591" t="str">
        <f t="shared" ref="U13" si="2">IF(ISNONTEXT(H13)=TRUE,"","X")</f>
        <v/>
      </c>
      <c r="V13" s="1592" t="str">
        <f t="shared" ref="V13" si="3">IF(AND(H13&gt;=0)=TRUE,"","X")</f>
        <v/>
      </c>
      <c r="W13" s="1539" t="str">
        <f>IF(AND(D13&lt;&gt;"",LEFT(D13,5)&lt;&gt;"&lt;TNSP",ISBLANK(H13))=TRUE,"X","")</f>
        <v/>
      </c>
      <c r="X13" s="1591" t="str">
        <f t="shared" ref="X13" si="4">IF(ISNONTEXT(I13)=TRUE,"","X")</f>
        <v/>
      </c>
      <c r="Y13" s="1592" t="str">
        <f t="shared" ref="Y13" si="5">IF(AND(I13&gt;=0)=TRUE,"","X")</f>
        <v/>
      </c>
      <c r="Z13" s="1539" t="str">
        <f>IF(AND(D13&lt;&gt;"",LEFT(D13,5)&lt;&gt;"&lt;TNSP",ISBLANK(I13))=TRUE,"X","")</f>
        <v/>
      </c>
      <c r="AA13" s="1591" t="str">
        <f t="shared" ref="AA13" si="6">IF(ISNONTEXT(J13)=TRUE,"","X")</f>
        <v/>
      </c>
      <c r="AB13" s="1592" t="str">
        <f t="shared" ref="AB13" si="7">IF(AND(J13&gt;=0)=TRUE,"","X")</f>
        <v/>
      </c>
      <c r="AC13" s="1539" t="str">
        <f>IF(AND(D13&lt;&gt;"",LEFT(D13,5)&lt;&gt;"&lt;TNSP",ISBLANK(J13))=TRUE,"X","")</f>
        <v/>
      </c>
    </row>
    <row r="14" spans="2:35" outlineLevel="1">
      <c r="B14" s="1306"/>
      <c r="C14" s="1306"/>
      <c r="D14" s="1744" t="s">
        <v>1053</v>
      </c>
      <c r="E14" s="1739" t="s">
        <v>88</v>
      </c>
      <c r="F14" s="1727">
        <f t="shared" ref="F14:F22" si="8">SUM(G14:J14)</f>
        <v>0</v>
      </c>
      <c r="G14" s="1197"/>
      <c r="H14" s="1197"/>
      <c r="I14" s="1197"/>
      <c r="J14" s="1198"/>
      <c r="K14" s="1531"/>
      <c r="L14" s="2134"/>
      <c r="M14" s="2135"/>
      <c r="N14" s="2135"/>
      <c r="O14" s="2127"/>
      <c r="P14" s="2128"/>
      <c r="Q14" s="2129"/>
      <c r="R14" s="1599" t="str">
        <f t="shared" si="0"/>
        <v/>
      </c>
      <c r="S14" s="1592" t="str">
        <f t="shared" si="1"/>
        <v/>
      </c>
      <c r="T14" s="1539" t="str">
        <f t="shared" ref="T14:T22" si="9">IF(AND(D14&lt;&gt;"",LEFT(D14,5)&lt;&gt;"&lt;TNSP",ISBLANK(G14))=TRUE,"X","")</f>
        <v/>
      </c>
      <c r="U14" s="1591" t="str">
        <f t="shared" ref="U14:U22" si="10">IF(ISNONTEXT(H14)=TRUE,"","X")</f>
        <v/>
      </c>
      <c r="V14" s="1592" t="str">
        <f t="shared" ref="V14:V22" si="11">IF(AND(H14&gt;=0)=TRUE,"","X")</f>
        <v/>
      </c>
      <c r="W14" s="1539" t="str">
        <f t="shared" ref="W14:W22" si="12">IF(AND(D14&lt;&gt;"",LEFT(D14,5)&lt;&gt;"&lt;TNSP",ISBLANK(H14))=TRUE,"X","")</f>
        <v/>
      </c>
      <c r="X14" s="1591" t="str">
        <f t="shared" ref="X14:X22" si="13">IF(ISNONTEXT(I14)=TRUE,"","X")</f>
        <v/>
      </c>
      <c r="Y14" s="1592" t="str">
        <f t="shared" ref="Y14:Y22" si="14">IF(AND(I14&gt;=0)=TRUE,"","X")</f>
        <v/>
      </c>
      <c r="Z14" s="1539" t="str">
        <f t="shared" ref="Z14:Z22" si="15">IF(AND(D14&lt;&gt;"",LEFT(D14,5)&lt;&gt;"&lt;TNSP",ISBLANK(I14))=TRUE,"X","")</f>
        <v/>
      </c>
      <c r="AA14" s="1591" t="str">
        <f t="shared" ref="AA14:AA22" si="16">IF(ISNONTEXT(J14)=TRUE,"","X")</f>
        <v/>
      </c>
      <c r="AB14" s="1592" t="str">
        <f t="shared" ref="AB14:AB22" si="17">IF(AND(J14&gt;=0)=TRUE,"","X")</f>
        <v/>
      </c>
      <c r="AC14" s="1539" t="str">
        <f t="shared" ref="AC14:AC22" si="18">IF(AND(D14&lt;&gt;"",LEFT(D14,5)&lt;&gt;"&lt;TNSP",ISBLANK(J14))=TRUE,"X","")</f>
        <v/>
      </c>
      <c r="AF14" s="46"/>
      <c r="AG14" s="46"/>
      <c r="AH14" s="46"/>
    </row>
    <row r="15" spans="2:35" outlineLevel="1">
      <c r="B15" s="1305"/>
      <c r="C15" s="1305"/>
      <c r="D15" s="1744" t="s">
        <v>1053</v>
      </c>
      <c r="E15" s="1739" t="s">
        <v>88</v>
      </c>
      <c r="F15" s="1727">
        <f t="shared" si="8"/>
        <v>0</v>
      </c>
      <c r="G15" s="1197"/>
      <c r="H15" s="1197"/>
      <c r="I15" s="1197"/>
      <c r="J15" s="1198"/>
      <c r="K15" s="1531"/>
      <c r="L15" s="2134"/>
      <c r="M15" s="2135"/>
      <c r="N15" s="2135"/>
      <c r="O15" s="2127"/>
      <c r="P15" s="2128"/>
      <c r="Q15" s="2129"/>
      <c r="R15" s="1599" t="str">
        <f t="shared" si="0"/>
        <v/>
      </c>
      <c r="S15" s="1592" t="str">
        <f t="shared" si="1"/>
        <v/>
      </c>
      <c r="T15" s="1539" t="str">
        <f t="shared" si="9"/>
        <v/>
      </c>
      <c r="U15" s="1591" t="str">
        <f t="shared" si="10"/>
        <v/>
      </c>
      <c r="V15" s="1592" t="str">
        <f t="shared" si="11"/>
        <v/>
      </c>
      <c r="W15" s="1539" t="str">
        <f t="shared" si="12"/>
        <v/>
      </c>
      <c r="X15" s="1591" t="str">
        <f t="shared" si="13"/>
        <v/>
      </c>
      <c r="Y15" s="1592" t="str">
        <f t="shared" si="14"/>
        <v/>
      </c>
      <c r="Z15" s="1539" t="str">
        <f t="shared" si="15"/>
        <v/>
      </c>
      <c r="AA15" s="1591" t="str">
        <f t="shared" si="16"/>
        <v/>
      </c>
      <c r="AB15" s="1592" t="str">
        <f t="shared" si="17"/>
        <v/>
      </c>
      <c r="AC15" s="1539" t="str">
        <f t="shared" si="18"/>
        <v/>
      </c>
    </row>
    <row r="16" spans="2:35" outlineLevel="1">
      <c r="B16" s="1305"/>
      <c r="C16" s="1305"/>
      <c r="D16" s="1744" t="s">
        <v>1053</v>
      </c>
      <c r="E16" s="1739" t="s">
        <v>88</v>
      </c>
      <c r="F16" s="1727">
        <f t="shared" si="8"/>
        <v>0</v>
      </c>
      <c r="G16" s="1197"/>
      <c r="H16" s="1197"/>
      <c r="I16" s="1197"/>
      <c r="J16" s="1198"/>
      <c r="K16" s="1531"/>
      <c r="L16" s="2134"/>
      <c r="M16" s="2135"/>
      <c r="N16" s="2135"/>
      <c r="O16" s="2127"/>
      <c r="P16" s="2128"/>
      <c r="Q16" s="2129"/>
      <c r="R16" s="1599" t="str">
        <f t="shared" si="0"/>
        <v/>
      </c>
      <c r="S16" s="1592" t="str">
        <f t="shared" si="1"/>
        <v/>
      </c>
      <c r="T16" s="1539" t="str">
        <f t="shared" si="9"/>
        <v/>
      </c>
      <c r="U16" s="1591" t="str">
        <f t="shared" si="10"/>
        <v/>
      </c>
      <c r="V16" s="1592" t="str">
        <f t="shared" si="11"/>
        <v/>
      </c>
      <c r="W16" s="1539" t="str">
        <f t="shared" si="12"/>
        <v/>
      </c>
      <c r="X16" s="1591" t="str">
        <f t="shared" si="13"/>
        <v/>
      </c>
      <c r="Y16" s="1592" t="str">
        <f t="shared" si="14"/>
        <v/>
      </c>
      <c r="Z16" s="1539" t="str">
        <f t="shared" si="15"/>
        <v/>
      </c>
      <c r="AA16" s="1591" t="str">
        <f t="shared" si="16"/>
        <v/>
      </c>
      <c r="AB16" s="1592" t="str">
        <f t="shared" si="17"/>
        <v/>
      </c>
      <c r="AC16" s="1539" t="str">
        <f t="shared" si="18"/>
        <v/>
      </c>
    </row>
    <row r="17" spans="1:29" outlineLevel="1">
      <c r="B17" s="1305"/>
      <c r="C17" s="1305"/>
      <c r="D17" s="1744" t="s">
        <v>1053</v>
      </c>
      <c r="E17" s="1739" t="s">
        <v>88</v>
      </c>
      <c r="F17" s="1727">
        <f t="shared" si="8"/>
        <v>0</v>
      </c>
      <c r="G17" s="1197"/>
      <c r="H17" s="1197"/>
      <c r="I17" s="1197"/>
      <c r="J17" s="1198"/>
      <c r="K17" s="1531"/>
      <c r="L17" s="2134"/>
      <c r="M17" s="2135"/>
      <c r="N17" s="2135"/>
      <c r="O17" s="2127"/>
      <c r="P17" s="2128"/>
      <c r="Q17" s="2129"/>
      <c r="R17" s="1599" t="str">
        <f t="shared" si="0"/>
        <v/>
      </c>
      <c r="S17" s="1592" t="str">
        <f t="shared" si="1"/>
        <v/>
      </c>
      <c r="T17" s="1539" t="str">
        <f t="shared" si="9"/>
        <v/>
      </c>
      <c r="U17" s="1591" t="str">
        <f t="shared" si="10"/>
        <v/>
      </c>
      <c r="V17" s="1592" t="str">
        <f t="shared" si="11"/>
        <v/>
      </c>
      <c r="W17" s="1539" t="str">
        <f t="shared" si="12"/>
        <v/>
      </c>
      <c r="X17" s="1591" t="str">
        <f t="shared" si="13"/>
        <v/>
      </c>
      <c r="Y17" s="1592" t="str">
        <f t="shared" si="14"/>
        <v/>
      </c>
      <c r="Z17" s="1539" t="str">
        <f t="shared" si="15"/>
        <v/>
      </c>
      <c r="AA17" s="1591" t="str">
        <f t="shared" si="16"/>
        <v/>
      </c>
      <c r="AB17" s="1592" t="str">
        <f t="shared" si="17"/>
        <v/>
      </c>
      <c r="AC17" s="1539" t="str">
        <f t="shared" si="18"/>
        <v/>
      </c>
    </row>
    <row r="18" spans="1:29" outlineLevel="1">
      <c r="B18" s="1305"/>
      <c r="C18" s="1305"/>
      <c r="D18" s="1744" t="s">
        <v>1053</v>
      </c>
      <c r="E18" s="1739" t="s">
        <v>88</v>
      </c>
      <c r="F18" s="1727">
        <f t="shared" si="8"/>
        <v>0</v>
      </c>
      <c r="G18" s="1197"/>
      <c r="H18" s="1197"/>
      <c r="I18" s="1197"/>
      <c r="J18" s="1198"/>
      <c r="K18" s="1531"/>
      <c r="L18" s="2134"/>
      <c r="M18" s="2135"/>
      <c r="N18" s="2135"/>
      <c r="O18" s="2127"/>
      <c r="P18" s="2128"/>
      <c r="Q18" s="2129"/>
      <c r="R18" s="1599" t="str">
        <f t="shared" si="0"/>
        <v/>
      </c>
      <c r="S18" s="1592" t="str">
        <f t="shared" si="1"/>
        <v/>
      </c>
      <c r="T18" s="1539" t="str">
        <f t="shared" si="9"/>
        <v/>
      </c>
      <c r="U18" s="1591" t="str">
        <f t="shared" si="10"/>
        <v/>
      </c>
      <c r="V18" s="1592" t="str">
        <f t="shared" si="11"/>
        <v/>
      </c>
      <c r="W18" s="1539" t="str">
        <f t="shared" si="12"/>
        <v/>
      </c>
      <c r="X18" s="1591" t="str">
        <f t="shared" si="13"/>
        <v/>
      </c>
      <c r="Y18" s="1592" t="str">
        <f t="shared" si="14"/>
        <v/>
      </c>
      <c r="Z18" s="1539" t="str">
        <f t="shared" si="15"/>
        <v/>
      </c>
      <c r="AA18" s="1591" t="str">
        <f t="shared" si="16"/>
        <v/>
      </c>
      <c r="AB18" s="1592" t="str">
        <f t="shared" si="17"/>
        <v/>
      </c>
      <c r="AC18" s="1539" t="str">
        <f t="shared" si="18"/>
        <v/>
      </c>
    </row>
    <row r="19" spans="1:29" outlineLevel="1">
      <c r="B19" s="1305"/>
      <c r="C19" s="1305"/>
      <c r="D19" s="1744" t="s">
        <v>1053</v>
      </c>
      <c r="E19" s="1739" t="s">
        <v>88</v>
      </c>
      <c r="F19" s="1727">
        <f t="shared" si="8"/>
        <v>0</v>
      </c>
      <c r="G19" s="1197"/>
      <c r="H19" s="1197"/>
      <c r="I19" s="1197"/>
      <c r="J19" s="1198"/>
      <c r="K19" s="1531"/>
      <c r="L19" s="2134"/>
      <c r="M19" s="2135"/>
      <c r="N19" s="2135"/>
      <c r="O19" s="2127"/>
      <c r="P19" s="2128"/>
      <c r="Q19" s="2129"/>
      <c r="R19" s="1599" t="str">
        <f t="shared" si="0"/>
        <v/>
      </c>
      <c r="S19" s="1592" t="str">
        <f t="shared" si="1"/>
        <v/>
      </c>
      <c r="T19" s="1539" t="str">
        <f t="shared" si="9"/>
        <v/>
      </c>
      <c r="U19" s="1591" t="str">
        <f t="shared" si="10"/>
        <v/>
      </c>
      <c r="V19" s="1592" t="str">
        <f t="shared" si="11"/>
        <v/>
      </c>
      <c r="W19" s="1539" t="str">
        <f t="shared" si="12"/>
        <v/>
      </c>
      <c r="X19" s="1591" t="str">
        <f t="shared" si="13"/>
        <v/>
      </c>
      <c r="Y19" s="1592" t="str">
        <f t="shared" si="14"/>
        <v/>
      </c>
      <c r="Z19" s="1539" t="str">
        <f t="shared" si="15"/>
        <v/>
      </c>
      <c r="AA19" s="1591" t="str">
        <f t="shared" si="16"/>
        <v/>
      </c>
      <c r="AB19" s="1592" t="str">
        <f t="shared" si="17"/>
        <v/>
      </c>
      <c r="AC19" s="1539" t="str">
        <f t="shared" si="18"/>
        <v/>
      </c>
    </row>
    <row r="20" spans="1:29" outlineLevel="1">
      <c r="B20" s="1305"/>
      <c r="C20" s="1305"/>
      <c r="D20" s="1744" t="s">
        <v>1053</v>
      </c>
      <c r="E20" s="1739" t="s">
        <v>88</v>
      </c>
      <c r="F20" s="1727">
        <f t="shared" si="8"/>
        <v>0</v>
      </c>
      <c r="G20" s="1197"/>
      <c r="H20" s="1197"/>
      <c r="I20" s="1197"/>
      <c r="J20" s="1198"/>
      <c r="K20" s="1531"/>
      <c r="L20" s="2134"/>
      <c r="M20" s="2135"/>
      <c r="N20" s="2135"/>
      <c r="O20" s="2127"/>
      <c r="P20" s="2128"/>
      <c r="Q20" s="2129"/>
      <c r="R20" s="1599" t="str">
        <f t="shared" si="0"/>
        <v/>
      </c>
      <c r="S20" s="1592" t="str">
        <f t="shared" si="1"/>
        <v/>
      </c>
      <c r="T20" s="1539" t="str">
        <f t="shared" si="9"/>
        <v/>
      </c>
      <c r="U20" s="1591" t="str">
        <f t="shared" si="10"/>
        <v/>
      </c>
      <c r="V20" s="1592" t="str">
        <f t="shared" si="11"/>
        <v/>
      </c>
      <c r="W20" s="1539" t="str">
        <f t="shared" si="12"/>
        <v/>
      </c>
      <c r="X20" s="1591" t="str">
        <f t="shared" si="13"/>
        <v/>
      </c>
      <c r="Y20" s="1592" t="str">
        <f t="shared" si="14"/>
        <v/>
      </c>
      <c r="Z20" s="1539" t="str">
        <f t="shared" si="15"/>
        <v/>
      </c>
      <c r="AA20" s="1591" t="str">
        <f t="shared" si="16"/>
        <v/>
      </c>
      <c r="AB20" s="1592" t="str">
        <f t="shared" si="17"/>
        <v/>
      </c>
      <c r="AC20" s="1539" t="str">
        <f t="shared" si="18"/>
        <v/>
      </c>
    </row>
    <row r="21" spans="1:29" outlineLevel="1">
      <c r="A21" s="1666" t="s">
        <v>1487</v>
      </c>
      <c r="B21" s="1305"/>
      <c r="C21" s="1305"/>
      <c r="D21" s="1744" t="s">
        <v>1053</v>
      </c>
      <c r="E21" s="1739" t="s">
        <v>88</v>
      </c>
      <c r="F21" s="1727">
        <f t="shared" si="8"/>
        <v>0</v>
      </c>
      <c r="G21" s="1197"/>
      <c r="H21" s="1197"/>
      <c r="I21" s="1197"/>
      <c r="J21" s="1198"/>
      <c r="K21" s="1531"/>
      <c r="L21" s="2134"/>
      <c r="M21" s="2135"/>
      <c r="N21" s="2135"/>
      <c r="O21" s="2127"/>
      <c r="P21" s="2128"/>
      <c r="Q21" s="2129"/>
      <c r="R21" s="1599" t="str">
        <f t="shared" si="0"/>
        <v/>
      </c>
      <c r="S21" s="1592" t="str">
        <f t="shared" si="1"/>
        <v/>
      </c>
      <c r="T21" s="1539" t="str">
        <f t="shared" si="9"/>
        <v/>
      </c>
      <c r="U21" s="1591" t="str">
        <f t="shared" si="10"/>
        <v/>
      </c>
      <c r="V21" s="1592" t="str">
        <f t="shared" si="11"/>
        <v/>
      </c>
      <c r="W21" s="1539" t="str">
        <f t="shared" si="12"/>
        <v/>
      </c>
      <c r="X21" s="1591" t="str">
        <f t="shared" si="13"/>
        <v/>
      </c>
      <c r="Y21" s="1592" t="str">
        <f t="shared" si="14"/>
        <v/>
      </c>
      <c r="Z21" s="1539" t="str">
        <f t="shared" si="15"/>
        <v/>
      </c>
      <c r="AA21" s="1591" t="str">
        <f t="shared" si="16"/>
        <v/>
      </c>
      <c r="AB21" s="1592" t="str">
        <f t="shared" si="17"/>
        <v/>
      </c>
      <c r="AC21" s="1539" t="str">
        <f t="shared" si="18"/>
        <v/>
      </c>
    </row>
    <row r="22" spans="1:29" outlineLevel="1">
      <c r="B22" s="1306"/>
      <c r="C22" s="1306"/>
      <c r="D22" s="1745" t="s">
        <v>1053</v>
      </c>
      <c r="E22" s="1740" t="s">
        <v>88</v>
      </c>
      <c r="F22" s="1728">
        <f t="shared" si="8"/>
        <v>0</v>
      </c>
      <c r="G22" s="1200"/>
      <c r="H22" s="1200"/>
      <c r="I22" s="1200"/>
      <c r="J22" s="1201"/>
      <c r="K22" s="1531"/>
      <c r="L22" s="2134"/>
      <c r="M22" s="2135"/>
      <c r="N22" s="2135"/>
      <c r="O22" s="2127"/>
      <c r="P22" s="2128"/>
      <c r="Q22" s="2129"/>
      <c r="R22" s="1599" t="str">
        <f t="shared" si="0"/>
        <v/>
      </c>
      <c r="S22" s="1592" t="str">
        <f t="shared" si="1"/>
        <v/>
      </c>
      <c r="T22" s="1539" t="str">
        <f t="shared" si="9"/>
        <v/>
      </c>
      <c r="U22" s="1591" t="str">
        <f t="shared" si="10"/>
        <v/>
      </c>
      <c r="V22" s="1592" t="str">
        <f t="shared" si="11"/>
        <v/>
      </c>
      <c r="W22" s="1539" t="str">
        <f t="shared" si="12"/>
        <v/>
      </c>
      <c r="X22" s="1591" t="str">
        <f t="shared" si="13"/>
        <v/>
      </c>
      <c r="Y22" s="1592" t="str">
        <f t="shared" si="14"/>
        <v/>
      </c>
      <c r="Z22" s="1539" t="str">
        <f t="shared" si="15"/>
        <v/>
      </c>
      <c r="AA22" s="1591" t="str">
        <f t="shared" si="16"/>
        <v/>
      </c>
      <c r="AB22" s="1592" t="str">
        <f t="shared" si="17"/>
        <v/>
      </c>
      <c r="AC22" s="1539" t="str">
        <f t="shared" si="18"/>
        <v/>
      </c>
    </row>
    <row r="23" spans="1:29" outlineLevel="1">
      <c r="B23" s="627"/>
      <c r="C23" s="627"/>
      <c r="D23" s="1741" t="s">
        <v>1231</v>
      </c>
      <c r="E23" s="1313" t="s">
        <v>88</v>
      </c>
      <c r="F23" s="1725">
        <f>SUM(F13:F22)</f>
        <v>0</v>
      </c>
      <c r="G23" s="1725">
        <f t="shared" ref="G23:J23" si="19">SUM(G13:G22)</f>
        <v>0</v>
      </c>
      <c r="H23" s="1725">
        <f t="shared" si="19"/>
        <v>0</v>
      </c>
      <c r="I23" s="1725">
        <f t="shared" si="19"/>
        <v>0</v>
      </c>
      <c r="J23" s="1725">
        <f t="shared" si="19"/>
        <v>0</v>
      </c>
      <c r="K23" s="1531"/>
      <c r="L23" s="2147"/>
      <c r="M23" s="2148"/>
      <c r="N23" s="2148"/>
      <c r="O23" s="2153"/>
      <c r="P23" s="2154"/>
      <c r="Q23" s="2155"/>
      <c r="R23" s="1633"/>
      <c r="S23" s="1631"/>
      <c r="T23" s="1632"/>
      <c r="U23" s="1630"/>
      <c r="V23" s="1631"/>
      <c r="W23" s="1632"/>
      <c r="X23" s="1630"/>
      <c r="Y23" s="1631"/>
      <c r="Z23" s="1632"/>
      <c r="AA23" s="1630"/>
      <c r="AB23" s="1631"/>
      <c r="AC23" s="1632"/>
    </row>
    <row r="24" spans="1:29">
      <c r="B24" s="1307"/>
      <c r="C24" s="1307"/>
      <c r="D24" s="1092" t="s">
        <v>1050</v>
      </c>
      <c r="E24" s="970"/>
      <c r="F24" s="970"/>
      <c r="G24" s="627"/>
      <c r="H24" s="627"/>
      <c r="I24" s="627"/>
      <c r="J24" s="627"/>
      <c r="K24" s="1531"/>
      <c r="L24" s="1531"/>
      <c r="M24" s="1531"/>
      <c r="N24" s="1531"/>
      <c r="O24" s="627"/>
      <c r="P24" s="627"/>
      <c r="Q24" s="627"/>
    </row>
    <row r="25" spans="1:29" ht="15" customHeight="1" outlineLevel="1">
      <c r="B25" s="1305"/>
      <c r="C25" s="1305"/>
      <c r="D25" s="1743" t="s">
        <v>1053</v>
      </c>
      <c r="E25" s="1192" t="s">
        <v>88</v>
      </c>
      <c r="F25" s="1726">
        <f t="shared" ref="F25:F34" si="20">SUM(G25:J25)</f>
        <v>0</v>
      </c>
      <c r="G25" s="1193"/>
      <c r="H25" s="1193"/>
      <c r="I25" s="1193"/>
      <c r="J25" s="1194"/>
      <c r="K25" s="1531"/>
      <c r="L25" s="2131" t="s">
        <v>1445</v>
      </c>
      <c r="M25" s="2132"/>
      <c r="N25" s="2133"/>
      <c r="O25" s="2140"/>
      <c r="P25" s="2141"/>
      <c r="Q25" s="2142"/>
      <c r="R25" s="1561" t="str">
        <f t="shared" ref="R25" si="21">IF(ISNONTEXT(G25)=TRUE,"","X")</f>
        <v/>
      </c>
      <c r="S25" s="1559" t="str">
        <f t="shared" ref="S25" si="22">IF(AND(G25&gt;=0)=TRUE,"","X")</f>
        <v/>
      </c>
      <c r="T25" s="1560" t="str">
        <f t="shared" ref="T25:T33" si="23">IF(AND(D25&lt;&gt;"",LEFT(D25,5)&lt;&gt;"&lt;TNSP",ISBLANK(G25))=TRUE,"X","")</f>
        <v/>
      </c>
      <c r="U25" s="1561" t="str">
        <f t="shared" ref="U25:U34" si="24">IF(ISNONTEXT(H25)=TRUE,"","X")</f>
        <v/>
      </c>
      <c r="V25" s="1559" t="str">
        <f t="shared" ref="V25:V34" si="25">IF(AND(H25&gt;=0)=TRUE,"","X")</f>
        <v/>
      </c>
      <c r="W25" s="1560" t="str">
        <f t="shared" ref="W25:W34" si="26">IF(AND(D25&lt;&gt;"",LEFT(D25,5)&lt;&gt;"&lt;TNSP",ISBLANK(H25))=TRUE,"X","")</f>
        <v/>
      </c>
      <c r="X25" s="1561" t="str">
        <f t="shared" ref="X25:X34" si="27">IF(ISNONTEXT(I25)=TRUE,"","X")</f>
        <v/>
      </c>
      <c r="Y25" s="1559" t="str">
        <f t="shared" ref="Y25:Y34" si="28">IF(AND(I25&gt;=0)=TRUE,"","X")</f>
        <v/>
      </c>
      <c r="Z25" s="1560" t="str">
        <f t="shared" ref="Z25:Z34" si="29">IF(AND(D25&lt;&gt;"",LEFT(D25,5)&lt;&gt;"&lt;TNSP",ISBLANK(I25))=TRUE,"X","")</f>
        <v/>
      </c>
      <c r="AA25" s="1561" t="str">
        <f t="shared" ref="AA25:AA34" si="30">IF(ISNONTEXT(J25)=TRUE,"","X")</f>
        <v/>
      </c>
      <c r="AB25" s="1559" t="str">
        <f t="shared" ref="AB25:AB34" si="31">IF(AND(J25&gt;=0)=TRUE,"","X")</f>
        <v/>
      </c>
      <c r="AC25" s="1560" t="str">
        <f t="shared" ref="AC25:AC34" si="32">IF(AND(D25&lt;&gt;"",LEFT(D25,5)&lt;&gt;"&lt;TNSP",ISBLANK(J25))=TRUE,"X","")</f>
        <v/>
      </c>
    </row>
    <row r="26" spans="1:29" outlineLevel="1">
      <c r="B26" s="1306"/>
      <c r="C26" s="1306"/>
      <c r="D26" s="1744" t="s">
        <v>1053</v>
      </c>
      <c r="E26" s="1196" t="s">
        <v>88</v>
      </c>
      <c r="F26" s="1727">
        <f t="shared" si="20"/>
        <v>0</v>
      </c>
      <c r="G26" s="1197"/>
      <c r="H26" s="1197"/>
      <c r="I26" s="1197"/>
      <c r="J26" s="1198"/>
      <c r="K26" s="1531"/>
      <c r="L26" s="2134"/>
      <c r="M26" s="2135"/>
      <c r="N26" s="2136"/>
      <c r="O26" s="2127"/>
      <c r="P26" s="2128"/>
      <c r="Q26" s="2129"/>
      <c r="R26" s="1591" t="str">
        <f t="shared" ref="R26:R34" si="33">IF(ISNONTEXT(G26)=TRUE,"","X")</f>
        <v/>
      </c>
      <c r="S26" s="1592" t="str">
        <f t="shared" ref="S26:S34" si="34">IF(AND(G26&gt;=0)=TRUE,"","X")</f>
        <v/>
      </c>
      <c r="T26" s="1539" t="str">
        <f t="shared" si="23"/>
        <v/>
      </c>
      <c r="U26" s="1591" t="str">
        <f t="shared" si="24"/>
        <v/>
      </c>
      <c r="V26" s="1592" t="str">
        <f t="shared" si="25"/>
        <v/>
      </c>
      <c r="W26" s="1539" t="str">
        <f t="shared" si="26"/>
        <v/>
      </c>
      <c r="X26" s="1591" t="str">
        <f t="shared" si="27"/>
        <v/>
      </c>
      <c r="Y26" s="1592" t="str">
        <f t="shared" si="28"/>
        <v/>
      </c>
      <c r="Z26" s="1539" t="str">
        <f t="shared" si="29"/>
        <v/>
      </c>
      <c r="AA26" s="1591" t="str">
        <f t="shared" si="30"/>
        <v/>
      </c>
      <c r="AB26" s="1592" t="str">
        <f t="shared" si="31"/>
        <v/>
      </c>
      <c r="AC26" s="1539" t="str">
        <f t="shared" si="32"/>
        <v/>
      </c>
    </row>
    <row r="27" spans="1:29" outlineLevel="1">
      <c r="B27" s="1305"/>
      <c r="C27" s="1305"/>
      <c r="D27" s="1744" t="s">
        <v>1053</v>
      </c>
      <c r="E27" s="1196" t="s">
        <v>88</v>
      </c>
      <c r="F27" s="1727">
        <f t="shared" si="20"/>
        <v>0</v>
      </c>
      <c r="G27" s="1197"/>
      <c r="H27" s="1197"/>
      <c r="I27" s="1197"/>
      <c r="J27" s="1198"/>
      <c r="K27" s="1531"/>
      <c r="L27" s="2134"/>
      <c r="M27" s="2135"/>
      <c r="N27" s="2136"/>
      <c r="O27" s="2127"/>
      <c r="P27" s="2128"/>
      <c r="Q27" s="2129"/>
      <c r="R27" s="1591" t="str">
        <f t="shared" si="33"/>
        <v/>
      </c>
      <c r="S27" s="1592" t="str">
        <f t="shared" si="34"/>
        <v/>
      </c>
      <c r="T27" s="1539" t="str">
        <f t="shared" si="23"/>
        <v/>
      </c>
      <c r="U27" s="1591" t="str">
        <f t="shared" si="24"/>
        <v/>
      </c>
      <c r="V27" s="1592" t="str">
        <f t="shared" si="25"/>
        <v/>
      </c>
      <c r="W27" s="1539" t="str">
        <f t="shared" si="26"/>
        <v/>
      </c>
      <c r="X27" s="1591" t="str">
        <f t="shared" si="27"/>
        <v/>
      </c>
      <c r="Y27" s="1592" t="str">
        <f t="shared" si="28"/>
        <v/>
      </c>
      <c r="Z27" s="1539" t="str">
        <f t="shared" si="29"/>
        <v/>
      </c>
      <c r="AA27" s="1591" t="str">
        <f t="shared" si="30"/>
        <v/>
      </c>
      <c r="AB27" s="1592" t="str">
        <f t="shared" si="31"/>
        <v/>
      </c>
      <c r="AC27" s="1539" t="str">
        <f t="shared" si="32"/>
        <v/>
      </c>
    </row>
    <row r="28" spans="1:29" outlineLevel="1">
      <c r="B28" s="1305"/>
      <c r="C28" s="1305"/>
      <c r="D28" s="1744" t="s">
        <v>1053</v>
      </c>
      <c r="E28" s="1196" t="s">
        <v>88</v>
      </c>
      <c r="F28" s="1727">
        <f t="shared" si="20"/>
        <v>0</v>
      </c>
      <c r="G28" s="1197"/>
      <c r="H28" s="1197"/>
      <c r="I28" s="1197"/>
      <c r="J28" s="1198"/>
      <c r="K28" s="1531"/>
      <c r="L28" s="2134"/>
      <c r="M28" s="2135"/>
      <c r="N28" s="2136"/>
      <c r="O28" s="2127"/>
      <c r="P28" s="2128"/>
      <c r="Q28" s="2129"/>
      <c r="R28" s="1591" t="str">
        <f t="shared" si="33"/>
        <v/>
      </c>
      <c r="S28" s="1592" t="str">
        <f t="shared" si="34"/>
        <v/>
      </c>
      <c r="T28" s="1539" t="str">
        <f t="shared" si="23"/>
        <v/>
      </c>
      <c r="U28" s="1591" t="str">
        <f t="shared" si="24"/>
        <v/>
      </c>
      <c r="V28" s="1592" t="str">
        <f t="shared" si="25"/>
        <v/>
      </c>
      <c r="W28" s="1539" t="str">
        <f t="shared" si="26"/>
        <v/>
      </c>
      <c r="X28" s="1591" t="str">
        <f t="shared" si="27"/>
        <v/>
      </c>
      <c r="Y28" s="1592" t="str">
        <f t="shared" si="28"/>
        <v/>
      </c>
      <c r="Z28" s="1539" t="str">
        <f t="shared" si="29"/>
        <v/>
      </c>
      <c r="AA28" s="1591" t="str">
        <f t="shared" si="30"/>
        <v/>
      </c>
      <c r="AB28" s="1592" t="str">
        <f t="shared" si="31"/>
        <v/>
      </c>
      <c r="AC28" s="1539" t="str">
        <f t="shared" si="32"/>
        <v/>
      </c>
    </row>
    <row r="29" spans="1:29" outlineLevel="1">
      <c r="B29" s="1305"/>
      <c r="C29" s="1305"/>
      <c r="D29" s="1744" t="s">
        <v>1053</v>
      </c>
      <c r="E29" s="1196" t="s">
        <v>88</v>
      </c>
      <c r="F29" s="1727">
        <f t="shared" si="20"/>
        <v>0</v>
      </c>
      <c r="G29" s="1197"/>
      <c r="H29" s="1197"/>
      <c r="I29" s="1197"/>
      <c r="J29" s="1198"/>
      <c r="K29" s="1531"/>
      <c r="L29" s="2134"/>
      <c r="M29" s="2135"/>
      <c r="N29" s="2136"/>
      <c r="O29" s="2127"/>
      <c r="P29" s="2128"/>
      <c r="Q29" s="2129"/>
      <c r="R29" s="1591" t="str">
        <f t="shared" si="33"/>
        <v/>
      </c>
      <c r="S29" s="1592" t="str">
        <f t="shared" si="34"/>
        <v/>
      </c>
      <c r="T29" s="1539" t="str">
        <f t="shared" si="23"/>
        <v/>
      </c>
      <c r="U29" s="1591" t="str">
        <f t="shared" si="24"/>
        <v/>
      </c>
      <c r="V29" s="1592" t="str">
        <f t="shared" si="25"/>
        <v/>
      </c>
      <c r="W29" s="1539" t="str">
        <f t="shared" si="26"/>
        <v/>
      </c>
      <c r="X29" s="1591" t="str">
        <f t="shared" si="27"/>
        <v/>
      </c>
      <c r="Y29" s="1592" t="str">
        <f t="shared" si="28"/>
        <v/>
      </c>
      <c r="Z29" s="1539" t="str">
        <f t="shared" si="29"/>
        <v/>
      </c>
      <c r="AA29" s="1591" t="str">
        <f t="shared" si="30"/>
        <v/>
      </c>
      <c r="AB29" s="1592" t="str">
        <f t="shared" si="31"/>
        <v/>
      </c>
      <c r="AC29" s="1539" t="str">
        <f t="shared" si="32"/>
        <v/>
      </c>
    </row>
    <row r="30" spans="1:29" outlineLevel="1">
      <c r="B30" s="1305"/>
      <c r="C30" s="1305"/>
      <c r="D30" s="1744" t="s">
        <v>1053</v>
      </c>
      <c r="E30" s="1196" t="s">
        <v>88</v>
      </c>
      <c r="F30" s="1727">
        <f t="shared" si="20"/>
        <v>0</v>
      </c>
      <c r="G30" s="1197"/>
      <c r="H30" s="1197"/>
      <c r="I30" s="1197"/>
      <c r="J30" s="1198"/>
      <c r="K30" s="1531"/>
      <c r="L30" s="2134"/>
      <c r="M30" s="2135"/>
      <c r="N30" s="2136"/>
      <c r="O30" s="2127"/>
      <c r="P30" s="2128"/>
      <c r="Q30" s="2129"/>
      <c r="R30" s="1591" t="str">
        <f t="shared" si="33"/>
        <v/>
      </c>
      <c r="S30" s="1592" t="str">
        <f t="shared" si="34"/>
        <v/>
      </c>
      <c r="T30" s="1539" t="str">
        <f t="shared" si="23"/>
        <v/>
      </c>
      <c r="U30" s="1591" t="str">
        <f t="shared" si="24"/>
        <v/>
      </c>
      <c r="V30" s="1592" t="str">
        <f t="shared" si="25"/>
        <v/>
      </c>
      <c r="W30" s="1539" t="str">
        <f t="shared" si="26"/>
        <v/>
      </c>
      <c r="X30" s="1591" t="str">
        <f t="shared" si="27"/>
        <v/>
      </c>
      <c r="Y30" s="1592" t="str">
        <f t="shared" si="28"/>
        <v/>
      </c>
      <c r="Z30" s="1539" t="str">
        <f t="shared" si="29"/>
        <v/>
      </c>
      <c r="AA30" s="1591" t="str">
        <f t="shared" si="30"/>
        <v/>
      </c>
      <c r="AB30" s="1592" t="str">
        <f t="shared" si="31"/>
        <v/>
      </c>
      <c r="AC30" s="1539" t="str">
        <f t="shared" si="32"/>
        <v/>
      </c>
    </row>
    <row r="31" spans="1:29" outlineLevel="1">
      <c r="B31" s="1305"/>
      <c r="C31" s="1305"/>
      <c r="D31" s="1744" t="s">
        <v>1053</v>
      </c>
      <c r="E31" s="1196" t="s">
        <v>88</v>
      </c>
      <c r="F31" s="1727">
        <f t="shared" si="20"/>
        <v>0</v>
      </c>
      <c r="G31" s="1197"/>
      <c r="H31" s="1197"/>
      <c r="I31" s="1197"/>
      <c r="J31" s="1198"/>
      <c r="K31" s="1531"/>
      <c r="L31" s="2134"/>
      <c r="M31" s="2135"/>
      <c r="N31" s="2136"/>
      <c r="O31" s="2127"/>
      <c r="P31" s="2128"/>
      <c r="Q31" s="2129"/>
      <c r="R31" s="1591" t="str">
        <f t="shared" si="33"/>
        <v/>
      </c>
      <c r="S31" s="1592" t="str">
        <f t="shared" si="34"/>
        <v/>
      </c>
      <c r="T31" s="1539" t="str">
        <f t="shared" si="23"/>
        <v/>
      </c>
      <c r="U31" s="1591" t="str">
        <f t="shared" si="24"/>
        <v/>
      </c>
      <c r="V31" s="1592" t="str">
        <f t="shared" si="25"/>
        <v/>
      </c>
      <c r="W31" s="1539" t="str">
        <f t="shared" si="26"/>
        <v/>
      </c>
      <c r="X31" s="1591" t="str">
        <f t="shared" si="27"/>
        <v/>
      </c>
      <c r="Y31" s="1592" t="str">
        <f t="shared" si="28"/>
        <v/>
      </c>
      <c r="Z31" s="1539" t="str">
        <f t="shared" si="29"/>
        <v/>
      </c>
      <c r="AA31" s="1591" t="str">
        <f t="shared" si="30"/>
        <v/>
      </c>
      <c r="AB31" s="1592" t="str">
        <f t="shared" si="31"/>
        <v/>
      </c>
      <c r="AC31" s="1539" t="str">
        <f t="shared" si="32"/>
        <v/>
      </c>
    </row>
    <row r="32" spans="1:29" outlineLevel="1">
      <c r="B32" s="1305"/>
      <c r="C32" s="1305"/>
      <c r="D32" s="1744" t="s">
        <v>1053</v>
      </c>
      <c r="E32" s="1196" t="s">
        <v>88</v>
      </c>
      <c r="F32" s="1727">
        <f t="shared" si="20"/>
        <v>0</v>
      </c>
      <c r="G32" s="1197"/>
      <c r="H32" s="1197"/>
      <c r="I32" s="1197"/>
      <c r="J32" s="1198"/>
      <c r="K32" s="1531"/>
      <c r="L32" s="2134"/>
      <c r="M32" s="2135"/>
      <c r="N32" s="2136"/>
      <c r="O32" s="2127"/>
      <c r="P32" s="2128"/>
      <c r="Q32" s="2129"/>
      <c r="R32" s="1591" t="str">
        <f t="shared" si="33"/>
        <v/>
      </c>
      <c r="S32" s="1592" t="str">
        <f t="shared" si="34"/>
        <v/>
      </c>
      <c r="T32" s="1539" t="str">
        <f t="shared" si="23"/>
        <v/>
      </c>
      <c r="U32" s="1591" t="str">
        <f t="shared" si="24"/>
        <v/>
      </c>
      <c r="V32" s="1592" t="str">
        <f t="shared" si="25"/>
        <v/>
      </c>
      <c r="W32" s="1539" t="str">
        <f t="shared" si="26"/>
        <v/>
      </c>
      <c r="X32" s="1591" t="str">
        <f t="shared" si="27"/>
        <v/>
      </c>
      <c r="Y32" s="1592" t="str">
        <f t="shared" si="28"/>
        <v/>
      </c>
      <c r="Z32" s="1539" t="str">
        <f t="shared" si="29"/>
        <v/>
      </c>
      <c r="AA32" s="1591" t="str">
        <f t="shared" si="30"/>
        <v/>
      </c>
      <c r="AB32" s="1592" t="str">
        <f t="shared" si="31"/>
        <v/>
      </c>
      <c r="AC32" s="1539" t="str">
        <f t="shared" si="32"/>
        <v/>
      </c>
    </row>
    <row r="33" spans="1:29" outlineLevel="1">
      <c r="A33" s="1666" t="s">
        <v>1487</v>
      </c>
      <c r="B33" s="1305"/>
      <c r="C33" s="1305"/>
      <c r="D33" s="1744" t="s">
        <v>1053</v>
      </c>
      <c r="E33" s="1196" t="s">
        <v>88</v>
      </c>
      <c r="F33" s="1727">
        <f t="shared" si="20"/>
        <v>0</v>
      </c>
      <c r="G33" s="1197"/>
      <c r="H33" s="1197"/>
      <c r="I33" s="1197"/>
      <c r="J33" s="1198"/>
      <c r="K33" s="1531"/>
      <c r="L33" s="2134"/>
      <c r="M33" s="2135"/>
      <c r="N33" s="2136"/>
      <c r="O33" s="2127"/>
      <c r="P33" s="2128"/>
      <c r="Q33" s="2129"/>
      <c r="R33" s="1591" t="str">
        <f t="shared" si="33"/>
        <v/>
      </c>
      <c r="S33" s="1592" t="str">
        <f t="shared" si="34"/>
        <v/>
      </c>
      <c r="T33" s="1539" t="str">
        <f t="shared" si="23"/>
        <v/>
      </c>
      <c r="U33" s="1591" t="str">
        <f t="shared" si="24"/>
        <v/>
      </c>
      <c r="V33" s="1592" t="str">
        <f t="shared" si="25"/>
        <v/>
      </c>
      <c r="W33" s="1539" t="str">
        <f t="shared" si="26"/>
        <v/>
      </c>
      <c r="X33" s="1591" t="str">
        <f t="shared" si="27"/>
        <v/>
      </c>
      <c r="Y33" s="1592" t="str">
        <f t="shared" si="28"/>
        <v/>
      </c>
      <c r="Z33" s="1539" t="str">
        <f t="shared" si="29"/>
        <v/>
      </c>
      <c r="AA33" s="1591" t="str">
        <f t="shared" si="30"/>
        <v/>
      </c>
      <c r="AB33" s="1592" t="str">
        <f t="shared" si="31"/>
        <v/>
      </c>
      <c r="AC33" s="1539" t="str">
        <f t="shared" si="32"/>
        <v/>
      </c>
    </row>
    <row r="34" spans="1:29" outlineLevel="1">
      <c r="B34" s="1306"/>
      <c r="C34" s="1306"/>
      <c r="D34" s="1745" t="s">
        <v>1053</v>
      </c>
      <c r="E34" s="1199" t="s">
        <v>88</v>
      </c>
      <c r="F34" s="1728">
        <f t="shared" si="20"/>
        <v>0</v>
      </c>
      <c r="G34" s="1200"/>
      <c r="H34" s="1200"/>
      <c r="I34" s="1200"/>
      <c r="J34" s="1201"/>
      <c r="K34" s="1531"/>
      <c r="L34" s="2137"/>
      <c r="M34" s="2138"/>
      <c r="N34" s="2139"/>
      <c r="O34" s="2127"/>
      <c r="P34" s="2128"/>
      <c r="Q34" s="2129"/>
      <c r="R34" s="1624" t="str">
        <f t="shared" si="33"/>
        <v/>
      </c>
      <c r="S34" s="1622" t="str">
        <f t="shared" si="34"/>
        <v/>
      </c>
      <c r="T34" s="1539" t="str">
        <f>IF(AND(D34&lt;&gt;"",LEFT(D34,5)&lt;&gt;"&lt;TNSP",ISBLANK(G34))=TRUE,"X","")</f>
        <v/>
      </c>
      <c r="U34" s="1591" t="str">
        <f t="shared" si="24"/>
        <v/>
      </c>
      <c r="V34" s="1592" t="str">
        <f t="shared" si="25"/>
        <v/>
      </c>
      <c r="W34" s="1539" t="str">
        <f t="shared" si="26"/>
        <v/>
      </c>
      <c r="X34" s="1591" t="str">
        <f t="shared" si="27"/>
        <v/>
      </c>
      <c r="Y34" s="1592" t="str">
        <f t="shared" si="28"/>
        <v/>
      </c>
      <c r="Z34" s="1539" t="str">
        <f t="shared" si="29"/>
        <v/>
      </c>
      <c r="AA34" s="1591" t="str">
        <f t="shared" si="30"/>
        <v/>
      </c>
      <c r="AB34" s="1592" t="str">
        <f t="shared" si="31"/>
        <v/>
      </c>
      <c r="AC34" s="1539" t="str">
        <f t="shared" si="32"/>
        <v/>
      </c>
    </row>
    <row r="35" spans="1:29" outlineLevel="1">
      <c r="B35" s="627"/>
      <c r="C35" s="627"/>
      <c r="D35" s="1329" t="s">
        <v>1232</v>
      </c>
      <c r="E35" s="1330" t="s">
        <v>88</v>
      </c>
      <c r="F35" s="1725">
        <f>SUM(F25:F34)</f>
        <v>0</v>
      </c>
      <c r="G35" s="1725">
        <f t="shared" ref="G35" si="35">SUM(G25:G34)</f>
        <v>0</v>
      </c>
      <c r="H35" s="1725">
        <f t="shared" ref="H35" si="36">SUM(H25:H34)</f>
        <v>0</v>
      </c>
      <c r="I35" s="1725">
        <f t="shared" ref="I35" si="37">SUM(I25:I34)</f>
        <v>0</v>
      </c>
      <c r="J35" s="1725">
        <f t="shared" ref="J35" si="38">SUM(J25:J34)</f>
        <v>0</v>
      </c>
      <c r="K35" s="1531"/>
      <c r="L35" s="2127"/>
      <c r="M35" s="2128"/>
      <c r="N35" s="2129"/>
      <c r="O35" s="2127"/>
      <c r="P35" s="2128"/>
      <c r="Q35" s="2129"/>
      <c r="R35" s="1625"/>
      <c r="S35" s="1623"/>
      <c r="T35" s="1626"/>
      <c r="U35" s="1625"/>
      <c r="V35" s="1623"/>
      <c r="W35" s="1626"/>
      <c r="X35" s="1625"/>
      <c r="Y35" s="1623"/>
      <c r="Z35" s="1626"/>
      <c r="AA35" s="1625"/>
      <c r="AB35" s="1623"/>
      <c r="AC35" s="1626"/>
    </row>
    <row r="36" spans="1:29">
      <c r="B36" s="627"/>
      <c r="C36" s="627"/>
      <c r="D36" s="1331" t="s">
        <v>1230</v>
      </c>
      <c r="E36" s="1090" t="s">
        <v>88</v>
      </c>
      <c r="F36" s="1725">
        <f>F35+F23</f>
        <v>0</v>
      </c>
      <c r="G36" s="1725">
        <f t="shared" ref="G36:J36" si="39">G35+G23</f>
        <v>0</v>
      </c>
      <c r="H36" s="1725">
        <f t="shared" si="39"/>
        <v>0</v>
      </c>
      <c r="I36" s="1725">
        <f t="shared" si="39"/>
        <v>0</v>
      </c>
      <c r="J36" s="1725">
        <f t="shared" si="39"/>
        <v>0</v>
      </c>
      <c r="K36" s="1531"/>
      <c r="L36" s="1767"/>
      <c r="M36" s="1768"/>
      <c r="N36" s="1769"/>
      <c r="O36" s="1767"/>
      <c r="P36" s="1768"/>
      <c r="Q36" s="1769"/>
      <c r="R36" s="1627"/>
      <c r="S36" s="1628"/>
      <c r="T36" s="1629"/>
      <c r="U36" s="1627"/>
      <c r="V36" s="1628"/>
      <c r="W36" s="1629"/>
      <c r="X36" s="1627"/>
      <c r="Y36" s="1628"/>
      <c r="Z36" s="1629"/>
      <c r="AA36" s="1627"/>
      <c r="AB36" s="1628"/>
      <c r="AC36" s="1629"/>
    </row>
    <row r="37" spans="1:29" s="46" customFormat="1">
      <c r="B37" s="971"/>
      <c r="C37" s="971"/>
      <c r="D37" s="971"/>
      <c r="E37" s="971"/>
      <c r="F37" s="971"/>
      <c r="G37" s="627"/>
      <c r="H37" s="971"/>
      <c r="I37" s="971"/>
      <c r="J37" s="971"/>
      <c r="K37" s="971"/>
      <c r="L37" s="971"/>
      <c r="M37" s="971"/>
      <c r="N37" s="971"/>
      <c r="O37" s="971"/>
      <c r="P37" s="971"/>
      <c r="Q37" s="971"/>
    </row>
    <row r="38" spans="1:29" s="46" customFormat="1">
      <c r="B38" s="627"/>
      <c r="C38" s="627"/>
      <c r="D38" s="627"/>
      <c r="E38" s="627"/>
      <c r="F38" s="627"/>
      <c r="G38" s="971"/>
      <c r="H38" s="971"/>
      <c r="I38" s="971"/>
      <c r="J38" s="971"/>
      <c r="K38" s="971"/>
      <c r="L38" s="971"/>
      <c r="M38" s="971"/>
      <c r="N38" s="971"/>
      <c r="O38" s="971"/>
      <c r="P38" s="971"/>
      <c r="Q38" s="971"/>
    </row>
    <row r="39" spans="1:29" ht="18" customHeight="1">
      <c r="B39" s="1326" t="s">
        <v>1429</v>
      </c>
      <c r="C39" s="1327"/>
      <c r="D39" s="1327"/>
      <c r="E39" s="1327"/>
      <c r="F39" s="1327"/>
      <c r="G39" s="1327"/>
      <c r="H39" s="1327"/>
      <c r="I39" s="1327"/>
      <c r="J39" s="1327"/>
      <c r="K39" s="1621"/>
      <c r="L39" s="1621"/>
      <c r="M39" s="1621"/>
      <c r="N39" s="1621"/>
      <c r="O39" s="46"/>
      <c r="P39" s="46"/>
      <c r="Q39" s="46"/>
    </row>
    <row r="40" spans="1:29" s="46" customFormat="1" ht="35.25" customHeight="1">
      <c r="B40" s="44"/>
      <c r="C40" s="44"/>
      <c r="D40" s="44"/>
      <c r="E40" s="44"/>
      <c r="F40" s="44"/>
      <c r="G40" s="44"/>
      <c r="H40" s="44"/>
      <c r="I40" s="44"/>
      <c r="J40" s="44"/>
      <c r="K40" s="44"/>
      <c r="L40" s="1594" t="s">
        <v>1430</v>
      </c>
      <c r="M40" s="1595" t="s">
        <v>1431</v>
      </c>
      <c r="N40" s="1557" t="s">
        <v>1440</v>
      </c>
      <c r="O40" s="1594" t="s">
        <v>1430</v>
      </c>
      <c r="P40" s="1595" t="s">
        <v>1431</v>
      </c>
      <c r="Q40" s="1557" t="s">
        <v>1440</v>
      </c>
      <c r="X40" s="44"/>
      <c r="Y40" s="44"/>
      <c r="Z40" s="44"/>
      <c r="AA40" s="44"/>
      <c r="AB40" s="44"/>
      <c r="AC40" s="44"/>
    </row>
    <row r="41" spans="1:29" s="1303" customFormat="1" ht="25.5">
      <c r="B41" s="1304"/>
      <c r="C41" s="1304"/>
      <c r="D41" s="1245" t="s">
        <v>1049</v>
      </c>
      <c r="E41" s="958" t="s">
        <v>1192</v>
      </c>
      <c r="F41" s="1291" t="s">
        <v>1300</v>
      </c>
      <c r="G41" s="1310" t="s">
        <v>1301</v>
      </c>
      <c r="H41" s="1328"/>
      <c r="I41" s="1328"/>
      <c r="J41" s="1328"/>
      <c r="K41" s="1328"/>
      <c r="L41" s="2126" t="s">
        <v>1300</v>
      </c>
      <c r="M41" s="2126"/>
      <c r="N41" s="2126"/>
      <c r="O41" s="2126" t="s">
        <v>1453</v>
      </c>
      <c r="P41" s="2126"/>
      <c r="Q41" s="2126"/>
      <c r="X41" s="44"/>
      <c r="Y41" s="44"/>
      <c r="Z41" s="44"/>
      <c r="AA41" s="44"/>
      <c r="AB41" s="44"/>
      <c r="AC41" s="44"/>
    </row>
    <row r="42" spans="1:29" outlineLevel="1">
      <c r="B42" s="1531"/>
      <c r="C42" s="1305"/>
      <c r="D42" s="1723" t="str">
        <f>D13</f>
        <v>&lt;TNSP specified&gt;</v>
      </c>
      <c r="E42" s="1192" t="s">
        <v>88</v>
      </c>
      <c r="F42" s="1193"/>
      <c r="G42" s="1194"/>
      <c r="H42" s="1328"/>
      <c r="I42" s="1328"/>
      <c r="J42" s="1328"/>
      <c r="K42" s="1328"/>
      <c r="L42" s="1540" t="str">
        <f>IF(ISNONTEXT(F42)=TRUE,"","X")</f>
        <v/>
      </c>
      <c r="M42" s="1534" t="str">
        <f>IF(AND(F42&gt;=0)=TRUE,"","X")</f>
        <v/>
      </c>
      <c r="N42" s="1539" t="str">
        <f>IF(AND(D42&lt;&gt;"",LEFT(D42,5)&lt;&gt;"&lt;TNSP",ISBLANK(F42))=TRUE,"X","")</f>
        <v/>
      </c>
      <c r="O42" s="1540" t="str">
        <f>IF(ISNONTEXT(G42)=TRUE,"","X")</f>
        <v/>
      </c>
      <c r="P42" s="1534" t="str">
        <f>IF(AND(G42&gt;=0)=TRUE,"","X")</f>
        <v/>
      </c>
      <c r="Q42" s="1539" t="str">
        <f>IF(AND(D42&lt;&gt;"",LEFT(D42,5)&lt;&gt;"&lt;TNSP",ISBLANK(G42))=TRUE,"X","")</f>
        <v/>
      </c>
    </row>
    <row r="43" spans="1:29" outlineLevel="1">
      <c r="B43" s="1306"/>
      <c r="C43" s="1306"/>
      <c r="D43" s="1724" t="str">
        <f t="shared" ref="D43:D51" si="40">D14</f>
        <v>&lt;TNSP specified&gt;</v>
      </c>
      <c r="E43" s="1196" t="s">
        <v>88</v>
      </c>
      <c r="F43" s="1197"/>
      <c r="G43" s="1198"/>
      <c r="H43" s="1328"/>
      <c r="I43" s="1328"/>
      <c r="J43" s="1328"/>
      <c r="K43" s="1328"/>
      <c r="L43" s="1540" t="str">
        <f t="shared" ref="L43:L51" si="41">IF(ISNONTEXT(F43)=TRUE,"","X")</f>
        <v/>
      </c>
      <c r="M43" s="1534" t="str">
        <f t="shared" ref="M43:M51" si="42">IF(AND(F43&gt;=0)=TRUE,"","X")</f>
        <v/>
      </c>
      <c r="N43" s="1539" t="str">
        <f t="shared" ref="N43:N51" si="43">IF(AND(D43&lt;&gt;"",LEFT(D43,5)&lt;&gt;"&lt;TNSP",ISBLANK(F43))=TRUE,"X","")</f>
        <v/>
      </c>
      <c r="O43" s="1540" t="str">
        <f t="shared" ref="O43:O51" si="44">IF(ISNONTEXT(G43)=TRUE,"","X")</f>
        <v/>
      </c>
      <c r="P43" s="1534" t="str">
        <f t="shared" ref="P43:P51" si="45">IF(AND(G43&gt;=0)=TRUE,"","X")</f>
        <v/>
      </c>
      <c r="Q43" s="1539" t="str">
        <f t="shared" ref="Q43:Q51" si="46">IF(AND(D43&lt;&gt;"",LEFT(D43,5)&lt;&gt;"&lt;TNSP",ISBLANK(G43))=TRUE,"X","")</f>
        <v/>
      </c>
    </row>
    <row r="44" spans="1:29" outlineLevel="1">
      <c r="B44" s="1305"/>
      <c r="C44" s="1305"/>
      <c r="D44" s="1724" t="str">
        <f t="shared" si="40"/>
        <v>&lt;TNSP specified&gt;</v>
      </c>
      <c r="E44" s="1196" t="s">
        <v>88</v>
      </c>
      <c r="F44" s="1197"/>
      <c r="G44" s="1198"/>
      <c r="H44" s="1328"/>
      <c r="I44" s="1328"/>
      <c r="J44" s="1328"/>
      <c r="K44" s="1328"/>
      <c r="L44" s="1540" t="str">
        <f t="shared" si="41"/>
        <v/>
      </c>
      <c r="M44" s="1534" t="str">
        <f t="shared" si="42"/>
        <v/>
      </c>
      <c r="N44" s="1539" t="str">
        <f t="shared" si="43"/>
        <v/>
      </c>
      <c r="O44" s="1540" t="str">
        <f t="shared" si="44"/>
        <v/>
      </c>
      <c r="P44" s="1534" t="str">
        <f t="shared" si="45"/>
        <v/>
      </c>
      <c r="Q44" s="1539" t="str">
        <f t="shared" si="46"/>
        <v/>
      </c>
    </row>
    <row r="45" spans="1:29" outlineLevel="1">
      <c r="B45" s="1305"/>
      <c r="C45" s="1305"/>
      <c r="D45" s="1724" t="str">
        <f t="shared" si="40"/>
        <v>&lt;TNSP specified&gt;</v>
      </c>
      <c r="E45" s="1196" t="s">
        <v>88</v>
      </c>
      <c r="F45" s="1197"/>
      <c r="G45" s="1198"/>
      <c r="H45" s="1328"/>
      <c r="I45" s="1328"/>
      <c r="J45" s="1328"/>
      <c r="K45" s="1328"/>
      <c r="L45" s="1540" t="str">
        <f t="shared" si="41"/>
        <v/>
      </c>
      <c r="M45" s="1534" t="str">
        <f t="shared" si="42"/>
        <v/>
      </c>
      <c r="N45" s="1539" t="str">
        <f t="shared" si="43"/>
        <v/>
      </c>
      <c r="O45" s="1540" t="str">
        <f t="shared" si="44"/>
        <v/>
      </c>
      <c r="P45" s="1534" t="str">
        <f t="shared" si="45"/>
        <v/>
      </c>
      <c r="Q45" s="1539" t="str">
        <f t="shared" si="46"/>
        <v/>
      </c>
    </row>
    <row r="46" spans="1:29" outlineLevel="1">
      <c r="B46" s="1305"/>
      <c r="C46" s="1305"/>
      <c r="D46" s="1724" t="str">
        <f t="shared" si="40"/>
        <v>&lt;TNSP specified&gt;</v>
      </c>
      <c r="E46" s="1196" t="s">
        <v>88</v>
      </c>
      <c r="F46" s="1197"/>
      <c r="G46" s="1198"/>
      <c r="H46" s="1328"/>
      <c r="I46" s="1328"/>
      <c r="J46" s="1328"/>
      <c r="K46" s="1328"/>
      <c r="L46" s="1540" t="str">
        <f t="shared" si="41"/>
        <v/>
      </c>
      <c r="M46" s="1534" t="str">
        <f t="shared" si="42"/>
        <v/>
      </c>
      <c r="N46" s="1539" t="str">
        <f t="shared" si="43"/>
        <v/>
      </c>
      <c r="O46" s="1540" t="str">
        <f t="shared" si="44"/>
        <v/>
      </c>
      <c r="P46" s="1534" t="str">
        <f t="shared" si="45"/>
        <v/>
      </c>
      <c r="Q46" s="1539" t="str">
        <f t="shared" si="46"/>
        <v/>
      </c>
    </row>
    <row r="47" spans="1:29" outlineLevel="1">
      <c r="B47" s="1305"/>
      <c r="C47" s="1305"/>
      <c r="D47" s="1724" t="str">
        <f t="shared" si="40"/>
        <v>&lt;TNSP specified&gt;</v>
      </c>
      <c r="E47" s="1196" t="s">
        <v>88</v>
      </c>
      <c r="F47" s="1197"/>
      <c r="G47" s="1198"/>
      <c r="H47" s="1328"/>
      <c r="I47" s="1328"/>
      <c r="J47" s="1328"/>
      <c r="K47" s="1328"/>
      <c r="L47" s="1540" t="str">
        <f t="shared" si="41"/>
        <v/>
      </c>
      <c r="M47" s="1534" t="str">
        <f t="shared" si="42"/>
        <v/>
      </c>
      <c r="N47" s="1539" t="str">
        <f t="shared" si="43"/>
        <v/>
      </c>
      <c r="O47" s="1540" t="str">
        <f t="shared" si="44"/>
        <v/>
      </c>
      <c r="P47" s="1534" t="str">
        <f t="shared" si="45"/>
        <v/>
      </c>
      <c r="Q47" s="1539" t="str">
        <f t="shared" si="46"/>
        <v/>
      </c>
    </row>
    <row r="48" spans="1:29" outlineLevel="1">
      <c r="B48" s="1305"/>
      <c r="C48" s="1305"/>
      <c r="D48" s="1724" t="str">
        <f t="shared" si="40"/>
        <v>&lt;TNSP specified&gt;</v>
      </c>
      <c r="E48" s="1196" t="s">
        <v>88</v>
      </c>
      <c r="F48" s="1197"/>
      <c r="G48" s="1198"/>
      <c r="H48" s="1328"/>
      <c r="I48" s="1328"/>
      <c r="J48" s="1328"/>
      <c r="K48" s="1328"/>
      <c r="L48" s="1540" t="str">
        <f t="shared" si="41"/>
        <v/>
      </c>
      <c r="M48" s="1534" t="str">
        <f t="shared" si="42"/>
        <v/>
      </c>
      <c r="N48" s="1539" t="str">
        <f t="shared" si="43"/>
        <v/>
      </c>
      <c r="O48" s="1540" t="str">
        <f t="shared" si="44"/>
        <v/>
      </c>
      <c r="P48" s="1534" t="str">
        <f t="shared" si="45"/>
        <v/>
      </c>
      <c r="Q48" s="1539" t="str">
        <f t="shared" si="46"/>
        <v/>
      </c>
    </row>
    <row r="49" spans="1:17" outlineLevel="1">
      <c r="B49" s="1305"/>
      <c r="C49" s="1305"/>
      <c r="D49" s="1724" t="str">
        <f t="shared" si="40"/>
        <v>&lt;TNSP specified&gt;</v>
      </c>
      <c r="E49" s="1196" t="s">
        <v>88</v>
      </c>
      <c r="F49" s="1197"/>
      <c r="G49" s="1198"/>
      <c r="H49" s="1328"/>
      <c r="I49" s="1328"/>
      <c r="J49" s="1328"/>
      <c r="K49" s="1328"/>
      <c r="L49" s="1540" t="str">
        <f t="shared" si="41"/>
        <v/>
      </c>
      <c r="M49" s="1534" t="str">
        <f t="shared" si="42"/>
        <v/>
      </c>
      <c r="N49" s="1539" t="str">
        <f t="shared" si="43"/>
        <v/>
      </c>
      <c r="O49" s="1540" t="str">
        <f t="shared" si="44"/>
        <v/>
      </c>
      <c r="P49" s="1534" t="str">
        <f t="shared" si="45"/>
        <v/>
      </c>
      <c r="Q49" s="1539" t="str">
        <f t="shared" si="46"/>
        <v/>
      </c>
    </row>
    <row r="50" spans="1:17" outlineLevel="1">
      <c r="A50" s="1666" t="s">
        <v>1487</v>
      </c>
      <c r="B50" s="1305"/>
      <c r="C50" s="1305"/>
      <c r="D50" s="1724" t="str">
        <f t="shared" si="40"/>
        <v>&lt;TNSP specified&gt;</v>
      </c>
      <c r="E50" s="1196" t="s">
        <v>88</v>
      </c>
      <c r="F50" s="1197"/>
      <c r="G50" s="1198"/>
      <c r="H50" s="1328"/>
      <c r="I50" s="1328"/>
      <c r="J50" s="1328"/>
      <c r="K50" s="1328"/>
      <c r="L50" s="1540" t="str">
        <f t="shared" si="41"/>
        <v/>
      </c>
      <c r="M50" s="1534" t="str">
        <f t="shared" si="42"/>
        <v/>
      </c>
      <c r="N50" s="1539" t="str">
        <f t="shared" si="43"/>
        <v/>
      </c>
      <c r="O50" s="1540" t="str">
        <f t="shared" si="44"/>
        <v/>
      </c>
      <c r="P50" s="1534" t="str">
        <f t="shared" si="45"/>
        <v/>
      </c>
      <c r="Q50" s="1539" t="str">
        <f t="shared" si="46"/>
        <v/>
      </c>
    </row>
    <row r="51" spans="1:17" outlineLevel="1">
      <c r="B51" s="1306"/>
      <c r="C51" s="1306"/>
      <c r="D51" s="1724" t="str">
        <f t="shared" si="40"/>
        <v>&lt;TNSP specified&gt;</v>
      </c>
      <c r="E51" s="1199" t="s">
        <v>88</v>
      </c>
      <c r="F51" s="1200"/>
      <c r="G51" s="1201"/>
      <c r="H51" s="1328"/>
      <c r="I51" s="1328"/>
      <c r="J51" s="1328"/>
      <c r="K51" s="1328"/>
      <c r="L51" s="1540" t="str">
        <f t="shared" si="41"/>
        <v/>
      </c>
      <c r="M51" s="1534" t="str">
        <f t="shared" si="42"/>
        <v/>
      </c>
      <c r="N51" s="1539" t="str">
        <f t="shared" si="43"/>
        <v/>
      </c>
      <c r="O51" s="1540" t="str">
        <f t="shared" si="44"/>
        <v/>
      </c>
      <c r="P51" s="1534" t="str">
        <f t="shared" si="45"/>
        <v/>
      </c>
      <c r="Q51" s="1539" t="str">
        <f t="shared" si="46"/>
        <v/>
      </c>
    </row>
    <row r="52" spans="1:17" outlineLevel="1">
      <c r="B52" s="627"/>
      <c r="C52" s="627"/>
      <c r="D52" s="1329" t="s">
        <v>1231</v>
      </c>
      <c r="E52" s="1330" t="s">
        <v>88</v>
      </c>
      <c r="F52" s="1725">
        <f>SUM(F42:F51)</f>
        <v>0</v>
      </c>
      <c r="G52" s="1725">
        <f t="shared" ref="G52" si="47">SUM(G42:G51)</f>
        <v>0</v>
      </c>
      <c r="H52" s="1328"/>
      <c r="I52" s="1328"/>
      <c r="J52" s="1328"/>
      <c r="K52" s="1328"/>
      <c r="L52" s="1634"/>
      <c r="M52" s="1635"/>
      <c r="N52" s="1636"/>
      <c r="O52" s="1634"/>
      <c r="P52" s="1635"/>
      <c r="Q52" s="1636"/>
    </row>
    <row r="53" spans="1:17">
      <c r="B53" s="1307"/>
      <c r="C53" s="1307"/>
      <c r="D53" s="1092" t="s">
        <v>1050</v>
      </c>
      <c r="E53" s="970"/>
      <c r="F53" s="970"/>
      <c r="G53" s="627"/>
      <c r="H53" s="1328"/>
      <c r="I53" s="1328"/>
      <c r="J53" s="1328"/>
      <c r="K53" s="1328"/>
      <c r="L53" s="1328"/>
      <c r="M53" s="1328"/>
      <c r="N53" s="1328"/>
      <c r="O53" s="627"/>
      <c r="P53" s="627"/>
      <c r="Q53" s="627"/>
    </row>
    <row r="54" spans="1:17" outlineLevel="1">
      <c r="B54" s="1305"/>
      <c r="C54" s="1305"/>
      <c r="D54" s="1723" t="str">
        <f>D25</f>
        <v>&lt;TNSP specified&gt;</v>
      </c>
      <c r="E54" s="1192" t="s">
        <v>88</v>
      </c>
      <c r="F54" s="1193"/>
      <c r="G54" s="1194"/>
      <c r="H54" s="1328"/>
      <c r="I54" s="1328"/>
      <c r="J54" s="1328"/>
      <c r="K54" s="1328"/>
      <c r="L54" s="1561" t="str">
        <f>IF(ISNONTEXT(F54)=TRUE,"","X")</f>
        <v/>
      </c>
      <c r="M54" s="1559" t="str">
        <f>IF(AND(F54&gt;=0)=TRUE,"","X")</f>
        <v/>
      </c>
      <c r="N54" s="1560" t="str">
        <f>IF(AND(D54&lt;&gt;"",LEFT(D54,5)&lt;&gt;"&lt;TNSP",ISBLANK(F54))=TRUE,"X","")</f>
        <v/>
      </c>
      <c r="O54" s="1561" t="str">
        <f>IF(ISNONTEXT(G54)=TRUE,"","X")</f>
        <v/>
      </c>
      <c r="P54" s="1559" t="str">
        <f>IF(AND(G54&gt;=0)=TRUE,"","X")</f>
        <v/>
      </c>
      <c r="Q54" s="1560" t="str">
        <f>IF(AND(D54&lt;&gt;"",LEFT(D54,5)&lt;&gt;"&lt;TNSP",ISBLANK(G54))=TRUE,"X","")</f>
        <v/>
      </c>
    </row>
    <row r="55" spans="1:17" outlineLevel="1">
      <c r="B55" s="1306"/>
      <c r="C55" s="1306"/>
      <c r="D55" s="1724" t="str">
        <f t="shared" ref="D55:D63" si="48">D26</f>
        <v>&lt;TNSP specified&gt;</v>
      </c>
      <c r="E55" s="1196" t="s">
        <v>88</v>
      </c>
      <c r="F55" s="1197"/>
      <c r="G55" s="1198"/>
      <c r="H55" s="1328"/>
      <c r="I55" s="1328"/>
      <c r="J55" s="1328"/>
      <c r="K55" s="1328"/>
      <c r="L55" s="1540" t="str">
        <f t="shared" ref="L55:L62" si="49">IF(ISNONTEXT(F55)=TRUE,"","X")</f>
        <v/>
      </c>
      <c r="M55" s="1534" t="str">
        <f t="shared" ref="M55:M62" si="50">IF(AND(F55&gt;=0)=TRUE,"","X")</f>
        <v/>
      </c>
      <c r="N55" s="1539" t="str">
        <f t="shared" ref="N55:N62" si="51">IF(AND(D55&lt;&gt;"",LEFT(D55,5)&lt;&gt;"&lt;TNSP",ISBLANK(F55))=TRUE,"X","")</f>
        <v/>
      </c>
      <c r="O55" s="1540" t="str">
        <f t="shared" ref="O55:O62" si="52">IF(ISNONTEXT(G55)=TRUE,"","X")</f>
        <v/>
      </c>
      <c r="P55" s="1534" t="str">
        <f t="shared" ref="P55:P62" si="53">IF(AND(G55&gt;=0)=TRUE,"","X")</f>
        <v/>
      </c>
      <c r="Q55" s="1539" t="str">
        <f t="shared" ref="Q55:Q62" si="54">IF(AND(D55&lt;&gt;"",LEFT(D55,5)&lt;&gt;"&lt;TNSP",ISBLANK(G55))=TRUE,"X","")</f>
        <v/>
      </c>
    </row>
    <row r="56" spans="1:17" outlineLevel="1">
      <c r="B56" s="1305"/>
      <c r="C56" s="1305"/>
      <c r="D56" s="1724" t="str">
        <f t="shared" si="48"/>
        <v>&lt;TNSP specified&gt;</v>
      </c>
      <c r="E56" s="1196" t="s">
        <v>88</v>
      </c>
      <c r="F56" s="1197"/>
      <c r="G56" s="1198"/>
      <c r="H56" s="1328"/>
      <c r="I56" s="1328"/>
      <c r="J56" s="1328"/>
      <c r="K56" s="1328"/>
      <c r="L56" s="1540" t="str">
        <f t="shared" si="49"/>
        <v/>
      </c>
      <c r="M56" s="1534" t="str">
        <f t="shared" si="50"/>
        <v/>
      </c>
      <c r="N56" s="1539" t="str">
        <f t="shared" si="51"/>
        <v/>
      </c>
      <c r="O56" s="1540" t="str">
        <f t="shared" si="52"/>
        <v/>
      </c>
      <c r="P56" s="1534" t="str">
        <f t="shared" si="53"/>
        <v/>
      </c>
      <c r="Q56" s="1539" t="str">
        <f t="shared" si="54"/>
        <v/>
      </c>
    </row>
    <row r="57" spans="1:17" outlineLevel="1">
      <c r="B57" s="1305"/>
      <c r="C57" s="1305"/>
      <c r="D57" s="1724" t="str">
        <f t="shared" si="48"/>
        <v>&lt;TNSP specified&gt;</v>
      </c>
      <c r="E57" s="1196" t="s">
        <v>88</v>
      </c>
      <c r="F57" s="1197"/>
      <c r="G57" s="1198"/>
      <c r="H57" s="1328"/>
      <c r="I57" s="1328"/>
      <c r="J57" s="1328"/>
      <c r="K57" s="1328"/>
      <c r="L57" s="1540" t="str">
        <f t="shared" si="49"/>
        <v/>
      </c>
      <c r="M57" s="1534" t="str">
        <f t="shared" si="50"/>
        <v/>
      </c>
      <c r="N57" s="1539" t="str">
        <f t="shared" si="51"/>
        <v/>
      </c>
      <c r="O57" s="1540" t="str">
        <f t="shared" si="52"/>
        <v/>
      </c>
      <c r="P57" s="1534" t="str">
        <f t="shared" si="53"/>
        <v/>
      </c>
      <c r="Q57" s="1539" t="str">
        <f t="shared" si="54"/>
        <v/>
      </c>
    </row>
    <row r="58" spans="1:17" outlineLevel="1">
      <c r="B58" s="1305"/>
      <c r="C58" s="1305"/>
      <c r="D58" s="1724" t="str">
        <f t="shared" si="48"/>
        <v>&lt;TNSP specified&gt;</v>
      </c>
      <c r="E58" s="1196" t="s">
        <v>88</v>
      </c>
      <c r="F58" s="1197"/>
      <c r="G58" s="1198"/>
      <c r="H58" s="1328"/>
      <c r="I58" s="1328"/>
      <c r="J58" s="1328"/>
      <c r="K58" s="1328"/>
      <c r="L58" s="1540" t="str">
        <f t="shared" si="49"/>
        <v/>
      </c>
      <c r="M58" s="1534" t="str">
        <f t="shared" si="50"/>
        <v/>
      </c>
      <c r="N58" s="1539" t="str">
        <f t="shared" si="51"/>
        <v/>
      </c>
      <c r="O58" s="1540" t="str">
        <f t="shared" si="52"/>
        <v/>
      </c>
      <c r="P58" s="1534" t="str">
        <f t="shared" si="53"/>
        <v/>
      </c>
      <c r="Q58" s="1539" t="str">
        <f t="shared" si="54"/>
        <v/>
      </c>
    </row>
    <row r="59" spans="1:17" outlineLevel="1">
      <c r="B59" s="1305"/>
      <c r="C59" s="1305"/>
      <c r="D59" s="1724" t="str">
        <f t="shared" si="48"/>
        <v>&lt;TNSP specified&gt;</v>
      </c>
      <c r="E59" s="1196" t="s">
        <v>88</v>
      </c>
      <c r="F59" s="1197"/>
      <c r="G59" s="1198"/>
      <c r="H59" s="1328"/>
      <c r="I59" s="1328"/>
      <c r="J59" s="1328"/>
      <c r="K59" s="1328"/>
      <c r="L59" s="1540" t="str">
        <f t="shared" si="49"/>
        <v/>
      </c>
      <c r="M59" s="1534" t="str">
        <f t="shared" si="50"/>
        <v/>
      </c>
      <c r="N59" s="1539" t="str">
        <f t="shared" si="51"/>
        <v/>
      </c>
      <c r="O59" s="1540" t="str">
        <f t="shared" si="52"/>
        <v/>
      </c>
      <c r="P59" s="1534" t="str">
        <f t="shared" si="53"/>
        <v/>
      </c>
      <c r="Q59" s="1539" t="str">
        <f t="shared" si="54"/>
        <v/>
      </c>
    </row>
    <row r="60" spans="1:17" outlineLevel="1">
      <c r="B60" s="1305"/>
      <c r="C60" s="1305"/>
      <c r="D60" s="1724" t="str">
        <f t="shared" si="48"/>
        <v>&lt;TNSP specified&gt;</v>
      </c>
      <c r="E60" s="1196" t="s">
        <v>88</v>
      </c>
      <c r="F60" s="1197"/>
      <c r="G60" s="1198"/>
      <c r="H60" s="1328"/>
      <c r="I60" s="1328"/>
      <c r="J60" s="1328"/>
      <c r="K60" s="1328"/>
      <c r="L60" s="1540" t="str">
        <f t="shared" si="49"/>
        <v/>
      </c>
      <c r="M60" s="1534" t="str">
        <f t="shared" si="50"/>
        <v/>
      </c>
      <c r="N60" s="1539" t="str">
        <f t="shared" si="51"/>
        <v/>
      </c>
      <c r="O60" s="1540" t="str">
        <f t="shared" si="52"/>
        <v/>
      </c>
      <c r="P60" s="1534" t="str">
        <f t="shared" si="53"/>
        <v/>
      </c>
      <c r="Q60" s="1539" t="str">
        <f t="shared" si="54"/>
        <v/>
      </c>
    </row>
    <row r="61" spans="1:17" outlineLevel="1">
      <c r="B61" s="1305"/>
      <c r="C61" s="1305"/>
      <c r="D61" s="1724" t="str">
        <f t="shared" si="48"/>
        <v>&lt;TNSP specified&gt;</v>
      </c>
      <c r="E61" s="1196" t="s">
        <v>88</v>
      </c>
      <c r="F61" s="1197"/>
      <c r="G61" s="1198"/>
      <c r="H61" s="1328"/>
      <c r="I61" s="1328"/>
      <c r="J61" s="1328"/>
      <c r="K61" s="1328"/>
      <c r="L61" s="1540" t="str">
        <f t="shared" si="49"/>
        <v/>
      </c>
      <c r="M61" s="1534" t="str">
        <f t="shared" si="50"/>
        <v/>
      </c>
      <c r="N61" s="1539" t="str">
        <f t="shared" si="51"/>
        <v/>
      </c>
      <c r="O61" s="1540" t="str">
        <f t="shared" si="52"/>
        <v/>
      </c>
      <c r="P61" s="1534" t="str">
        <f t="shared" si="53"/>
        <v/>
      </c>
      <c r="Q61" s="1539" t="str">
        <f t="shared" si="54"/>
        <v/>
      </c>
    </row>
    <row r="62" spans="1:17" outlineLevel="1">
      <c r="A62" s="1666" t="s">
        <v>1487</v>
      </c>
      <c r="B62" s="1305"/>
      <c r="C62" s="1305"/>
      <c r="D62" s="1724" t="str">
        <f t="shared" si="48"/>
        <v>&lt;TNSP specified&gt;</v>
      </c>
      <c r="E62" s="1196" t="s">
        <v>88</v>
      </c>
      <c r="F62" s="1197"/>
      <c r="G62" s="1198"/>
      <c r="H62" s="1328"/>
      <c r="I62" s="1328"/>
      <c r="J62" s="1328"/>
      <c r="K62" s="1328"/>
      <c r="L62" s="1540" t="str">
        <f t="shared" si="49"/>
        <v/>
      </c>
      <c r="M62" s="1534" t="str">
        <f t="shared" si="50"/>
        <v/>
      </c>
      <c r="N62" s="1539" t="str">
        <f t="shared" si="51"/>
        <v/>
      </c>
      <c r="O62" s="1540" t="str">
        <f t="shared" si="52"/>
        <v/>
      </c>
      <c r="P62" s="1534" t="str">
        <f t="shared" si="53"/>
        <v/>
      </c>
      <c r="Q62" s="1539" t="str">
        <f t="shared" si="54"/>
        <v/>
      </c>
    </row>
    <row r="63" spans="1:17" outlineLevel="1">
      <c r="B63" s="1306"/>
      <c r="C63" s="1306"/>
      <c r="D63" s="1724" t="str">
        <f t="shared" si="48"/>
        <v>&lt;TNSP specified&gt;</v>
      </c>
      <c r="E63" s="1199" t="s">
        <v>88</v>
      </c>
      <c r="F63" s="1200"/>
      <c r="G63" s="1201"/>
      <c r="H63" s="1328"/>
      <c r="I63" s="1328"/>
      <c r="J63" s="1328"/>
      <c r="K63" s="1328"/>
      <c r="L63" s="1540" t="str">
        <f t="shared" ref="L63" si="55">IF(ISNONTEXT(F63)=TRUE,"","X")</f>
        <v/>
      </c>
      <c r="M63" s="1534" t="str">
        <f t="shared" ref="M63" si="56">IF(AND(F63&gt;=0)=TRUE,"","X")</f>
        <v/>
      </c>
      <c r="N63" s="1539" t="str">
        <f t="shared" ref="N63" si="57">IF(AND(D63&lt;&gt;"",LEFT(D63,5)&lt;&gt;"&lt;TNSP",ISBLANK(F63))=TRUE,"X","")</f>
        <v/>
      </c>
      <c r="O63" s="1540" t="str">
        <f t="shared" ref="O63" si="58">IF(ISNONTEXT(G63)=TRUE,"","X")</f>
        <v/>
      </c>
      <c r="P63" s="1534" t="str">
        <f t="shared" ref="P63" si="59">IF(AND(G63&gt;=0)=TRUE,"","X")</f>
        <v/>
      </c>
      <c r="Q63" s="1539" t="str">
        <f t="shared" ref="Q63" si="60">IF(AND(D63&lt;&gt;"",LEFT(D63,5)&lt;&gt;"&lt;TNSP",ISBLANK(G63))=TRUE,"X","")</f>
        <v/>
      </c>
    </row>
    <row r="64" spans="1:17" outlineLevel="1">
      <c r="B64" s="627"/>
      <c r="C64" s="627"/>
      <c r="D64" s="1329" t="s">
        <v>1232</v>
      </c>
      <c r="E64" s="1330" t="s">
        <v>88</v>
      </c>
      <c r="F64" s="1725">
        <f>SUM(F54:F63)</f>
        <v>0</v>
      </c>
      <c r="G64" s="1725">
        <f t="shared" ref="G64" si="61">SUM(G54:G63)</f>
        <v>0</v>
      </c>
      <c r="H64" s="1328"/>
      <c r="I64" s="1328"/>
      <c r="J64" s="1328"/>
      <c r="K64" s="1328"/>
      <c r="L64" s="1625"/>
      <c r="M64" s="1623"/>
      <c r="N64" s="1626"/>
      <c r="O64" s="1625"/>
      <c r="P64" s="1623"/>
      <c r="Q64" s="1626"/>
    </row>
    <row r="65" spans="2:17">
      <c r="B65" s="627"/>
      <c r="C65" s="627"/>
      <c r="D65" s="1331" t="s">
        <v>1230</v>
      </c>
      <c r="E65" s="1090" t="s">
        <v>88</v>
      </c>
      <c r="F65" s="1725">
        <f>F64+F52</f>
        <v>0</v>
      </c>
      <c r="G65" s="1725">
        <f t="shared" ref="G65" si="62">G64+G52</f>
        <v>0</v>
      </c>
      <c r="H65" s="1328"/>
      <c r="I65" s="1328"/>
      <c r="J65" s="1328"/>
      <c r="K65" s="1328"/>
      <c r="L65" s="1627"/>
      <c r="M65" s="1628"/>
      <c r="N65" s="1629"/>
      <c r="O65" s="1627"/>
      <c r="P65" s="1628"/>
      <c r="Q65" s="1629"/>
    </row>
    <row r="66" spans="2:17">
      <c r="B66" s="1169"/>
      <c r="C66" s="1169"/>
      <c r="D66" s="627"/>
      <c r="E66" s="627"/>
      <c r="F66" s="627"/>
      <c r="G66" s="627"/>
      <c r="H66" s="627"/>
      <c r="I66" s="627"/>
      <c r="J66" s="627"/>
      <c r="K66" s="627"/>
      <c r="L66" s="627"/>
      <c r="M66" s="627"/>
      <c r="N66" s="627"/>
    </row>
    <row r="67" spans="2:17">
      <c r="B67" s="1169"/>
      <c r="C67" s="1169"/>
      <c r="D67" s="627"/>
      <c r="E67" s="627"/>
      <c r="F67" s="627"/>
      <c r="G67" s="627"/>
      <c r="H67" s="627"/>
      <c r="I67" s="627"/>
      <c r="J67" s="627"/>
      <c r="K67" s="627"/>
      <c r="L67" s="627"/>
      <c r="M67" s="627"/>
      <c r="N67" s="627"/>
    </row>
    <row r="69" spans="2:17">
      <c r="B69" s="1717" t="s">
        <v>1468</v>
      </c>
      <c r="C69" s="1714"/>
      <c r="D69" s="1715" t="b">
        <f>G71</f>
        <v>1</v>
      </c>
    </row>
    <row r="70" spans="2:17" ht="18.75">
      <c r="D70" s="1710" t="s">
        <v>1429</v>
      </c>
      <c r="E70" s="1711"/>
      <c r="F70" s="1712"/>
      <c r="G70" s="1712"/>
    </row>
    <row r="71" spans="2:17">
      <c r="D71" s="966" t="s">
        <v>1230</v>
      </c>
      <c r="E71" s="1567"/>
      <c r="F71" s="1567"/>
      <c r="G71" s="1567" t="b">
        <f>G36=G65+F65</f>
        <v>1</v>
      </c>
    </row>
  </sheetData>
  <mergeCells count="36">
    <mergeCell ref="L11:N11"/>
    <mergeCell ref="L12:N12"/>
    <mergeCell ref="L13:N22"/>
    <mergeCell ref="L23:N23"/>
    <mergeCell ref="O11:Q11"/>
    <mergeCell ref="O12:Q12"/>
    <mergeCell ref="O13:Q13"/>
    <mergeCell ref="O14:Q14"/>
    <mergeCell ref="O15:Q15"/>
    <mergeCell ref="O23:Q23"/>
    <mergeCell ref="O27:Q27"/>
    <mergeCell ref="O28:Q28"/>
    <mergeCell ref="O29:Q29"/>
    <mergeCell ref="L35:N35"/>
    <mergeCell ref="O30:Q30"/>
    <mergeCell ref="O31:Q31"/>
    <mergeCell ref="O32:Q32"/>
    <mergeCell ref="O33:Q33"/>
    <mergeCell ref="L25:N34"/>
    <mergeCell ref="O25:Q25"/>
    <mergeCell ref="AA12:AC12"/>
    <mergeCell ref="L41:N41"/>
    <mergeCell ref="O41:Q41"/>
    <mergeCell ref="O17:Q17"/>
    <mergeCell ref="O18:Q18"/>
    <mergeCell ref="R12:T12"/>
    <mergeCell ref="U12:W12"/>
    <mergeCell ref="X12:Z12"/>
    <mergeCell ref="O19:Q19"/>
    <mergeCell ref="O20:Q20"/>
    <mergeCell ref="O21:Q21"/>
    <mergeCell ref="O22:Q22"/>
    <mergeCell ref="O16:Q16"/>
    <mergeCell ref="O35:Q35"/>
    <mergeCell ref="O34:Q34"/>
    <mergeCell ref="O26:Q26"/>
  </mergeCells>
  <conditionalFormatting sqref="D69">
    <cfRule type="cellIs" dxfId="50" priority="1" operator="equal">
      <formula>FALSE</formula>
    </cfRule>
  </conditionalFormatting>
  <conditionalFormatting sqref="F42:G51">
    <cfRule type="expression" dxfId="49" priority="4">
      <formula>dms_worksheet210flag="Worksheet 2.10"</formula>
    </cfRule>
  </conditionalFormatting>
  <conditionalFormatting sqref="F54:G63">
    <cfRule type="expression" dxfId="48" priority="2">
      <formula>dms_worksheet210flag="Worksheet 2.10"</formula>
    </cfRule>
  </conditionalFormatting>
  <conditionalFormatting sqref="F13:J22">
    <cfRule type="expression" dxfId="47" priority="8">
      <formula>dms_worksheet210flag="Worksheet 2.10"</formula>
    </cfRule>
  </conditionalFormatting>
  <conditionalFormatting sqref="F25:J34">
    <cfRule type="expression" dxfId="46" priority="7">
      <formula>dms_worksheet210flag="Worksheet 2.10"</formula>
    </cfRule>
  </conditionalFormatting>
  <dataValidations count="1">
    <dataValidation allowBlank="1" showErrorMessage="1" sqref="A1:XFD1048576" xr:uid="{4D28A3CF-BD96-49F1-AD09-72AD51879623}"/>
  </dataValidations>
  <pageMargins left="0.7" right="0.7" top="0.75" bottom="0.75" header="0.3" footer="0.3"/>
  <pageSetup paperSize="9" scale="6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E1543-C9B9-4218-A22F-77AC5CA65C4C}">
  <sheetPr codeName="Sheet9">
    <tabColor rgb="FFDE98CA"/>
    <pageSetUpPr fitToPage="1"/>
  </sheetPr>
  <dimension ref="A1:AG66"/>
  <sheetViews>
    <sheetView workbookViewId="0"/>
  </sheetViews>
  <sheetFormatPr defaultColWidth="9.140625" defaultRowHeight="15"/>
  <cols>
    <col min="1" max="1" width="18.5703125" style="44" customWidth="1"/>
    <col min="2" max="2" width="19.5703125" style="1272" customWidth="1"/>
    <col min="3" max="3" width="2.5703125" style="1272" customWidth="1"/>
    <col min="4" max="4" width="40.5703125" style="44" bestFit="1" customWidth="1"/>
    <col min="5" max="5" width="9.85546875" style="44" customWidth="1"/>
    <col min="6" max="10" width="17.140625" style="44" customWidth="1"/>
    <col min="11" max="11" width="9.140625" style="44"/>
    <col min="12" max="33" width="3.7109375" style="44" customWidth="1"/>
    <col min="34" max="16384" width="9.140625" style="44"/>
  </cols>
  <sheetData>
    <row r="1" spans="2:33" s="1084" customFormat="1" ht="20.100000000000001" customHeight="1">
      <c r="B1" s="1002"/>
      <c r="C1" s="1002"/>
      <c r="D1" s="1002" t="str">
        <f>dms_SheetHeading1</f>
        <v>ANNUAL INFORMATION ORDER</v>
      </c>
      <c r="E1" s="1205"/>
      <c r="F1" s="1205"/>
      <c r="G1" s="1205"/>
      <c r="H1" s="1205"/>
      <c r="I1" s="1205"/>
      <c r="J1" s="1205"/>
      <c r="L1" s="1658" t="s">
        <v>1040</v>
      </c>
      <c r="M1" s="1323"/>
      <c r="N1" s="1323"/>
      <c r="O1" s="1323"/>
      <c r="P1" s="1323"/>
      <c r="Q1" s="1323"/>
      <c r="R1" s="1657" t="s">
        <v>1039</v>
      </c>
      <c r="S1" s="1323"/>
      <c r="T1" s="1323"/>
      <c r="U1" s="1323"/>
      <c r="V1" s="1323"/>
      <c r="W1" s="1323"/>
      <c r="X1" s="1323"/>
      <c r="Y1" s="1323"/>
      <c r="Z1" s="1323"/>
    </row>
    <row r="2" spans="2:33" s="1084" customFormat="1" ht="20.100000000000001" customHeight="1">
      <c r="B2" s="1003"/>
      <c r="C2" s="1003"/>
      <c r="D2" s="1003" t="str">
        <f>dms_SheetHeading2</f>
        <v>Australian Transmission Co.</v>
      </c>
      <c r="E2" s="1205"/>
      <c r="F2" s="1205"/>
      <c r="G2" s="1205"/>
      <c r="H2" s="1205"/>
      <c r="I2" s="1205"/>
      <c r="J2" s="1205"/>
      <c r="L2" s="1659" t="s">
        <v>1041</v>
      </c>
      <c r="M2" s="1324"/>
      <c r="N2" s="1324"/>
      <c r="O2" s="1324"/>
      <c r="P2" s="1324"/>
      <c r="Q2" s="1324"/>
      <c r="R2" s="1379" t="s">
        <v>202</v>
      </c>
      <c r="S2" s="1324"/>
      <c r="T2" s="1324"/>
      <c r="U2" s="1324"/>
      <c r="V2" s="1324"/>
      <c r="W2" s="1324"/>
      <c r="X2" s="1324"/>
      <c r="Y2" s="1324"/>
      <c r="Z2" s="1324"/>
    </row>
    <row r="3" spans="2:33" s="1084" customFormat="1" ht="20.100000000000001" customHeight="1">
      <c r="B3" s="1004"/>
      <c r="C3" s="1004"/>
      <c r="D3" s="1004" t="str">
        <f>dms_SheetHeading3</f>
        <v>REPORTING STATEMENT: 2024-25</v>
      </c>
      <c r="E3" s="1205"/>
      <c r="F3" s="1205"/>
      <c r="G3" s="1205"/>
      <c r="H3" s="1205"/>
      <c r="I3" s="1205"/>
      <c r="J3" s="1205"/>
      <c r="L3" s="1660" t="s">
        <v>1042</v>
      </c>
      <c r="M3" s="1325"/>
      <c r="N3" s="1325"/>
      <c r="O3" s="1325"/>
      <c r="P3" s="1325"/>
      <c r="Q3" s="1325"/>
      <c r="R3" s="1380" t="s">
        <v>203</v>
      </c>
      <c r="S3" s="1325"/>
      <c r="T3" s="1325"/>
      <c r="U3" s="1325"/>
      <c r="V3" s="1325"/>
      <c r="W3" s="1325"/>
      <c r="X3" s="1325"/>
      <c r="Y3" s="1325"/>
      <c r="Z3" s="1325"/>
    </row>
    <row r="4" spans="2:33" s="1084" customFormat="1" ht="20.100000000000001" customHeight="1">
      <c r="B4" s="1206"/>
      <c r="C4" s="1206"/>
      <c r="D4" s="1206" t="s">
        <v>1891</v>
      </c>
      <c r="E4" s="1207"/>
      <c r="F4" s="1207"/>
      <c r="G4" s="1207"/>
      <c r="H4" s="1207"/>
      <c r="I4" s="1207"/>
      <c r="J4" s="1207"/>
      <c r="L4" s="1662" t="s">
        <v>1044</v>
      </c>
      <c r="M4" s="1661"/>
      <c r="N4" s="1691"/>
      <c r="O4" s="1498"/>
      <c r="P4" s="1498"/>
      <c r="Q4" s="1498"/>
      <c r="R4" s="1497" t="s">
        <v>1043</v>
      </c>
      <c r="S4" s="1498"/>
      <c r="T4" s="1498"/>
      <c r="U4" s="1498"/>
      <c r="V4" s="1498"/>
      <c r="W4" s="1498"/>
      <c r="X4" s="1498"/>
      <c r="Y4" s="1498"/>
      <c r="Z4" s="1498"/>
    </row>
    <row r="5" spans="2:33" ht="13.5" customHeight="1">
      <c r="B5" s="44"/>
      <c r="C5" s="44"/>
      <c r="D5" s="1087"/>
    </row>
    <row r="6" spans="2:33" s="46" customFormat="1" ht="18" customHeight="1">
      <c r="B6" s="950" t="s">
        <v>1313</v>
      </c>
      <c r="C6" s="973"/>
      <c r="D6" s="973"/>
      <c r="E6" s="973"/>
      <c r="F6" s="973"/>
      <c r="G6" s="973"/>
      <c r="H6" s="973"/>
      <c r="I6" s="973"/>
      <c r="J6" s="973"/>
      <c r="K6" s="44"/>
      <c r="L6" s="44"/>
    </row>
    <row r="7" spans="2:33" ht="18" customHeight="1">
      <c r="B7" s="1032" t="s">
        <v>1080</v>
      </c>
      <c r="C7" s="1032"/>
      <c r="D7" s="1032"/>
      <c r="E7" s="1032"/>
      <c r="F7" s="1032"/>
      <c r="G7" s="1032"/>
      <c r="H7" s="1032"/>
      <c r="I7" s="1032"/>
      <c r="J7" s="1032"/>
    </row>
    <row r="8" spans="2:33">
      <c r="B8" s="1137"/>
      <c r="C8" s="1137"/>
      <c r="D8" s="1137"/>
      <c r="E8" s="1137"/>
      <c r="F8" s="1137"/>
      <c r="G8" s="1137"/>
      <c r="H8" s="1137"/>
      <c r="I8" s="1137"/>
      <c r="J8" s="1137"/>
    </row>
    <row r="9" spans="2:33" s="46" customFormat="1">
      <c r="C9" s="44"/>
      <c r="D9" s="1249" t="s">
        <v>1422</v>
      </c>
      <c r="E9" s="962"/>
      <c r="F9" s="962"/>
      <c r="G9" s="962"/>
      <c r="H9" s="962"/>
      <c r="I9" s="962"/>
      <c r="J9" s="962"/>
      <c r="O9" s="44"/>
      <c r="P9" s="44"/>
      <c r="Q9" s="44"/>
    </row>
    <row r="10" spans="2:33" s="46" customFormat="1" ht="39" customHeight="1">
      <c r="D10" s="51"/>
      <c r="E10" s="51"/>
      <c r="F10" s="51"/>
      <c r="G10" s="44"/>
      <c r="L10" s="2143" t="s">
        <v>1441</v>
      </c>
      <c r="M10" s="2144"/>
      <c r="N10" s="2144"/>
      <c r="O10" s="2161"/>
      <c r="P10" s="2162"/>
      <c r="Q10" s="2163"/>
      <c r="R10" s="1608" t="s">
        <v>1430</v>
      </c>
      <c r="S10" s="1595" t="s">
        <v>1431</v>
      </c>
      <c r="T10" s="1596" t="s">
        <v>1432</v>
      </c>
      <c r="U10" s="1637" t="s">
        <v>1440</v>
      </c>
      <c r="V10" s="1608" t="s">
        <v>1430</v>
      </c>
      <c r="W10" s="1595" t="s">
        <v>1431</v>
      </c>
      <c r="X10" s="1596" t="s">
        <v>1432</v>
      </c>
      <c r="Y10" s="1637" t="s">
        <v>1440</v>
      </c>
      <c r="Z10" s="1608" t="s">
        <v>1430</v>
      </c>
      <c r="AA10" s="1595" t="s">
        <v>1431</v>
      </c>
      <c r="AB10" s="1596" t="s">
        <v>1432</v>
      </c>
      <c r="AC10" s="1637" t="s">
        <v>1440</v>
      </c>
      <c r="AD10" s="1608" t="s">
        <v>1430</v>
      </c>
      <c r="AE10" s="1595" t="s">
        <v>1431</v>
      </c>
      <c r="AF10" s="1596" t="s">
        <v>1432</v>
      </c>
      <c r="AG10" s="1637" t="s">
        <v>1440</v>
      </c>
    </row>
    <row r="11" spans="2:33" s="1303" customFormat="1" ht="38.25" customHeight="1">
      <c r="B11" s="1304"/>
      <c r="C11" s="1304"/>
      <c r="D11" s="1245" t="s">
        <v>1087</v>
      </c>
      <c r="E11" s="958" t="s">
        <v>1192</v>
      </c>
      <c r="F11" s="1291" t="s">
        <v>1296</v>
      </c>
      <c r="G11" s="1292" t="s">
        <v>1255</v>
      </c>
      <c r="H11" s="1292" t="s">
        <v>1297</v>
      </c>
      <c r="I11" s="1292" t="s">
        <v>1298</v>
      </c>
      <c r="J11" s="1310" t="s">
        <v>1299</v>
      </c>
      <c r="L11" s="2012" t="s">
        <v>1435</v>
      </c>
      <c r="M11" s="2013"/>
      <c r="N11" s="2013"/>
      <c r="O11" s="2012" t="s">
        <v>1296</v>
      </c>
      <c r="P11" s="2013"/>
      <c r="Q11" s="2018"/>
      <c r="R11" s="2012" t="s">
        <v>1454</v>
      </c>
      <c r="S11" s="2013"/>
      <c r="T11" s="2013"/>
      <c r="U11" s="2018"/>
      <c r="V11" s="2012" t="s">
        <v>1297</v>
      </c>
      <c r="W11" s="2013"/>
      <c r="X11" s="2013"/>
      <c r="Y11" s="2018"/>
      <c r="Z11" s="2012" t="s">
        <v>1298</v>
      </c>
      <c r="AA11" s="2013"/>
      <c r="AB11" s="2013"/>
      <c r="AC11" s="2018"/>
      <c r="AD11" s="2012" t="s">
        <v>1299</v>
      </c>
      <c r="AE11" s="2013"/>
      <c r="AF11" s="2013"/>
      <c r="AG11" s="2018"/>
    </row>
    <row r="12" spans="2:33" ht="15" customHeight="1">
      <c r="B12" s="1305"/>
      <c r="C12" s="1305"/>
      <c r="D12" s="1191" t="s">
        <v>1082</v>
      </c>
      <c r="E12" s="1192" t="s">
        <v>88</v>
      </c>
      <c r="F12" s="1726">
        <f>SUM(G12:J12)</f>
        <v>0</v>
      </c>
      <c r="G12" s="1193"/>
      <c r="H12" s="1193"/>
      <c r="I12" s="1193"/>
      <c r="J12" s="1194"/>
      <c r="L12" s="2164"/>
      <c r="M12" s="2165"/>
      <c r="N12" s="2166"/>
      <c r="O12" s="2081"/>
      <c r="P12" s="2082"/>
      <c r="Q12" s="2157"/>
      <c r="R12" s="1561" t="str">
        <f>IF(ISNONTEXT(G12)=TRUE,"","X")</f>
        <v/>
      </c>
      <c r="S12" s="1559" t="str">
        <f>IF(AND(G12&gt;=0)=TRUE,"","X")</f>
        <v/>
      </c>
      <c r="T12" s="1559" t="str">
        <f>IF(G12&lt;&gt;""=TRUE,"","X")</f>
        <v>X</v>
      </c>
      <c r="U12" s="1584"/>
      <c r="V12" s="1561" t="str">
        <f>IF(ISNONTEXT(H12)=TRUE,"","X")</f>
        <v/>
      </c>
      <c r="W12" s="1559" t="str">
        <f>IF(AND(H12&gt;=0)=TRUE,"","X")</f>
        <v/>
      </c>
      <c r="X12" s="1559" t="str">
        <f>IF(H12&lt;&gt;""=TRUE,"","X")</f>
        <v>X</v>
      </c>
      <c r="Y12" s="1584"/>
      <c r="Z12" s="1561" t="str">
        <f>IF(ISNONTEXT(I12)=TRUE,"","X")</f>
        <v/>
      </c>
      <c r="AA12" s="1559" t="str">
        <f>IF(AND(I12&gt;=0)=TRUE,"","X")</f>
        <v/>
      </c>
      <c r="AB12" s="1559" t="str">
        <f>IF(I12&lt;&gt;""=TRUE,"","X")</f>
        <v>X</v>
      </c>
      <c r="AC12" s="1584"/>
      <c r="AD12" s="1561" t="str">
        <f>IF(ISNONTEXT(J12)=TRUE,"","X")</f>
        <v/>
      </c>
      <c r="AE12" s="1559" t="str">
        <f>IF(AND(J12&gt;=0)=TRUE,"","X")</f>
        <v/>
      </c>
      <c r="AF12" s="1559" t="str">
        <f>IF(J12&lt;&gt;""=TRUE,"","X")</f>
        <v>X</v>
      </c>
      <c r="AG12" s="1584"/>
    </row>
    <row r="13" spans="2:33">
      <c r="B13" s="1306"/>
      <c r="C13" s="1306"/>
      <c r="D13" s="1265" t="s">
        <v>1083</v>
      </c>
      <c r="E13" s="1199" t="s">
        <v>88</v>
      </c>
      <c r="F13" s="1728">
        <f>SUM(G13:J13)</f>
        <v>0</v>
      </c>
      <c r="G13" s="1200"/>
      <c r="H13" s="1200"/>
      <c r="I13" s="1200"/>
      <c r="J13" s="1201"/>
      <c r="L13" s="2173"/>
      <c r="M13" s="2174"/>
      <c r="N13" s="2175"/>
      <c r="O13" s="2088"/>
      <c r="P13" s="2089"/>
      <c r="Q13" s="2158"/>
      <c r="R13" s="1542" t="str">
        <f>IF(ISNONTEXT(G13)=TRUE,"","X")</f>
        <v/>
      </c>
      <c r="S13" s="1551" t="str">
        <f>IF(AND(G13&gt;=0)=TRUE,"","X")</f>
        <v/>
      </c>
      <c r="T13" s="1551" t="str">
        <f>IF(G13&lt;&gt;""=TRUE,"","X")</f>
        <v>X</v>
      </c>
      <c r="U13" s="1579"/>
      <c r="V13" s="1542" t="str">
        <f>IF(ISNONTEXT(H13)=TRUE,"","X")</f>
        <v/>
      </c>
      <c r="W13" s="1551" t="str">
        <f>IF(AND(H13&gt;=0)=TRUE,"","X")</f>
        <v/>
      </c>
      <c r="X13" s="1551" t="str">
        <f>IF(H13&lt;&gt;""=TRUE,"","X")</f>
        <v>X</v>
      </c>
      <c r="Y13" s="1579"/>
      <c r="Z13" s="1542" t="str">
        <f>IF(ISNONTEXT(I13)=TRUE,"","X")</f>
        <v/>
      </c>
      <c r="AA13" s="1551" t="str">
        <f>IF(AND(I13&gt;=0)=TRUE,"","X")</f>
        <v/>
      </c>
      <c r="AB13" s="1551" t="str">
        <f>IF(I13&lt;&gt;""=TRUE,"","X")</f>
        <v>X</v>
      </c>
      <c r="AC13" s="1579"/>
      <c r="AD13" s="1542" t="str">
        <f>IF(ISNONTEXT(J13)=TRUE,"","X")</f>
        <v/>
      </c>
      <c r="AE13" s="1551" t="str">
        <f>IF(AND(J13&gt;=0)=TRUE,"","X")</f>
        <v/>
      </c>
      <c r="AF13" s="1551" t="str">
        <f>IF(J13&lt;&gt;""=TRUE,"","X")</f>
        <v>X</v>
      </c>
      <c r="AG13" s="1579"/>
    </row>
    <row r="14" spans="2:33">
      <c r="B14" s="1307"/>
      <c r="C14" s="1307"/>
      <c r="D14" s="1092" t="s">
        <v>1081</v>
      </c>
      <c r="E14" s="970"/>
      <c r="F14" s="970"/>
      <c r="G14" s="627"/>
      <c r="H14" s="627"/>
      <c r="I14" s="627"/>
      <c r="J14" s="627"/>
    </row>
    <row r="15" spans="2:33">
      <c r="B15" s="1305"/>
      <c r="C15" s="1305"/>
      <c r="D15" s="1134" t="s">
        <v>1084</v>
      </c>
      <c r="E15" s="1053" t="s">
        <v>88</v>
      </c>
      <c r="F15" s="1726">
        <f t="shared" ref="F15:F24" si="0">SUM(G15:J15)</f>
        <v>0</v>
      </c>
      <c r="G15" s="1193"/>
      <c r="H15" s="1193"/>
      <c r="I15" s="1193"/>
      <c r="J15" s="1194"/>
      <c r="L15" s="2164"/>
      <c r="M15" s="2165"/>
      <c r="N15" s="2166"/>
      <c r="O15" s="2081"/>
      <c r="P15" s="2082"/>
      <c r="Q15" s="2157"/>
      <c r="R15" s="1561" t="str">
        <f>IF(ISNONTEXT(G15)=TRUE,"","X")</f>
        <v/>
      </c>
      <c r="S15" s="1559" t="str">
        <f>IF(AND(G15&gt;=0)=TRUE,"","X")</f>
        <v/>
      </c>
      <c r="T15" s="1559" t="str">
        <f>IF(G15&lt;&gt;""=TRUE,"","X")</f>
        <v>X</v>
      </c>
      <c r="U15" s="1584"/>
      <c r="V15" s="1561" t="str">
        <f>IF(ISNONTEXT(H15)=TRUE,"","X")</f>
        <v/>
      </c>
      <c r="W15" s="1559" t="str">
        <f>IF(AND(H15&gt;=0)=TRUE,"","X")</f>
        <v/>
      </c>
      <c r="X15" s="1559" t="str">
        <f>IF(H15&lt;&gt;""=TRUE,"","X")</f>
        <v>X</v>
      </c>
      <c r="Y15" s="1584"/>
      <c r="Z15" s="1561" t="str">
        <f>IF(ISNONTEXT(I15)=TRUE,"","X")</f>
        <v/>
      </c>
      <c r="AA15" s="1559" t="str">
        <f>IF(AND(I15&gt;=0)=TRUE,"","X")</f>
        <v/>
      </c>
      <c r="AB15" s="1559" t="str">
        <f>IF(I15&lt;&gt;""=TRUE,"","X")</f>
        <v>X</v>
      </c>
      <c r="AC15" s="1584"/>
      <c r="AD15" s="1561" t="str">
        <f>IF(ISNONTEXT(J15)=TRUE,"","X")</f>
        <v/>
      </c>
      <c r="AE15" s="1559" t="str">
        <f>IF(AND(J15&gt;=0)=TRUE,"","X")</f>
        <v/>
      </c>
      <c r="AF15" s="1559" t="str">
        <f>IF(J15&lt;&gt;""=TRUE,"","X")</f>
        <v>X</v>
      </c>
      <c r="AG15" s="1584"/>
    </row>
    <row r="16" spans="2:33">
      <c r="B16" s="1306"/>
      <c r="C16" s="1306"/>
      <c r="D16" s="1744" t="s">
        <v>1053</v>
      </c>
      <c r="E16" s="1054" t="s">
        <v>88</v>
      </c>
      <c r="F16" s="1727">
        <f t="shared" si="0"/>
        <v>0</v>
      </c>
      <c r="G16" s="1197"/>
      <c r="H16" s="1197"/>
      <c r="I16" s="1197"/>
      <c r="J16" s="1198"/>
      <c r="L16" s="2167" t="s">
        <v>1455</v>
      </c>
      <c r="M16" s="2168"/>
      <c r="N16" s="2169"/>
      <c r="O16" s="2086"/>
      <c r="P16" s="2087"/>
      <c r="Q16" s="2159"/>
      <c r="R16" s="1540" t="str">
        <f t="shared" ref="R16:R24" si="1">IF(ISNONTEXT(G16)=TRUE,"","X")</f>
        <v/>
      </c>
      <c r="S16" s="1534" t="str">
        <f t="shared" ref="S16:S24" si="2">IF(AND(G16&gt;=0)=TRUE,"","X")</f>
        <v/>
      </c>
      <c r="T16" s="1535"/>
      <c r="U16" s="1539" t="str">
        <f>IF(AND(D16&lt;&gt;"",LEFT(D16,5)&lt;&gt;"&lt;TNSP",ISBLANK(G16))=TRUE,"X","")</f>
        <v/>
      </c>
      <c r="V16" s="1540" t="str">
        <f t="shared" ref="V16:V24" si="3">IF(ISNONTEXT(H16)=TRUE,"","X")</f>
        <v/>
      </c>
      <c r="W16" s="1534" t="str">
        <f t="shared" ref="W16:W24" si="4">IF(AND(H16&gt;=0)=TRUE,"","X")</f>
        <v/>
      </c>
      <c r="X16" s="1535"/>
      <c r="Y16" s="1539" t="str">
        <f>IF(AND(D16&lt;&gt;"",LEFT(D16,5)&lt;&gt;"&lt;TNSP",ISBLANK(H16))=TRUE,"X","")</f>
        <v/>
      </c>
      <c r="Z16" s="1540" t="str">
        <f t="shared" ref="Z16:Z24" si="5">IF(ISNONTEXT(I16)=TRUE,"","X")</f>
        <v/>
      </c>
      <c r="AA16" s="1534" t="str">
        <f t="shared" ref="AA16:AA24" si="6">IF(AND(I16&gt;=0)=TRUE,"","X")</f>
        <v/>
      </c>
      <c r="AB16" s="1535"/>
      <c r="AC16" s="1539" t="str">
        <f>IF(AND(F16&lt;&gt;"",LEFT(D16,5)&lt;&gt;"&lt;TNSP",ISBLANK(I16))=TRUE,"X","")</f>
        <v/>
      </c>
      <c r="AD16" s="1540" t="str">
        <f t="shared" ref="AD16:AD24" si="7">IF(ISNONTEXT(J16)=TRUE,"","X")</f>
        <v/>
      </c>
      <c r="AE16" s="1534" t="str">
        <f t="shared" ref="AE16:AE24" si="8">IF(AND(J16&gt;=0)=TRUE,"","X")</f>
        <v/>
      </c>
      <c r="AF16" s="1535"/>
      <c r="AG16" s="1539" t="str">
        <f>IF(AND(D16&lt;&gt;"",LEFT(D16,5)&lt;&gt;"&lt;TNSP",ISBLANK(J16))=TRUE,"X","")</f>
        <v/>
      </c>
    </row>
    <row r="17" spans="1:33">
      <c r="B17" s="1305"/>
      <c r="C17" s="1305"/>
      <c r="D17" s="1744" t="s">
        <v>1053</v>
      </c>
      <c r="E17" s="1054" t="s">
        <v>88</v>
      </c>
      <c r="F17" s="1727">
        <f t="shared" si="0"/>
        <v>0</v>
      </c>
      <c r="G17" s="1197"/>
      <c r="H17" s="1197"/>
      <c r="I17" s="1197"/>
      <c r="J17" s="1198"/>
      <c r="L17" s="2167"/>
      <c r="M17" s="2168"/>
      <c r="N17" s="2169"/>
      <c r="O17" s="2086"/>
      <c r="P17" s="2087"/>
      <c r="Q17" s="2159"/>
      <c r="R17" s="1540" t="str">
        <f t="shared" si="1"/>
        <v/>
      </c>
      <c r="S17" s="1534" t="str">
        <f t="shared" si="2"/>
        <v/>
      </c>
      <c r="T17" s="1535"/>
      <c r="U17" s="1539" t="str">
        <f>IF(AND(D17&lt;&gt;"",LEFT(D17,5)&lt;&gt;"&lt;TNSP",ISBLANK(G17))=TRUE,"X","")</f>
        <v/>
      </c>
      <c r="V17" s="1540" t="str">
        <f t="shared" si="3"/>
        <v/>
      </c>
      <c r="W17" s="1534" t="str">
        <f t="shared" si="4"/>
        <v/>
      </c>
      <c r="X17" s="1535"/>
      <c r="Y17" s="1539" t="str">
        <f t="shared" ref="Y17:Y24" si="9">IF(AND(D17&lt;&gt;"",LEFT(D17,5)&lt;&gt;"&lt;TNSP",ISBLANK(H17))=TRUE,"X","")</f>
        <v/>
      </c>
      <c r="Z17" s="1540" t="str">
        <f t="shared" si="5"/>
        <v/>
      </c>
      <c r="AA17" s="1534" t="str">
        <f t="shared" si="6"/>
        <v/>
      </c>
      <c r="AB17" s="1535"/>
      <c r="AC17" s="1539" t="str">
        <f t="shared" ref="AC17:AC24" si="10">IF(AND(F17&lt;&gt;"",LEFT(D17,5)&lt;&gt;"&lt;TNSP",ISBLANK(I17))=TRUE,"X","")</f>
        <v/>
      </c>
      <c r="AD17" s="1540" t="str">
        <f t="shared" si="7"/>
        <v/>
      </c>
      <c r="AE17" s="1534" t="str">
        <f t="shared" si="8"/>
        <v/>
      </c>
      <c r="AF17" s="1535"/>
      <c r="AG17" s="1539" t="str">
        <f t="shared" ref="AG17:AG24" si="11">IF(AND(D17&lt;&gt;"",LEFT(D17,5)&lt;&gt;"&lt;TNSP",ISBLANK(J17))=TRUE,"X","")</f>
        <v/>
      </c>
    </row>
    <row r="18" spans="1:33">
      <c r="B18" s="1305"/>
      <c r="C18" s="1305"/>
      <c r="D18" s="1744" t="s">
        <v>1053</v>
      </c>
      <c r="E18" s="1054" t="s">
        <v>88</v>
      </c>
      <c r="F18" s="1727">
        <f t="shared" si="0"/>
        <v>0</v>
      </c>
      <c r="G18" s="1197"/>
      <c r="H18" s="1197"/>
      <c r="I18" s="1197"/>
      <c r="J18" s="1198"/>
      <c r="L18" s="2167"/>
      <c r="M18" s="2168"/>
      <c r="N18" s="2169"/>
      <c r="O18" s="2086"/>
      <c r="P18" s="2087"/>
      <c r="Q18" s="2159"/>
      <c r="R18" s="1540" t="str">
        <f t="shared" si="1"/>
        <v/>
      </c>
      <c r="S18" s="1534" t="str">
        <f t="shared" si="2"/>
        <v/>
      </c>
      <c r="T18" s="1535"/>
      <c r="U18" s="1539" t="str">
        <f t="shared" ref="U18:U24" si="12">IF(AND(D18&lt;&gt;"",LEFT(D18,5)&lt;&gt;"&lt;TNSP",ISBLANK(G18))=TRUE,"X","")</f>
        <v/>
      </c>
      <c r="V18" s="1540" t="str">
        <f t="shared" si="3"/>
        <v/>
      </c>
      <c r="W18" s="1534" t="str">
        <f t="shared" si="4"/>
        <v/>
      </c>
      <c r="X18" s="1535"/>
      <c r="Y18" s="1539" t="str">
        <f t="shared" si="9"/>
        <v/>
      </c>
      <c r="Z18" s="1540" t="str">
        <f t="shared" si="5"/>
        <v/>
      </c>
      <c r="AA18" s="1534" t="str">
        <f t="shared" si="6"/>
        <v/>
      </c>
      <c r="AB18" s="1535"/>
      <c r="AC18" s="1539" t="str">
        <f t="shared" si="10"/>
        <v/>
      </c>
      <c r="AD18" s="1540" t="str">
        <f t="shared" si="7"/>
        <v/>
      </c>
      <c r="AE18" s="1534" t="str">
        <f t="shared" si="8"/>
        <v/>
      </c>
      <c r="AF18" s="1535"/>
      <c r="AG18" s="1539" t="str">
        <f t="shared" si="11"/>
        <v/>
      </c>
    </row>
    <row r="19" spans="1:33">
      <c r="B19" s="1305"/>
      <c r="C19" s="1305"/>
      <c r="D19" s="1744" t="s">
        <v>1053</v>
      </c>
      <c r="E19" s="1054" t="s">
        <v>88</v>
      </c>
      <c r="F19" s="1727">
        <f t="shared" si="0"/>
        <v>0</v>
      </c>
      <c r="G19" s="1197"/>
      <c r="H19" s="1197"/>
      <c r="I19" s="1197"/>
      <c r="J19" s="1198"/>
      <c r="L19" s="2167"/>
      <c r="M19" s="2168"/>
      <c r="N19" s="2169"/>
      <c r="O19" s="2086"/>
      <c r="P19" s="2087"/>
      <c r="Q19" s="2159"/>
      <c r="R19" s="1540" t="str">
        <f t="shared" si="1"/>
        <v/>
      </c>
      <c r="S19" s="1534" t="str">
        <f t="shared" si="2"/>
        <v/>
      </c>
      <c r="T19" s="1535"/>
      <c r="U19" s="1539" t="str">
        <f t="shared" si="12"/>
        <v/>
      </c>
      <c r="V19" s="1540" t="str">
        <f t="shared" si="3"/>
        <v/>
      </c>
      <c r="W19" s="1534" t="str">
        <f t="shared" si="4"/>
        <v/>
      </c>
      <c r="X19" s="1535"/>
      <c r="Y19" s="1539" t="str">
        <f t="shared" si="9"/>
        <v/>
      </c>
      <c r="Z19" s="1540" t="str">
        <f t="shared" si="5"/>
        <v/>
      </c>
      <c r="AA19" s="1534" t="str">
        <f t="shared" si="6"/>
        <v/>
      </c>
      <c r="AB19" s="1535"/>
      <c r="AC19" s="1539" t="str">
        <f t="shared" si="10"/>
        <v/>
      </c>
      <c r="AD19" s="1540" t="str">
        <f t="shared" si="7"/>
        <v/>
      </c>
      <c r="AE19" s="1534" t="str">
        <f t="shared" si="8"/>
        <v/>
      </c>
      <c r="AF19" s="1535"/>
      <c r="AG19" s="1539" t="str">
        <f t="shared" si="11"/>
        <v/>
      </c>
    </row>
    <row r="20" spans="1:33">
      <c r="B20" s="1305"/>
      <c r="C20" s="1305"/>
      <c r="D20" s="1744" t="s">
        <v>1053</v>
      </c>
      <c r="E20" s="1054" t="s">
        <v>88</v>
      </c>
      <c r="F20" s="1727">
        <f t="shared" si="0"/>
        <v>0</v>
      </c>
      <c r="G20" s="1197"/>
      <c r="H20" s="1197"/>
      <c r="I20" s="1197"/>
      <c r="J20" s="1198"/>
      <c r="L20" s="2167"/>
      <c r="M20" s="2168"/>
      <c r="N20" s="2169"/>
      <c r="O20" s="2086"/>
      <c r="P20" s="2087"/>
      <c r="Q20" s="2159"/>
      <c r="R20" s="1540" t="str">
        <f t="shared" si="1"/>
        <v/>
      </c>
      <c r="S20" s="1534" t="str">
        <f t="shared" si="2"/>
        <v/>
      </c>
      <c r="T20" s="1535"/>
      <c r="U20" s="1539" t="str">
        <f t="shared" si="12"/>
        <v/>
      </c>
      <c r="V20" s="1540" t="str">
        <f t="shared" si="3"/>
        <v/>
      </c>
      <c r="W20" s="1534" t="str">
        <f t="shared" si="4"/>
        <v/>
      </c>
      <c r="X20" s="1535"/>
      <c r="Y20" s="1539" t="str">
        <f t="shared" si="9"/>
        <v/>
      </c>
      <c r="Z20" s="1540" t="str">
        <f t="shared" si="5"/>
        <v/>
      </c>
      <c r="AA20" s="1534" t="str">
        <f t="shared" si="6"/>
        <v/>
      </c>
      <c r="AB20" s="1535"/>
      <c r="AC20" s="1539" t="str">
        <f t="shared" si="10"/>
        <v/>
      </c>
      <c r="AD20" s="1540" t="str">
        <f t="shared" si="7"/>
        <v/>
      </c>
      <c r="AE20" s="1534" t="str">
        <f t="shared" si="8"/>
        <v/>
      </c>
      <c r="AF20" s="1535"/>
      <c r="AG20" s="1539" t="str">
        <f t="shared" si="11"/>
        <v/>
      </c>
    </row>
    <row r="21" spans="1:33">
      <c r="B21" s="1305"/>
      <c r="C21" s="1305"/>
      <c r="D21" s="1744" t="s">
        <v>1053</v>
      </c>
      <c r="E21" s="1054" t="s">
        <v>88</v>
      </c>
      <c r="F21" s="1727">
        <f t="shared" si="0"/>
        <v>0</v>
      </c>
      <c r="G21" s="1197"/>
      <c r="H21" s="1197"/>
      <c r="I21" s="1197"/>
      <c r="J21" s="1198"/>
      <c r="L21" s="2167"/>
      <c r="M21" s="2168"/>
      <c r="N21" s="2169"/>
      <c r="O21" s="2086"/>
      <c r="P21" s="2087"/>
      <c r="Q21" s="2159"/>
      <c r="R21" s="1540" t="str">
        <f t="shared" si="1"/>
        <v/>
      </c>
      <c r="S21" s="1534" t="str">
        <f t="shared" si="2"/>
        <v/>
      </c>
      <c r="T21" s="1535"/>
      <c r="U21" s="1539" t="str">
        <f t="shared" si="12"/>
        <v/>
      </c>
      <c r="V21" s="1540" t="str">
        <f t="shared" si="3"/>
        <v/>
      </c>
      <c r="W21" s="1534" t="str">
        <f t="shared" si="4"/>
        <v/>
      </c>
      <c r="X21" s="1535"/>
      <c r="Y21" s="1539" t="str">
        <f t="shared" si="9"/>
        <v/>
      </c>
      <c r="Z21" s="1540" t="str">
        <f t="shared" si="5"/>
        <v/>
      </c>
      <c r="AA21" s="1534" t="str">
        <f t="shared" si="6"/>
        <v/>
      </c>
      <c r="AB21" s="1535"/>
      <c r="AC21" s="1539" t="str">
        <f t="shared" si="10"/>
        <v/>
      </c>
      <c r="AD21" s="1540" t="str">
        <f t="shared" si="7"/>
        <v/>
      </c>
      <c r="AE21" s="1534" t="str">
        <f t="shared" si="8"/>
        <v/>
      </c>
      <c r="AF21" s="1535"/>
      <c r="AG21" s="1539" t="str">
        <f t="shared" si="11"/>
        <v/>
      </c>
    </row>
    <row r="22" spans="1:33">
      <c r="B22" s="1305"/>
      <c r="C22" s="1305"/>
      <c r="D22" s="1744" t="s">
        <v>1053</v>
      </c>
      <c r="E22" s="1054" t="s">
        <v>88</v>
      </c>
      <c r="F22" s="1727">
        <f t="shared" si="0"/>
        <v>0</v>
      </c>
      <c r="G22" s="1197"/>
      <c r="H22" s="1197"/>
      <c r="I22" s="1197"/>
      <c r="J22" s="1198"/>
      <c r="L22" s="2167"/>
      <c r="M22" s="2168"/>
      <c r="N22" s="2169"/>
      <c r="O22" s="2086"/>
      <c r="P22" s="2087"/>
      <c r="Q22" s="2159"/>
      <c r="R22" s="1540" t="str">
        <f t="shared" si="1"/>
        <v/>
      </c>
      <c r="S22" s="1534" t="str">
        <f t="shared" si="2"/>
        <v/>
      </c>
      <c r="T22" s="1535"/>
      <c r="U22" s="1539" t="str">
        <f t="shared" si="12"/>
        <v/>
      </c>
      <c r="V22" s="1540" t="str">
        <f t="shared" si="3"/>
        <v/>
      </c>
      <c r="W22" s="1534" t="str">
        <f t="shared" si="4"/>
        <v/>
      </c>
      <c r="X22" s="1535"/>
      <c r="Y22" s="1539" t="str">
        <f t="shared" si="9"/>
        <v/>
      </c>
      <c r="Z22" s="1540" t="str">
        <f t="shared" si="5"/>
        <v/>
      </c>
      <c r="AA22" s="1534" t="str">
        <f t="shared" si="6"/>
        <v/>
      </c>
      <c r="AB22" s="1535"/>
      <c r="AC22" s="1539" t="str">
        <f t="shared" si="10"/>
        <v/>
      </c>
      <c r="AD22" s="1540" t="str">
        <f t="shared" si="7"/>
        <v/>
      </c>
      <c r="AE22" s="1534" t="str">
        <f t="shared" si="8"/>
        <v/>
      </c>
      <c r="AF22" s="1535"/>
      <c r="AG22" s="1539" t="str">
        <f t="shared" si="11"/>
        <v/>
      </c>
    </row>
    <row r="23" spans="1:33">
      <c r="A23" s="1666" t="s">
        <v>1487</v>
      </c>
      <c r="B23" s="1305"/>
      <c r="C23" s="1305"/>
      <c r="D23" s="1744" t="s">
        <v>1053</v>
      </c>
      <c r="E23" s="1054" t="s">
        <v>88</v>
      </c>
      <c r="F23" s="1727">
        <f t="shared" si="0"/>
        <v>0</v>
      </c>
      <c r="G23" s="1197"/>
      <c r="H23" s="1197"/>
      <c r="I23" s="1197"/>
      <c r="J23" s="1198"/>
      <c r="L23" s="2167"/>
      <c r="M23" s="2168"/>
      <c r="N23" s="2169"/>
      <c r="O23" s="2086"/>
      <c r="P23" s="2087"/>
      <c r="Q23" s="2159"/>
      <c r="R23" s="1540" t="str">
        <f t="shared" si="1"/>
        <v/>
      </c>
      <c r="S23" s="1534" t="str">
        <f t="shared" si="2"/>
        <v/>
      </c>
      <c r="T23" s="1535"/>
      <c r="U23" s="1539" t="str">
        <f t="shared" si="12"/>
        <v/>
      </c>
      <c r="V23" s="1540" t="str">
        <f t="shared" si="3"/>
        <v/>
      </c>
      <c r="W23" s="1534" t="str">
        <f t="shared" si="4"/>
        <v/>
      </c>
      <c r="X23" s="1535"/>
      <c r="Y23" s="1539" t="str">
        <f t="shared" si="9"/>
        <v/>
      </c>
      <c r="Z23" s="1540" t="str">
        <f t="shared" si="5"/>
        <v/>
      </c>
      <c r="AA23" s="1534" t="str">
        <f t="shared" si="6"/>
        <v/>
      </c>
      <c r="AB23" s="1535"/>
      <c r="AC23" s="1539" t="str">
        <f t="shared" si="10"/>
        <v/>
      </c>
      <c r="AD23" s="1540" t="str">
        <f t="shared" si="7"/>
        <v/>
      </c>
      <c r="AE23" s="1534" t="str">
        <f t="shared" si="8"/>
        <v/>
      </c>
      <c r="AF23" s="1535"/>
      <c r="AG23" s="1539" t="str">
        <f t="shared" si="11"/>
        <v/>
      </c>
    </row>
    <row r="24" spans="1:33">
      <c r="B24" s="1306"/>
      <c r="C24" s="1306"/>
      <c r="D24" s="1745" t="s">
        <v>1053</v>
      </c>
      <c r="E24" s="1055" t="s">
        <v>88</v>
      </c>
      <c r="F24" s="1728">
        <f t="shared" si="0"/>
        <v>0</v>
      </c>
      <c r="G24" s="1200"/>
      <c r="H24" s="1200"/>
      <c r="I24" s="1200"/>
      <c r="J24" s="1201"/>
      <c r="L24" s="2170"/>
      <c r="M24" s="2171"/>
      <c r="N24" s="2172"/>
      <c r="O24" s="2088"/>
      <c r="P24" s="2089"/>
      <c r="Q24" s="2158"/>
      <c r="R24" s="1542" t="str">
        <f t="shared" si="1"/>
        <v/>
      </c>
      <c r="S24" s="1551" t="str">
        <f t="shared" si="2"/>
        <v/>
      </c>
      <c r="T24" s="1578"/>
      <c r="U24" s="1541" t="str">
        <f t="shared" si="12"/>
        <v/>
      </c>
      <c r="V24" s="1542" t="str">
        <f t="shared" si="3"/>
        <v/>
      </c>
      <c r="W24" s="1551" t="str">
        <f t="shared" si="4"/>
        <v/>
      </c>
      <c r="X24" s="1578"/>
      <c r="Y24" s="1541" t="str">
        <f t="shared" si="9"/>
        <v/>
      </c>
      <c r="Z24" s="1542" t="str">
        <f t="shared" si="5"/>
        <v/>
      </c>
      <c r="AA24" s="1551" t="str">
        <f t="shared" si="6"/>
        <v/>
      </c>
      <c r="AB24" s="1578"/>
      <c r="AC24" s="1541" t="str">
        <f t="shared" si="10"/>
        <v/>
      </c>
      <c r="AD24" s="1542" t="str">
        <f t="shared" si="7"/>
        <v/>
      </c>
      <c r="AE24" s="1551" t="str">
        <f t="shared" si="8"/>
        <v/>
      </c>
      <c r="AF24" s="1578"/>
      <c r="AG24" s="1541" t="str">
        <f t="shared" si="11"/>
        <v/>
      </c>
    </row>
    <row r="25" spans="1:33">
      <c r="B25" s="627"/>
      <c r="C25" s="627"/>
      <c r="D25" s="1092" t="s">
        <v>1086</v>
      </c>
      <c r="E25" s="1308"/>
      <c r="F25" s="627"/>
      <c r="G25" s="627"/>
      <c r="H25" s="627"/>
      <c r="I25" s="627"/>
      <c r="J25" s="627"/>
    </row>
    <row r="26" spans="1:33">
      <c r="B26" s="1104"/>
      <c r="C26" s="1305"/>
      <c r="D26" s="1251" t="s">
        <v>1226</v>
      </c>
      <c r="E26" s="1053" t="s">
        <v>88</v>
      </c>
      <c r="F26" s="1726">
        <f t="shared" ref="F26:F27" si="13">SUM(G26:J26)</f>
        <v>0</v>
      </c>
      <c r="G26" s="1193"/>
      <c r="H26" s="1193"/>
      <c r="I26" s="1193"/>
      <c r="J26" s="1194"/>
      <c r="L26" s="2164"/>
      <c r="M26" s="2165"/>
      <c r="N26" s="2166"/>
      <c r="O26" s="2081"/>
      <c r="P26" s="2082"/>
      <c r="Q26" s="2157"/>
      <c r="R26" s="1561" t="str">
        <f>IF(ISNONTEXT(G26)=TRUE,"","X")</f>
        <v/>
      </c>
      <c r="S26" s="1559" t="str">
        <f>IF(AND(G26&gt;=0)=TRUE,"","X")</f>
        <v/>
      </c>
      <c r="T26" s="1559" t="str">
        <f>IF(G26&lt;&gt;""=TRUE,"","X")</f>
        <v>X</v>
      </c>
      <c r="U26" s="1584"/>
      <c r="V26" s="1561" t="str">
        <f>IF(ISNONTEXT(H26)=TRUE,"","X")</f>
        <v/>
      </c>
      <c r="W26" s="1559" t="str">
        <f>IF(AND(H26&gt;=0)=TRUE,"","X")</f>
        <v/>
      </c>
      <c r="X26" s="1559" t="str">
        <f>IF(H26&lt;&gt;""=TRUE,"","X")</f>
        <v>X</v>
      </c>
      <c r="Y26" s="1584"/>
      <c r="Z26" s="1561" t="str">
        <f>IF(ISNONTEXT(I26)=TRUE,"","X")</f>
        <v/>
      </c>
      <c r="AA26" s="1559" t="str">
        <f>IF(AND(I26&gt;=0)=TRUE,"","X")</f>
        <v/>
      </c>
      <c r="AB26" s="1559" t="str">
        <f>IF(I26&lt;&gt;""=TRUE,"","X")</f>
        <v>X</v>
      </c>
      <c r="AC26" s="1584"/>
      <c r="AD26" s="1561" t="str">
        <f>IF(ISNONTEXT(J26)=TRUE,"","X")</f>
        <v/>
      </c>
      <c r="AE26" s="1559" t="str">
        <f>IF(AND(J26&gt;=0)=TRUE,"","X")</f>
        <v/>
      </c>
      <c r="AF26" s="1559" t="str">
        <f>IF(J26&lt;&gt;""=TRUE,"","X")</f>
        <v>X</v>
      </c>
      <c r="AG26" s="1584"/>
    </row>
    <row r="27" spans="1:33">
      <c r="B27" s="1306"/>
      <c r="C27" s="1306"/>
      <c r="D27" s="1136" t="s">
        <v>1239</v>
      </c>
      <c r="E27" s="1055" t="s">
        <v>88</v>
      </c>
      <c r="F27" s="1728">
        <f t="shared" si="13"/>
        <v>0</v>
      </c>
      <c r="G27" s="1200"/>
      <c r="H27" s="1200"/>
      <c r="I27" s="1200"/>
      <c r="J27" s="1201"/>
      <c r="L27" s="2173"/>
      <c r="M27" s="2174"/>
      <c r="N27" s="2175"/>
      <c r="O27" s="2088"/>
      <c r="P27" s="2089"/>
      <c r="Q27" s="2158"/>
      <c r="R27" s="1542" t="str">
        <f>IF(ISNONTEXT(G27)=TRUE,"","X")</f>
        <v/>
      </c>
      <c r="S27" s="1551" t="str">
        <f>IF(AND(G27&gt;=0)=TRUE,"","X")</f>
        <v/>
      </c>
      <c r="T27" s="1551" t="str">
        <f>IF(G27&lt;&gt;""=TRUE,"","X")</f>
        <v>X</v>
      </c>
      <c r="U27" s="1579"/>
      <c r="V27" s="1542" t="str">
        <f>IF(ISNONTEXT(H27)=TRUE,"","X")</f>
        <v/>
      </c>
      <c r="W27" s="1551" t="str">
        <f>IF(AND(H27&gt;=0)=TRUE,"","X")</f>
        <v/>
      </c>
      <c r="X27" s="1551" t="str">
        <f>IF(H27&lt;&gt;""=TRUE,"","X")</f>
        <v>X</v>
      </c>
      <c r="Y27" s="1579"/>
      <c r="Z27" s="1542" t="str">
        <f>IF(ISNONTEXT(I27)=TRUE,"","X")</f>
        <v/>
      </c>
      <c r="AA27" s="1551" t="str">
        <f>IF(AND(I27&gt;=0)=TRUE,"","X")</f>
        <v/>
      </c>
      <c r="AB27" s="1551" t="str">
        <f>IF(I27&lt;&gt;""=TRUE,"","X")</f>
        <v>X</v>
      </c>
      <c r="AC27" s="1579"/>
      <c r="AD27" s="1542" t="str">
        <f>IF(ISNONTEXT(J27)=TRUE,"","X")</f>
        <v/>
      </c>
      <c r="AE27" s="1551" t="str">
        <f>IF(AND(J27&gt;=0)=TRUE,"","X")</f>
        <v/>
      </c>
      <c r="AF27" s="1551" t="str">
        <f>IF(J27&lt;&gt;""=TRUE,"","X")</f>
        <v>X</v>
      </c>
      <c r="AG27" s="1579"/>
    </row>
    <row r="28" spans="1:33">
      <c r="B28" s="1307"/>
      <c r="C28" s="1307"/>
      <c r="D28" s="1092" t="s">
        <v>1085</v>
      </c>
      <c r="E28" s="970"/>
      <c r="F28" s="970"/>
      <c r="G28" s="627"/>
      <c r="H28" s="627"/>
      <c r="I28" s="627"/>
      <c r="J28" s="627"/>
    </row>
    <row r="29" spans="1:33">
      <c r="B29" s="1305"/>
      <c r="C29" s="1305"/>
      <c r="D29" s="1191" t="s">
        <v>1240</v>
      </c>
      <c r="E29" s="1192" t="s">
        <v>88</v>
      </c>
      <c r="F29" s="1726">
        <f t="shared" ref="F29:F40" si="14">SUM(G29:J29)</f>
        <v>0</v>
      </c>
      <c r="G29" s="1193"/>
      <c r="H29" s="1193"/>
      <c r="I29" s="1193"/>
      <c r="J29" s="1194"/>
      <c r="L29" s="2164"/>
      <c r="M29" s="2165"/>
      <c r="N29" s="2166"/>
      <c r="O29" s="2081"/>
      <c r="P29" s="2082"/>
      <c r="Q29" s="2160"/>
      <c r="R29" s="1561" t="str">
        <f>IF(ISNONTEXT(G29)=TRUE,"","X")</f>
        <v/>
      </c>
      <c r="S29" s="1559" t="str">
        <f>IF(AND(G29&gt;=0)=TRUE,"","X")</f>
        <v/>
      </c>
      <c r="T29" s="1559" t="str">
        <f>IF(G29&lt;&gt;""=TRUE,"","X")</f>
        <v>X</v>
      </c>
      <c r="U29" s="1584"/>
      <c r="V29" s="1561" t="str">
        <f>IF(ISNONTEXT(H29)=TRUE,"","X")</f>
        <v/>
      </c>
      <c r="W29" s="1559" t="str">
        <f>IF(AND(H29&gt;=0)=TRUE,"","X")</f>
        <v/>
      </c>
      <c r="X29" s="1559" t="str">
        <f>IF(H29&lt;&gt;""=TRUE,"","X")</f>
        <v>X</v>
      </c>
      <c r="Y29" s="1584"/>
      <c r="Z29" s="1561" t="str">
        <f>IF(ISNONTEXT(I29)=TRUE,"","X")</f>
        <v/>
      </c>
      <c r="AA29" s="1559" t="str">
        <f>IF(AND(I29&gt;=0)=TRUE,"","X")</f>
        <v/>
      </c>
      <c r="AB29" s="1559" t="str">
        <f>IF(I29&lt;&gt;""=TRUE,"","X")</f>
        <v>X</v>
      </c>
      <c r="AC29" s="1584"/>
      <c r="AD29" s="1561" t="str">
        <f>IF(ISNONTEXT(J29)=TRUE,"","X")</f>
        <v/>
      </c>
      <c r="AE29" s="1559" t="str">
        <f>IF(AND(J29&gt;=0)=TRUE,"","X")</f>
        <v/>
      </c>
      <c r="AF29" s="1559" t="str">
        <f>IF(J29&lt;&gt;""=TRUE,"","X")</f>
        <v>X</v>
      </c>
      <c r="AG29" s="1584"/>
    </row>
    <row r="30" spans="1:33">
      <c r="B30" s="1305"/>
      <c r="C30" s="1305"/>
      <c r="D30" s="1195" t="s">
        <v>1241</v>
      </c>
      <c r="E30" s="1196" t="s">
        <v>88</v>
      </c>
      <c r="F30" s="1727">
        <f t="shared" si="14"/>
        <v>0</v>
      </c>
      <c r="G30" s="1197"/>
      <c r="H30" s="1197"/>
      <c r="I30" s="1197"/>
      <c r="J30" s="1198"/>
      <c r="L30" s="2176"/>
      <c r="M30" s="2177"/>
      <c r="N30" s="2178"/>
      <c r="O30" s="2086"/>
      <c r="P30" s="2087"/>
      <c r="Q30" s="2156"/>
      <c r="R30" s="1540" t="str">
        <f>IF(ISNONTEXT(G30)=TRUE,"","X")</f>
        <v/>
      </c>
      <c r="S30" s="1534" t="str">
        <f>IF(AND(G30&gt;=0)=TRUE,"","X")</f>
        <v/>
      </c>
      <c r="T30" s="1534" t="str">
        <f>IF(G30&lt;&gt;""=TRUE,"","X")</f>
        <v>X</v>
      </c>
      <c r="U30" s="1537"/>
      <c r="V30" s="1540" t="str">
        <f>IF(ISNONTEXT(H30)=TRUE,"","X")</f>
        <v/>
      </c>
      <c r="W30" s="1534" t="str">
        <f>IF(AND(H30&gt;=0)=TRUE,"","X")</f>
        <v/>
      </c>
      <c r="X30" s="1534" t="str">
        <f>IF(H30&lt;&gt;""=TRUE,"","X")</f>
        <v>X</v>
      </c>
      <c r="Y30" s="1537"/>
      <c r="Z30" s="1540" t="str">
        <f>IF(ISNONTEXT(I30)=TRUE,"","X")</f>
        <v/>
      </c>
      <c r="AA30" s="1534" t="str">
        <f>IF(AND(I30&gt;=0)=TRUE,"","X")</f>
        <v/>
      </c>
      <c r="AB30" s="1534" t="str">
        <f>IF(I30&lt;&gt;""=TRUE,"","X")</f>
        <v>X</v>
      </c>
      <c r="AC30" s="1537"/>
      <c r="AD30" s="1540" t="str">
        <f>IF(ISNONTEXT(J30)=TRUE,"","X")</f>
        <v/>
      </c>
      <c r="AE30" s="1534" t="str">
        <f>IF(AND(J30&gt;=0)=TRUE,"","X")</f>
        <v/>
      </c>
      <c r="AF30" s="1534" t="str">
        <f>IF(J30&lt;&gt;""=TRUE,"","X")</f>
        <v>X</v>
      </c>
      <c r="AG30" s="1537"/>
    </row>
    <row r="31" spans="1:33">
      <c r="B31" s="1305"/>
      <c r="C31" s="1305"/>
      <c r="D31" s="1195" t="s">
        <v>1242</v>
      </c>
      <c r="E31" s="1196" t="s">
        <v>88</v>
      </c>
      <c r="F31" s="1727">
        <f t="shared" si="14"/>
        <v>0</v>
      </c>
      <c r="G31" s="1197"/>
      <c r="H31" s="1197"/>
      <c r="I31" s="1197"/>
      <c r="J31" s="1198"/>
      <c r="L31" s="2176"/>
      <c r="M31" s="2177"/>
      <c r="N31" s="2178"/>
      <c r="O31" s="2086"/>
      <c r="P31" s="2087"/>
      <c r="Q31" s="2156"/>
      <c r="R31" s="1540" t="str">
        <f>IF(ISNONTEXT(G31)=TRUE,"","X")</f>
        <v/>
      </c>
      <c r="S31" s="1534" t="str">
        <f>IF(AND(G31&gt;=0)=TRUE,"","X")</f>
        <v/>
      </c>
      <c r="T31" s="1534" t="str">
        <f>IF(G31&lt;&gt;""=TRUE,"","X")</f>
        <v>X</v>
      </c>
      <c r="U31" s="1537"/>
      <c r="V31" s="1540" t="str">
        <f>IF(ISNONTEXT(H31)=TRUE,"","X")</f>
        <v/>
      </c>
      <c r="W31" s="1534" t="str">
        <f>IF(AND(H31&gt;=0)=TRUE,"","X")</f>
        <v/>
      </c>
      <c r="X31" s="1534" t="str">
        <f>IF(H31&lt;&gt;""=TRUE,"","X")</f>
        <v>X</v>
      </c>
      <c r="Y31" s="1537"/>
      <c r="Z31" s="1540" t="str">
        <f>IF(ISNONTEXT(I31)=TRUE,"","X")</f>
        <v/>
      </c>
      <c r="AA31" s="1534" t="str">
        <f>IF(AND(I31&gt;=0)=TRUE,"","X")</f>
        <v/>
      </c>
      <c r="AB31" s="1534" t="str">
        <f>IF(I31&lt;&gt;""=TRUE,"","X")</f>
        <v>X</v>
      </c>
      <c r="AC31" s="1537"/>
      <c r="AD31" s="1540" t="str">
        <f>IF(ISNONTEXT(J31)=TRUE,"","X")</f>
        <v/>
      </c>
      <c r="AE31" s="1534" t="str">
        <f>IF(AND(J31&gt;=0)=TRUE,"","X")</f>
        <v/>
      </c>
      <c r="AF31" s="1534" t="str">
        <f>IF(J31&lt;&gt;""=TRUE,"","X")</f>
        <v>X</v>
      </c>
      <c r="AG31" s="1537"/>
    </row>
    <row r="32" spans="1:33">
      <c r="B32" s="1306"/>
      <c r="C32" s="1306"/>
      <c r="D32" s="1744" t="s">
        <v>1053</v>
      </c>
      <c r="E32" s="1196" t="s">
        <v>88</v>
      </c>
      <c r="F32" s="1727">
        <f t="shared" si="14"/>
        <v>0</v>
      </c>
      <c r="G32" s="1197"/>
      <c r="H32" s="1197"/>
      <c r="I32" s="1197"/>
      <c r="J32" s="1198"/>
      <c r="L32" s="2167" t="s">
        <v>1455</v>
      </c>
      <c r="M32" s="2168"/>
      <c r="N32" s="2169"/>
      <c r="O32" s="2086"/>
      <c r="P32" s="2087"/>
      <c r="Q32" s="2156"/>
      <c r="R32" s="1540" t="str">
        <f t="shared" ref="R32" si="15">IF(ISNONTEXT(G32)=TRUE,"","X")</f>
        <v/>
      </c>
      <c r="S32" s="1534" t="str">
        <f t="shared" ref="S32" si="16">IF(AND(G32&gt;=0)=TRUE,"","X")</f>
        <v/>
      </c>
      <c r="T32" s="1535"/>
      <c r="U32" s="1539" t="str">
        <f>IF(AND(D32&lt;&gt;"",LEFT(D32,5)&lt;&gt;"&lt;TNSP",ISBLANK(G32))=TRUE,"X","")</f>
        <v/>
      </c>
      <c r="V32" s="1540" t="str">
        <f t="shared" ref="V32" si="17">IF(ISNONTEXT(H32)=TRUE,"","X")</f>
        <v/>
      </c>
      <c r="W32" s="1534" t="str">
        <f t="shared" ref="W32" si="18">IF(AND(H32&gt;=0)=TRUE,"","X")</f>
        <v/>
      </c>
      <c r="X32" s="1535"/>
      <c r="Y32" s="1539" t="str">
        <f>IF(AND(D32&lt;&gt;"",LEFT(D32,5)&lt;&gt;"&lt;TNSP",ISBLANK(H32))=TRUE,"X","")</f>
        <v/>
      </c>
      <c r="Z32" s="1540" t="str">
        <f t="shared" ref="Z32" si="19">IF(ISNONTEXT(I32)=TRUE,"","X")</f>
        <v/>
      </c>
      <c r="AA32" s="1534" t="str">
        <f t="shared" ref="AA32" si="20">IF(AND(I32&gt;=0)=TRUE,"","X")</f>
        <v/>
      </c>
      <c r="AB32" s="1535"/>
      <c r="AC32" s="1539" t="str">
        <f>IF(AND(D32&lt;&gt;"",LEFT(D32,5)&lt;&gt;"&lt;TNSP",ISBLANK(I32))=TRUE,"X","")</f>
        <v/>
      </c>
      <c r="AD32" s="1540" t="str">
        <f>IF(ISNONTEXT(J32)=TRUE,"","X")</f>
        <v/>
      </c>
      <c r="AE32" s="1534" t="str">
        <f t="shared" ref="AE32" si="21">IF(AND(J32&gt;=0)=TRUE,"","X")</f>
        <v/>
      </c>
      <c r="AF32" s="1535"/>
      <c r="AG32" s="1539" t="str">
        <f>IF(AND(D32&lt;&gt;"",LEFT(D32,5)&lt;&gt;"&lt;TNSP",ISBLANK(J32))=TRUE,"X","")</f>
        <v/>
      </c>
    </row>
    <row r="33" spans="1:33">
      <c r="B33" s="1305"/>
      <c r="C33" s="1305"/>
      <c r="D33" s="1744" t="s">
        <v>1053</v>
      </c>
      <c r="E33" s="1196" t="s">
        <v>88</v>
      </c>
      <c r="F33" s="1727">
        <f t="shared" si="14"/>
        <v>0</v>
      </c>
      <c r="G33" s="1197"/>
      <c r="H33" s="1197"/>
      <c r="I33" s="1197"/>
      <c r="J33" s="1198"/>
      <c r="L33" s="2167"/>
      <c r="M33" s="2168"/>
      <c r="N33" s="2169"/>
      <c r="O33" s="2086"/>
      <c r="P33" s="2087"/>
      <c r="Q33" s="2156"/>
      <c r="R33" s="1540" t="str">
        <f t="shared" ref="R33:R40" si="22">IF(ISNONTEXT(G33)=TRUE,"","X")</f>
        <v/>
      </c>
      <c r="S33" s="1534" t="str">
        <f t="shared" ref="S33:S40" si="23">IF(AND(G33&gt;=0)=TRUE,"","X")</f>
        <v/>
      </c>
      <c r="T33" s="1535"/>
      <c r="U33" s="1539" t="str">
        <f t="shared" ref="U33:U40" si="24">IF(AND(D33&lt;&gt;"",LEFT(D33,5)&lt;&gt;"&lt;TNSP",ISBLANK(G33))=TRUE,"X","")</f>
        <v/>
      </c>
      <c r="V33" s="1540" t="str">
        <f t="shared" ref="V33:V40" si="25">IF(ISNONTEXT(H33)=TRUE,"","X")</f>
        <v/>
      </c>
      <c r="W33" s="1534" t="str">
        <f t="shared" ref="W33:W40" si="26">IF(AND(H33&gt;=0)=TRUE,"","X")</f>
        <v/>
      </c>
      <c r="X33" s="1535"/>
      <c r="Y33" s="1539" t="str">
        <f t="shared" ref="Y33:Y40" si="27">IF(AND(D33&lt;&gt;"",LEFT(D33,5)&lt;&gt;"&lt;TNSP",ISBLANK(H33))=TRUE,"X","")</f>
        <v/>
      </c>
      <c r="Z33" s="1540" t="str">
        <f t="shared" ref="Z33:Z40" si="28">IF(ISNONTEXT(I33)=TRUE,"","X")</f>
        <v/>
      </c>
      <c r="AA33" s="1534" t="str">
        <f t="shared" ref="AA33:AA40" si="29">IF(AND(I33&gt;=0)=TRUE,"","X")</f>
        <v/>
      </c>
      <c r="AB33" s="1535"/>
      <c r="AC33" s="1539" t="str">
        <f t="shared" ref="AC33:AC40" si="30">IF(AND(D33&lt;&gt;"",LEFT(D33,5)&lt;&gt;"&lt;TNSP",ISBLANK(I33))=TRUE,"X","")</f>
        <v/>
      </c>
      <c r="AD33" s="1540" t="str">
        <f t="shared" ref="AD33:AD40" si="31">IF(ISNONTEXT(J33)=TRUE,"","X")</f>
        <v/>
      </c>
      <c r="AE33" s="1534" t="str">
        <f t="shared" ref="AE33:AE40" si="32">IF(AND(J33&gt;=0)=TRUE,"","X")</f>
        <v/>
      </c>
      <c r="AF33" s="1535"/>
      <c r="AG33" s="1539" t="str">
        <f t="shared" ref="AG33:AG40" si="33">IF(AND(D33&lt;&gt;"",LEFT(D33,5)&lt;&gt;"&lt;TNSP",ISBLANK(J33))=TRUE,"X","")</f>
        <v/>
      </c>
    </row>
    <row r="34" spans="1:33">
      <c r="B34" s="1305"/>
      <c r="C34" s="1305"/>
      <c r="D34" s="1744" t="s">
        <v>1053</v>
      </c>
      <c r="E34" s="1196" t="s">
        <v>88</v>
      </c>
      <c r="F34" s="1727">
        <f t="shared" si="14"/>
        <v>0</v>
      </c>
      <c r="G34" s="1197"/>
      <c r="H34" s="1197"/>
      <c r="I34" s="1197"/>
      <c r="J34" s="1198"/>
      <c r="L34" s="2167"/>
      <c r="M34" s="2168"/>
      <c r="N34" s="2169"/>
      <c r="O34" s="2086"/>
      <c r="P34" s="2087"/>
      <c r="Q34" s="2156"/>
      <c r="R34" s="1540" t="str">
        <f t="shared" si="22"/>
        <v/>
      </c>
      <c r="S34" s="1534" t="str">
        <f t="shared" si="23"/>
        <v/>
      </c>
      <c r="T34" s="1535"/>
      <c r="U34" s="1539" t="str">
        <f t="shared" si="24"/>
        <v/>
      </c>
      <c r="V34" s="1540" t="str">
        <f t="shared" si="25"/>
        <v/>
      </c>
      <c r="W34" s="1534" t="str">
        <f t="shared" si="26"/>
        <v/>
      </c>
      <c r="X34" s="1535"/>
      <c r="Y34" s="1539" t="str">
        <f t="shared" si="27"/>
        <v/>
      </c>
      <c r="Z34" s="1540" t="str">
        <f t="shared" si="28"/>
        <v/>
      </c>
      <c r="AA34" s="1534" t="str">
        <f t="shared" si="29"/>
        <v/>
      </c>
      <c r="AB34" s="1535"/>
      <c r="AC34" s="1539" t="str">
        <f t="shared" si="30"/>
        <v/>
      </c>
      <c r="AD34" s="1540" t="str">
        <f t="shared" si="31"/>
        <v/>
      </c>
      <c r="AE34" s="1534" t="str">
        <f t="shared" si="32"/>
        <v/>
      </c>
      <c r="AF34" s="1535"/>
      <c r="AG34" s="1539" t="str">
        <f t="shared" si="33"/>
        <v/>
      </c>
    </row>
    <row r="35" spans="1:33">
      <c r="B35" s="1305"/>
      <c r="C35" s="1305"/>
      <c r="D35" s="1744" t="s">
        <v>1053</v>
      </c>
      <c r="E35" s="1196" t="s">
        <v>88</v>
      </c>
      <c r="F35" s="1727">
        <f t="shared" si="14"/>
        <v>0</v>
      </c>
      <c r="G35" s="1197"/>
      <c r="H35" s="1197"/>
      <c r="I35" s="1197"/>
      <c r="J35" s="1198"/>
      <c r="L35" s="2167"/>
      <c r="M35" s="2168"/>
      <c r="N35" s="2169"/>
      <c r="O35" s="2086"/>
      <c r="P35" s="2087"/>
      <c r="Q35" s="2156"/>
      <c r="R35" s="1540" t="str">
        <f t="shared" si="22"/>
        <v/>
      </c>
      <c r="S35" s="1534" t="str">
        <f t="shared" si="23"/>
        <v/>
      </c>
      <c r="T35" s="1535"/>
      <c r="U35" s="1539" t="str">
        <f t="shared" si="24"/>
        <v/>
      </c>
      <c r="V35" s="1540" t="str">
        <f t="shared" si="25"/>
        <v/>
      </c>
      <c r="W35" s="1534" t="str">
        <f t="shared" si="26"/>
        <v/>
      </c>
      <c r="X35" s="1535"/>
      <c r="Y35" s="1539" t="str">
        <f t="shared" si="27"/>
        <v/>
      </c>
      <c r="Z35" s="1540" t="str">
        <f t="shared" si="28"/>
        <v/>
      </c>
      <c r="AA35" s="1534" t="str">
        <f t="shared" si="29"/>
        <v/>
      </c>
      <c r="AB35" s="1535"/>
      <c r="AC35" s="1539" t="str">
        <f t="shared" si="30"/>
        <v/>
      </c>
      <c r="AD35" s="1540" t="str">
        <f t="shared" si="31"/>
        <v/>
      </c>
      <c r="AE35" s="1534" t="str">
        <f t="shared" si="32"/>
        <v/>
      </c>
      <c r="AF35" s="1535"/>
      <c r="AG35" s="1539" t="str">
        <f t="shared" si="33"/>
        <v/>
      </c>
    </row>
    <row r="36" spans="1:33">
      <c r="B36" s="1305"/>
      <c r="C36" s="1305"/>
      <c r="D36" s="1744" t="s">
        <v>1053</v>
      </c>
      <c r="E36" s="1196" t="s">
        <v>88</v>
      </c>
      <c r="F36" s="1727">
        <f t="shared" si="14"/>
        <v>0</v>
      </c>
      <c r="G36" s="1197"/>
      <c r="H36" s="1197"/>
      <c r="I36" s="1197"/>
      <c r="J36" s="1198"/>
      <c r="L36" s="2167"/>
      <c r="M36" s="2168"/>
      <c r="N36" s="2169"/>
      <c r="O36" s="2086"/>
      <c r="P36" s="2087"/>
      <c r="Q36" s="2156"/>
      <c r="R36" s="1540" t="str">
        <f t="shared" si="22"/>
        <v/>
      </c>
      <c r="S36" s="1534" t="str">
        <f t="shared" si="23"/>
        <v/>
      </c>
      <c r="T36" s="1535"/>
      <c r="U36" s="1539" t="str">
        <f t="shared" si="24"/>
        <v/>
      </c>
      <c r="V36" s="1540" t="str">
        <f t="shared" si="25"/>
        <v/>
      </c>
      <c r="W36" s="1534" t="str">
        <f t="shared" si="26"/>
        <v/>
      </c>
      <c r="X36" s="1535"/>
      <c r="Y36" s="1539" t="str">
        <f t="shared" si="27"/>
        <v/>
      </c>
      <c r="Z36" s="1540" t="str">
        <f t="shared" si="28"/>
        <v/>
      </c>
      <c r="AA36" s="1534" t="str">
        <f t="shared" si="29"/>
        <v/>
      </c>
      <c r="AB36" s="1535"/>
      <c r="AC36" s="1539" t="str">
        <f t="shared" si="30"/>
        <v/>
      </c>
      <c r="AD36" s="1540" t="str">
        <f t="shared" si="31"/>
        <v/>
      </c>
      <c r="AE36" s="1534" t="str">
        <f t="shared" si="32"/>
        <v/>
      </c>
      <c r="AF36" s="1535"/>
      <c r="AG36" s="1539" t="str">
        <f t="shared" si="33"/>
        <v/>
      </c>
    </row>
    <row r="37" spans="1:33">
      <c r="B37" s="1305"/>
      <c r="C37" s="1305"/>
      <c r="D37" s="1744" t="s">
        <v>1053</v>
      </c>
      <c r="E37" s="1196" t="s">
        <v>88</v>
      </c>
      <c r="F37" s="1727">
        <f t="shared" si="14"/>
        <v>0</v>
      </c>
      <c r="G37" s="1197"/>
      <c r="H37" s="1197"/>
      <c r="I37" s="1197"/>
      <c r="J37" s="1198"/>
      <c r="L37" s="2167"/>
      <c r="M37" s="2168"/>
      <c r="N37" s="2169"/>
      <c r="O37" s="2086"/>
      <c r="P37" s="2087"/>
      <c r="Q37" s="2156"/>
      <c r="R37" s="1540" t="str">
        <f t="shared" si="22"/>
        <v/>
      </c>
      <c r="S37" s="1534" t="str">
        <f t="shared" si="23"/>
        <v/>
      </c>
      <c r="T37" s="1535"/>
      <c r="U37" s="1539" t="str">
        <f t="shared" si="24"/>
        <v/>
      </c>
      <c r="V37" s="1540" t="str">
        <f t="shared" si="25"/>
        <v/>
      </c>
      <c r="W37" s="1534" t="str">
        <f t="shared" si="26"/>
        <v/>
      </c>
      <c r="X37" s="1535"/>
      <c r="Y37" s="1539" t="str">
        <f t="shared" si="27"/>
        <v/>
      </c>
      <c r="Z37" s="1540" t="str">
        <f t="shared" si="28"/>
        <v/>
      </c>
      <c r="AA37" s="1534" t="str">
        <f t="shared" si="29"/>
        <v/>
      </c>
      <c r="AB37" s="1535"/>
      <c r="AC37" s="1539" t="str">
        <f t="shared" si="30"/>
        <v/>
      </c>
      <c r="AD37" s="1540" t="str">
        <f t="shared" si="31"/>
        <v/>
      </c>
      <c r="AE37" s="1534" t="str">
        <f t="shared" si="32"/>
        <v/>
      </c>
      <c r="AF37" s="1535"/>
      <c r="AG37" s="1539" t="str">
        <f t="shared" si="33"/>
        <v/>
      </c>
    </row>
    <row r="38" spans="1:33">
      <c r="B38" s="1305"/>
      <c r="C38" s="1305"/>
      <c r="D38" s="1744" t="s">
        <v>1053</v>
      </c>
      <c r="E38" s="1196" t="s">
        <v>88</v>
      </c>
      <c r="F38" s="1727">
        <f t="shared" si="14"/>
        <v>0</v>
      </c>
      <c r="G38" s="1197"/>
      <c r="H38" s="1197"/>
      <c r="I38" s="1197"/>
      <c r="J38" s="1198"/>
      <c r="L38" s="2167"/>
      <c r="M38" s="2168"/>
      <c r="N38" s="2169"/>
      <c r="O38" s="2086"/>
      <c r="P38" s="2087"/>
      <c r="Q38" s="2156"/>
      <c r="R38" s="1540" t="str">
        <f t="shared" si="22"/>
        <v/>
      </c>
      <c r="S38" s="1534" t="str">
        <f t="shared" si="23"/>
        <v/>
      </c>
      <c r="T38" s="1535"/>
      <c r="U38" s="1539" t="str">
        <f t="shared" si="24"/>
        <v/>
      </c>
      <c r="V38" s="1540" t="str">
        <f t="shared" si="25"/>
        <v/>
      </c>
      <c r="W38" s="1534" t="str">
        <f t="shared" si="26"/>
        <v/>
      </c>
      <c r="X38" s="1535"/>
      <c r="Y38" s="1539" t="str">
        <f t="shared" si="27"/>
        <v/>
      </c>
      <c r="Z38" s="1540" t="str">
        <f t="shared" si="28"/>
        <v/>
      </c>
      <c r="AA38" s="1534" t="str">
        <f t="shared" si="29"/>
        <v/>
      </c>
      <c r="AB38" s="1535"/>
      <c r="AC38" s="1539" t="str">
        <f t="shared" si="30"/>
        <v/>
      </c>
      <c r="AD38" s="1540" t="str">
        <f t="shared" si="31"/>
        <v/>
      </c>
      <c r="AE38" s="1534" t="str">
        <f t="shared" si="32"/>
        <v/>
      </c>
      <c r="AF38" s="1535"/>
      <c r="AG38" s="1539" t="str">
        <f t="shared" si="33"/>
        <v/>
      </c>
    </row>
    <row r="39" spans="1:33">
      <c r="A39" s="1666" t="s">
        <v>1487</v>
      </c>
      <c r="B39" s="1305"/>
      <c r="C39" s="1305"/>
      <c r="D39" s="1744" t="s">
        <v>1053</v>
      </c>
      <c r="E39" s="1196" t="s">
        <v>88</v>
      </c>
      <c r="F39" s="1727">
        <f t="shared" si="14"/>
        <v>0</v>
      </c>
      <c r="G39" s="1197"/>
      <c r="H39" s="1197"/>
      <c r="I39" s="1197"/>
      <c r="J39" s="1198"/>
      <c r="L39" s="2167"/>
      <c r="M39" s="2168"/>
      <c r="N39" s="2169"/>
      <c r="O39" s="2086"/>
      <c r="P39" s="2087"/>
      <c r="Q39" s="2156"/>
      <c r="R39" s="1540" t="str">
        <f t="shared" si="22"/>
        <v/>
      </c>
      <c r="S39" s="1534" t="str">
        <f t="shared" si="23"/>
        <v/>
      </c>
      <c r="T39" s="1535"/>
      <c r="U39" s="1539" t="str">
        <f t="shared" si="24"/>
        <v/>
      </c>
      <c r="V39" s="1540" t="str">
        <f t="shared" si="25"/>
        <v/>
      </c>
      <c r="W39" s="1534" t="str">
        <f t="shared" si="26"/>
        <v/>
      </c>
      <c r="X39" s="1535"/>
      <c r="Y39" s="1539" t="str">
        <f t="shared" si="27"/>
        <v/>
      </c>
      <c r="Z39" s="1540" t="str">
        <f t="shared" si="28"/>
        <v/>
      </c>
      <c r="AA39" s="1534" t="str">
        <f t="shared" si="29"/>
        <v/>
      </c>
      <c r="AB39" s="1535"/>
      <c r="AC39" s="1539" t="str">
        <f t="shared" si="30"/>
        <v/>
      </c>
      <c r="AD39" s="1540" t="str">
        <f t="shared" si="31"/>
        <v/>
      </c>
      <c r="AE39" s="1534" t="str">
        <f t="shared" si="32"/>
        <v/>
      </c>
      <c r="AF39" s="1535"/>
      <c r="AG39" s="1539" t="str">
        <f t="shared" si="33"/>
        <v/>
      </c>
    </row>
    <row r="40" spans="1:33" ht="15" customHeight="1">
      <c r="B40" s="1306"/>
      <c r="C40" s="1306"/>
      <c r="D40" s="1745" t="s">
        <v>1053</v>
      </c>
      <c r="E40" s="1199" t="s">
        <v>88</v>
      </c>
      <c r="F40" s="1728">
        <f t="shared" si="14"/>
        <v>0</v>
      </c>
      <c r="G40" s="1200"/>
      <c r="H40" s="1200"/>
      <c r="I40" s="1200"/>
      <c r="J40" s="1201"/>
      <c r="L40" s="2170"/>
      <c r="M40" s="2171"/>
      <c r="N40" s="2172"/>
      <c r="O40" s="2088"/>
      <c r="P40" s="2089"/>
      <c r="Q40" s="2179"/>
      <c r="R40" s="1542" t="str">
        <f t="shared" si="22"/>
        <v/>
      </c>
      <c r="S40" s="1551" t="str">
        <f t="shared" si="23"/>
        <v/>
      </c>
      <c r="T40" s="1578"/>
      <c r="U40" s="1541" t="str">
        <f t="shared" si="24"/>
        <v/>
      </c>
      <c r="V40" s="1542" t="str">
        <f t="shared" si="25"/>
        <v/>
      </c>
      <c r="W40" s="1551" t="str">
        <f t="shared" si="26"/>
        <v/>
      </c>
      <c r="X40" s="1578"/>
      <c r="Y40" s="1541" t="str">
        <f t="shared" si="27"/>
        <v/>
      </c>
      <c r="Z40" s="1542" t="str">
        <f t="shared" si="28"/>
        <v/>
      </c>
      <c r="AA40" s="1551" t="str">
        <f t="shared" si="29"/>
        <v/>
      </c>
      <c r="AB40" s="1578"/>
      <c r="AC40" s="1541" t="str">
        <f t="shared" si="30"/>
        <v/>
      </c>
      <c r="AD40" s="1542" t="str">
        <f t="shared" si="31"/>
        <v/>
      </c>
      <c r="AE40" s="1551" t="str">
        <f t="shared" si="32"/>
        <v/>
      </c>
      <c r="AF40" s="1578"/>
      <c r="AG40" s="1541" t="str">
        <f t="shared" si="33"/>
        <v/>
      </c>
    </row>
    <row r="41" spans="1:33">
      <c r="O41" s="46"/>
      <c r="P41" s="46"/>
      <c r="Q41" s="46"/>
    </row>
    <row r="42" spans="1:33">
      <c r="O42" s="46"/>
      <c r="P42" s="46"/>
      <c r="Q42" s="46"/>
    </row>
    <row r="43" spans="1:33">
      <c r="B43" s="1717" t="s">
        <v>1468</v>
      </c>
      <c r="C43" s="1714"/>
      <c r="D43" s="1715" t="s">
        <v>1488</v>
      </c>
      <c r="O43" s="46"/>
      <c r="P43" s="46"/>
      <c r="Q43" s="46"/>
    </row>
    <row r="44" spans="1:33">
      <c r="O44" s="46"/>
      <c r="P44" s="46"/>
      <c r="Q44" s="46"/>
    </row>
    <row r="45" spans="1:33">
      <c r="O45" s="46"/>
      <c r="P45" s="46"/>
      <c r="Q45" s="46"/>
    </row>
    <row r="46" spans="1:33">
      <c r="O46" s="46"/>
      <c r="P46" s="46"/>
      <c r="Q46" s="46"/>
    </row>
    <row r="47" spans="1:33">
      <c r="O47" s="46"/>
      <c r="P47" s="46"/>
      <c r="Q47" s="46"/>
    </row>
    <row r="48" spans="1:33">
      <c r="O48" s="46"/>
      <c r="P48" s="46"/>
      <c r="Q48" s="46"/>
    </row>
    <row r="49" spans="15:17">
      <c r="O49" s="46"/>
      <c r="P49" s="46"/>
      <c r="Q49" s="46"/>
    </row>
    <row r="50" spans="15:17">
      <c r="O50" s="46"/>
      <c r="P50" s="46"/>
      <c r="Q50" s="46"/>
    </row>
    <row r="51" spans="15:17">
      <c r="O51" s="46"/>
      <c r="P51" s="46"/>
      <c r="Q51" s="46"/>
    </row>
    <row r="52" spans="15:17">
      <c r="O52" s="46"/>
      <c r="P52" s="46"/>
      <c r="Q52" s="46"/>
    </row>
    <row r="53" spans="15:17">
      <c r="O53" s="46"/>
      <c r="P53" s="46"/>
      <c r="Q53" s="46"/>
    </row>
    <row r="54" spans="15:17">
      <c r="O54" s="46"/>
      <c r="P54" s="46"/>
      <c r="Q54" s="46"/>
    </row>
    <row r="55" spans="15:17">
      <c r="O55" s="46"/>
      <c r="P55" s="46"/>
      <c r="Q55" s="46"/>
    </row>
    <row r="56" spans="15:17">
      <c r="O56" s="46"/>
      <c r="P56" s="46"/>
      <c r="Q56" s="46"/>
    </row>
    <row r="57" spans="15:17">
      <c r="O57" s="46"/>
      <c r="P57" s="46"/>
      <c r="Q57" s="46"/>
    </row>
    <row r="58" spans="15:17">
      <c r="O58" s="46"/>
      <c r="P58" s="46"/>
      <c r="Q58" s="46"/>
    </row>
    <row r="59" spans="15:17">
      <c r="O59" s="46"/>
      <c r="P59" s="46"/>
      <c r="Q59" s="46"/>
    </row>
    <row r="60" spans="15:17">
      <c r="O60" s="46"/>
      <c r="P60" s="46"/>
      <c r="Q60" s="46"/>
    </row>
    <row r="61" spans="15:17">
      <c r="O61" s="46"/>
      <c r="P61" s="46"/>
      <c r="Q61" s="46"/>
    </row>
    <row r="62" spans="15:17">
      <c r="O62" s="46"/>
      <c r="P62" s="46"/>
      <c r="Q62" s="46"/>
    </row>
    <row r="63" spans="15:17">
      <c r="O63" s="46"/>
      <c r="P63" s="46"/>
      <c r="Q63" s="46"/>
    </row>
    <row r="64" spans="15:17">
      <c r="O64" s="46"/>
      <c r="P64" s="46"/>
      <c r="Q64" s="46"/>
    </row>
    <row r="65" spans="15:17">
      <c r="O65" s="46"/>
      <c r="P65" s="46"/>
      <c r="Q65" s="46"/>
    </row>
    <row r="66" spans="15:17">
      <c r="O66" s="46"/>
      <c r="P66" s="46"/>
      <c r="Q66" s="46"/>
    </row>
  </sheetData>
  <mergeCells count="44">
    <mergeCell ref="O39:Q39"/>
    <mergeCell ref="L26:N26"/>
    <mergeCell ref="L27:N27"/>
    <mergeCell ref="L29:N29"/>
    <mergeCell ref="L30:N30"/>
    <mergeCell ref="L31:N31"/>
    <mergeCell ref="L32:N40"/>
    <mergeCell ref="O34:Q34"/>
    <mergeCell ref="O40:Q40"/>
    <mergeCell ref="O35:Q35"/>
    <mergeCell ref="O36:Q36"/>
    <mergeCell ref="O37:Q37"/>
    <mergeCell ref="O38:Q38"/>
    <mergeCell ref="O31:Q31"/>
    <mergeCell ref="O32:Q32"/>
    <mergeCell ref="O33:Q33"/>
    <mergeCell ref="L16:N24"/>
    <mergeCell ref="L13:N13"/>
    <mergeCell ref="L12:N12"/>
    <mergeCell ref="O17:Q17"/>
    <mergeCell ref="O18:Q18"/>
    <mergeCell ref="O19:Q19"/>
    <mergeCell ref="O20:Q20"/>
    <mergeCell ref="O24:Q24"/>
    <mergeCell ref="L10:N10"/>
    <mergeCell ref="O10:Q10"/>
    <mergeCell ref="L11:N11"/>
    <mergeCell ref="L15:N15"/>
    <mergeCell ref="Z11:AC11"/>
    <mergeCell ref="AD11:AG11"/>
    <mergeCell ref="O30:Q30"/>
    <mergeCell ref="O11:Q11"/>
    <mergeCell ref="O12:Q12"/>
    <mergeCell ref="O13:Q13"/>
    <mergeCell ref="O21:Q21"/>
    <mergeCell ref="O22:Q22"/>
    <mergeCell ref="O15:Q15"/>
    <mergeCell ref="O16:Q16"/>
    <mergeCell ref="R11:U11"/>
    <mergeCell ref="O23:Q23"/>
    <mergeCell ref="V11:Y11"/>
    <mergeCell ref="O26:Q26"/>
    <mergeCell ref="O27:Q27"/>
    <mergeCell ref="O29:Q29"/>
  </mergeCells>
  <phoneticPr fontId="98" type="noConversion"/>
  <conditionalFormatting sqref="D43">
    <cfRule type="cellIs" dxfId="45" priority="1" operator="equal">
      <formula>FALSE</formula>
    </cfRule>
  </conditionalFormatting>
  <conditionalFormatting sqref="F12:J13">
    <cfRule type="expression" dxfId="44" priority="17">
      <formula>dms_worksheet210flag="Worksheet 2.10"</formula>
    </cfRule>
  </conditionalFormatting>
  <conditionalFormatting sqref="F15:J24">
    <cfRule type="expression" dxfId="43" priority="3">
      <formula>dms_worksheet210flag="Worksheet 2.10"</formula>
    </cfRule>
  </conditionalFormatting>
  <conditionalFormatting sqref="F26:J27">
    <cfRule type="expression" dxfId="42" priority="2">
      <formula>dms_worksheet210flag="Worksheet 2.10"</formula>
    </cfRule>
  </conditionalFormatting>
  <conditionalFormatting sqref="F29:J40">
    <cfRule type="expression" dxfId="41" priority="12">
      <formula>dms_worksheet210flag="Worksheet 2.10"</formula>
    </cfRule>
  </conditionalFormatting>
  <dataValidations count="2">
    <dataValidation allowBlank="1" sqref="L10 R10:AG10 R1:R4 L1:L4" xr:uid="{22734CD5-3E50-4A0F-9BB4-3D5A0714E10C}"/>
    <dataValidation allowBlank="1" showErrorMessage="1" sqref="D16:D24 D32:D40" xr:uid="{EEB23B1C-0A7A-4B38-91CE-B8941B9BCA1F}"/>
  </dataValidations>
  <pageMargins left="0.7" right="0.7" top="0.75" bottom="0.75" header="0.3" footer="0.3"/>
  <pageSetup paperSize="9" scale="6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30F05-F3B8-467D-9D00-E66F7E3F827A}">
  <sheetPr codeName="Sheet34">
    <tabColor rgb="FFDE98CA"/>
    <pageSetUpPr fitToPage="1"/>
  </sheetPr>
  <dimension ref="A1:U57"/>
  <sheetViews>
    <sheetView workbookViewId="0"/>
  </sheetViews>
  <sheetFormatPr defaultColWidth="9.140625" defaultRowHeight="15" outlineLevelRow="1"/>
  <cols>
    <col min="1" max="1" width="20.42578125" style="44" customWidth="1"/>
    <col min="2" max="2" width="14.42578125" style="1272" customWidth="1"/>
    <col min="3" max="3" width="2.5703125" style="1272" customWidth="1"/>
    <col min="4" max="4" width="45.7109375" style="44" customWidth="1"/>
    <col min="5" max="5" width="8.140625" style="44" customWidth="1"/>
    <col min="6" max="7" width="17.140625" style="44" customWidth="1"/>
    <col min="8" max="8" width="12.140625" style="44" customWidth="1"/>
    <col min="9" max="21" width="3.7109375" style="44" customWidth="1"/>
    <col min="22" max="16384" width="9.140625" style="44"/>
  </cols>
  <sheetData>
    <row r="1" spans="2:21" s="1084" customFormat="1" ht="20.100000000000001" customHeight="1">
      <c r="B1" s="1002"/>
      <c r="C1" s="1002"/>
      <c r="D1" s="1002" t="str">
        <f>dms_SheetHeading1</f>
        <v>ANNUAL INFORMATION ORDER</v>
      </c>
      <c r="E1" s="1205"/>
      <c r="F1" s="1205"/>
      <c r="G1" s="1205"/>
      <c r="H1" s="1137"/>
      <c r="I1" s="1658" t="s">
        <v>1040</v>
      </c>
      <c r="J1" s="1323"/>
      <c r="K1" s="1323"/>
      <c r="L1" s="1323"/>
      <c r="M1" s="1323"/>
      <c r="N1" s="1323"/>
      <c r="O1" s="1657" t="s">
        <v>1039</v>
      </c>
      <c r="P1" s="1323"/>
      <c r="Q1" s="1323"/>
      <c r="R1" s="1323"/>
      <c r="S1" s="1323"/>
      <c r="T1" s="1323"/>
      <c r="U1" s="1323"/>
    </row>
    <row r="2" spans="2:21" s="1084" customFormat="1" ht="20.100000000000001" customHeight="1">
      <c r="B2" s="1003"/>
      <c r="C2" s="1003"/>
      <c r="D2" s="1003" t="str">
        <f>dms_SheetHeading2</f>
        <v>Australian Transmission Co.</v>
      </c>
      <c r="E2" s="1205"/>
      <c r="F2" s="1205"/>
      <c r="G2" s="1205"/>
      <c r="H2" s="1137"/>
      <c r="I2" s="1659" t="s">
        <v>1041</v>
      </c>
      <c r="J2" s="1324"/>
      <c r="K2" s="1324"/>
      <c r="L2" s="1324"/>
      <c r="M2" s="1324"/>
      <c r="N2" s="1324"/>
      <c r="O2" s="1379" t="s">
        <v>202</v>
      </c>
      <c r="P2" s="1324"/>
      <c r="Q2" s="1324"/>
      <c r="R2" s="1324"/>
      <c r="S2" s="1324"/>
      <c r="T2" s="1324"/>
      <c r="U2" s="1324"/>
    </row>
    <row r="3" spans="2:21" s="1084" customFormat="1" ht="20.100000000000001" customHeight="1">
      <c r="B3" s="1004"/>
      <c r="C3" s="1004"/>
      <c r="D3" s="1004" t="str">
        <f>dms_SheetHeading3</f>
        <v>REPORTING STATEMENT: 2024-25</v>
      </c>
      <c r="E3" s="1205"/>
      <c r="F3" s="1205"/>
      <c r="G3" s="1205"/>
      <c r="H3" s="1137"/>
      <c r="I3" s="1660" t="s">
        <v>1042</v>
      </c>
      <c r="J3" s="1325"/>
      <c r="K3" s="1325"/>
      <c r="L3" s="1325"/>
      <c r="M3" s="1325"/>
      <c r="N3" s="1325"/>
      <c r="O3" s="1380" t="s">
        <v>203</v>
      </c>
      <c r="P3" s="1325"/>
      <c r="Q3" s="1325"/>
      <c r="R3" s="1325"/>
      <c r="S3" s="1325"/>
      <c r="T3" s="1325"/>
      <c r="U3" s="1325"/>
    </row>
    <row r="4" spans="2:21" s="1084" customFormat="1" ht="20.100000000000001" customHeight="1">
      <c r="B4" s="1206"/>
      <c r="C4" s="1206"/>
      <c r="D4" s="1206" t="s">
        <v>1892</v>
      </c>
      <c r="E4" s="1207"/>
      <c r="F4" s="1207"/>
      <c r="G4" s="1207"/>
      <c r="H4" s="1137"/>
      <c r="I4" s="1662" t="s">
        <v>1044</v>
      </c>
      <c r="J4" s="1692"/>
      <c r="K4" s="1693"/>
      <c r="L4" s="1498"/>
      <c r="M4" s="1498"/>
      <c r="N4" s="1498"/>
      <c r="O4" s="1497" t="s">
        <v>1043</v>
      </c>
      <c r="P4" s="1498"/>
      <c r="Q4" s="1498"/>
      <c r="R4" s="1498"/>
      <c r="S4" s="1498"/>
      <c r="T4" s="1498"/>
      <c r="U4" s="1498"/>
    </row>
    <row r="5" spans="2:21" ht="13.5" customHeight="1">
      <c r="B5" s="44"/>
      <c r="C5" s="44"/>
      <c r="D5" s="1087"/>
      <c r="H5" s="1137"/>
      <c r="I5" s="1137"/>
    </row>
    <row r="6" spans="2:21" s="46" customFormat="1">
      <c r="B6" s="950" t="s">
        <v>1281</v>
      </c>
      <c r="C6" s="973"/>
      <c r="D6" s="973"/>
      <c r="E6" s="973"/>
      <c r="F6" s="973"/>
      <c r="G6" s="973"/>
      <c r="H6" s="1137"/>
      <c r="I6" s="1137"/>
    </row>
    <row r="7" spans="2:21">
      <c r="B7" s="1032" t="s">
        <v>1080</v>
      </c>
      <c r="C7" s="1032"/>
      <c r="D7" s="1032"/>
      <c r="E7" s="1032"/>
      <c r="F7" s="1032"/>
      <c r="G7" s="1032"/>
      <c r="H7" s="1137"/>
      <c r="I7" s="1137"/>
    </row>
    <row r="8" spans="2:21">
      <c r="B8" s="1137"/>
      <c r="C8" s="1137"/>
      <c r="D8" s="1137"/>
      <c r="E8" s="1137"/>
      <c r="F8" s="1137"/>
      <c r="G8" s="1137"/>
      <c r="H8" s="1137"/>
      <c r="I8" s="1137"/>
    </row>
    <row r="9" spans="2:21" s="46" customFormat="1">
      <c r="B9" s="44"/>
      <c r="C9" s="44"/>
      <c r="D9" s="1249" t="s">
        <v>1421</v>
      </c>
      <c r="E9" s="962"/>
      <c r="F9" s="962"/>
      <c r="G9" s="963"/>
    </row>
    <row r="10" spans="2:21" s="46" customFormat="1">
      <c r="B10" s="44"/>
      <c r="C10" s="44"/>
      <c r="D10" s="971"/>
      <c r="E10" s="627"/>
      <c r="F10" s="627"/>
      <c r="G10" s="971"/>
    </row>
    <row r="11" spans="2:21" s="632" customFormat="1" ht="39" customHeight="1">
      <c r="D11" s="970"/>
      <c r="E11" s="970"/>
      <c r="F11" s="970"/>
      <c r="G11" s="627"/>
      <c r="I11" s="1594" t="s">
        <v>1430</v>
      </c>
      <c r="J11" s="1596" t="s">
        <v>1432</v>
      </c>
      <c r="K11" s="1637" t="s">
        <v>1440</v>
      </c>
      <c r="L11" s="1594" t="s">
        <v>1430</v>
      </c>
      <c r="M11" s="1596" t="s">
        <v>1432</v>
      </c>
      <c r="N11" s="1637" t="s">
        <v>1440</v>
      </c>
    </row>
    <row r="12" spans="2:21" ht="25.5">
      <c r="B12" s="1311"/>
      <c r="C12" s="1311"/>
      <c r="D12" s="1092" t="s">
        <v>1087</v>
      </c>
      <c r="E12" s="958" t="s">
        <v>1192</v>
      </c>
      <c r="F12" s="1322" t="s">
        <v>1300</v>
      </c>
      <c r="G12" s="1322" t="s">
        <v>1301</v>
      </c>
      <c r="I12" s="2012" t="s">
        <v>1300</v>
      </c>
      <c r="J12" s="2013"/>
      <c r="K12" s="2018"/>
      <c r="L12" s="2012" t="s">
        <v>1301</v>
      </c>
      <c r="M12" s="2013"/>
      <c r="N12" s="2018"/>
    </row>
    <row r="13" spans="2:21" outlineLevel="1">
      <c r="B13" s="1305"/>
      <c r="C13" s="1305"/>
      <c r="D13" s="1191" t="s">
        <v>1082</v>
      </c>
      <c r="E13" s="1192" t="s">
        <v>88</v>
      </c>
      <c r="F13" s="1193"/>
      <c r="G13" s="1194"/>
      <c r="I13" s="1540" t="str">
        <f>IF(ISNONTEXT(F13)=TRUE,"","X")</f>
        <v/>
      </c>
      <c r="J13" s="1534" t="str">
        <f>IF(F13&lt;&gt;""=TRUE,"","X")</f>
        <v>X</v>
      </c>
      <c r="K13" s="1537"/>
      <c r="L13" s="1540" t="str">
        <f>IF(ISNONTEXT(G13)=TRUE,"","X")</f>
        <v/>
      </c>
      <c r="M13" s="1534" t="str">
        <f>IF(G13&lt;&gt;""=TRUE,"","X")</f>
        <v>X</v>
      </c>
      <c r="N13" s="1537"/>
    </row>
    <row r="14" spans="2:21" outlineLevel="1">
      <c r="B14" s="1312"/>
      <c r="C14" s="1312"/>
      <c r="D14" s="1265" t="s">
        <v>1083</v>
      </c>
      <c r="E14" s="1199" t="s">
        <v>88</v>
      </c>
      <c r="F14" s="1200"/>
      <c r="G14" s="1201"/>
      <c r="I14" s="1542" t="str">
        <f>IF(ISNONTEXT(F14)=TRUE,"","X")</f>
        <v/>
      </c>
      <c r="J14" s="1551" t="str">
        <f>IF(F14&lt;&gt;""=TRUE,"","X")</f>
        <v>X</v>
      </c>
      <c r="K14" s="1579"/>
      <c r="L14" s="1542" t="str">
        <f>IF(ISNONTEXT(G14)=TRUE,"","X")</f>
        <v/>
      </c>
      <c r="M14" s="1551" t="str">
        <f>IF(G14&lt;&gt;""=TRUE,"","X")</f>
        <v>X</v>
      </c>
      <c r="N14" s="1579"/>
    </row>
    <row r="15" spans="2:21" ht="18.75">
      <c r="B15" s="1311"/>
      <c r="C15" s="1311"/>
      <c r="D15" s="1092" t="s">
        <v>1081</v>
      </c>
      <c r="E15" s="970"/>
      <c r="F15" s="970"/>
      <c r="G15" s="627"/>
    </row>
    <row r="16" spans="2:21" outlineLevel="1">
      <c r="B16" s="1305"/>
      <c r="C16" s="1305"/>
      <c r="D16" s="1134" t="s">
        <v>1084</v>
      </c>
      <c r="E16" s="1053" t="s">
        <v>88</v>
      </c>
      <c r="F16" s="1250"/>
      <c r="G16" s="1131"/>
      <c r="I16" s="1561" t="str">
        <f>IF(ISNONTEXT(F16)=TRUE,"","X")</f>
        <v/>
      </c>
      <c r="J16" s="1559" t="str">
        <f>IF(F16&lt;&gt;""=TRUE,"","X")</f>
        <v>X</v>
      </c>
      <c r="K16" s="1584"/>
      <c r="L16" s="1561" t="str">
        <f>IF(ISNONTEXT(G16)=TRUE,"","X")</f>
        <v/>
      </c>
      <c r="M16" s="1559" t="str">
        <f>IF(G16&lt;&gt;""=TRUE,"","X")</f>
        <v>X</v>
      </c>
      <c r="N16" s="1584"/>
    </row>
    <row r="17" spans="1:14" outlineLevel="1">
      <c r="B17" s="1475"/>
      <c r="C17" s="1312"/>
      <c r="D17" s="1499" t="str">
        <f>'9.1 DISAGG Inc'!D16</f>
        <v>&lt;TNSP specified&gt;</v>
      </c>
      <c r="E17" s="1054" t="s">
        <v>88</v>
      </c>
      <c r="F17" s="1241"/>
      <c r="G17" s="1132"/>
      <c r="I17" s="1540" t="str">
        <f t="shared" ref="I17:I41" si="0">IF(ISNONTEXT(F17)=TRUE,"","X")</f>
        <v/>
      </c>
      <c r="J17" s="1535"/>
      <c r="K17" s="1539" t="str">
        <f>IF(AND(D17&lt;&gt;"",LEFT(D17,5)&lt;&gt;"&lt;TNSP",ISBLANK(F17))=TRUE,"X","")</f>
        <v/>
      </c>
      <c r="L17" s="1540" t="str">
        <f t="shared" ref="L17:L41" si="1">IF(ISNONTEXT(G17)=TRUE,"","X")</f>
        <v/>
      </c>
      <c r="M17" s="1535"/>
      <c r="N17" s="1539" t="str">
        <f>IF(AND(D17&lt;&gt;"",LEFT(D17,5)&lt;&gt;"&lt;TNSP",ISBLANK(G17))=TRUE,"X","")</f>
        <v/>
      </c>
    </row>
    <row r="18" spans="1:14" outlineLevel="1">
      <c r="B18" s="1305"/>
      <c r="C18" s="1305"/>
      <c r="D18" s="1499" t="str">
        <f>'9.1 DISAGG Inc'!D17</f>
        <v>&lt;TNSP specified&gt;</v>
      </c>
      <c r="E18" s="1054" t="s">
        <v>88</v>
      </c>
      <c r="F18" s="1241"/>
      <c r="G18" s="1132"/>
      <c r="I18" s="1540" t="str">
        <f t="shared" si="0"/>
        <v/>
      </c>
      <c r="J18" s="1535"/>
      <c r="K18" s="1539" t="str">
        <f t="shared" ref="K18:K24" si="2">IF(AND(D18&lt;&gt;"",LEFT(D18,5)&lt;&gt;"&lt;TNSP",ISBLANK(F18))=TRUE,"X","")</f>
        <v/>
      </c>
      <c r="L18" s="1540" t="str">
        <f t="shared" ref="L18:L24" si="3">IF(ISNONTEXT(G18)=TRUE,"","X")</f>
        <v/>
      </c>
      <c r="M18" s="1535"/>
      <c r="N18" s="1539" t="str">
        <f t="shared" ref="N18:N24" si="4">IF(AND(D18&lt;&gt;"",LEFT(D18,5)&lt;&gt;"&lt;TNSP",ISBLANK(G18))=TRUE,"X","")</f>
        <v/>
      </c>
    </row>
    <row r="19" spans="1:14" outlineLevel="1">
      <c r="B19" s="1305"/>
      <c r="C19" s="1305"/>
      <c r="D19" s="1499" t="str">
        <f>'9.1 DISAGG Inc'!D18</f>
        <v>&lt;TNSP specified&gt;</v>
      </c>
      <c r="E19" s="1054" t="s">
        <v>88</v>
      </c>
      <c r="F19" s="1241"/>
      <c r="G19" s="1132"/>
      <c r="I19" s="1540" t="str">
        <f t="shared" si="0"/>
        <v/>
      </c>
      <c r="J19" s="1535"/>
      <c r="K19" s="1539" t="str">
        <f t="shared" si="2"/>
        <v/>
      </c>
      <c r="L19" s="1540" t="str">
        <f t="shared" si="3"/>
        <v/>
      </c>
      <c r="M19" s="1535"/>
      <c r="N19" s="1539" t="str">
        <f t="shared" si="4"/>
        <v/>
      </c>
    </row>
    <row r="20" spans="1:14" outlineLevel="1">
      <c r="B20" s="1305"/>
      <c r="C20" s="1305"/>
      <c r="D20" s="1499" t="str">
        <f>'9.1 DISAGG Inc'!D19</f>
        <v>&lt;TNSP specified&gt;</v>
      </c>
      <c r="E20" s="1054" t="s">
        <v>88</v>
      </c>
      <c r="F20" s="1241"/>
      <c r="G20" s="1132"/>
      <c r="I20" s="1540" t="str">
        <f t="shared" si="0"/>
        <v/>
      </c>
      <c r="J20" s="1535"/>
      <c r="K20" s="1539" t="str">
        <f t="shared" si="2"/>
        <v/>
      </c>
      <c r="L20" s="1540" t="str">
        <f t="shared" si="3"/>
        <v/>
      </c>
      <c r="M20" s="1535"/>
      <c r="N20" s="1539" t="str">
        <f t="shared" si="4"/>
        <v/>
      </c>
    </row>
    <row r="21" spans="1:14" outlineLevel="1">
      <c r="B21" s="1305"/>
      <c r="C21" s="1305"/>
      <c r="D21" s="1499" t="str">
        <f>'9.1 DISAGG Inc'!D20</f>
        <v>&lt;TNSP specified&gt;</v>
      </c>
      <c r="E21" s="1054" t="s">
        <v>88</v>
      </c>
      <c r="F21" s="1241"/>
      <c r="G21" s="1132"/>
      <c r="I21" s="1540" t="str">
        <f t="shared" si="0"/>
        <v/>
      </c>
      <c r="J21" s="1535"/>
      <c r="K21" s="1539" t="str">
        <f t="shared" si="2"/>
        <v/>
      </c>
      <c r="L21" s="1540" t="str">
        <f t="shared" si="3"/>
        <v/>
      </c>
      <c r="M21" s="1535"/>
      <c r="N21" s="1539" t="str">
        <f t="shared" si="4"/>
        <v/>
      </c>
    </row>
    <row r="22" spans="1:14" outlineLevel="1">
      <c r="B22" s="1305"/>
      <c r="C22" s="1305"/>
      <c r="D22" s="1499" t="str">
        <f>'9.1 DISAGG Inc'!D21</f>
        <v>&lt;TNSP specified&gt;</v>
      </c>
      <c r="E22" s="1054" t="s">
        <v>88</v>
      </c>
      <c r="F22" s="1241"/>
      <c r="G22" s="1132"/>
      <c r="I22" s="1540" t="str">
        <f t="shared" si="0"/>
        <v/>
      </c>
      <c r="J22" s="1535"/>
      <c r="K22" s="1539" t="str">
        <f t="shared" si="2"/>
        <v/>
      </c>
      <c r="L22" s="1540" t="str">
        <f t="shared" si="3"/>
        <v/>
      </c>
      <c r="M22" s="1535"/>
      <c r="N22" s="1539" t="str">
        <f t="shared" si="4"/>
        <v/>
      </c>
    </row>
    <row r="23" spans="1:14" outlineLevel="1">
      <c r="B23" s="1305"/>
      <c r="C23" s="1305"/>
      <c r="D23" s="1499" t="str">
        <f>'9.1 DISAGG Inc'!D22</f>
        <v>&lt;TNSP specified&gt;</v>
      </c>
      <c r="E23" s="1054" t="s">
        <v>88</v>
      </c>
      <c r="F23" s="1241"/>
      <c r="G23" s="1132"/>
      <c r="I23" s="1540" t="str">
        <f t="shared" si="0"/>
        <v/>
      </c>
      <c r="J23" s="1535"/>
      <c r="K23" s="1539" t="str">
        <f t="shared" si="2"/>
        <v/>
      </c>
      <c r="L23" s="1540" t="str">
        <f t="shared" si="3"/>
        <v/>
      </c>
      <c r="M23" s="1535"/>
      <c r="N23" s="1539" t="str">
        <f t="shared" si="4"/>
        <v/>
      </c>
    </row>
    <row r="24" spans="1:14" outlineLevel="1">
      <c r="A24" s="1666" t="s">
        <v>1487</v>
      </c>
      <c r="B24" s="1305"/>
      <c r="C24" s="1305"/>
      <c r="D24" s="1499" t="str">
        <f>'9.1 DISAGG Inc'!D23</f>
        <v>&lt;TNSP specified&gt;</v>
      </c>
      <c r="E24" s="1054" t="s">
        <v>88</v>
      </c>
      <c r="F24" s="1241"/>
      <c r="G24" s="1132"/>
      <c r="I24" s="1540" t="str">
        <f t="shared" si="0"/>
        <v/>
      </c>
      <c r="J24" s="1535"/>
      <c r="K24" s="1539" t="str">
        <f t="shared" si="2"/>
        <v/>
      </c>
      <c r="L24" s="1540" t="str">
        <f t="shared" si="3"/>
        <v/>
      </c>
      <c r="M24" s="1535"/>
      <c r="N24" s="1539" t="str">
        <f t="shared" si="4"/>
        <v/>
      </c>
    </row>
    <row r="25" spans="1:14" outlineLevel="1">
      <c r="B25" s="1312"/>
      <c r="C25" s="1312"/>
      <c r="D25" s="1500" t="str">
        <f>'9.1 DISAGG Inc'!D24</f>
        <v>&lt;TNSP specified&gt;</v>
      </c>
      <c r="E25" s="1055" t="s">
        <v>88</v>
      </c>
      <c r="F25" s="1242"/>
      <c r="G25" s="1133"/>
      <c r="I25" s="1542" t="str">
        <f t="shared" si="0"/>
        <v/>
      </c>
      <c r="J25" s="1578"/>
      <c r="K25" s="1541" t="str">
        <f t="shared" ref="K25" si="5">IF(AND(D25&lt;&gt;"",LEFT(D25,5)&lt;&gt;"&lt;TNSP",ISBLANK(F25))=TRUE,"X","")</f>
        <v/>
      </c>
      <c r="L25" s="1542" t="str">
        <f t="shared" ref="L25" si="6">IF(ISNONTEXT(G25)=TRUE,"","X")</f>
        <v/>
      </c>
      <c r="M25" s="1578"/>
      <c r="N25" s="1541" t="str">
        <f t="shared" ref="N25" si="7">IF(AND(D25&lt;&gt;"",LEFT(D25,5)&lt;&gt;"&lt;TNSP",ISBLANK(G25))=TRUE,"X","")</f>
        <v/>
      </c>
    </row>
    <row r="26" spans="1:14">
      <c r="B26" s="44"/>
      <c r="C26" s="44"/>
      <c r="D26" s="1092" t="s">
        <v>1086</v>
      </c>
      <c r="E26" s="1308"/>
      <c r="F26" s="627"/>
      <c r="G26" s="627"/>
    </row>
    <row r="27" spans="1:14" outlineLevel="1">
      <c r="B27" s="1305"/>
      <c r="C27" s="1305"/>
      <c r="D27" s="1314" t="s">
        <v>1226</v>
      </c>
      <c r="E27" s="1192" t="s">
        <v>88</v>
      </c>
      <c r="F27" s="1193"/>
      <c r="G27" s="1194"/>
      <c r="I27" s="1561" t="str">
        <f t="shared" si="0"/>
        <v/>
      </c>
      <c r="J27" s="1559" t="str">
        <f t="shared" ref="J27:J32" si="8">IF(F27&lt;&gt;""=TRUE,"","X")</f>
        <v>X</v>
      </c>
      <c r="K27" s="1584"/>
      <c r="L27" s="1561" t="str">
        <f t="shared" si="1"/>
        <v/>
      </c>
      <c r="M27" s="1559" t="str">
        <f t="shared" ref="M27:M32" si="9">IF(G27&lt;&gt;""=TRUE,"","X")</f>
        <v>X</v>
      </c>
      <c r="N27" s="1584"/>
    </row>
    <row r="28" spans="1:14" outlineLevel="1">
      <c r="B28" s="1312"/>
      <c r="C28" s="1312"/>
      <c r="D28" s="1265" t="s">
        <v>1239</v>
      </c>
      <c r="E28" s="1199" t="s">
        <v>88</v>
      </c>
      <c r="F28" s="1200"/>
      <c r="G28" s="1201"/>
      <c r="I28" s="1542" t="str">
        <f t="shared" si="0"/>
        <v/>
      </c>
      <c r="J28" s="1551" t="str">
        <f t="shared" si="8"/>
        <v>X</v>
      </c>
      <c r="K28" s="1579"/>
      <c r="L28" s="1542" t="str">
        <f t="shared" si="1"/>
        <v/>
      </c>
      <c r="M28" s="1551" t="str">
        <f t="shared" si="9"/>
        <v>X</v>
      </c>
      <c r="N28" s="1579"/>
    </row>
    <row r="29" spans="1:14" ht="18.75">
      <c r="B29" s="1311"/>
      <c r="C29" s="1311"/>
      <c r="D29" s="1092" t="s">
        <v>1085</v>
      </c>
      <c r="E29" s="970"/>
      <c r="F29" s="970"/>
      <c r="G29" s="627"/>
    </row>
    <row r="30" spans="1:14" outlineLevel="1">
      <c r="B30" s="1305"/>
      <c r="C30" s="1305"/>
      <c r="D30" s="1134" t="s">
        <v>1240</v>
      </c>
      <c r="E30" s="1053" t="s">
        <v>88</v>
      </c>
      <c r="F30" s="1250"/>
      <c r="G30" s="1131"/>
      <c r="I30" s="1561" t="str">
        <f t="shared" si="0"/>
        <v/>
      </c>
      <c r="J30" s="1559" t="str">
        <f t="shared" si="8"/>
        <v>X</v>
      </c>
      <c r="K30" s="1584"/>
      <c r="L30" s="1561" t="str">
        <f t="shared" si="1"/>
        <v/>
      </c>
      <c r="M30" s="1559" t="str">
        <f t="shared" si="9"/>
        <v>X</v>
      </c>
      <c r="N30" s="1584"/>
    </row>
    <row r="31" spans="1:14" outlineLevel="1">
      <c r="B31" s="1305"/>
      <c r="C31" s="1305"/>
      <c r="D31" s="1135" t="s">
        <v>1241</v>
      </c>
      <c r="E31" s="1054" t="s">
        <v>88</v>
      </c>
      <c r="F31" s="1241"/>
      <c r="G31" s="1132"/>
      <c r="I31" s="1540" t="str">
        <f t="shared" si="0"/>
        <v/>
      </c>
      <c r="J31" s="1534" t="str">
        <f t="shared" si="8"/>
        <v>X</v>
      </c>
      <c r="K31" s="1537"/>
      <c r="L31" s="1540" t="str">
        <f t="shared" si="1"/>
        <v/>
      </c>
      <c r="M31" s="1534" t="str">
        <f t="shared" si="9"/>
        <v>X</v>
      </c>
      <c r="N31" s="1537"/>
    </row>
    <row r="32" spans="1:14" outlineLevel="1">
      <c r="B32" s="1305"/>
      <c r="C32" s="1305"/>
      <c r="D32" s="1135" t="s">
        <v>1242</v>
      </c>
      <c r="E32" s="1054" t="s">
        <v>88</v>
      </c>
      <c r="F32" s="1241"/>
      <c r="G32" s="1132"/>
      <c r="I32" s="1540" t="str">
        <f t="shared" si="0"/>
        <v/>
      </c>
      <c r="J32" s="1534" t="str">
        <f t="shared" si="8"/>
        <v>X</v>
      </c>
      <c r="K32" s="1537"/>
      <c r="L32" s="1540" t="str">
        <f t="shared" si="1"/>
        <v/>
      </c>
      <c r="M32" s="1534" t="str">
        <f t="shared" si="9"/>
        <v>X</v>
      </c>
      <c r="N32" s="1537"/>
    </row>
    <row r="33" spans="1:14" outlineLevel="1">
      <c r="B33" s="1312"/>
      <c r="C33" s="1312"/>
      <c r="D33" s="1499" t="str">
        <f>'9.1 DISAGG Inc'!D32</f>
        <v>&lt;TNSP specified&gt;</v>
      </c>
      <c r="E33" s="1054" t="s">
        <v>88</v>
      </c>
      <c r="F33" s="1241"/>
      <c r="G33" s="1132"/>
      <c r="I33" s="1540" t="str">
        <f t="shared" si="0"/>
        <v/>
      </c>
      <c r="J33" s="1535"/>
      <c r="K33" s="1539" t="str">
        <f>IF(AND(D33&lt;&gt;"",LEFT(D33,5)&lt;&gt;"&lt;TNSP",ISBLANK(F33))=TRUE,"X","")</f>
        <v/>
      </c>
      <c r="L33" s="1540" t="str">
        <f t="shared" si="1"/>
        <v/>
      </c>
      <c r="M33" s="1535"/>
      <c r="N33" s="1539" t="str">
        <f>IF(AND(D33&lt;&gt;"",LEFT(D33,5)&lt;&gt;"&lt;TNSP",ISBLANK(G33))=TRUE,"X","")</f>
        <v/>
      </c>
    </row>
    <row r="34" spans="1:14" outlineLevel="1">
      <c r="B34" s="1305"/>
      <c r="C34" s="1305"/>
      <c r="D34" s="1499" t="str">
        <f>'9.1 DISAGG Inc'!D33</f>
        <v>&lt;TNSP specified&gt;</v>
      </c>
      <c r="E34" s="1054" t="s">
        <v>88</v>
      </c>
      <c r="F34" s="1241"/>
      <c r="G34" s="1132"/>
      <c r="I34" s="1540" t="str">
        <f t="shared" si="0"/>
        <v/>
      </c>
      <c r="J34" s="1535"/>
      <c r="K34" s="1539" t="str">
        <f t="shared" ref="K34:K41" si="10">IF(AND(D34&lt;&gt;"",LEFT(D34,5)&lt;&gt;"&lt;TNSP",ISBLANK(F34))=TRUE,"X","")</f>
        <v/>
      </c>
      <c r="L34" s="1540" t="str">
        <f t="shared" si="1"/>
        <v/>
      </c>
      <c r="M34" s="1535"/>
      <c r="N34" s="1539" t="str">
        <f t="shared" ref="N34:N41" si="11">IF(AND(D34&lt;&gt;"",LEFT(D34,5)&lt;&gt;"&lt;TNSP",ISBLANK(G34))=TRUE,"X","")</f>
        <v/>
      </c>
    </row>
    <row r="35" spans="1:14" outlineLevel="1">
      <c r="B35" s="1305"/>
      <c r="C35" s="1305"/>
      <c r="D35" s="1499" t="str">
        <f>'9.1 DISAGG Inc'!D34</f>
        <v>&lt;TNSP specified&gt;</v>
      </c>
      <c r="E35" s="1054" t="s">
        <v>88</v>
      </c>
      <c r="F35" s="1241"/>
      <c r="G35" s="1132"/>
      <c r="I35" s="1540" t="str">
        <f t="shared" si="0"/>
        <v/>
      </c>
      <c r="J35" s="1535"/>
      <c r="K35" s="1539" t="str">
        <f t="shared" si="10"/>
        <v/>
      </c>
      <c r="L35" s="1540" t="str">
        <f t="shared" si="1"/>
        <v/>
      </c>
      <c r="M35" s="1535"/>
      <c r="N35" s="1539" t="str">
        <f t="shared" si="11"/>
        <v/>
      </c>
    </row>
    <row r="36" spans="1:14" outlineLevel="1">
      <c r="B36" s="1305"/>
      <c r="C36" s="1305"/>
      <c r="D36" s="1499" t="str">
        <f>'9.1 DISAGG Inc'!D35</f>
        <v>&lt;TNSP specified&gt;</v>
      </c>
      <c r="E36" s="1054" t="s">
        <v>88</v>
      </c>
      <c r="F36" s="1241"/>
      <c r="G36" s="1132"/>
      <c r="I36" s="1540" t="str">
        <f t="shared" si="0"/>
        <v/>
      </c>
      <c r="J36" s="1535"/>
      <c r="K36" s="1539" t="str">
        <f t="shared" si="10"/>
        <v/>
      </c>
      <c r="L36" s="1540" t="str">
        <f t="shared" si="1"/>
        <v/>
      </c>
      <c r="M36" s="1535"/>
      <c r="N36" s="1539" t="str">
        <f t="shared" si="11"/>
        <v/>
      </c>
    </row>
    <row r="37" spans="1:14" outlineLevel="1">
      <c r="B37" s="1305"/>
      <c r="C37" s="1305"/>
      <c r="D37" s="1499" t="str">
        <f>'9.1 DISAGG Inc'!D36</f>
        <v>&lt;TNSP specified&gt;</v>
      </c>
      <c r="E37" s="1054" t="s">
        <v>88</v>
      </c>
      <c r="F37" s="1241"/>
      <c r="G37" s="1132"/>
      <c r="I37" s="1540" t="str">
        <f t="shared" si="0"/>
        <v/>
      </c>
      <c r="J37" s="1535"/>
      <c r="K37" s="1539" t="str">
        <f t="shared" si="10"/>
        <v/>
      </c>
      <c r="L37" s="1540" t="str">
        <f t="shared" si="1"/>
        <v/>
      </c>
      <c r="M37" s="1535"/>
      <c r="N37" s="1539" t="str">
        <f t="shared" si="11"/>
        <v/>
      </c>
    </row>
    <row r="38" spans="1:14" outlineLevel="1">
      <c r="B38" s="1305"/>
      <c r="C38" s="1305"/>
      <c r="D38" s="1499" t="str">
        <f>'9.1 DISAGG Inc'!D37</f>
        <v>&lt;TNSP specified&gt;</v>
      </c>
      <c r="E38" s="1054" t="s">
        <v>88</v>
      </c>
      <c r="F38" s="1241"/>
      <c r="G38" s="1132"/>
      <c r="I38" s="1540" t="str">
        <f t="shared" si="0"/>
        <v/>
      </c>
      <c r="J38" s="1535"/>
      <c r="K38" s="1539" t="str">
        <f t="shared" si="10"/>
        <v/>
      </c>
      <c r="L38" s="1540" t="str">
        <f t="shared" si="1"/>
        <v/>
      </c>
      <c r="M38" s="1535"/>
      <c r="N38" s="1539" t="str">
        <f t="shared" si="11"/>
        <v/>
      </c>
    </row>
    <row r="39" spans="1:14" outlineLevel="1">
      <c r="B39" s="1305"/>
      <c r="C39" s="1305"/>
      <c r="D39" s="1499" t="str">
        <f>'9.1 DISAGG Inc'!D38</f>
        <v>&lt;TNSP specified&gt;</v>
      </c>
      <c r="E39" s="1054" t="s">
        <v>88</v>
      </c>
      <c r="F39" s="1241"/>
      <c r="G39" s="1132"/>
      <c r="I39" s="1540" t="str">
        <f t="shared" si="0"/>
        <v/>
      </c>
      <c r="J39" s="1535"/>
      <c r="K39" s="1539" t="str">
        <f t="shared" si="10"/>
        <v/>
      </c>
      <c r="L39" s="1540" t="str">
        <f t="shared" si="1"/>
        <v/>
      </c>
      <c r="M39" s="1535"/>
      <c r="N39" s="1539" t="str">
        <f t="shared" si="11"/>
        <v/>
      </c>
    </row>
    <row r="40" spans="1:14" outlineLevel="1">
      <c r="A40" s="1666" t="s">
        <v>1487</v>
      </c>
      <c r="B40" s="1305"/>
      <c r="C40" s="1305"/>
      <c r="D40" s="1499" t="str">
        <f>'9.1 DISAGG Inc'!D39</f>
        <v>&lt;TNSP specified&gt;</v>
      </c>
      <c r="E40" s="1054" t="s">
        <v>88</v>
      </c>
      <c r="F40" s="1241"/>
      <c r="G40" s="1132"/>
      <c r="I40" s="1540" t="str">
        <f t="shared" si="0"/>
        <v/>
      </c>
      <c r="J40" s="1535"/>
      <c r="K40" s="1539" t="str">
        <f t="shared" si="10"/>
        <v/>
      </c>
      <c r="L40" s="1540" t="str">
        <f t="shared" si="1"/>
        <v/>
      </c>
      <c r="M40" s="1535"/>
      <c r="N40" s="1539" t="str">
        <f t="shared" si="11"/>
        <v/>
      </c>
    </row>
    <row r="41" spans="1:14" outlineLevel="1">
      <c r="B41" s="1312"/>
      <c r="C41" s="1312"/>
      <c r="D41" s="1500" t="str">
        <f>'9.1 DISAGG Inc'!D40</f>
        <v>&lt;TNSP specified&gt;</v>
      </c>
      <c r="E41" s="1055" t="s">
        <v>88</v>
      </c>
      <c r="F41" s="1242"/>
      <c r="G41" s="1133"/>
      <c r="I41" s="1542" t="str">
        <f t="shared" si="0"/>
        <v/>
      </c>
      <c r="J41" s="1578"/>
      <c r="K41" s="1541" t="str">
        <f t="shared" si="10"/>
        <v/>
      </c>
      <c r="L41" s="1542" t="str">
        <f t="shared" si="1"/>
        <v/>
      </c>
      <c r="M41" s="1578"/>
      <c r="N41" s="1541" t="str">
        <f t="shared" si="11"/>
        <v/>
      </c>
    </row>
    <row r="42" spans="1:14">
      <c r="D42" s="627"/>
      <c r="E42" s="627"/>
      <c r="F42" s="627"/>
      <c r="G42" s="627"/>
    </row>
    <row r="43" spans="1:14">
      <c r="D43" s="627"/>
      <c r="E43" s="627"/>
      <c r="F43" s="627"/>
      <c r="G43" s="627"/>
    </row>
    <row r="44" spans="1:14">
      <c r="D44" s="627"/>
      <c r="E44" s="627"/>
      <c r="F44" s="627"/>
      <c r="G44" s="627"/>
    </row>
    <row r="45" spans="1:14">
      <c r="D45" s="627"/>
      <c r="E45" s="627"/>
      <c r="F45" s="627"/>
      <c r="G45" s="627"/>
    </row>
    <row r="46" spans="1:14">
      <c r="B46" s="1717" t="s">
        <v>1468</v>
      </c>
      <c r="C46" s="1714"/>
      <c r="D46" s="1715" t="s">
        <v>1488</v>
      </c>
      <c r="E46" s="627"/>
      <c r="F46" s="627"/>
      <c r="G46" s="627"/>
    </row>
    <row r="47" spans="1:14">
      <c r="D47" s="627"/>
      <c r="E47" s="627"/>
      <c r="F47" s="627"/>
      <c r="G47" s="627"/>
    </row>
    <row r="48" spans="1:14">
      <c r="D48" s="627"/>
      <c r="E48" s="627"/>
      <c r="F48" s="627"/>
      <c r="G48" s="627"/>
    </row>
    <row r="49" spans="4:7">
      <c r="D49" s="627"/>
      <c r="E49" s="627"/>
      <c r="F49" s="627"/>
      <c r="G49" s="627"/>
    </row>
    <row r="50" spans="4:7">
      <c r="D50" s="627"/>
      <c r="E50" s="627"/>
      <c r="F50" s="627"/>
      <c r="G50" s="627"/>
    </row>
    <row r="51" spans="4:7">
      <c r="D51" s="627"/>
      <c r="E51" s="627"/>
      <c r="F51" s="627"/>
      <c r="G51" s="627"/>
    </row>
    <row r="52" spans="4:7">
      <c r="D52" s="627"/>
      <c r="E52" s="627"/>
      <c r="F52" s="627"/>
      <c r="G52" s="627"/>
    </row>
    <row r="53" spans="4:7">
      <c r="D53" s="627"/>
      <c r="E53" s="627"/>
      <c r="F53" s="627"/>
      <c r="G53" s="627"/>
    </row>
    <row r="54" spans="4:7">
      <c r="D54" s="627"/>
      <c r="E54" s="627"/>
      <c r="F54" s="627"/>
      <c r="G54" s="627"/>
    </row>
    <row r="55" spans="4:7">
      <c r="D55" s="627"/>
      <c r="E55" s="627"/>
      <c r="F55" s="627"/>
      <c r="G55" s="627"/>
    </row>
    <row r="56" spans="4:7">
      <c r="D56" s="627"/>
      <c r="E56" s="627"/>
      <c r="F56" s="627"/>
      <c r="G56" s="627"/>
    </row>
    <row r="57" spans="4:7">
      <c r="D57" s="627"/>
      <c r="E57" s="627"/>
      <c r="F57" s="627"/>
      <c r="G57" s="627"/>
    </row>
  </sheetData>
  <mergeCells count="2">
    <mergeCell ref="I12:K12"/>
    <mergeCell ref="L12:N12"/>
  </mergeCells>
  <conditionalFormatting sqref="D46">
    <cfRule type="cellIs" dxfId="40" priority="1" operator="equal">
      <formula>FALSE</formula>
    </cfRule>
  </conditionalFormatting>
  <conditionalFormatting sqref="F13:G14">
    <cfRule type="expression" dxfId="39" priority="5">
      <formula>dms_worksheet210flag="Worksheet 2.10"</formula>
    </cfRule>
  </conditionalFormatting>
  <conditionalFormatting sqref="F16:G25">
    <cfRule type="expression" dxfId="38" priority="4">
      <formula>dms_worksheet210flag="Worksheet 2.10"</formula>
    </cfRule>
  </conditionalFormatting>
  <conditionalFormatting sqref="F27:G28">
    <cfRule type="expression" dxfId="37" priority="3">
      <formula>dms_worksheet210flag="Worksheet 2.10"</formula>
    </cfRule>
  </conditionalFormatting>
  <conditionalFormatting sqref="F30:G41">
    <cfRule type="expression" dxfId="36" priority="2">
      <formula>dms_worksheet210flag="Worksheet 2.10"</formula>
    </cfRule>
  </conditionalFormatting>
  <dataValidations disablePrompts="1" count="1">
    <dataValidation allowBlank="1" sqref="I11:N11 O1:O4 I1:I4" xr:uid="{AF209559-7C93-430F-B2DC-A38062669F89}"/>
  </dataValidations>
  <pageMargins left="0.7" right="0.7" top="0.75" bottom="0.75" header="0.3" footer="0.3"/>
  <pageSetup paperSize="9" scale="6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6E412-F4B9-4554-A3E4-091C78E3777A}">
  <sheetPr codeName="Sheet35">
    <tabColor rgb="FFDE98CA"/>
    <pageSetUpPr fitToPage="1"/>
  </sheetPr>
  <dimension ref="B1:T18"/>
  <sheetViews>
    <sheetView workbookViewId="0"/>
  </sheetViews>
  <sheetFormatPr defaultColWidth="9.140625" defaultRowHeight="15"/>
  <cols>
    <col min="1" max="1" width="20.7109375" style="44" customWidth="1"/>
    <col min="2" max="2" width="15.5703125" style="1272" customWidth="1"/>
    <col min="3" max="3" width="2.5703125" style="1272" customWidth="1"/>
    <col min="4" max="4" width="78.28515625" style="44" bestFit="1" customWidth="1"/>
    <col min="5" max="5" width="9.85546875" style="44" customWidth="1"/>
    <col min="6" max="6" width="17.140625" style="44" customWidth="1"/>
    <col min="7" max="7" width="17.42578125" style="44" customWidth="1"/>
    <col min="8" max="20" width="3.7109375" style="44" customWidth="1"/>
    <col min="21" max="16384" width="9.140625" style="44"/>
  </cols>
  <sheetData>
    <row r="1" spans="2:20" s="1084" customFormat="1" ht="20.100000000000001" customHeight="1">
      <c r="B1" s="1002"/>
      <c r="C1" s="1002"/>
      <c r="D1" s="1002" t="str">
        <f>dms_SheetHeading1</f>
        <v>ANNUAL INFORMATION ORDER</v>
      </c>
      <c r="E1" s="1205"/>
      <c r="F1" s="1205"/>
      <c r="H1" s="1658" t="s">
        <v>1040</v>
      </c>
      <c r="I1" s="1323"/>
      <c r="J1" s="1323"/>
      <c r="K1" s="1323"/>
      <c r="L1" s="1323"/>
      <c r="M1" s="1323"/>
      <c r="N1" s="1657" t="s">
        <v>1039</v>
      </c>
      <c r="O1" s="1323"/>
      <c r="P1" s="1323"/>
      <c r="Q1" s="1323"/>
      <c r="R1" s="1323"/>
      <c r="S1" s="1323"/>
      <c r="T1" s="1323"/>
    </row>
    <row r="2" spans="2:20" s="1084" customFormat="1" ht="20.100000000000001" customHeight="1">
      <c r="B2" s="1003"/>
      <c r="C2" s="1003"/>
      <c r="D2" s="1003" t="str">
        <f>dms_SheetHeading2</f>
        <v>Australian Transmission Co.</v>
      </c>
      <c r="E2" s="1205"/>
      <c r="F2" s="1205"/>
      <c r="H2" s="1659" t="s">
        <v>1041</v>
      </c>
      <c r="I2" s="1324"/>
      <c r="J2" s="1324"/>
      <c r="K2" s="1324"/>
      <c r="L2" s="1324"/>
      <c r="M2" s="1324"/>
      <c r="N2" s="1379" t="s">
        <v>202</v>
      </c>
      <c r="O2" s="1324"/>
      <c r="P2" s="1324"/>
      <c r="Q2" s="1324"/>
      <c r="R2" s="1324"/>
      <c r="S2" s="1324"/>
      <c r="T2" s="1324"/>
    </row>
    <row r="3" spans="2:20" s="1084" customFormat="1" ht="20.100000000000001" customHeight="1">
      <c r="B3" s="1004"/>
      <c r="C3" s="1004"/>
      <c r="D3" s="1004" t="str">
        <f>dms_SheetHeading3</f>
        <v>REPORTING STATEMENT: 2024-25</v>
      </c>
      <c r="E3" s="1205"/>
      <c r="F3" s="1205"/>
      <c r="H3" s="1660" t="s">
        <v>1042</v>
      </c>
      <c r="I3" s="1325"/>
      <c r="J3" s="1325"/>
      <c r="K3" s="1325"/>
      <c r="L3" s="1325"/>
      <c r="M3" s="1325"/>
      <c r="N3" s="1380" t="s">
        <v>203</v>
      </c>
      <c r="O3" s="1325"/>
      <c r="P3" s="1325"/>
      <c r="Q3" s="1325"/>
      <c r="R3" s="1325"/>
      <c r="S3" s="1325"/>
      <c r="T3" s="1325"/>
    </row>
    <row r="4" spans="2:20" s="1084" customFormat="1" ht="20.100000000000001" customHeight="1">
      <c r="B4" s="1206"/>
      <c r="C4" s="1206"/>
      <c r="D4" s="1206" t="s">
        <v>1893</v>
      </c>
      <c r="E4" s="1207"/>
      <c r="F4" s="1207"/>
      <c r="H4" s="1662" t="s">
        <v>1044</v>
      </c>
      <c r="I4" s="1692"/>
      <c r="J4" s="1693"/>
      <c r="K4" s="1498"/>
      <c r="L4" s="1498"/>
      <c r="M4" s="1498"/>
      <c r="N4" s="1497" t="s">
        <v>1043</v>
      </c>
      <c r="O4" s="1498"/>
      <c r="P4" s="1498"/>
      <c r="Q4" s="1498"/>
      <c r="R4" s="1498"/>
      <c r="S4" s="1498"/>
      <c r="T4" s="1498"/>
    </row>
    <row r="5" spans="2:20" ht="13.5" customHeight="1">
      <c r="B5" s="44"/>
      <c r="C5" s="44"/>
      <c r="D5" s="1087"/>
    </row>
    <row r="6" spans="2:20" s="46" customFormat="1" ht="18" customHeight="1">
      <c r="B6" s="950" t="s">
        <v>1094</v>
      </c>
      <c r="C6" s="973"/>
      <c r="D6" s="973"/>
      <c r="E6" s="973"/>
      <c r="F6" s="973"/>
    </row>
    <row r="7" spans="2:20" ht="18" customHeight="1">
      <c r="B7" s="1032" t="s">
        <v>1138</v>
      </c>
      <c r="C7" s="1032"/>
      <c r="D7" s="1032"/>
      <c r="E7" s="1032"/>
      <c r="F7" s="1032"/>
    </row>
    <row r="8" spans="2:20">
      <c r="B8" s="1315"/>
      <c r="C8" s="1315"/>
      <c r="D8" s="1316"/>
      <c r="E8" s="1317"/>
    </row>
    <row r="9" spans="2:20">
      <c r="B9" s="44"/>
      <c r="C9" s="44"/>
      <c r="D9" s="1252" t="s">
        <v>1423</v>
      </c>
      <c r="E9" s="1253"/>
      <c r="F9" s="1253"/>
    </row>
    <row r="10" spans="2:20" s="633" customFormat="1" ht="24.75">
      <c r="D10" s="1114"/>
      <c r="H10" s="1594" t="s">
        <v>1430</v>
      </c>
      <c r="I10" s="1595" t="s">
        <v>1431</v>
      </c>
      <c r="J10" s="1596" t="s">
        <v>1432</v>
      </c>
    </row>
    <row r="11" spans="2:20" ht="25.5" customHeight="1">
      <c r="B11" s="44"/>
      <c r="C11" s="44"/>
      <c r="D11" s="1092" t="s">
        <v>1134</v>
      </c>
      <c r="E11" s="958" t="s">
        <v>1192</v>
      </c>
      <c r="F11" s="1322" t="s">
        <v>1301</v>
      </c>
      <c r="H11" s="2145" t="s">
        <v>1301</v>
      </c>
      <c r="I11" s="2146"/>
      <c r="J11" s="2130"/>
    </row>
    <row r="12" spans="2:20">
      <c r="B12" s="44"/>
      <c r="C12" s="44"/>
      <c r="D12" s="1318" t="s">
        <v>1135</v>
      </c>
      <c r="E12" s="1053" t="s">
        <v>88</v>
      </c>
      <c r="F12" s="1131"/>
      <c r="H12" s="1561" t="str">
        <f>IF(ISNONTEXT(F12)=TRUE,"","X")</f>
        <v/>
      </c>
      <c r="I12" s="1559" t="str">
        <f>IF(AND(F12&gt;=0)=TRUE,"","X")</f>
        <v/>
      </c>
      <c r="J12" s="1589"/>
    </row>
    <row r="13" spans="2:20">
      <c r="B13" s="44"/>
      <c r="C13" s="44"/>
      <c r="D13" s="1319" t="s">
        <v>1136</v>
      </c>
      <c r="E13" s="1055" t="s">
        <v>88</v>
      </c>
      <c r="F13" s="1133"/>
      <c r="H13" s="1542" t="str">
        <f>IF(ISNONTEXT(F13)=TRUE,"","X")</f>
        <v/>
      </c>
      <c r="I13" s="1551" t="str">
        <f>IF(AND(F13&gt;=0)=TRUE,"","X")</f>
        <v/>
      </c>
      <c r="J13" s="1578"/>
    </row>
    <row r="14" spans="2:20">
      <c r="B14" s="44"/>
      <c r="C14" s="44"/>
      <c r="D14" s="627"/>
      <c r="E14" s="627"/>
      <c r="F14" s="627"/>
    </row>
    <row r="15" spans="2:20">
      <c r="B15" s="44"/>
      <c r="C15" s="44"/>
      <c r="D15" s="1320" t="s">
        <v>1348</v>
      </c>
      <c r="E15" s="1057" t="s">
        <v>88</v>
      </c>
      <c r="F15" s="1321"/>
      <c r="G15" s="1381"/>
      <c r="H15" s="1581" t="str">
        <f>IF(ISNONTEXT(F15)=TRUE,"","X")</f>
        <v/>
      </c>
      <c r="I15" s="1582" t="str">
        <f>IF(AND(F15&gt;=0)=TRUE,"","X")</f>
        <v/>
      </c>
      <c r="J15" s="1580"/>
    </row>
    <row r="16" spans="2:20">
      <c r="B16" s="44"/>
      <c r="C16" s="44"/>
    </row>
    <row r="18" spans="2:4">
      <c r="B18" s="1717" t="s">
        <v>1468</v>
      </c>
      <c r="C18" s="1714"/>
      <c r="D18" s="1715" t="s">
        <v>1488</v>
      </c>
    </row>
  </sheetData>
  <mergeCells count="1">
    <mergeCell ref="H11:J11"/>
  </mergeCells>
  <conditionalFormatting sqref="D18">
    <cfRule type="cellIs" dxfId="35" priority="1" operator="equal">
      <formula>FALSE</formula>
    </cfRule>
  </conditionalFormatting>
  <conditionalFormatting sqref="F12:F13">
    <cfRule type="expression" dxfId="34" priority="5">
      <formula>dms_worksheet210flag="Worksheet 2.10"</formula>
    </cfRule>
  </conditionalFormatting>
  <conditionalFormatting sqref="F15">
    <cfRule type="expression" dxfId="33" priority="3">
      <formula>dms_worksheet210flag="Worksheet 2.10"</formula>
    </cfRule>
  </conditionalFormatting>
  <dataValidations count="1">
    <dataValidation allowBlank="1" sqref="H10:J10 N1:N4 H1:H4" xr:uid="{B7FD6F9F-F428-4C9F-8A95-3813997A5617}"/>
  </dataValidations>
  <pageMargins left="0.7" right="0.7" top="0.75" bottom="0.75" header="0.3" footer="0.3"/>
  <pageSetup paperSize="9" scale="6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747E1-C195-460F-9344-F2DA12466559}">
  <sheetPr codeName="Sheet36">
    <tabColor rgb="FFDE98CA"/>
    <pageSetUpPr fitToPage="1"/>
  </sheetPr>
  <dimension ref="A1:U41"/>
  <sheetViews>
    <sheetView workbookViewId="0"/>
  </sheetViews>
  <sheetFormatPr defaultColWidth="9.140625" defaultRowHeight="15" outlineLevelRow="1"/>
  <cols>
    <col min="1" max="1" width="17.42578125" style="44" customWidth="1"/>
    <col min="2" max="2" width="16" style="1272" customWidth="1"/>
    <col min="3" max="3" width="2.5703125" style="1272" customWidth="1"/>
    <col min="4" max="4" width="37.85546875" style="44" customWidth="1"/>
    <col min="5" max="7" width="17.140625" style="44" customWidth="1"/>
    <col min="8" max="8" width="9.85546875" style="44" customWidth="1"/>
    <col min="9" max="9" width="17.140625" style="44" customWidth="1"/>
    <col min="10" max="10" width="17.42578125" style="44" customWidth="1"/>
    <col min="11" max="12" width="9.140625" style="44"/>
    <col min="13" max="15" width="3.7109375" style="44" customWidth="1"/>
    <col min="16" max="16" width="9.140625" style="44"/>
    <col min="17" max="26" width="3.7109375" style="44" customWidth="1"/>
    <col min="27" max="27" width="14.7109375" style="44" customWidth="1"/>
    <col min="28" max="16384" width="9.140625" style="44"/>
  </cols>
  <sheetData>
    <row r="1" spans="2:21" s="1084" customFormat="1" ht="20.100000000000001" customHeight="1">
      <c r="B1" s="1002"/>
      <c r="C1" s="1002"/>
      <c r="D1" s="1002" t="str">
        <f>dms_SheetHeading1</f>
        <v>ANNUAL INFORMATION ORDER</v>
      </c>
      <c r="E1" s="1219"/>
      <c r="F1" s="1219"/>
      <c r="G1" s="1219"/>
      <c r="H1" s="1205"/>
      <c r="I1" s="1205"/>
      <c r="K1" s="1658" t="s">
        <v>1040</v>
      </c>
      <c r="L1" s="1323"/>
      <c r="M1" s="1323"/>
      <c r="N1" s="1323"/>
      <c r="O1" s="1323"/>
      <c r="P1" s="1657" t="s">
        <v>1039</v>
      </c>
      <c r="Q1" s="1323"/>
      <c r="R1" s="1323"/>
      <c r="S1" s="1323"/>
      <c r="T1" s="1323"/>
      <c r="U1" s="1323"/>
    </row>
    <row r="2" spans="2:21" s="1084" customFormat="1" ht="20.100000000000001" customHeight="1">
      <c r="B2" s="1003"/>
      <c r="C2" s="1003"/>
      <c r="D2" s="1003" t="str">
        <f>dms_SheetHeading2</f>
        <v>Australian Transmission Co.</v>
      </c>
      <c r="E2" s="1003"/>
      <c r="F2" s="1003"/>
      <c r="G2" s="1003"/>
      <c r="H2" s="1205"/>
      <c r="I2" s="1205"/>
      <c r="K2" s="1659" t="s">
        <v>1041</v>
      </c>
      <c r="L2" s="1324"/>
      <c r="M2" s="1324"/>
      <c r="N2" s="1324"/>
      <c r="O2" s="1324"/>
      <c r="P2" s="1379" t="s">
        <v>202</v>
      </c>
      <c r="Q2" s="1324"/>
      <c r="R2" s="1324"/>
      <c r="S2" s="1324"/>
      <c r="T2" s="1324"/>
      <c r="U2" s="1324"/>
    </row>
    <row r="3" spans="2:21" s="1084" customFormat="1" ht="20.100000000000001" customHeight="1">
      <c r="B3" s="1004"/>
      <c r="C3" s="1004"/>
      <c r="D3" s="1004" t="str">
        <f>dms_SheetHeading3</f>
        <v>REPORTING STATEMENT: 2024-25</v>
      </c>
      <c r="E3" s="1004"/>
      <c r="F3" s="1004"/>
      <c r="G3" s="1004"/>
      <c r="H3" s="1205"/>
      <c r="I3" s="1205"/>
      <c r="K3" s="1660" t="s">
        <v>1042</v>
      </c>
      <c r="L3" s="1325"/>
      <c r="M3" s="1325"/>
      <c r="N3" s="1325"/>
      <c r="O3" s="1325"/>
      <c r="P3" s="1380" t="s">
        <v>203</v>
      </c>
      <c r="Q3" s="1325"/>
      <c r="R3" s="1325"/>
      <c r="S3" s="1325"/>
      <c r="T3" s="1325"/>
      <c r="U3" s="1325"/>
    </row>
    <row r="4" spans="2:21" s="1084" customFormat="1" ht="20.100000000000001" customHeight="1">
      <c r="B4" s="1206"/>
      <c r="C4" s="1206"/>
      <c r="D4" s="1206" t="s">
        <v>1894</v>
      </c>
      <c r="E4" s="1206"/>
      <c r="F4" s="1206"/>
      <c r="G4" s="1206"/>
      <c r="H4" s="1207"/>
      <c r="I4" s="1207"/>
      <c r="K4" s="1662" t="s">
        <v>1044</v>
      </c>
      <c r="L4" s="1692"/>
      <c r="M4" s="1693"/>
      <c r="N4" s="1498"/>
      <c r="O4" s="1498"/>
      <c r="P4" s="1497" t="s">
        <v>1043</v>
      </c>
      <c r="Q4" s="1498"/>
      <c r="R4" s="1498"/>
      <c r="S4" s="1498"/>
      <c r="T4" s="1498"/>
      <c r="U4" s="1498"/>
    </row>
    <row r="5" spans="2:21" ht="13.5" customHeight="1">
      <c r="B5" s="44"/>
      <c r="C5" s="44"/>
      <c r="D5" s="1087"/>
      <c r="E5" s="1087"/>
      <c r="F5" s="1087"/>
      <c r="G5" s="1087"/>
    </row>
    <row r="6" spans="2:21" s="46" customFormat="1" ht="18" customHeight="1">
      <c r="B6" s="950" t="s">
        <v>1094</v>
      </c>
      <c r="C6" s="973"/>
      <c r="D6" s="973"/>
      <c r="E6" s="973"/>
      <c r="F6" s="973"/>
      <c r="G6" s="973"/>
      <c r="H6" s="973"/>
      <c r="I6" s="973"/>
    </row>
    <row r="7" spans="2:21" s="46" customFormat="1" ht="18" customHeight="1">
      <c r="B7" s="1032" t="s">
        <v>1137</v>
      </c>
      <c r="C7" s="1032"/>
      <c r="D7" s="1032"/>
      <c r="E7" s="1032"/>
      <c r="F7" s="1032"/>
      <c r="G7" s="1032"/>
      <c r="H7" s="1032"/>
      <c r="I7" s="1032"/>
    </row>
    <row r="8" spans="2:21">
      <c r="B8" s="44"/>
      <c r="C8" s="44"/>
    </row>
    <row r="9" spans="2:21">
      <c r="B9" s="44"/>
      <c r="C9" s="44"/>
      <c r="D9" s="1252" t="s">
        <v>1424</v>
      </c>
      <c r="E9" s="1253"/>
      <c r="F9" s="1253"/>
      <c r="G9" s="1253"/>
      <c r="H9" s="1253"/>
      <c r="I9" s="1253"/>
    </row>
    <row r="10" spans="2:21" s="46" customFormat="1">
      <c r="B10" s="627"/>
      <c r="C10" s="627"/>
      <c r="D10" s="1332"/>
      <c r="E10" s="1332"/>
      <c r="F10" s="1332"/>
      <c r="G10" s="1332"/>
      <c r="H10" s="627"/>
      <c r="I10" s="627"/>
      <c r="J10" s="971"/>
    </row>
    <row r="11" spans="2:21" s="46" customFormat="1" ht="50.25" customHeight="1">
      <c r="B11" s="627"/>
      <c r="C11" s="627"/>
      <c r="D11" s="1092" t="s">
        <v>1139</v>
      </c>
      <c r="E11" s="1332"/>
      <c r="F11" s="1332"/>
      <c r="G11" s="1332"/>
      <c r="H11" s="627"/>
      <c r="I11" s="627"/>
      <c r="J11" s="971"/>
      <c r="K11" s="1600" t="s">
        <v>1443</v>
      </c>
      <c r="L11" s="1639" t="s">
        <v>1443</v>
      </c>
      <c r="M11" s="1640" t="s">
        <v>1440</v>
      </c>
      <c r="N11" s="1641" t="s">
        <v>1461</v>
      </c>
      <c r="O11" s="1640" t="s">
        <v>1440</v>
      </c>
      <c r="P11" s="1639" t="s">
        <v>1443</v>
      </c>
      <c r="Q11" s="1640" t="s">
        <v>1440</v>
      </c>
      <c r="R11" s="1594" t="s">
        <v>1430</v>
      </c>
      <c r="S11" s="1595" t="s">
        <v>1431</v>
      </c>
      <c r="T11" s="1637" t="s">
        <v>1440</v>
      </c>
    </row>
    <row r="12" spans="2:21" s="632" customFormat="1" ht="33.75" customHeight="1" outlineLevel="1">
      <c r="B12" s="627"/>
      <c r="C12" s="627"/>
      <c r="D12" s="1039" t="s">
        <v>1140</v>
      </c>
      <c r="E12" s="1039" t="s">
        <v>1141</v>
      </c>
      <c r="F12" s="1039" t="s">
        <v>1142</v>
      </c>
      <c r="G12" s="1039" t="s">
        <v>1143</v>
      </c>
      <c r="H12" s="958" t="s">
        <v>1192</v>
      </c>
      <c r="I12" s="1097" t="s">
        <v>1046</v>
      </c>
      <c r="J12" s="971"/>
      <c r="K12" s="1638" t="s">
        <v>1456</v>
      </c>
      <c r="L12" s="2185" t="s">
        <v>1457</v>
      </c>
      <c r="M12" s="2186"/>
      <c r="N12" s="2185" t="s">
        <v>1458</v>
      </c>
      <c r="O12" s="2186"/>
      <c r="P12" s="2185" t="s">
        <v>1459</v>
      </c>
      <c r="Q12" s="2186"/>
      <c r="R12" s="2145" t="s">
        <v>1301</v>
      </c>
      <c r="S12" s="2146"/>
      <c r="T12" s="2130"/>
    </row>
    <row r="13" spans="2:21" ht="15.75" customHeight="1" outlineLevel="1">
      <c r="C13" s="1306"/>
      <c r="D13" s="1383" t="s">
        <v>1053</v>
      </c>
      <c r="E13" s="1384" t="s">
        <v>1053</v>
      </c>
      <c r="F13" s="1384"/>
      <c r="G13" s="1384" t="s">
        <v>1053</v>
      </c>
      <c r="H13" s="1053" t="s">
        <v>88</v>
      </c>
      <c r="I13" s="1131"/>
      <c r="J13" s="1532"/>
      <c r="K13" s="2181" t="s">
        <v>1460</v>
      </c>
      <c r="L13" s="2073" t="s">
        <v>1460</v>
      </c>
      <c r="M13" s="1698" t="str">
        <f t="shared" ref="M13:M22" si="0">IF(AND(D13&lt;&gt;"",LEFT(D13,5)&lt;&gt;"&lt;TNSP",OR(ISBLANK(E13),LEFT(E13,5)="&lt;TNSP")),"X","")</f>
        <v/>
      </c>
      <c r="N13" s="1591" t="str">
        <f>IF(F13="","",IF(OR(F13="Prescribed",F13="Negotiated",F13="Unregulated"),"","X"))</f>
        <v/>
      </c>
      <c r="O13" s="1575" t="str">
        <f>IF(AND(D13&lt;&gt;"",LEFT(D13,5)&lt;&gt;"&lt;TNSP",ISBLANK(F13))=TRUE,"X","")</f>
        <v/>
      </c>
      <c r="P13" s="2183" t="s">
        <v>1460</v>
      </c>
      <c r="Q13" s="1560" t="str">
        <f>IF(AND(D13&lt;&gt;"",LEFT(D13,5)&lt;&gt;"&lt;TNSP",OR(ISBLANK(G13),LEFT(G13,5)="&lt;TNSP")),"X","")</f>
        <v/>
      </c>
      <c r="R13" s="1591" t="str">
        <f>IF(ISNONTEXT(I13)=TRUE,"","X")</f>
        <v/>
      </c>
      <c r="S13" s="1592" t="str">
        <f>IF(I13&gt;=0=TRUE,"","X")</f>
        <v/>
      </c>
      <c r="T13" s="1575" t="str">
        <f>IF(AND(D13&lt;&gt;"",LEFT(D13,5)&lt;&gt;"&lt;TNSP",ISBLANK(I13))=TRUE,"X","")</f>
        <v/>
      </c>
    </row>
    <row r="14" spans="2:21" ht="15.75" customHeight="1" outlineLevel="1">
      <c r="B14" s="1306"/>
      <c r="C14" s="1306"/>
      <c r="D14" s="1385" t="s">
        <v>1053</v>
      </c>
      <c r="E14" s="1382" t="s">
        <v>1053</v>
      </c>
      <c r="F14" s="1382"/>
      <c r="G14" s="1382" t="s">
        <v>1053</v>
      </c>
      <c r="H14" s="1054" t="s">
        <v>88</v>
      </c>
      <c r="I14" s="1132"/>
      <c r="J14" s="627"/>
      <c r="K14" s="2181"/>
      <c r="L14" s="2073"/>
      <c r="M14" s="1698" t="str">
        <f t="shared" si="0"/>
        <v/>
      </c>
      <c r="N14" s="1591" t="str">
        <f t="shared" ref="N14:N22" si="1">IF(F14="","",IF(OR(F14="Prescribed",F14="Negotiated",F14="Unregulated"),"","X"))</f>
        <v/>
      </c>
      <c r="O14" s="1575" t="str">
        <f t="shared" ref="O14:O22" si="2">IF(AND(D14&lt;&gt;"",LEFT(D14,5)&lt;&gt;"&lt;TNSP",ISBLANK(F14))=TRUE,"X","")</f>
        <v/>
      </c>
      <c r="P14" s="2073"/>
      <c r="Q14" s="1575" t="str">
        <f t="shared" ref="Q14:Q22" si="3">IF(AND(D14&lt;&gt;"",LEFT(D14,5)&lt;&gt;"&lt;TNSP",OR(ISBLANK(G14),LEFT(G14,5)="&lt;TNSP")),"X","")</f>
        <v/>
      </c>
      <c r="R14" s="1591" t="str">
        <f t="shared" ref="R14:R22" si="4">IF(ISNONTEXT(I14)=TRUE,"","X")</f>
        <v/>
      </c>
      <c r="S14" s="1592" t="str">
        <f t="shared" ref="S14:S22" si="5">IF(I14&gt;=0=TRUE,"","X")</f>
        <v/>
      </c>
      <c r="T14" s="1575" t="str">
        <f t="shared" ref="T14:T22" si="6">IF(AND(D14&lt;&gt;"",LEFT(D14,5)&lt;&gt;"&lt;TNSP",ISBLANK(I14))=TRUE,"X","")</f>
        <v/>
      </c>
    </row>
    <row r="15" spans="2:21" ht="15.75" customHeight="1" outlineLevel="1">
      <c r="B15" s="1306"/>
      <c r="C15" s="1306"/>
      <c r="D15" s="1385" t="s">
        <v>1053</v>
      </c>
      <c r="E15" s="1382" t="s">
        <v>1053</v>
      </c>
      <c r="F15" s="1382"/>
      <c r="G15" s="1382" t="s">
        <v>1053</v>
      </c>
      <c r="H15" s="1054" t="s">
        <v>88</v>
      </c>
      <c r="I15" s="1132"/>
      <c r="J15" s="627"/>
      <c r="K15" s="2181"/>
      <c r="L15" s="2073"/>
      <c r="M15" s="1698" t="str">
        <f t="shared" si="0"/>
        <v/>
      </c>
      <c r="N15" s="1591" t="str">
        <f t="shared" si="1"/>
        <v/>
      </c>
      <c r="O15" s="1575" t="str">
        <f t="shared" si="2"/>
        <v/>
      </c>
      <c r="P15" s="2073"/>
      <c r="Q15" s="1575" t="str">
        <f t="shared" si="3"/>
        <v/>
      </c>
      <c r="R15" s="1591" t="str">
        <f t="shared" si="4"/>
        <v/>
      </c>
      <c r="S15" s="1592" t="str">
        <f t="shared" si="5"/>
        <v/>
      </c>
      <c r="T15" s="1575" t="str">
        <f t="shared" si="6"/>
        <v/>
      </c>
    </row>
    <row r="16" spans="2:21" ht="15.75" customHeight="1" outlineLevel="1">
      <c r="B16" s="1306"/>
      <c r="C16" s="1306"/>
      <c r="D16" s="1385" t="s">
        <v>1053</v>
      </c>
      <c r="E16" s="1382" t="s">
        <v>1053</v>
      </c>
      <c r="F16" s="1382"/>
      <c r="G16" s="1382" t="s">
        <v>1053</v>
      </c>
      <c r="H16" s="1054" t="s">
        <v>88</v>
      </c>
      <c r="I16" s="1132"/>
      <c r="J16" s="627"/>
      <c r="K16" s="2181"/>
      <c r="L16" s="2073"/>
      <c r="M16" s="1698" t="str">
        <f t="shared" si="0"/>
        <v/>
      </c>
      <c r="N16" s="1591" t="str">
        <f t="shared" si="1"/>
        <v/>
      </c>
      <c r="O16" s="1575" t="str">
        <f t="shared" si="2"/>
        <v/>
      </c>
      <c r="P16" s="2073"/>
      <c r="Q16" s="1575" t="str">
        <f t="shared" si="3"/>
        <v/>
      </c>
      <c r="R16" s="1591" t="str">
        <f t="shared" si="4"/>
        <v/>
      </c>
      <c r="S16" s="1592" t="str">
        <f t="shared" si="5"/>
        <v/>
      </c>
      <c r="T16" s="1575" t="str">
        <f t="shared" si="6"/>
        <v/>
      </c>
    </row>
    <row r="17" spans="1:20" ht="15.75" customHeight="1" outlineLevel="1">
      <c r="B17" s="1306"/>
      <c r="C17" s="1306"/>
      <c r="D17" s="1385" t="s">
        <v>1053</v>
      </c>
      <c r="E17" s="1382" t="s">
        <v>1053</v>
      </c>
      <c r="F17" s="1382"/>
      <c r="G17" s="1382" t="s">
        <v>1053</v>
      </c>
      <c r="H17" s="1054" t="s">
        <v>88</v>
      </c>
      <c r="I17" s="1132"/>
      <c r="J17" s="627"/>
      <c r="K17" s="2181"/>
      <c r="L17" s="2073"/>
      <c r="M17" s="1698" t="str">
        <f t="shared" si="0"/>
        <v/>
      </c>
      <c r="N17" s="1591" t="str">
        <f t="shared" si="1"/>
        <v/>
      </c>
      <c r="O17" s="1575" t="str">
        <f t="shared" si="2"/>
        <v/>
      </c>
      <c r="P17" s="2073"/>
      <c r="Q17" s="1575" t="str">
        <f t="shared" si="3"/>
        <v/>
      </c>
      <c r="R17" s="1591" t="str">
        <f t="shared" si="4"/>
        <v/>
      </c>
      <c r="S17" s="1592" t="str">
        <f t="shared" si="5"/>
        <v/>
      </c>
      <c r="T17" s="1575" t="str">
        <f t="shared" si="6"/>
        <v/>
      </c>
    </row>
    <row r="18" spans="1:20" ht="15.75" customHeight="1" outlineLevel="1">
      <c r="B18" s="1306"/>
      <c r="C18" s="1306"/>
      <c r="D18" s="1385" t="s">
        <v>1053</v>
      </c>
      <c r="E18" s="1382" t="s">
        <v>1053</v>
      </c>
      <c r="F18" s="1382"/>
      <c r="G18" s="1382" t="s">
        <v>1053</v>
      </c>
      <c r="H18" s="1054" t="s">
        <v>88</v>
      </c>
      <c r="I18" s="1132"/>
      <c r="J18" s="627"/>
      <c r="K18" s="2181"/>
      <c r="L18" s="2073"/>
      <c r="M18" s="1698" t="str">
        <f t="shared" si="0"/>
        <v/>
      </c>
      <c r="N18" s="1591" t="str">
        <f t="shared" si="1"/>
        <v/>
      </c>
      <c r="O18" s="1575" t="str">
        <f t="shared" si="2"/>
        <v/>
      </c>
      <c r="P18" s="2073"/>
      <c r="Q18" s="1575" t="str">
        <f t="shared" si="3"/>
        <v/>
      </c>
      <c r="R18" s="1591" t="str">
        <f t="shared" si="4"/>
        <v/>
      </c>
      <c r="S18" s="1592" t="str">
        <f t="shared" si="5"/>
        <v/>
      </c>
      <c r="T18" s="1575" t="str">
        <f t="shared" si="6"/>
        <v/>
      </c>
    </row>
    <row r="19" spans="1:20" ht="15.75" customHeight="1" outlineLevel="1">
      <c r="B19" s="1306"/>
      <c r="C19" s="1306"/>
      <c r="D19" s="1385" t="s">
        <v>1053</v>
      </c>
      <c r="E19" s="1382" t="s">
        <v>1053</v>
      </c>
      <c r="F19" s="1382"/>
      <c r="G19" s="1382" t="s">
        <v>1053</v>
      </c>
      <c r="H19" s="1054" t="s">
        <v>88</v>
      </c>
      <c r="I19" s="1132"/>
      <c r="J19" s="627"/>
      <c r="K19" s="2181"/>
      <c r="L19" s="2073"/>
      <c r="M19" s="1698" t="str">
        <f t="shared" si="0"/>
        <v/>
      </c>
      <c r="N19" s="1591" t="str">
        <f t="shared" si="1"/>
        <v/>
      </c>
      <c r="O19" s="1575" t="str">
        <f t="shared" si="2"/>
        <v/>
      </c>
      <c r="P19" s="2073"/>
      <c r="Q19" s="1575" t="str">
        <f t="shared" si="3"/>
        <v/>
      </c>
      <c r="R19" s="1591" t="str">
        <f t="shared" si="4"/>
        <v/>
      </c>
      <c r="S19" s="1592" t="str">
        <f t="shared" si="5"/>
        <v/>
      </c>
      <c r="T19" s="1575" t="str">
        <f t="shared" si="6"/>
        <v/>
      </c>
    </row>
    <row r="20" spans="1:20" ht="15.75" customHeight="1" outlineLevel="1">
      <c r="B20" s="1306"/>
      <c r="C20" s="1306"/>
      <c r="D20" s="1385" t="s">
        <v>1053</v>
      </c>
      <c r="E20" s="1382" t="s">
        <v>1053</v>
      </c>
      <c r="F20" s="1382"/>
      <c r="G20" s="1382" t="s">
        <v>1053</v>
      </c>
      <c r="H20" s="1054" t="s">
        <v>88</v>
      </c>
      <c r="I20" s="1132"/>
      <c r="J20" s="627"/>
      <c r="K20" s="2181"/>
      <c r="L20" s="2073"/>
      <c r="M20" s="1698" t="str">
        <f t="shared" si="0"/>
        <v/>
      </c>
      <c r="N20" s="1591" t="str">
        <f t="shared" si="1"/>
        <v/>
      </c>
      <c r="O20" s="1575" t="str">
        <f t="shared" si="2"/>
        <v/>
      </c>
      <c r="P20" s="2073"/>
      <c r="Q20" s="1575" t="str">
        <f t="shared" si="3"/>
        <v/>
      </c>
      <c r="R20" s="1591" t="str">
        <f t="shared" si="4"/>
        <v/>
      </c>
      <c r="S20" s="1592" t="str">
        <f t="shared" si="5"/>
        <v/>
      </c>
      <c r="T20" s="1575" t="str">
        <f t="shared" si="6"/>
        <v/>
      </c>
    </row>
    <row r="21" spans="1:20" ht="15.75" customHeight="1" outlineLevel="1">
      <c r="A21" s="1666" t="s">
        <v>1487</v>
      </c>
      <c r="B21" s="1305"/>
      <c r="C21" s="1305"/>
      <c r="D21" s="1385" t="s">
        <v>1053</v>
      </c>
      <c r="E21" s="1382" t="s">
        <v>1053</v>
      </c>
      <c r="F21" s="1382"/>
      <c r="G21" s="1382" t="s">
        <v>1053</v>
      </c>
      <c r="H21" s="1054" t="s">
        <v>88</v>
      </c>
      <c r="I21" s="1132"/>
      <c r="J21" s="627"/>
      <c r="K21" s="2181"/>
      <c r="L21" s="2073"/>
      <c r="M21" s="1698" t="str">
        <f t="shared" si="0"/>
        <v/>
      </c>
      <c r="N21" s="1591" t="str">
        <f t="shared" si="1"/>
        <v/>
      </c>
      <c r="O21" s="1575" t="str">
        <f t="shared" si="2"/>
        <v/>
      </c>
      <c r="P21" s="2073"/>
      <c r="Q21" s="1575" t="str">
        <f t="shared" si="3"/>
        <v/>
      </c>
      <c r="R21" s="1591" t="str">
        <f t="shared" si="4"/>
        <v/>
      </c>
      <c r="S21" s="1592" t="str">
        <f t="shared" si="5"/>
        <v/>
      </c>
      <c r="T21" s="1575" t="str">
        <f t="shared" si="6"/>
        <v/>
      </c>
    </row>
    <row r="22" spans="1:20" ht="15.75" customHeight="1" outlineLevel="1">
      <c r="B22" s="627"/>
      <c r="C22" s="627"/>
      <c r="D22" s="1386" t="s">
        <v>1053</v>
      </c>
      <c r="E22" s="1387" t="s">
        <v>1053</v>
      </c>
      <c r="F22" s="1387"/>
      <c r="G22" s="1387" t="s">
        <v>1053</v>
      </c>
      <c r="H22" s="1055" t="s">
        <v>88</v>
      </c>
      <c r="I22" s="1133"/>
      <c r="J22" s="627"/>
      <c r="K22" s="2182"/>
      <c r="L22" s="2184"/>
      <c r="M22" s="1746" t="str">
        <f t="shared" si="0"/>
        <v/>
      </c>
      <c r="N22" s="1642" t="str">
        <f t="shared" si="1"/>
        <v/>
      </c>
      <c r="O22" s="1644" t="str">
        <f t="shared" si="2"/>
        <v/>
      </c>
      <c r="P22" s="2184"/>
      <c r="Q22" s="1644" t="str">
        <f t="shared" si="3"/>
        <v/>
      </c>
      <c r="R22" s="1642" t="str">
        <f t="shared" si="4"/>
        <v/>
      </c>
      <c r="S22" s="1643" t="str">
        <f t="shared" si="5"/>
        <v/>
      </c>
      <c r="T22" s="1644" t="str">
        <f t="shared" si="6"/>
        <v/>
      </c>
    </row>
    <row r="23" spans="1:20">
      <c r="B23" s="627"/>
      <c r="C23" s="627"/>
      <c r="D23" s="1333"/>
      <c r="E23" s="1333"/>
      <c r="F23" s="1333"/>
      <c r="G23" s="1333"/>
      <c r="H23" s="627"/>
      <c r="I23" s="627"/>
      <c r="J23" s="627"/>
    </row>
    <row r="24" spans="1:20" ht="51">
      <c r="B24" s="1169"/>
      <c r="C24" s="1169"/>
      <c r="D24" s="1270" t="s">
        <v>1144</v>
      </c>
      <c r="E24" s="1270"/>
      <c r="F24" s="1270"/>
      <c r="G24" s="1270"/>
      <c r="H24" s="627"/>
      <c r="I24" s="627"/>
      <c r="J24" s="627"/>
      <c r="K24" s="1600" t="s">
        <v>1443</v>
      </c>
      <c r="L24" s="1639" t="s">
        <v>1443</v>
      </c>
      <c r="M24" s="1640" t="s">
        <v>1440</v>
      </c>
      <c r="N24" s="1641" t="s">
        <v>1461</v>
      </c>
      <c r="O24" s="1640" t="s">
        <v>1440</v>
      </c>
      <c r="P24" s="1639" t="s">
        <v>1443</v>
      </c>
      <c r="Q24" s="1640" t="s">
        <v>1440</v>
      </c>
      <c r="R24" s="1594" t="s">
        <v>1430</v>
      </c>
      <c r="S24" s="1595" t="s">
        <v>1431</v>
      </c>
      <c r="T24" s="1637" t="s">
        <v>1440</v>
      </c>
    </row>
    <row r="25" spans="1:20" ht="25.5" outlineLevel="1">
      <c r="B25" s="1169"/>
      <c r="C25" s="1169"/>
      <c r="D25" s="1388" t="s">
        <v>1140</v>
      </c>
      <c r="E25" s="1389" t="s">
        <v>1141</v>
      </c>
      <c r="F25" s="1389" t="s">
        <v>1142</v>
      </c>
      <c r="G25" s="1390" t="s">
        <v>1143</v>
      </c>
      <c r="H25" s="958" t="s">
        <v>1192</v>
      </c>
      <c r="I25" s="1103" t="s">
        <v>1046</v>
      </c>
      <c r="J25" s="627"/>
      <c r="K25" s="1890" t="s">
        <v>1456</v>
      </c>
      <c r="L25" s="2187" t="s">
        <v>1457</v>
      </c>
      <c r="M25" s="2188"/>
      <c r="N25" s="2187" t="s">
        <v>1458</v>
      </c>
      <c r="O25" s="2188"/>
      <c r="P25" s="2187" t="s">
        <v>1459</v>
      </c>
      <c r="Q25" s="2188"/>
      <c r="R25" s="2012" t="s">
        <v>1301</v>
      </c>
      <c r="S25" s="2013"/>
      <c r="T25" s="2018"/>
    </row>
    <row r="26" spans="1:20" outlineLevel="1">
      <c r="B26" s="1169"/>
      <c r="C26" s="1169"/>
      <c r="D26" s="1383" t="s">
        <v>1053</v>
      </c>
      <c r="E26" s="1384" t="s">
        <v>1053</v>
      </c>
      <c r="F26" s="1384"/>
      <c r="G26" s="1384" t="s">
        <v>1053</v>
      </c>
      <c r="H26" s="1053" t="s">
        <v>88</v>
      </c>
      <c r="I26" s="1131"/>
      <c r="J26" s="627"/>
      <c r="K26" s="2180" t="s">
        <v>1460</v>
      </c>
      <c r="L26" s="2183" t="s">
        <v>1460</v>
      </c>
      <c r="M26" s="1706" t="str">
        <f t="shared" ref="M26:M35" si="7">IF(AND(D26&lt;&gt;"",LEFT(D26,5)&lt;&gt;"&lt;TNSP",OR(ISBLANK(E26),LEFT(E26,5)="&lt;TNSP")),"X","")</f>
        <v/>
      </c>
      <c r="N26" s="1561" t="str">
        <f>IF(F26="","",IF(OR(F26="Prescribed",F26="Negotiated",F26="Unregulated"),"","X"))</f>
        <v/>
      </c>
      <c r="O26" s="1560" t="str">
        <f>IF(AND(D26&lt;&gt;"",LEFT(D26,5)&lt;&gt;"&lt;TNSP",ISBLANK(F26))=TRUE,"X","")</f>
        <v/>
      </c>
      <c r="P26" s="2183" t="s">
        <v>1460</v>
      </c>
      <c r="Q26" s="1560" t="str">
        <f>IF(AND(D26&lt;&gt;"",ISBLANK(G26))=TRUE,"X","")</f>
        <v/>
      </c>
      <c r="R26" s="1561" t="str">
        <f>IF(ISNONTEXT(I26)=TRUE,"","X")</f>
        <v/>
      </c>
      <c r="S26" s="1559" t="str">
        <f>IF(I26&gt;=0=TRUE,"","X")</f>
        <v/>
      </c>
      <c r="T26" s="1560" t="str">
        <f>IF(AND(D26&lt;&gt;"",LEFT(D26,5)&lt;&gt;"&lt;TNSP",ISBLANK(I26))=TRUE,"X","")</f>
        <v/>
      </c>
    </row>
    <row r="27" spans="1:20" outlineLevel="1">
      <c r="B27" s="1169"/>
      <c r="C27" s="1169"/>
      <c r="D27" s="1385" t="s">
        <v>1053</v>
      </c>
      <c r="E27" s="1382" t="s">
        <v>1053</v>
      </c>
      <c r="F27" s="1382"/>
      <c r="G27" s="1382" t="s">
        <v>1053</v>
      </c>
      <c r="H27" s="1054" t="s">
        <v>88</v>
      </c>
      <c r="I27" s="1132"/>
      <c r="J27" s="627"/>
      <c r="K27" s="2181"/>
      <c r="L27" s="2073"/>
      <c r="M27" s="1698" t="str">
        <f t="shared" si="7"/>
        <v/>
      </c>
      <c r="N27" s="1591" t="str">
        <f t="shared" ref="N27:N35" si="8">IF(F27="","",IF(OR(F27="Prescribed",F27="Negotiated",F27="Unregulated"),"","X"))</f>
        <v/>
      </c>
      <c r="O27" s="1575" t="str">
        <f t="shared" ref="O27:O35" si="9">IF(AND(D27&lt;&gt;"",LEFT(D27,5)&lt;&gt;"&lt;TNSP",ISBLANK(F27))=TRUE,"X","")</f>
        <v/>
      </c>
      <c r="P27" s="2073"/>
      <c r="Q27" s="1539" t="str">
        <f t="shared" ref="Q27:Q35" si="10">IF(AND(D27&lt;&gt;"",ISBLANK(G27))=TRUE,"X","")</f>
        <v/>
      </c>
      <c r="R27" s="1591" t="str">
        <f t="shared" ref="R27:R35" si="11">IF(ISNONTEXT(I27)=TRUE,"","X")</f>
        <v/>
      </c>
      <c r="S27" s="1592" t="str">
        <f t="shared" ref="S27:S35" si="12">IF(I27&gt;=0=TRUE,"","X")</f>
        <v/>
      </c>
      <c r="T27" s="1575" t="str">
        <f t="shared" ref="T27:T35" si="13">IF(AND(D27&lt;&gt;"",LEFT(D27,5)&lt;&gt;"&lt;TNSP",ISBLANK(I27))=TRUE,"X","")</f>
        <v/>
      </c>
    </row>
    <row r="28" spans="1:20" outlineLevel="1">
      <c r="B28" s="1169"/>
      <c r="C28" s="1169"/>
      <c r="D28" s="1385" t="s">
        <v>1053</v>
      </c>
      <c r="E28" s="1382" t="s">
        <v>1053</v>
      </c>
      <c r="F28" s="1382"/>
      <c r="G28" s="1382" t="s">
        <v>1053</v>
      </c>
      <c r="H28" s="1054" t="s">
        <v>88</v>
      </c>
      <c r="I28" s="1132"/>
      <c r="J28" s="627"/>
      <c r="K28" s="2181"/>
      <c r="L28" s="2073"/>
      <c r="M28" s="1698" t="str">
        <f t="shared" si="7"/>
        <v/>
      </c>
      <c r="N28" s="1591" t="str">
        <f t="shared" si="8"/>
        <v/>
      </c>
      <c r="O28" s="1575" t="str">
        <f t="shared" si="9"/>
        <v/>
      </c>
      <c r="P28" s="2073"/>
      <c r="Q28" s="1539" t="str">
        <f t="shared" si="10"/>
        <v/>
      </c>
      <c r="R28" s="1591" t="str">
        <f t="shared" si="11"/>
        <v/>
      </c>
      <c r="S28" s="1592" t="str">
        <f t="shared" si="12"/>
        <v/>
      </c>
      <c r="T28" s="1575" t="str">
        <f t="shared" si="13"/>
        <v/>
      </c>
    </row>
    <row r="29" spans="1:20" outlineLevel="1">
      <c r="B29" s="1169"/>
      <c r="C29" s="1169"/>
      <c r="D29" s="1385" t="s">
        <v>1053</v>
      </c>
      <c r="E29" s="1382" t="s">
        <v>1053</v>
      </c>
      <c r="F29" s="1382"/>
      <c r="G29" s="1382" t="s">
        <v>1053</v>
      </c>
      <c r="H29" s="1054" t="s">
        <v>88</v>
      </c>
      <c r="I29" s="1132"/>
      <c r="J29" s="627"/>
      <c r="K29" s="2181"/>
      <c r="L29" s="2073"/>
      <c r="M29" s="1698" t="str">
        <f t="shared" si="7"/>
        <v/>
      </c>
      <c r="N29" s="1591" t="str">
        <f t="shared" si="8"/>
        <v/>
      </c>
      <c r="O29" s="1575" t="str">
        <f t="shared" si="9"/>
        <v/>
      </c>
      <c r="P29" s="2073"/>
      <c r="Q29" s="1539" t="str">
        <f t="shared" si="10"/>
        <v/>
      </c>
      <c r="R29" s="1591" t="str">
        <f t="shared" si="11"/>
        <v/>
      </c>
      <c r="S29" s="1592" t="str">
        <f t="shared" si="12"/>
        <v/>
      </c>
      <c r="T29" s="1575" t="str">
        <f t="shared" si="13"/>
        <v/>
      </c>
    </row>
    <row r="30" spans="1:20" outlineLevel="1">
      <c r="B30" s="1169"/>
      <c r="C30" s="1169"/>
      <c r="D30" s="1385" t="s">
        <v>1053</v>
      </c>
      <c r="E30" s="1382" t="s">
        <v>1053</v>
      </c>
      <c r="F30" s="1382"/>
      <c r="G30" s="1382" t="s">
        <v>1053</v>
      </c>
      <c r="H30" s="1054" t="s">
        <v>88</v>
      </c>
      <c r="I30" s="1132"/>
      <c r="J30" s="627"/>
      <c r="K30" s="2181"/>
      <c r="L30" s="2073"/>
      <c r="M30" s="1698" t="str">
        <f t="shared" si="7"/>
        <v/>
      </c>
      <c r="N30" s="1591" t="str">
        <f t="shared" si="8"/>
        <v/>
      </c>
      <c r="O30" s="1575" t="str">
        <f t="shared" si="9"/>
        <v/>
      </c>
      <c r="P30" s="2073"/>
      <c r="Q30" s="1539" t="str">
        <f t="shared" si="10"/>
        <v/>
      </c>
      <c r="R30" s="1591" t="str">
        <f t="shared" si="11"/>
        <v/>
      </c>
      <c r="S30" s="1592" t="str">
        <f t="shared" si="12"/>
        <v/>
      </c>
      <c r="T30" s="1575" t="str">
        <f t="shared" si="13"/>
        <v/>
      </c>
    </row>
    <row r="31" spans="1:20" outlineLevel="1">
      <c r="B31" s="1169"/>
      <c r="C31" s="1169"/>
      <c r="D31" s="1385" t="s">
        <v>1053</v>
      </c>
      <c r="E31" s="1382" t="s">
        <v>1053</v>
      </c>
      <c r="F31" s="1382"/>
      <c r="G31" s="1382" t="s">
        <v>1053</v>
      </c>
      <c r="H31" s="1054" t="s">
        <v>88</v>
      </c>
      <c r="I31" s="1132"/>
      <c r="J31" s="627"/>
      <c r="K31" s="2181"/>
      <c r="L31" s="2073"/>
      <c r="M31" s="1698" t="str">
        <f t="shared" si="7"/>
        <v/>
      </c>
      <c r="N31" s="1591" t="str">
        <f t="shared" si="8"/>
        <v/>
      </c>
      <c r="O31" s="1575" t="str">
        <f t="shared" si="9"/>
        <v/>
      </c>
      <c r="P31" s="2073"/>
      <c r="Q31" s="1539" t="str">
        <f t="shared" si="10"/>
        <v/>
      </c>
      <c r="R31" s="1591" t="str">
        <f t="shared" si="11"/>
        <v/>
      </c>
      <c r="S31" s="1592" t="str">
        <f t="shared" si="12"/>
        <v/>
      </c>
      <c r="T31" s="1575" t="str">
        <f t="shared" si="13"/>
        <v/>
      </c>
    </row>
    <row r="32" spans="1:20" outlineLevel="1">
      <c r="B32" s="1169"/>
      <c r="C32" s="1169"/>
      <c r="D32" s="1385" t="s">
        <v>1053</v>
      </c>
      <c r="E32" s="1382" t="s">
        <v>1053</v>
      </c>
      <c r="F32" s="1382"/>
      <c r="G32" s="1382" t="s">
        <v>1053</v>
      </c>
      <c r="H32" s="1054" t="s">
        <v>88</v>
      </c>
      <c r="I32" s="1132"/>
      <c r="J32" s="627"/>
      <c r="K32" s="2181"/>
      <c r="L32" s="2073"/>
      <c r="M32" s="1698" t="str">
        <f t="shared" si="7"/>
        <v/>
      </c>
      <c r="N32" s="1591" t="str">
        <f t="shared" si="8"/>
        <v/>
      </c>
      <c r="O32" s="1575" t="str">
        <f t="shared" si="9"/>
        <v/>
      </c>
      <c r="P32" s="2073"/>
      <c r="Q32" s="1539" t="str">
        <f t="shared" si="10"/>
        <v/>
      </c>
      <c r="R32" s="1591" t="str">
        <f t="shared" si="11"/>
        <v/>
      </c>
      <c r="S32" s="1592" t="str">
        <f t="shared" si="12"/>
        <v/>
      </c>
      <c r="T32" s="1575" t="str">
        <f t="shared" si="13"/>
        <v/>
      </c>
    </row>
    <row r="33" spans="1:20" outlineLevel="1">
      <c r="B33" s="1169"/>
      <c r="C33" s="1169"/>
      <c r="D33" s="1385" t="s">
        <v>1053</v>
      </c>
      <c r="E33" s="1382" t="s">
        <v>1053</v>
      </c>
      <c r="F33" s="1382"/>
      <c r="G33" s="1382" t="s">
        <v>1053</v>
      </c>
      <c r="H33" s="1054" t="s">
        <v>88</v>
      </c>
      <c r="I33" s="1132"/>
      <c r="J33" s="627"/>
      <c r="K33" s="2181"/>
      <c r="L33" s="2073"/>
      <c r="M33" s="1698" t="str">
        <f t="shared" si="7"/>
        <v/>
      </c>
      <c r="N33" s="1591" t="str">
        <f t="shared" si="8"/>
        <v/>
      </c>
      <c r="O33" s="1575" t="str">
        <f t="shared" si="9"/>
        <v/>
      </c>
      <c r="P33" s="2073"/>
      <c r="Q33" s="1539" t="str">
        <f t="shared" si="10"/>
        <v/>
      </c>
      <c r="R33" s="1591" t="str">
        <f t="shared" si="11"/>
        <v/>
      </c>
      <c r="S33" s="1592" t="str">
        <f t="shared" si="12"/>
        <v/>
      </c>
      <c r="T33" s="1575" t="str">
        <f t="shared" si="13"/>
        <v/>
      </c>
    </row>
    <row r="34" spans="1:20" outlineLevel="1">
      <c r="A34" s="1666" t="s">
        <v>1487</v>
      </c>
      <c r="B34" s="1169"/>
      <c r="C34" s="1169"/>
      <c r="D34" s="1385" t="s">
        <v>1053</v>
      </c>
      <c r="E34" s="1382" t="s">
        <v>1053</v>
      </c>
      <c r="F34" s="1382"/>
      <c r="G34" s="1382" t="s">
        <v>1053</v>
      </c>
      <c r="H34" s="1054" t="s">
        <v>88</v>
      </c>
      <c r="I34" s="1132"/>
      <c r="J34" s="627"/>
      <c r="K34" s="2181"/>
      <c r="L34" s="2073"/>
      <c r="M34" s="1698" t="str">
        <f t="shared" si="7"/>
        <v/>
      </c>
      <c r="N34" s="1591" t="str">
        <f t="shared" si="8"/>
        <v/>
      </c>
      <c r="O34" s="1575" t="str">
        <f t="shared" si="9"/>
        <v/>
      </c>
      <c r="P34" s="2073"/>
      <c r="Q34" s="1539" t="str">
        <f t="shared" si="10"/>
        <v/>
      </c>
      <c r="R34" s="1591" t="str">
        <f t="shared" si="11"/>
        <v/>
      </c>
      <c r="S34" s="1592" t="str">
        <f t="shared" si="12"/>
        <v/>
      </c>
      <c r="T34" s="1575" t="str">
        <f t="shared" si="13"/>
        <v/>
      </c>
    </row>
    <row r="35" spans="1:20" outlineLevel="1">
      <c r="B35" s="1169"/>
      <c r="C35" s="1169"/>
      <c r="D35" s="1386" t="s">
        <v>1053</v>
      </c>
      <c r="E35" s="1387" t="s">
        <v>1053</v>
      </c>
      <c r="F35" s="1387"/>
      <c r="G35" s="1387" t="s">
        <v>1053</v>
      </c>
      <c r="H35" s="1055" t="s">
        <v>88</v>
      </c>
      <c r="I35" s="1133"/>
      <c r="J35" s="627"/>
      <c r="K35" s="2182"/>
      <c r="L35" s="2184"/>
      <c r="M35" s="1746" t="str">
        <f t="shared" si="7"/>
        <v/>
      </c>
      <c r="N35" s="1642" t="str">
        <f t="shared" si="8"/>
        <v/>
      </c>
      <c r="O35" s="1644" t="str">
        <f t="shared" si="9"/>
        <v/>
      </c>
      <c r="P35" s="2184"/>
      <c r="Q35" s="1541" t="str">
        <f t="shared" si="10"/>
        <v/>
      </c>
      <c r="R35" s="1642" t="str">
        <f t="shared" si="11"/>
        <v/>
      </c>
      <c r="S35" s="1643" t="str">
        <f t="shared" si="12"/>
        <v/>
      </c>
      <c r="T35" s="1644" t="str">
        <f t="shared" si="13"/>
        <v/>
      </c>
    </row>
    <row r="36" spans="1:20">
      <c r="B36" s="1169"/>
      <c r="C36" s="1169"/>
      <c r="D36" s="627"/>
      <c r="E36" s="627"/>
      <c r="F36" s="627"/>
      <c r="G36" s="627"/>
      <c r="H36" s="627"/>
      <c r="I36" s="627"/>
      <c r="J36" s="627"/>
    </row>
    <row r="37" spans="1:20">
      <c r="B37" s="1169"/>
      <c r="C37" s="1169"/>
      <c r="D37" s="627"/>
      <c r="E37" s="627"/>
      <c r="F37" s="627"/>
      <c r="G37" s="627"/>
      <c r="H37" s="627"/>
      <c r="I37" s="627"/>
      <c r="J37" s="627"/>
    </row>
    <row r="38" spans="1:20">
      <c r="B38" s="1717" t="s">
        <v>1468</v>
      </c>
      <c r="C38" s="1714"/>
      <c r="D38" s="1715" t="s">
        <v>1488</v>
      </c>
      <c r="E38" s="627"/>
      <c r="F38" s="627"/>
      <c r="G38" s="627"/>
      <c r="H38" s="627"/>
      <c r="I38" s="627"/>
      <c r="J38" s="627"/>
    </row>
    <row r="39" spans="1:20">
      <c r="B39" s="1169"/>
      <c r="C39" s="1169"/>
      <c r="D39" s="627"/>
      <c r="E39" s="627"/>
      <c r="F39" s="627"/>
      <c r="G39" s="627"/>
      <c r="H39" s="627"/>
      <c r="I39" s="627"/>
      <c r="J39" s="627"/>
    </row>
    <row r="40" spans="1:20">
      <c r="B40" s="1169"/>
      <c r="C40" s="1169"/>
      <c r="D40" s="627"/>
      <c r="E40" s="627"/>
      <c r="F40" s="627"/>
      <c r="G40" s="627"/>
      <c r="H40" s="627"/>
      <c r="I40" s="627"/>
      <c r="J40" s="627"/>
    </row>
    <row r="41" spans="1:20">
      <c r="D41" s="1272"/>
    </row>
  </sheetData>
  <mergeCells count="14">
    <mergeCell ref="K26:K35"/>
    <mergeCell ref="L26:L35"/>
    <mergeCell ref="P26:P35"/>
    <mergeCell ref="K13:K22"/>
    <mergeCell ref="R12:T12"/>
    <mergeCell ref="L12:M12"/>
    <mergeCell ref="L13:L22"/>
    <mergeCell ref="N12:O12"/>
    <mergeCell ref="P12:Q12"/>
    <mergeCell ref="P13:P22"/>
    <mergeCell ref="L25:M25"/>
    <mergeCell ref="N25:O25"/>
    <mergeCell ref="P25:Q25"/>
    <mergeCell ref="R25:T25"/>
  </mergeCells>
  <conditionalFormatting sqref="D38">
    <cfRule type="cellIs" dxfId="32" priority="3" operator="equal">
      <formula>FALSE</formula>
    </cfRule>
  </conditionalFormatting>
  <conditionalFormatting sqref="D13:G22">
    <cfRule type="expression" dxfId="31" priority="7">
      <formula>dms_worksheet210flag="Worksheet 2.10"</formula>
    </cfRule>
  </conditionalFormatting>
  <conditionalFormatting sqref="D26:G35">
    <cfRule type="expression" dxfId="30" priority="1">
      <formula>dms_worksheet210flag="Worksheet 2.10"</formula>
    </cfRule>
  </conditionalFormatting>
  <conditionalFormatting sqref="I13:I22">
    <cfRule type="expression" dxfId="29" priority="13">
      <formula>dms_worksheet210flag="Worksheet 2.10"</formula>
    </cfRule>
  </conditionalFormatting>
  <conditionalFormatting sqref="I26:I35">
    <cfRule type="expression" dxfId="28" priority="10">
      <formula>dms_worksheet210flag="Worksheet 2.10"</formula>
    </cfRule>
  </conditionalFormatting>
  <dataValidations count="1">
    <dataValidation allowBlank="1" showErrorMessage="1" sqref="A1:XFD1048576" xr:uid="{A6E5D0A3-9960-4462-9154-D1C463ED3028}"/>
  </dataValidations>
  <pageMargins left="0.7" right="0.7" top="0.75" bottom="0.75" header="0.3" footer="0.3"/>
  <pageSetup paperSize="9" scale="6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86362-3F52-424C-B4B5-50E47B7E773C}">
  <sheetPr codeName="Sheet33">
    <tabColor theme="8" tint="0.39997558519241921"/>
    <pageSetUpPr fitToPage="1"/>
  </sheetPr>
  <dimension ref="B1:X27"/>
  <sheetViews>
    <sheetView workbookViewId="0"/>
  </sheetViews>
  <sheetFormatPr defaultColWidth="9.140625" defaultRowHeight="15"/>
  <cols>
    <col min="1" max="1" width="20.7109375" style="46" customWidth="1"/>
    <col min="2" max="2" width="13.42578125" style="55" customWidth="1"/>
    <col min="3" max="3" width="2.7109375" style="55" customWidth="1"/>
    <col min="4" max="4" width="13" style="46" customWidth="1"/>
    <col min="5" max="5" width="25.42578125" style="46" customWidth="1"/>
    <col min="6" max="7" width="18.28515625" style="46" customWidth="1"/>
    <col min="8" max="8" width="2.140625" style="46" customWidth="1"/>
    <col min="9" max="10" width="18.28515625" style="46" customWidth="1"/>
    <col min="11" max="11" width="9.140625" style="46"/>
    <col min="12" max="28" width="3.7109375" style="46" customWidth="1"/>
    <col min="29" max="16384" width="9.140625" style="46"/>
  </cols>
  <sheetData>
    <row r="1" spans="2:24" s="1225" customFormat="1" ht="20.100000000000001" customHeight="1">
      <c r="B1" s="1002"/>
      <c r="C1" s="1002"/>
      <c r="D1" s="1002" t="str">
        <f>dms_SheetHeading1</f>
        <v>ANNUAL INFORMATION ORDER</v>
      </c>
      <c r="E1" s="1221"/>
      <c r="F1" s="1221"/>
      <c r="G1" s="1221"/>
      <c r="H1" s="1221"/>
      <c r="I1" s="1221"/>
      <c r="J1" s="1221"/>
      <c r="L1" s="1658" t="s">
        <v>1040</v>
      </c>
      <c r="M1" s="1323"/>
      <c r="N1" s="1323"/>
      <c r="O1" s="1323"/>
      <c r="P1" s="1323"/>
      <c r="Q1" s="1323"/>
      <c r="R1" s="1657" t="s">
        <v>1039</v>
      </c>
      <c r="S1" s="1323"/>
      <c r="T1" s="1323"/>
      <c r="U1" s="1323"/>
      <c r="V1" s="1323"/>
      <c r="W1" s="1323"/>
      <c r="X1" s="1323"/>
    </row>
    <row r="2" spans="2:24" s="1225" customFormat="1" ht="20.100000000000001" customHeight="1">
      <c r="B2" s="1003"/>
      <c r="C2" s="1003"/>
      <c r="D2" s="1003" t="str">
        <f>dms_SheetHeading2</f>
        <v>Australian Transmission Co.</v>
      </c>
      <c r="E2" s="1221"/>
      <c r="F2" s="1221"/>
      <c r="G2" s="1221"/>
      <c r="H2" s="1221"/>
      <c r="I2" s="1221"/>
      <c r="J2" s="1221"/>
      <c r="L2" s="1659" t="s">
        <v>1041</v>
      </c>
      <c r="M2" s="1324"/>
      <c r="N2" s="1324"/>
      <c r="O2" s="1324"/>
      <c r="P2" s="1324"/>
      <c r="Q2" s="1324"/>
      <c r="R2" s="1379" t="s">
        <v>202</v>
      </c>
      <c r="S2" s="1324"/>
      <c r="T2" s="1324"/>
      <c r="U2" s="1324"/>
      <c r="V2" s="1324"/>
      <c r="W2" s="1324"/>
      <c r="X2" s="1324"/>
    </row>
    <row r="3" spans="2:24" s="1225" customFormat="1" ht="20.100000000000001" customHeight="1">
      <c r="B3" s="1004"/>
      <c r="C3" s="1004"/>
      <c r="D3" s="1004" t="str">
        <f>dms_SheetHeading3</f>
        <v>REPORTING STATEMENT: 2024-25</v>
      </c>
      <c r="E3" s="1215"/>
      <c r="F3" s="1215"/>
      <c r="G3" s="1215"/>
      <c r="H3" s="1215"/>
      <c r="I3" s="1215"/>
      <c r="J3" s="1215"/>
      <c r="L3" s="1660" t="s">
        <v>1042</v>
      </c>
      <c r="M3" s="1325"/>
      <c r="N3" s="1325"/>
      <c r="O3" s="1325"/>
      <c r="P3" s="1325"/>
      <c r="Q3" s="1325"/>
      <c r="R3" s="1380" t="s">
        <v>203</v>
      </c>
      <c r="S3" s="1325"/>
      <c r="T3" s="1325"/>
      <c r="U3" s="1325"/>
      <c r="V3" s="1325"/>
      <c r="W3" s="1325"/>
      <c r="X3" s="1325"/>
    </row>
    <row r="4" spans="2:24" s="1225" customFormat="1" ht="20.100000000000001" customHeight="1">
      <c r="B4" s="1216"/>
      <c r="C4" s="1216"/>
      <c r="D4" s="1216" t="s">
        <v>1349</v>
      </c>
      <c r="E4" s="1216"/>
      <c r="F4" s="1216"/>
      <c r="G4" s="1216"/>
      <c r="H4" s="1216"/>
      <c r="I4" s="1216"/>
      <c r="J4" s="1216"/>
      <c r="L4" s="1662" t="s">
        <v>1044</v>
      </c>
      <c r="M4" s="1692"/>
      <c r="N4" s="1693"/>
      <c r="O4" s="1498"/>
      <c r="P4" s="1498"/>
      <c r="Q4" s="1498"/>
      <c r="R4" s="1497" t="s">
        <v>1043</v>
      </c>
      <c r="S4" s="1498"/>
      <c r="T4" s="1498"/>
      <c r="U4" s="1498"/>
      <c r="V4" s="1498"/>
      <c r="W4" s="1498"/>
      <c r="X4" s="1498"/>
    </row>
    <row r="5" spans="2:24" ht="13.5" customHeight="1">
      <c r="B5" s="59"/>
      <c r="C5" s="59"/>
      <c r="F5" s="1061"/>
      <c r="G5" s="1061"/>
      <c r="H5" s="1061"/>
      <c r="I5" s="1061"/>
      <c r="J5" s="1061"/>
    </row>
    <row r="6" spans="2:24">
      <c r="B6" s="628" t="s">
        <v>1172</v>
      </c>
      <c r="C6" s="973"/>
      <c r="D6" s="973"/>
      <c r="E6" s="973"/>
      <c r="F6" s="973"/>
      <c r="G6" s="973"/>
      <c r="H6" s="973"/>
      <c r="I6" s="973"/>
      <c r="J6" s="973"/>
    </row>
    <row r="7" spans="2:24">
      <c r="B7" s="1032" t="s">
        <v>1159</v>
      </c>
      <c r="C7" s="1032"/>
      <c r="D7" s="1032"/>
      <c r="E7" s="1032"/>
      <c r="F7" s="1032"/>
      <c r="G7" s="1032"/>
      <c r="H7" s="1032"/>
      <c r="I7" s="1032"/>
      <c r="J7" s="1032"/>
    </row>
    <row r="8" spans="2:24" s="632" customFormat="1" ht="15.75">
      <c r="B8" s="1469"/>
      <c r="C8" s="1469"/>
      <c r="D8" s="1052"/>
      <c r="E8" s="1052"/>
      <c r="F8" s="1052"/>
      <c r="G8" s="1052"/>
      <c r="H8" s="1052"/>
      <c r="I8" s="1052"/>
      <c r="J8" s="1052"/>
    </row>
    <row r="9" spans="2:24" s="632" customFormat="1" ht="15.75">
      <c r="B9" s="1469"/>
      <c r="C9" s="1469"/>
      <c r="D9" s="2189" t="s">
        <v>1160</v>
      </c>
      <c r="E9" s="2189"/>
      <c r="F9" s="2189"/>
      <c r="G9" s="2189"/>
      <c r="H9" s="2189"/>
      <c r="I9" s="2189"/>
      <c r="J9" s="1470"/>
    </row>
    <row r="10" spans="2:24" s="632" customFormat="1" ht="15.75">
      <c r="B10" s="1471"/>
      <c r="C10" s="1471"/>
      <c r="D10" s="1471"/>
      <c r="E10" s="1471"/>
      <c r="F10" s="1471"/>
      <c r="G10" s="1471"/>
      <c r="H10" s="1471"/>
      <c r="I10" s="1471"/>
      <c r="J10" s="1471"/>
      <c r="K10" s="640"/>
    </row>
    <row r="11" spans="2:24" s="44" customFormat="1" ht="31.5" customHeight="1">
      <c r="D11" s="627"/>
      <c r="E11" s="627"/>
      <c r="F11" s="1891" t="s">
        <v>1161</v>
      </c>
      <c r="G11" s="1892"/>
      <c r="H11" s="627"/>
      <c r="I11" s="1891" t="s">
        <v>1156</v>
      </c>
      <c r="J11" s="1892"/>
      <c r="L11" s="1594" t="s">
        <v>1430</v>
      </c>
      <c r="M11" s="1595" t="s">
        <v>1431</v>
      </c>
      <c r="N11" s="1596" t="s">
        <v>1432</v>
      </c>
      <c r="O11" s="1594" t="s">
        <v>1430</v>
      </c>
      <c r="P11" s="1595" t="s">
        <v>1431</v>
      </c>
      <c r="Q11" s="1596" t="s">
        <v>1432</v>
      </c>
      <c r="R11" s="1594" t="s">
        <v>1430</v>
      </c>
      <c r="S11" s="1595" t="s">
        <v>1431</v>
      </c>
      <c r="T11" s="1596" t="s">
        <v>1432</v>
      </c>
      <c r="U11" s="1594" t="s">
        <v>1430</v>
      </c>
      <c r="V11" s="1595" t="s">
        <v>1431</v>
      </c>
      <c r="W11" s="1596" t="s">
        <v>1432</v>
      </c>
    </row>
    <row r="12" spans="2:24" ht="23.25" customHeight="1">
      <c r="D12" s="1472" t="s">
        <v>1347</v>
      </c>
      <c r="E12" s="958" t="s">
        <v>1192</v>
      </c>
      <c r="F12" s="1893" t="s">
        <v>1345</v>
      </c>
      <c r="G12" s="1894" t="s">
        <v>1346</v>
      </c>
      <c r="H12" s="971"/>
      <c r="I12" s="1893" t="s">
        <v>1345</v>
      </c>
      <c r="J12" s="1894" t="s">
        <v>1346</v>
      </c>
      <c r="L12" s="2125" t="s">
        <v>1462</v>
      </c>
      <c r="M12" s="2125"/>
      <c r="N12" s="2125"/>
      <c r="O12" s="2125" t="s">
        <v>1463</v>
      </c>
      <c r="P12" s="2125"/>
      <c r="Q12" s="2125"/>
      <c r="R12" s="2125" t="s">
        <v>1464</v>
      </c>
      <c r="S12" s="2125"/>
      <c r="T12" s="2125"/>
      <c r="U12" s="2125" t="s">
        <v>1465</v>
      </c>
      <c r="V12" s="2125"/>
      <c r="W12" s="2125"/>
    </row>
    <row r="13" spans="2:24" ht="15.75">
      <c r="B13" s="644"/>
      <c r="C13" s="1062"/>
      <c r="D13" s="1058" t="s">
        <v>1162</v>
      </c>
      <c r="E13" s="650" t="s">
        <v>1037</v>
      </c>
      <c r="F13" s="1412"/>
      <c r="G13" s="1365"/>
      <c r="H13" s="971"/>
      <c r="I13" s="1473"/>
      <c r="J13" s="1365"/>
      <c r="L13" s="1591" t="str">
        <f>IF(ISNONTEXT(F13)=TRUE,"","X")</f>
        <v/>
      </c>
      <c r="M13" s="1592" t="str">
        <f>IF(AND(F13&gt;=0)=TRUE,"","X")</f>
        <v/>
      </c>
      <c r="N13" s="1575" t="str">
        <f>IF(F13&lt;&gt;""=TRUE,"","X")</f>
        <v>X</v>
      </c>
      <c r="O13" s="1591" t="str">
        <f>IF(ISNONTEXT(G13)=TRUE,"","X")</f>
        <v/>
      </c>
      <c r="P13" s="1592" t="str">
        <f>IF(AND(G13&gt;=0)=TRUE,"","X")</f>
        <v/>
      </c>
      <c r="Q13" s="1575" t="str">
        <f>IF(G13&lt;&gt;""=TRUE,"","X")</f>
        <v>X</v>
      </c>
      <c r="R13" s="1591" t="str">
        <f>IF(ISNONTEXT(I13)=TRUE,"","X")</f>
        <v/>
      </c>
      <c r="S13" s="1592" t="str">
        <f>IF(AND(I13&gt;=0)=TRUE,"","X")</f>
        <v/>
      </c>
      <c r="T13" s="1575" t="str">
        <f>IF(I13&lt;&gt;""=TRUE,"","X")</f>
        <v>X</v>
      </c>
      <c r="U13" s="1591" t="str">
        <f>IF(ISNONTEXT(J13)=TRUE,"","X")</f>
        <v/>
      </c>
      <c r="V13" s="1592" t="str">
        <f>IF(AND(J13&gt;=0)=TRUE,"","X")</f>
        <v/>
      </c>
      <c r="W13" s="1575" t="str">
        <f>IF(J13&lt;&gt;""=TRUE,"","X")</f>
        <v>X</v>
      </c>
    </row>
    <row r="14" spans="2:24" ht="15.75">
      <c r="B14" s="644"/>
      <c r="C14" s="1062"/>
      <c r="D14" s="1059" t="s">
        <v>1163</v>
      </c>
      <c r="E14" s="651" t="s">
        <v>1037</v>
      </c>
      <c r="F14" s="1411"/>
      <c r="G14" s="1366"/>
      <c r="H14" s="971"/>
      <c r="I14" s="1452"/>
      <c r="J14" s="1366"/>
      <c r="L14" s="1591" t="str">
        <f t="shared" ref="L14:L24" si="0">IF(ISNONTEXT(F14)=TRUE,"","X")</f>
        <v/>
      </c>
      <c r="M14" s="1592" t="str">
        <f t="shared" ref="M14:M24" si="1">IF(AND(F14&gt;=0)=TRUE,"","X")</f>
        <v/>
      </c>
      <c r="N14" s="1575" t="str">
        <f t="shared" ref="N14:N24" si="2">IF(F14&lt;&gt;""=TRUE,"","X")</f>
        <v>X</v>
      </c>
      <c r="O14" s="1591" t="str">
        <f t="shared" ref="O14:O24" si="3">IF(ISNONTEXT(G14)=TRUE,"","X")</f>
        <v/>
      </c>
      <c r="P14" s="1592" t="str">
        <f t="shared" ref="P14:P24" si="4">IF(AND(G14&gt;=0)=TRUE,"","X")</f>
        <v/>
      </c>
      <c r="Q14" s="1575" t="str">
        <f t="shared" ref="Q14:Q24" si="5">IF(G14&lt;&gt;""=TRUE,"","X")</f>
        <v>X</v>
      </c>
      <c r="R14" s="1591" t="str">
        <f t="shared" ref="R14:R24" si="6">IF(ISNONTEXT(I14)=TRUE,"","X")</f>
        <v/>
      </c>
      <c r="S14" s="1592" t="str">
        <f t="shared" ref="S14:S24" si="7">IF(AND(I14&gt;=0)=TRUE,"","X")</f>
        <v/>
      </c>
      <c r="T14" s="1575" t="str">
        <f t="shared" ref="T14:T24" si="8">IF(I14&lt;&gt;""=TRUE,"","X")</f>
        <v>X</v>
      </c>
      <c r="U14" s="1591" t="str">
        <f t="shared" ref="U14:U24" si="9">IF(ISNONTEXT(J14)=TRUE,"","X")</f>
        <v/>
      </c>
      <c r="V14" s="1592" t="str">
        <f t="shared" ref="V14:V24" si="10">IF(AND(J14&gt;=0)=TRUE,"","X")</f>
        <v/>
      </c>
      <c r="W14" s="1575" t="str">
        <f t="shared" ref="W14:W24" si="11">IF(J14&lt;&gt;""=TRUE,"","X")</f>
        <v>X</v>
      </c>
    </row>
    <row r="15" spans="2:24" ht="15.75">
      <c r="B15" s="644"/>
      <c r="C15" s="1062"/>
      <c r="D15" s="1059" t="s">
        <v>540</v>
      </c>
      <c r="E15" s="651" t="s">
        <v>1037</v>
      </c>
      <c r="F15" s="1411"/>
      <c r="G15" s="1366"/>
      <c r="H15" s="971"/>
      <c r="I15" s="1452"/>
      <c r="J15" s="1366"/>
      <c r="L15" s="1591" t="str">
        <f t="shared" si="0"/>
        <v/>
      </c>
      <c r="M15" s="1592" t="str">
        <f t="shared" si="1"/>
        <v/>
      </c>
      <c r="N15" s="1575" t="str">
        <f t="shared" si="2"/>
        <v>X</v>
      </c>
      <c r="O15" s="1591" t="str">
        <f t="shared" si="3"/>
        <v/>
      </c>
      <c r="P15" s="1592" t="str">
        <f t="shared" si="4"/>
        <v/>
      </c>
      <c r="Q15" s="1575" t="str">
        <f t="shared" si="5"/>
        <v>X</v>
      </c>
      <c r="R15" s="1591" t="str">
        <f t="shared" si="6"/>
        <v/>
      </c>
      <c r="S15" s="1592" t="str">
        <f t="shared" si="7"/>
        <v/>
      </c>
      <c r="T15" s="1575" t="str">
        <f t="shared" si="8"/>
        <v>X</v>
      </c>
      <c r="U15" s="1591" t="str">
        <f t="shared" si="9"/>
        <v/>
      </c>
      <c r="V15" s="1592" t="str">
        <f t="shared" si="10"/>
        <v/>
      </c>
      <c r="W15" s="1575" t="str">
        <f t="shared" si="11"/>
        <v>X</v>
      </c>
    </row>
    <row r="16" spans="2:24" ht="15.75">
      <c r="B16" s="644"/>
      <c r="C16" s="1062"/>
      <c r="D16" s="1059" t="s">
        <v>1164</v>
      </c>
      <c r="E16" s="651" t="s">
        <v>1037</v>
      </c>
      <c r="F16" s="1411"/>
      <c r="G16" s="1366"/>
      <c r="H16" s="971"/>
      <c r="I16" s="1452"/>
      <c r="J16" s="1366"/>
      <c r="L16" s="1591" t="str">
        <f t="shared" si="0"/>
        <v/>
      </c>
      <c r="M16" s="1592" t="str">
        <f t="shared" si="1"/>
        <v/>
      </c>
      <c r="N16" s="1575" t="str">
        <f t="shared" si="2"/>
        <v>X</v>
      </c>
      <c r="O16" s="1591" t="str">
        <f t="shared" si="3"/>
        <v/>
      </c>
      <c r="P16" s="1592" t="str">
        <f t="shared" si="4"/>
        <v/>
      </c>
      <c r="Q16" s="1575" t="str">
        <f t="shared" si="5"/>
        <v>X</v>
      </c>
      <c r="R16" s="1591" t="str">
        <f t="shared" si="6"/>
        <v/>
      </c>
      <c r="S16" s="1592" t="str">
        <f t="shared" si="7"/>
        <v/>
      </c>
      <c r="T16" s="1575" t="str">
        <f t="shared" si="8"/>
        <v>X</v>
      </c>
      <c r="U16" s="1591" t="str">
        <f t="shared" si="9"/>
        <v/>
      </c>
      <c r="V16" s="1592" t="str">
        <f t="shared" si="10"/>
        <v/>
      </c>
      <c r="W16" s="1575" t="str">
        <f t="shared" si="11"/>
        <v>X</v>
      </c>
    </row>
    <row r="17" spans="2:23" ht="15.75">
      <c r="B17" s="644"/>
      <c r="C17" s="1062"/>
      <c r="D17" s="1059" t="s">
        <v>1165</v>
      </c>
      <c r="E17" s="651" t="s">
        <v>1037</v>
      </c>
      <c r="F17" s="1411"/>
      <c r="G17" s="1366"/>
      <c r="H17" s="971"/>
      <c r="I17" s="1452"/>
      <c r="J17" s="1366"/>
      <c r="L17" s="1591" t="str">
        <f t="shared" si="0"/>
        <v/>
      </c>
      <c r="M17" s="1592" t="str">
        <f t="shared" si="1"/>
        <v/>
      </c>
      <c r="N17" s="1575" t="str">
        <f t="shared" si="2"/>
        <v>X</v>
      </c>
      <c r="O17" s="1591" t="str">
        <f t="shared" si="3"/>
        <v/>
      </c>
      <c r="P17" s="1592" t="str">
        <f t="shared" si="4"/>
        <v/>
      </c>
      <c r="Q17" s="1575" t="str">
        <f t="shared" si="5"/>
        <v>X</v>
      </c>
      <c r="R17" s="1591" t="str">
        <f t="shared" si="6"/>
        <v/>
      </c>
      <c r="S17" s="1592" t="str">
        <f t="shared" si="7"/>
        <v/>
      </c>
      <c r="T17" s="1575" t="str">
        <f t="shared" si="8"/>
        <v>X</v>
      </c>
      <c r="U17" s="1591" t="str">
        <f t="shared" si="9"/>
        <v/>
      </c>
      <c r="V17" s="1592" t="str">
        <f t="shared" si="10"/>
        <v/>
      </c>
      <c r="W17" s="1575" t="str">
        <f t="shared" si="11"/>
        <v>X</v>
      </c>
    </row>
    <row r="18" spans="2:23" ht="15.75">
      <c r="B18" s="644"/>
      <c r="C18" s="1062"/>
      <c r="D18" s="1059" t="s">
        <v>559</v>
      </c>
      <c r="E18" s="651" t="s">
        <v>1037</v>
      </c>
      <c r="F18" s="1411"/>
      <c r="G18" s="1366"/>
      <c r="H18" s="971"/>
      <c r="I18" s="1452"/>
      <c r="J18" s="1366"/>
      <c r="L18" s="1591" t="str">
        <f t="shared" si="0"/>
        <v/>
      </c>
      <c r="M18" s="1592" t="str">
        <f t="shared" si="1"/>
        <v/>
      </c>
      <c r="N18" s="1575" t="str">
        <f t="shared" si="2"/>
        <v>X</v>
      </c>
      <c r="O18" s="1591" t="str">
        <f t="shared" si="3"/>
        <v/>
      </c>
      <c r="P18" s="1592" t="str">
        <f t="shared" si="4"/>
        <v/>
      </c>
      <c r="Q18" s="1575" t="str">
        <f t="shared" si="5"/>
        <v>X</v>
      </c>
      <c r="R18" s="1591" t="str">
        <f t="shared" si="6"/>
        <v/>
      </c>
      <c r="S18" s="1592" t="str">
        <f t="shared" si="7"/>
        <v/>
      </c>
      <c r="T18" s="1575" t="str">
        <f t="shared" si="8"/>
        <v>X</v>
      </c>
      <c r="U18" s="1591" t="str">
        <f t="shared" si="9"/>
        <v/>
      </c>
      <c r="V18" s="1592" t="str">
        <f t="shared" si="10"/>
        <v/>
      </c>
      <c r="W18" s="1575" t="str">
        <f t="shared" si="11"/>
        <v>X</v>
      </c>
    </row>
    <row r="19" spans="2:23" ht="15.75">
      <c r="B19" s="644"/>
      <c r="C19" s="1062"/>
      <c r="D19" s="1059" t="s">
        <v>1166</v>
      </c>
      <c r="E19" s="651" t="s">
        <v>1037</v>
      </c>
      <c r="F19" s="1411"/>
      <c r="G19" s="1366"/>
      <c r="H19" s="971"/>
      <c r="I19" s="1452"/>
      <c r="J19" s="1366"/>
      <c r="L19" s="1591" t="str">
        <f t="shared" si="0"/>
        <v/>
      </c>
      <c r="M19" s="1592" t="str">
        <f t="shared" si="1"/>
        <v/>
      </c>
      <c r="N19" s="1575" t="str">
        <f t="shared" si="2"/>
        <v>X</v>
      </c>
      <c r="O19" s="1591" t="str">
        <f t="shared" si="3"/>
        <v/>
      </c>
      <c r="P19" s="1592" t="str">
        <f t="shared" si="4"/>
        <v/>
      </c>
      <c r="Q19" s="1575" t="str">
        <f t="shared" si="5"/>
        <v>X</v>
      </c>
      <c r="R19" s="1591" t="str">
        <f t="shared" si="6"/>
        <v/>
      </c>
      <c r="S19" s="1592" t="str">
        <f t="shared" si="7"/>
        <v/>
      </c>
      <c r="T19" s="1575" t="str">
        <f t="shared" si="8"/>
        <v>X</v>
      </c>
      <c r="U19" s="1591" t="str">
        <f t="shared" si="9"/>
        <v/>
      </c>
      <c r="V19" s="1592" t="str">
        <f t="shared" si="10"/>
        <v/>
      </c>
      <c r="W19" s="1575" t="str">
        <f t="shared" si="11"/>
        <v>X</v>
      </c>
    </row>
    <row r="20" spans="2:23">
      <c r="D20" s="1059" t="s">
        <v>1167</v>
      </c>
      <c r="E20" s="651" t="s">
        <v>1037</v>
      </c>
      <c r="F20" s="1411"/>
      <c r="G20" s="1366"/>
      <c r="H20" s="971"/>
      <c r="I20" s="1452"/>
      <c r="J20" s="1366"/>
      <c r="L20" s="1591" t="str">
        <f t="shared" si="0"/>
        <v/>
      </c>
      <c r="M20" s="1592" t="str">
        <f t="shared" si="1"/>
        <v/>
      </c>
      <c r="N20" s="1575" t="str">
        <f t="shared" si="2"/>
        <v>X</v>
      </c>
      <c r="O20" s="1591" t="str">
        <f t="shared" si="3"/>
        <v/>
      </c>
      <c r="P20" s="1592" t="str">
        <f t="shared" si="4"/>
        <v/>
      </c>
      <c r="Q20" s="1575" t="str">
        <f t="shared" si="5"/>
        <v>X</v>
      </c>
      <c r="R20" s="1591" t="str">
        <f t="shared" si="6"/>
        <v/>
      </c>
      <c r="S20" s="1592" t="str">
        <f t="shared" si="7"/>
        <v/>
      </c>
      <c r="T20" s="1575" t="str">
        <f t="shared" si="8"/>
        <v>X</v>
      </c>
      <c r="U20" s="1591" t="str">
        <f t="shared" si="9"/>
        <v/>
      </c>
      <c r="V20" s="1592" t="str">
        <f t="shared" si="10"/>
        <v/>
      </c>
      <c r="W20" s="1575" t="str">
        <f t="shared" si="11"/>
        <v>X</v>
      </c>
    </row>
    <row r="21" spans="2:23">
      <c r="D21" s="1059" t="s">
        <v>1168</v>
      </c>
      <c r="E21" s="651" t="s">
        <v>1037</v>
      </c>
      <c r="F21" s="1411"/>
      <c r="G21" s="1366"/>
      <c r="H21" s="971"/>
      <c r="I21" s="1452"/>
      <c r="J21" s="1366"/>
      <c r="L21" s="1591" t="str">
        <f t="shared" si="0"/>
        <v/>
      </c>
      <c r="M21" s="1592" t="str">
        <f t="shared" si="1"/>
        <v/>
      </c>
      <c r="N21" s="1575" t="str">
        <f t="shared" si="2"/>
        <v>X</v>
      </c>
      <c r="O21" s="1591" t="str">
        <f t="shared" si="3"/>
        <v/>
      </c>
      <c r="P21" s="1592" t="str">
        <f t="shared" si="4"/>
        <v/>
      </c>
      <c r="Q21" s="1575" t="str">
        <f t="shared" si="5"/>
        <v>X</v>
      </c>
      <c r="R21" s="1591" t="str">
        <f t="shared" si="6"/>
        <v/>
      </c>
      <c r="S21" s="1592" t="str">
        <f t="shared" si="7"/>
        <v/>
      </c>
      <c r="T21" s="1575" t="str">
        <f t="shared" si="8"/>
        <v>X</v>
      </c>
      <c r="U21" s="1591" t="str">
        <f t="shared" si="9"/>
        <v/>
      </c>
      <c r="V21" s="1592" t="str">
        <f t="shared" si="10"/>
        <v/>
      </c>
      <c r="W21" s="1575" t="str">
        <f t="shared" si="11"/>
        <v>X</v>
      </c>
    </row>
    <row r="22" spans="2:23">
      <c r="D22" s="1059" t="s">
        <v>1169</v>
      </c>
      <c r="E22" s="651" t="s">
        <v>1037</v>
      </c>
      <c r="F22" s="1411"/>
      <c r="G22" s="1366"/>
      <c r="H22" s="971"/>
      <c r="I22" s="1452"/>
      <c r="J22" s="1366"/>
      <c r="L22" s="1591" t="str">
        <f t="shared" si="0"/>
        <v/>
      </c>
      <c r="M22" s="1592" t="str">
        <f t="shared" si="1"/>
        <v/>
      </c>
      <c r="N22" s="1575" t="str">
        <f t="shared" si="2"/>
        <v>X</v>
      </c>
      <c r="O22" s="1591" t="str">
        <f t="shared" si="3"/>
        <v/>
      </c>
      <c r="P22" s="1592" t="str">
        <f t="shared" si="4"/>
        <v/>
      </c>
      <c r="Q22" s="1575" t="str">
        <f t="shared" si="5"/>
        <v>X</v>
      </c>
      <c r="R22" s="1591" t="str">
        <f t="shared" si="6"/>
        <v/>
      </c>
      <c r="S22" s="1592" t="str">
        <f t="shared" si="7"/>
        <v/>
      </c>
      <c r="T22" s="1575" t="str">
        <f t="shared" si="8"/>
        <v>X</v>
      </c>
      <c r="U22" s="1591" t="str">
        <f t="shared" si="9"/>
        <v/>
      </c>
      <c r="V22" s="1592" t="str">
        <f t="shared" si="10"/>
        <v/>
      </c>
      <c r="W22" s="1575" t="str">
        <f t="shared" si="11"/>
        <v>X</v>
      </c>
    </row>
    <row r="23" spans="2:23">
      <c r="D23" s="1059" t="s">
        <v>1170</v>
      </c>
      <c r="E23" s="651" t="s">
        <v>1037</v>
      </c>
      <c r="F23" s="1411"/>
      <c r="G23" s="1366"/>
      <c r="H23" s="971"/>
      <c r="I23" s="1452"/>
      <c r="J23" s="1366"/>
      <c r="L23" s="1591" t="str">
        <f t="shared" si="0"/>
        <v/>
      </c>
      <c r="M23" s="1592" t="str">
        <f t="shared" si="1"/>
        <v/>
      </c>
      <c r="N23" s="1575" t="str">
        <f t="shared" si="2"/>
        <v>X</v>
      </c>
      <c r="O23" s="1591" t="str">
        <f t="shared" si="3"/>
        <v/>
      </c>
      <c r="P23" s="1592" t="str">
        <f t="shared" si="4"/>
        <v/>
      </c>
      <c r="Q23" s="1575" t="str">
        <f t="shared" si="5"/>
        <v>X</v>
      </c>
      <c r="R23" s="1591" t="str">
        <f t="shared" si="6"/>
        <v/>
      </c>
      <c r="S23" s="1592" t="str">
        <f t="shared" si="7"/>
        <v/>
      </c>
      <c r="T23" s="1575" t="str">
        <f t="shared" si="8"/>
        <v>X</v>
      </c>
      <c r="U23" s="1591" t="str">
        <f t="shared" si="9"/>
        <v/>
      </c>
      <c r="V23" s="1592" t="str">
        <f t="shared" si="10"/>
        <v/>
      </c>
      <c r="W23" s="1575" t="str">
        <f t="shared" si="11"/>
        <v>X</v>
      </c>
    </row>
    <row r="24" spans="2:23">
      <c r="D24" s="1064" t="s">
        <v>1171</v>
      </c>
      <c r="E24" s="652" t="s">
        <v>1037</v>
      </c>
      <c r="F24" s="1415"/>
      <c r="G24" s="1367"/>
      <c r="H24" s="971"/>
      <c r="I24" s="1474"/>
      <c r="J24" s="1367"/>
      <c r="L24" s="1642" t="str">
        <f t="shared" si="0"/>
        <v/>
      </c>
      <c r="M24" s="1643" t="str">
        <f t="shared" si="1"/>
        <v/>
      </c>
      <c r="N24" s="1644" t="str">
        <f t="shared" si="2"/>
        <v>X</v>
      </c>
      <c r="O24" s="1642" t="str">
        <f t="shared" si="3"/>
        <v/>
      </c>
      <c r="P24" s="1643" t="str">
        <f t="shared" si="4"/>
        <v/>
      </c>
      <c r="Q24" s="1644" t="str">
        <f t="shared" si="5"/>
        <v>X</v>
      </c>
      <c r="R24" s="1642" t="str">
        <f t="shared" si="6"/>
        <v/>
      </c>
      <c r="S24" s="1643" t="str">
        <f t="shared" si="7"/>
        <v/>
      </c>
      <c r="T24" s="1644" t="str">
        <f t="shared" si="8"/>
        <v>X</v>
      </c>
      <c r="U24" s="1642" t="str">
        <f t="shared" si="9"/>
        <v/>
      </c>
      <c r="V24" s="1643" t="str">
        <f t="shared" si="10"/>
        <v/>
      </c>
      <c r="W24" s="1644" t="str">
        <f t="shared" si="11"/>
        <v>X</v>
      </c>
    </row>
    <row r="27" spans="2:23">
      <c r="B27" s="1717" t="s">
        <v>1468</v>
      </c>
      <c r="C27" s="1714"/>
      <c r="D27" s="1715" t="s">
        <v>1488</v>
      </c>
    </row>
  </sheetData>
  <mergeCells count="6">
    <mergeCell ref="U12:W12"/>
    <mergeCell ref="D9:F9"/>
    <mergeCell ref="G9:I9"/>
    <mergeCell ref="L12:N12"/>
    <mergeCell ref="O12:Q12"/>
    <mergeCell ref="R12:T12"/>
  </mergeCells>
  <conditionalFormatting sqref="D27">
    <cfRule type="cellIs" dxfId="27" priority="1" operator="equal">
      <formula>FALSE</formula>
    </cfRule>
  </conditionalFormatting>
  <dataValidations count="1">
    <dataValidation allowBlank="1" showErrorMessage="1" sqref="A1:XFD1048576" xr:uid="{24B27208-4929-40E2-9474-3E76EE8CC87C}"/>
  </dataValidations>
  <pageMargins left="0.7" right="0.7" top="0.75" bottom="0.75" header="0.3" footer="0.3"/>
  <pageSetup paperSize="8" scale="32"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CF818-B231-401C-976B-B6522239898B}">
  <sheetPr codeName="Sheet32">
    <tabColor rgb="FFB6B2FF"/>
    <pageSetUpPr fitToPage="1"/>
  </sheetPr>
  <dimension ref="A1:T91"/>
  <sheetViews>
    <sheetView workbookViewId="0"/>
  </sheetViews>
  <sheetFormatPr defaultColWidth="9.140625" defaultRowHeight="15" outlineLevelRow="2"/>
  <cols>
    <col min="1" max="1" width="22.28515625" style="44" customWidth="1"/>
    <col min="2" max="2" width="15" style="1272" customWidth="1"/>
    <col min="3" max="3" width="2.5703125" style="1272" customWidth="1"/>
    <col min="4" max="4" width="43.28515625" style="44" customWidth="1"/>
    <col min="5" max="5" width="9.85546875" style="44" customWidth="1"/>
    <col min="6" max="6" width="27.85546875" style="44" customWidth="1"/>
    <col min="7" max="7" width="13.42578125" style="44" customWidth="1"/>
    <col min="8" max="8" width="8.42578125" style="44" customWidth="1"/>
    <col min="9" max="23" width="3.7109375" style="44" customWidth="1"/>
    <col min="24" max="16384" width="9.140625" style="44"/>
  </cols>
  <sheetData>
    <row r="1" spans="2:20" s="1084" customFormat="1" ht="20.100000000000001" customHeight="1">
      <c r="B1" s="1002"/>
      <c r="C1" s="1002"/>
      <c r="D1" s="1002" t="str">
        <f>dms_SheetHeading1</f>
        <v>ANNUAL INFORMATION ORDER</v>
      </c>
      <c r="E1" s="1205"/>
      <c r="F1" s="1205"/>
      <c r="H1" s="1658" t="s">
        <v>1040</v>
      </c>
      <c r="I1" s="1323"/>
      <c r="J1" s="1323"/>
      <c r="K1" s="1323"/>
      <c r="L1" s="1323"/>
      <c r="M1" s="1323"/>
      <c r="N1" s="1657" t="s">
        <v>1039</v>
      </c>
      <c r="O1" s="1323"/>
      <c r="P1" s="1323"/>
      <c r="Q1" s="1323"/>
      <c r="R1" s="1323"/>
      <c r="S1" s="1323"/>
      <c r="T1" s="1323"/>
    </row>
    <row r="2" spans="2:20" s="1084" customFormat="1" ht="20.100000000000001" customHeight="1">
      <c r="B2" s="1003"/>
      <c r="C2" s="1003"/>
      <c r="D2" s="1003" t="str">
        <f>dms_SheetHeading2</f>
        <v>Australian Transmission Co.</v>
      </c>
      <c r="E2" s="1205"/>
      <c r="F2" s="1205"/>
      <c r="H2" s="1659" t="s">
        <v>1041</v>
      </c>
      <c r="I2" s="1324"/>
      <c r="J2" s="1324"/>
      <c r="K2" s="1324"/>
      <c r="L2" s="1324"/>
      <c r="M2" s="1324"/>
      <c r="N2" s="1379" t="s">
        <v>202</v>
      </c>
      <c r="O2" s="1324"/>
      <c r="P2" s="1324"/>
      <c r="Q2" s="1324"/>
      <c r="R2" s="1324"/>
      <c r="S2" s="1324"/>
      <c r="T2" s="1324"/>
    </row>
    <row r="3" spans="2:20" s="1084" customFormat="1" ht="20.100000000000001" customHeight="1">
      <c r="B3" s="1004"/>
      <c r="C3" s="1004"/>
      <c r="D3" s="1004" t="str">
        <f>dms_SheetHeading3</f>
        <v>REPORTING STATEMENT: 2024-25</v>
      </c>
      <c r="E3" s="1205"/>
      <c r="F3" s="1205"/>
      <c r="H3" s="1660" t="s">
        <v>1042</v>
      </c>
      <c r="I3" s="1325"/>
      <c r="J3" s="1325"/>
      <c r="K3" s="1325"/>
      <c r="L3" s="1325"/>
      <c r="M3" s="1325"/>
      <c r="N3" s="1380" t="s">
        <v>203</v>
      </c>
      <c r="O3" s="1325"/>
      <c r="P3" s="1325"/>
      <c r="Q3" s="1325"/>
      <c r="R3" s="1325"/>
      <c r="S3" s="1325"/>
      <c r="T3" s="1325"/>
    </row>
    <row r="4" spans="2:20" s="1084" customFormat="1" ht="20.100000000000001" customHeight="1">
      <c r="B4" s="1206"/>
      <c r="C4" s="1206"/>
      <c r="D4" s="1206" t="s">
        <v>1886</v>
      </c>
      <c r="E4" s="1207"/>
      <c r="F4" s="1207"/>
      <c r="H4" s="1662" t="s">
        <v>1044</v>
      </c>
      <c r="I4" s="1692"/>
      <c r="J4" s="1693"/>
      <c r="K4" s="1498"/>
      <c r="L4" s="1498"/>
      <c r="M4" s="1498"/>
      <c r="N4" s="1497" t="s">
        <v>1043</v>
      </c>
      <c r="O4" s="1498"/>
      <c r="P4" s="1498"/>
      <c r="Q4" s="1498"/>
      <c r="R4" s="1498"/>
      <c r="S4" s="1498"/>
      <c r="T4" s="1498"/>
    </row>
    <row r="5" spans="2:20" ht="13.5" customHeight="1">
      <c r="B5" s="44"/>
      <c r="C5" s="44"/>
      <c r="D5" s="1087"/>
    </row>
    <row r="6" spans="2:20" s="46" customFormat="1" ht="18" customHeight="1">
      <c r="B6" s="628" t="s">
        <v>1882</v>
      </c>
      <c r="C6" s="973"/>
      <c r="D6" s="973"/>
      <c r="E6" s="973"/>
      <c r="F6" s="973"/>
      <c r="G6" s="44"/>
      <c r="H6" s="44"/>
      <c r="I6" s="44"/>
    </row>
    <row r="7" spans="2:20" s="46" customFormat="1" ht="18" customHeight="1">
      <c r="B7" s="1032" t="s">
        <v>1315</v>
      </c>
      <c r="C7" s="1032"/>
      <c r="D7" s="1032"/>
      <c r="E7" s="1032"/>
      <c r="F7" s="1032"/>
    </row>
    <row r="8" spans="2:20" s="46" customFormat="1" ht="18" customHeight="1"/>
    <row r="9" spans="2:20" s="632" customFormat="1" ht="15.75">
      <c r="B9" s="1469"/>
      <c r="C9" s="1469"/>
      <c r="D9" s="2189" t="s">
        <v>1425</v>
      </c>
      <c r="E9" s="2189"/>
      <c r="F9" s="2189"/>
      <c r="G9" s="1645"/>
      <c r="H9" s="1645"/>
      <c r="I9" s="1645"/>
      <c r="J9" s="1645"/>
      <c r="K9" s="1645"/>
      <c r="L9" s="1646"/>
    </row>
    <row r="10" spans="2:20" s="632" customFormat="1" ht="15.75" outlineLevel="1">
      <c r="B10" s="1469"/>
      <c r="C10" s="1469"/>
      <c r="D10" s="1469"/>
      <c r="E10" s="1469"/>
      <c r="F10" s="1469"/>
      <c r="G10" s="1469"/>
      <c r="H10" s="1469"/>
      <c r="I10" s="1645"/>
      <c r="J10" s="1645"/>
      <c r="K10" s="1645"/>
      <c r="L10" s="1897"/>
    </row>
    <row r="11" spans="2:20" s="46" customFormat="1" ht="32.25" customHeight="1" outlineLevel="1">
      <c r="B11" s="1311"/>
      <c r="C11" s="1311"/>
      <c r="D11" s="1311"/>
      <c r="E11" s="1311"/>
      <c r="F11" s="1103" t="s">
        <v>1051</v>
      </c>
      <c r="H11" s="1639" t="s">
        <v>1441</v>
      </c>
      <c r="I11" s="1640" t="s">
        <v>1432</v>
      </c>
      <c r="J11" s="1594" t="s">
        <v>1430</v>
      </c>
      <c r="K11" s="1595" t="s">
        <v>1431</v>
      </c>
      <c r="L11" s="1640" t="s">
        <v>1440</v>
      </c>
      <c r="O11" s="632"/>
      <c r="P11" s="632"/>
    </row>
    <row r="12" spans="2:20" ht="25.5" customHeight="1" outlineLevel="1">
      <c r="B12" s="1311"/>
      <c r="C12" s="1311"/>
      <c r="D12" s="1334" t="s">
        <v>1229</v>
      </c>
      <c r="E12" s="958" t="s">
        <v>1192</v>
      </c>
      <c r="F12" s="1940" t="s">
        <v>1235</v>
      </c>
      <c r="H12" s="2145" t="s">
        <v>1435</v>
      </c>
      <c r="I12" s="2130"/>
      <c r="J12" s="2125" t="s">
        <v>1326</v>
      </c>
      <c r="K12" s="2125"/>
      <c r="L12" s="2125"/>
      <c r="O12" s="632"/>
      <c r="P12" s="632"/>
    </row>
    <row r="13" spans="2:20" ht="15" customHeight="1" outlineLevel="1">
      <c r="B13" s="1305"/>
      <c r="C13" s="1305"/>
      <c r="D13" s="1335" t="s">
        <v>1314</v>
      </c>
      <c r="E13" s="1192" t="s">
        <v>88</v>
      </c>
      <c r="F13" s="1194"/>
      <c r="H13" s="1747"/>
      <c r="I13" s="1649"/>
      <c r="J13" s="1591" t="str">
        <f>IF(ISNONTEXT(F13)=TRUE,"","X")</f>
        <v/>
      </c>
      <c r="K13" s="1698" t="str">
        <f>IF(AND(F13&gt;=0)=TRUE,"","X")</f>
        <v/>
      </c>
      <c r="L13" s="1748" t="str">
        <f>IF(AND(D13&lt;&gt;"",LEFT(D13,5)&lt;&gt;"&lt;TNSP",ISBLANK(F13))=TRUE,"X","")</f>
        <v/>
      </c>
      <c r="O13" s="632"/>
      <c r="P13" s="632"/>
    </row>
    <row r="14" spans="2:20" ht="15.75" outlineLevel="1">
      <c r="B14" s="1312"/>
      <c r="C14" s="1312"/>
      <c r="D14" s="1336" t="s">
        <v>1314</v>
      </c>
      <c r="E14" s="1196" t="s">
        <v>88</v>
      </c>
      <c r="F14" s="1198"/>
      <c r="H14" s="1648"/>
      <c r="I14" s="1649"/>
      <c r="J14" s="1591" t="str">
        <f t="shared" ref="J14:J46" si="0">IF(ISNONTEXT(F14)=TRUE,"","X")</f>
        <v/>
      </c>
      <c r="K14" s="1698" t="str">
        <f t="shared" ref="K14:K46" si="1">IF(AND(F14&gt;=0)=TRUE,"","X")</f>
        <v/>
      </c>
      <c r="L14" s="1550" t="str">
        <f t="shared" ref="L14:L46" si="2">IF(AND(D14&lt;&gt;"",LEFT(D14,5)&lt;&gt;"&lt;TNSP",ISBLANK(F14))=TRUE,"X","")</f>
        <v/>
      </c>
      <c r="O14" s="632"/>
      <c r="P14" s="632"/>
    </row>
    <row r="15" spans="2:20" ht="15" customHeight="1" outlineLevel="1">
      <c r="B15" s="1305"/>
      <c r="C15" s="1305"/>
      <c r="D15" s="1336" t="s">
        <v>1314</v>
      </c>
      <c r="E15" s="1196" t="s">
        <v>88</v>
      </c>
      <c r="F15" s="1198"/>
      <c r="H15" s="1648"/>
      <c r="I15" s="1649"/>
      <c r="J15" s="1591" t="str">
        <f t="shared" si="0"/>
        <v/>
      </c>
      <c r="K15" s="1698" t="str">
        <f t="shared" si="1"/>
        <v/>
      </c>
      <c r="L15" s="1550" t="str">
        <f t="shared" si="2"/>
        <v/>
      </c>
      <c r="O15" s="632"/>
      <c r="P15" s="632"/>
    </row>
    <row r="16" spans="2:20" ht="15.75" outlineLevel="1">
      <c r="B16" s="1305"/>
      <c r="C16" s="1305"/>
      <c r="D16" s="1336" t="s">
        <v>1314</v>
      </c>
      <c r="E16" s="1196" t="s">
        <v>88</v>
      </c>
      <c r="F16" s="1198"/>
      <c r="H16" s="1648"/>
      <c r="I16" s="1649"/>
      <c r="J16" s="1591" t="str">
        <f t="shared" si="0"/>
        <v/>
      </c>
      <c r="K16" s="1698" t="str">
        <f t="shared" si="1"/>
        <v/>
      </c>
      <c r="L16" s="1550" t="str">
        <f t="shared" si="2"/>
        <v/>
      </c>
      <c r="O16" s="632"/>
      <c r="P16" s="632"/>
    </row>
    <row r="17" spans="2:16" ht="15.75" outlineLevel="1">
      <c r="B17" s="1305"/>
      <c r="C17" s="1305"/>
      <c r="D17" s="1336" t="s">
        <v>1314</v>
      </c>
      <c r="E17" s="1196" t="s">
        <v>88</v>
      </c>
      <c r="F17" s="1198"/>
      <c r="H17" s="1648"/>
      <c r="I17" s="1649"/>
      <c r="J17" s="1591" t="str">
        <f t="shared" si="0"/>
        <v/>
      </c>
      <c r="K17" s="1698" t="str">
        <f t="shared" si="1"/>
        <v/>
      </c>
      <c r="L17" s="1550" t="str">
        <f t="shared" si="2"/>
        <v/>
      </c>
      <c r="O17" s="632"/>
      <c r="P17" s="632"/>
    </row>
    <row r="18" spans="2:16" ht="15.75" hidden="1" outlineLevel="2">
      <c r="B18" s="1305"/>
      <c r="C18" s="1305"/>
      <c r="D18" s="1336" t="s">
        <v>1314</v>
      </c>
      <c r="E18" s="1196" t="s">
        <v>88</v>
      </c>
      <c r="F18" s="1198"/>
      <c r="H18" s="1648"/>
      <c r="I18" s="1649"/>
      <c r="J18" s="1591" t="str">
        <f t="shared" si="0"/>
        <v/>
      </c>
      <c r="K18" s="1698" t="str">
        <f t="shared" si="1"/>
        <v/>
      </c>
      <c r="L18" s="1550" t="str">
        <f t="shared" si="2"/>
        <v/>
      </c>
      <c r="O18" s="632"/>
      <c r="P18" s="632"/>
    </row>
    <row r="19" spans="2:16" ht="15.75" hidden="1" outlineLevel="2">
      <c r="B19" s="1305"/>
      <c r="C19" s="1305"/>
      <c r="D19" s="1336" t="s">
        <v>1314</v>
      </c>
      <c r="E19" s="1196" t="s">
        <v>88</v>
      </c>
      <c r="F19" s="1198"/>
      <c r="H19" s="1648"/>
      <c r="I19" s="1649"/>
      <c r="J19" s="1591" t="str">
        <f t="shared" si="0"/>
        <v/>
      </c>
      <c r="K19" s="1698" t="str">
        <f t="shared" si="1"/>
        <v/>
      </c>
      <c r="L19" s="1550" t="str">
        <f t="shared" si="2"/>
        <v/>
      </c>
      <c r="O19" s="632"/>
      <c r="P19" s="632"/>
    </row>
    <row r="20" spans="2:16" ht="15" hidden="1" customHeight="1" outlineLevel="2">
      <c r="B20" s="1305"/>
      <c r="C20" s="1305"/>
      <c r="D20" s="1336" t="s">
        <v>1314</v>
      </c>
      <c r="E20" s="1196" t="s">
        <v>88</v>
      </c>
      <c r="F20" s="1198"/>
      <c r="H20" s="1648"/>
      <c r="I20" s="1649"/>
      <c r="J20" s="1591" t="str">
        <f t="shared" si="0"/>
        <v/>
      </c>
      <c r="K20" s="1698" t="str">
        <f t="shared" si="1"/>
        <v/>
      </c>
      <c r="L20" s="1550" t="str">
        <f t="shared" si="2"/>
        <v/>
      </c>
      <c r="O20" s="632"/>
      <c r="P20" s="632"/>
    </row>
    <row r="21" spans="2:16" ht="15.75" hidden="1" outlineLevel="2">
      <c r="B21" s="1305"/>
      <c r="C21" s="1305"/>
      <c r="D21" s="1336" t="s">
        <v>1314</v>
      </c>
      <c r="E21" s="1196" t="s">
        <v>88</v>
      </c>
      <c r="F21" s="1198"/>
      <c r="H21" s="1648"/>
      <c r="I21" s="1649"/>
      <c r="J21" s="1591" t="str">
        <f t="shared" si="0"/>
        <v/>
      </c>
      <c r="K21" s="1698" t="str">
        <f t="shared" si="1"/>
        <v/>
      </c>
      <c r="L21" s="1550" t="str">
        <f t="shared" si="2"/>
        <v/>
      </c>
      <c r="O21" s="632"/>
      <c r="P21" s="632"/>
    </row>
    <row r="22" spans="2:16" ht="15.75" hidden="1" outlineLevel="2">
      <c r="B22" s="1305"/>
      <c r="C22" s="1305"/>
      <c r="D22" s="1336" t="s">
        <v>1314</v>
      </c>
      <c r="E22" s="1196" t="s">
        <v>88</v>
      </c>
      <c r="F22" s="1198"/>
      <c r="H22" s="1648"/>
      <c r="I22" s="1649"/>
      <c r="J22" s="1591" t="str">
        <f t="shared" si="0"/>
        <v/>
      </c>
      <c r="K22" s="1698" t="str">
        <f t="shared" si="1"/>
        <v/>
      </c>
      <c r="L22" s="1550" t="str">
        <f t="shared" si="2"/>
        <v/>
      </c>
      <c r="O22" s="632"/>
      <c r="P22" s="632"/>
    </row>
    <row r="23" spans="2:16" ht="15.75" hidden="1" outlineLevel="2">
      <c r="B23" s="1305"/>
      <c r="C23" s="1305"/>
      <c r="D23" s="1336" t="s">
        <v>1314</v>
      </c>
      <c r="E23" s="1196" t="s">
        <v>88</v>
      </c>
      <c r="F23" s="1198"/>
      <c r="H23" s="1648"/>
      <c r="I23" s="1649"/>
      <c r="J23" s="1591" t="str">
        <f t="shared" si="0"/>
        <v/>
      </c>
      <c r="K23" s="1698" t="str">
        <f t="shared" si="1"/>
        <v/>
      </c>
      <c r="L23" s="1550" t="str">
        <f t="shared" si="2"/>
        <v/>
      </c>
      <c r="O23" s="632"/>
      <c r="P23" s="632"/>
    </row>
    <row r="24" spans="2:16" hidden="1" outlineLevel="2">
      <c r="B24" s="1305"/>
      <c r="C24" s="1305"/>
      <c r="D24" s="1336" t="s">
        <v>1314</v>
      </c>
      <c r="E24" s="1196" t="s">
        <v>88</v>
      </c>
      <c r="F24" s="1198"/>
      <c r="H24" s="1648"/>
      <c r="I24" s="1649"/>
      <c r="J24" s="1591" t="str">
        <f t="shared" si="0"/>
        <v/>
      </c>
      <c r="K24" s="1698" t="str">
        <f t="shared" si="1"/>
        <v/>
      </c>
      <c r="L24" s="1550" t="str">
        <f t="shared" si="2"/>
        <v/>
      </c>
    </row>
    <row r="25" spans="2:16" hidden="1" outlineLevel="2">
      <c r="B25" s="1305"/>
      <c r="C25" s="1305"/>
      <c r="D25" s="1336" t="s">
        <v>1314</v>
      </c>
      <c r="E25" s="1196" t="s">
        <v>88</v>
      </c>
      <c r="F25" s="1198"/>
      <c r="H25" s="1648"/>
      <c r="I25" s="1649"/>
      <c r="J25" s="1591" t="str">
        <f t="shared" si="0"/>
        <v/>
      </c>
      <c r="K25" s="1698" t="str">
        <f t="shared" si="1"/>
        <v/>
      </c>
      <c r="L25" s="1550" t="str">
        <f t="shared" si="2"/>
        <v/>
      </c>
    </row>
    <row r="26" spans="2:16" hidden="1" outlineLevel="2">
      <c r="B26" s="1305"/>
      <c r="C26" s="1305"/>
      <c r="D26" s="1336" t="s">
        <v>1314</v>
      </c>
      <c r="E26" s="1196" t="s">
        <v>88</v>
      </c>
      <c r="F26" s="1198"/>
      <c r="H26" s="1648"/>
      <c r="I26" s="1649"/>
      <c r="J26" s="1591" t="str">
        <f t="shared" si="0"/>
        <v/>
      </c>
      <c r="K26" s="1698" t="str">
        <f t="shared" si="1"/>
        <v/>
      </c>
      <c r="L26" s="1550" t="str">
        <f t="shared" si="2"/>
        <v/>
      </c>
    </row>
    <row r="27" spans="2:16" hidden="1" outlineLevel="2">
      <c r="B27" s="1305"/>
      <c r="C27" s="1305"/>
      <c r="D27" s="1336" t="s">
        <v>1314</v>
      </c>
      <c r="E27" s="1196" t="s">
        <v>88</v>
      </c>
      <c r="F27" s="1198"/>
      <c r="H27" s="1648"/>
      <c r="I27" s="1649"/>
      <c r="J27" s="1591" t="str">
        <f t="shared" si="0"/>
        <v/>
      </c>
      <c r="K27" s="1698" t="str">
        <f t="shared" si="1"/>
        <v/>
      </c>
      <c r="L27" s="1550" t="str">
        <f t="shared" si="2"/>
        <v/>
      </c>
    </row>
    <row r="28" spans="2:16" hidden="1" outlineLevel="2">
      <c r="B28" s="1305"/>
      <c r="C28" s="1305"/>
      <c r="D28" s="1336" t="s">
        <v>1314</v>
      </c>
      <c r="E28" s="1196" t="s">
        <v>88</v>
      </c>
      <c r="F28" s="1198"/>
      <c r="H28" s="1648"/>
      <c r="I28" s="1649"/>
      <c r="J28" s="1591" t="str">
        <f t="shared" si="0"/>
        <v/>
      </c>
      <c r="K28" s="1698" t="str">
        <f t="shared" si="1"/>
        <v/>
      </c>
      <c r="L28" s="1550" t="str">
        <f t="shared" si="2"/>
        <v/>
      </c>
    </row>
    <row r="29" spans="2:16" hidden="1" outlineLevel="2">
      <c r="B29" s="1305"/>
      <c r="C29" s="1305"/>
      <c r="D29" s="1336" t="s">
        <v>1314</v>
      </c>
      <c r="E29" s="1196" t="s">
        <v>88</v>
      </c>
      <c r="F29" s="1198"/>
      <c r="H29" s="1648"/>
      <c r="I29" s="1649"/>
      <c r="J29" s="1591" t="str">
        <f t="shared" si="0"/>
        <v/>
      </c>
      <c r="K29" s="1698" t="str">
        <f t="shared" si="1"/>
        <v/>
      </c>
      <c r="L29" s="1550" t="str">
        <f t="shared" si="2"/>
        <v/>
      </c>
    </row>
    <row r="30" spans="2:16" hidden="1" outlineLevel="2">
      <c r="B30" s="1305"/>
      <c r="C30" s="1305"/>
      <c r="D30" s="1336" t="s">
        <v>1314</v>
      </c>
      <c r="E30" s="1196" t="s">
        <v>88</v>
      </c>
      <c r="F30" s="1198"/>
      <c r="H30" s="1648"/>
      <c r="I30" s="1649"/>
      <c r="J30" s="1591" t="str">
        <f t="shared" si="0"/>
        <v/>
      </c>
      <c r="K30" s="1698" t="str">
        <f t="shared" si="1"/>
        <v/>
      </c>
      <c r="L30" s="1550" t="str">
        <f t="shared" si="2"/>
        <v/>
      </c>
    </row>
    <row r="31" spans="2:16" hidden="1" outlineLevel="2">
      <c r="B31" s="1305"/>
      <c r="C31" s="1305"/>
      <c r="D31" s="1336" t="s">
        <v>1314</v>
      </c>
      <c r="E31" s="1196" t="s">
        <v>88</v>
      </c>
      <c r="F31" s="1198"/>
      <c r="H31" s="1648"/>
      <c r="I31" s="1649"/>
      <c r="J31" s="1591" t="str">
        <f t="shared" si="0"/>
        <v/>
      </c>
      <c r="K31" s="1698" t="str">
        <f t="shared" si="1"/>
        <v/>
      </c>
      <c r="L31" s="1550" t="str">
        <f t="shared" si="2"/>
        <v/>
      </c>
    </row>
    <row r="32" spans="2:16" hidden="1" outlineLevel="2">
      <c r="B32" s="1305"/>
      <c r="C32" s="1305"/>
      <c r="D32" s="1336" t="s">
        <v>1314</v>
      </c>
      <c r="E32" s="1196" t="s">
        <v>88</v>
      </c>
      <c r="F32" s="1198"/>
      <c r="H32" s="1648"/>
      <c r="I32" s="1649"/>
      <c r="J32" s="1591" t="str">
        <f t="shared" si="0"/>
        <v/>
      </c>
      <c r="K32" s="1698" t="str">
        <f t="shared" si="1"/>
        <v/>
      </c>
      <c r="L32" s="1550" t="str">
        <f t="shared" si="2"/>
        <v/>
      </c>
    </row>
    <row r="33" spans="1:12" hidden="1" outlineLevel="2">
      <c r="B33" s="1305"/>
      <c r="C33" s="1305"/>
      <c r="D33" s="1336" t="s">
        <v>1314</v>
      </c>
      <c r="E33" s="1196" t="s">
        <v>88</v>
      </c>
      <c r="F33" s="1198"/>
      <c r="H33" s="1648"/>
      <c r="I33" s="1649"/>
      <c r="J33" s="1591" t="str">
        <f t="shared" si="0"/>
        <v/>
      </c>
      <c r="K33" s="1698" t="str">
        <f t="shared" si="1"/>
        <v/>
      </c>
      <c r="L33" s="1550" t="str">
        <f t="shared" si="2"/>
        <v/>
      </c>
    </row>
    <row r="34" spans="1:12" hidden="1" outlineLevel="2">
      <c r="B34" s="1305"/>
      <c r="C34" s="1305"/>
      <c r="D34" s="1336" t="s">
        <v>1314</v>
      </c>
      <c r="E34" s="1196" t="s">
        <v>88</v>
      </c>
      <c r="F34" s="1198"/>
      <c r="H34" s="1648"/>
      <c r="I34" s="1649"/>
      <c r="J34" s="1591" t="str">
        <f t="shared" si="0"/>
        <v/>
      </c>
      <c r="K34" s="1698" t="str">
        <f t="shared" si="1"/>
        <v/>
      </c>
      <c r="L34" s="1550" t="str">
        <f t="shared" si="2"/>
        <v/>
      </c>
    </row>
    <row r="35" spans="1:12" hidden="1" outlineLevel="2">
      <c r="B35" s="1305"/>
      <c r="C35" s="1305"/>
      <c r="D35" s="1336" t="s">
        <v>1314</v>
      </c>
      <c r="E35" s="1196" t="s">
        <v>88</v>
      </c>
      <c r="F35" s="1198"/>
      <c r="H35" s="1648"/>
      <c r="I35" s="1649"/>
      <c r="J35" s="1591" t="str">
        <f t="shared" si="0"/>
        <v/>
      </c>
      <c r="K35" s="1698" t="str">
        <f t="shared" si="1"/>
        <v/>
      </c>
      <c r="L35" s="1550" t="str">
        <f t="shared" si="2"/>
        <v/>
      </c>
    </row>
    <row r="36" spans="1:12" hidden="1" outlineLevel="2">
      <c r="B36" s="1305"/>
      <c r="C36" s="1305"/>
      <c r="D36" s="1336" t="s">
        <v>1314</v>
      </c>
      <c r="E36" s="1196" t="s">
        <v>88</v>
      </c>
      <c r="F36" s="1198"/>
      <c r="H36" s="1648"/>
      <c r="I36" s="1649"/>
      <c r="J36" s="1591" t="str">
        <f t="shared" si="0"/>
        <v/>
      </c>
      <c r="K36" s="1698" t="str">
        <f t="shared" si="1"/>
        <v/>
      </c>
      <c r="L36" s="1550" t="str">
        <f t="shared" si="2"/>
        <v/>
      </c>
    </row>
    <row r="37" spans="1:12" hidden="1" outlineLevel="2">
      <c r="B37" s="1305"/>
      <c r="C37" s="1305"/>
      <c r="D37" s="1336" t="s">
        <v>1314</v>
      </c>
      <c r="E37" s="1196" t="s">
        <v>88</v>
      </c>
      <c r="F37" s="1198"/>
      <c r="H37" s="1648"/>
      <c r="I37" s="1649"/>
      <c r="J37" s="1591" t="str">
        <f t="shared" si="0"/>
        <v/>
      </c>
      <c r="K37" s="1698" t="str">
        <f t="shared" si="1"/>
        <v/>
      </c>
      <c r="L37" s="1550" t="str">
        <f t="shared" si="2"/>
        <v/>
      </c>
    </row>
    <row r="38" spans="1:12" hidden="1" outlineLevel="2">
      <c r="B38" s="1305"/>
      <c r="C38" s="1305"/>
      <c r="D38" s="1336" t="s">
        <v>1314</v>
      </c>
      <c r="E38" s="1196" t="s">
        <v>88</v>
      </c>
      <c r="F38" s="1198"/>
      <c r="H38" s="1648"/>
      <c r="I38" s="1649"/>
      <c r="J38" s="1591" t="str">
        <f t="shared" si="0"/>
        <v/>
      </c>
      <c r="K38" s="1698" t="str">
        <f t="shared" si="1"/>
        <v/>
      </c>
      <c r="L38" s="1550" t="str">
        <f t="shared" si="2"/>
        <v/>
      </c>
    </row>
    <row r="39" spans="1:12" hidden="1" outlineLevel="2">
      <c r="B39" s="1305"/>
      <c r="C39" s="1305"/>
      <c r="D39" s="1336" t="s">
        <v>1314</v>
      </c>
      <c r="E39" s="1196" t="s">
        <v>88</v>
      </c>
      <c r="F39" s="1198"/>
      <c r="H39" s="1648"/>
      <c r="I39" s="1649"/>
      <c r="J39" s="1591" t="str">
        <f t="shared" si="0"/>
        <v/>
      </c>
      <c r="K39" s="1698" t="str">
        <f t="shared" si="1"/>
        <v/>
      </c>
      <c r="L39" s="1550" t="str">
        <f t="shared" si="2"/>
        <v/>
      </c>
    </row>
    <row r="40" spans="1:12" hidden="1" outlineLevel="2">
      <c r="B40" s="1305"/>
      <c r="C40" s="1305"/>
      <c r="D40" s="1336" t="s">
        <v>1314</v>
      </c>
      <c r="E40" s="1196" t="s">
        <v>88</v>
      </c>
      <c r="F40" s="1198"/>
      <c r="H40" s="1648"/>
      <c r="I40" s="1649"/>
      <c r="J40" s="1591" t="str">
        <f t="shared" si="0"/>
        <v/>
      </c>
      <c r="K40" s="1698" t="str">
        <f t="shared" si="1"/>
        <v/>
      </c>
      <c r="L40" s="1550" t="str">
        <f t="shared" si="2"/>
        <v/>
      </c>
    </row>
    <row r="41" spans="1:12" hidden="1" outlineLevel="2">
      <c r="B41" s="1305"/>
      <c r="C41" s="1305"/>
      <c r="D41" s="1336" t="s">
        <v>1314</v>
      </c>
      <c r="E41" s="1196" t="s">
        <v>88</v>
      </c>
      <c r="F41" s="1198"/>
      <c r="H41" s="1648"/>
      <c r="I41" s="1649"/>
      <c r="J41" s="1591" t="str">
        <f t="shared" si="0"/>
        <v/>
      </c>
      <c r="K41" s="1698" t="str">
        <f t="shared" si="1"/>
        <v/>
      </c>
      <c r="L41" s="1550" t="str">
        <f t="shared" si="2"/>
        <v/>
      </c>
    </row>
    <row r="42" spans="1:12" hidden="1" outlineLevel="2">
      <c r="B42" s="1305"/>
      <c r="C42" s="1305"/>
      <c r="D42" s="1336" t="s">
        <v>1314</v>
      </c>
      <c r="E42" s="1196" t="s">
        <v>88</v>
      </c>
      <c r="F42" s="1198"/>
      <c r="H42" s="1648"/>
      <c r="I42" s="1649"/>
      <c r="J42" s="1591" t="str">
        <f t="shared" si="0"/>
        <v/>
      </c>
      <c r="K42" s="1698" t="str">
        <f t="shared" si="1"/>
        <v/>
      </c>
      <c r="L42" s="1550" t="str">
        <f t="shared" si="2"/>
        <v/>
      </c>
    </row>
    <row r="43" spans="1:12" hidden="1" outlineLevel="2">
      <c r="B43" s="1305"/>
      <c r="C43" s="1305"/>
      <c r="D43" s="1336" t="s">
        <v>1314</v>
      </c>
      <c r="E43" s="1196" t="s">
        <v>88</v>
      </c>
      <c r="F43" s="1198"/>
      <c r="H43" s="1648"/>
      <c r="I43" s="1649"/>
      <c r="J43" s="1591" t="str">
        <f t="shared" si="0"/>
        <v/>
      </c>
      <c r="K43" s="1698" t="str">
        <f t="shared" si="1"/>
        <v/>
      </c>
      <c r="L43" s="1550" t="str">
        <f t="shared" si="2"/>
        <v/>
      </c>
    </row>
    <row r="44" spans="1:12" outlineLevel="1" collapsed="1">
      <c r="B44" s="1305"/>
      <c r="C44" s="1305"/>
      <c r="D44" s="1336" t="s">
        <v>1314</v>
      </c>
      <c r="E44" s="1196" t="s">
        <v>88</v>
      </c>
      <c r="F44" s="1198"/>
      <c r="H44" s="1648"/>
      <c r="I44" s="1649"/>
      <c r="J44" s="1591" t="str">
        <f t="shared" si="0"/>
        <v/>
      </c>
      <c r="K44" s="1698" t="str">
        <f t="shared" si="1"/>
        <v/>
      </c>
      <c r="L44" s="1550" t="str">
        <f t="shared" si="2"/>
        <v/>
      </c>
    </row>
    <row r="45" spans="1:12" outlineLevel="1">
      <c r="A45" s="1666" t="s">
        <v>1487</v>
      </c>
      <c r="C45" s="1305"/>
      <c r="D45" s="1336" t="s">
        <v>1314</v>
      </c>
      <c r="E45" s="1196" t="s">
        <v>88</v>
      </c>
      <c r="F45" s="1198"/>
      <c r="H45" s="1648"/>
      <c r="I45" s="1649"/>
      <c r="J45" s="1591" t="str">
        <f t="shared" si="0"/>
        <v/>
      </c>
      <c r="K45" s="1698" t="str">
        <f t="shared" si="1"/>
        <v/>
      </c>
      <c r="L45" s="1550" t="str">
        <f t="shared" si="2"/>
        <v/>
      </c>
    </row>
    <row r="46" spans="1:12" outlineLevel="1">
      <c r="B46" s="1312"/>
      <c r="C46" s="1312"/>
      <c r="D46" s="1337" t="s">
        <v>1314</v>
      </c>
      <c r="E46" s="1199" t="s">
        <v>88</v>
      </c>
      <c r="F46" s="1201"/>
      <c r="H46" s="1634"/>
      <c r="I46" s="1650"/>
      <c r="J46" s="1642" t="str">
        <f t="shared" si="0"/>
        <v/>
      </c>
      <c r="K46" s="1746" t="str">
        <f t="shared" si="1"/>
        <v/>
      </c>
      <c r="L46" s="1655" t="str">
        <f t="shared" si="2"/>
        <v/>
      </c>
    </row>
    <row r="48" spans="1:12" s="46" customFormat="1">
      <c r="B48" s="628" t="s">
        <v>1216</v>
      </c>
      <c r="C48" s="973"/>
      <c r="D48" s="973"/>
      <c r="E48" s="973"/>
      <c r="F48" s="973"/>
      <c r="G48" s="44"/>
      <c r="H48" s="44"/>
      <c r="I48" s="44"/>
    </row>
    <row r="49" spans="1:12" s="46" customFormat="1" ht="18" customHeight="1">
      <c r="B49" s="1032" t="s">
        <v>1315</v>
      </c>
      <c r="C49" s="1032"/>
      <c r="D49" s="1032"/>
      <c r="E49" s="1032"/>
      <c r="F49" s="1032"/>
    </row>
    <row r="50" spans="1:12" s="46" customFormat="1" ht="18" customHeight="1"/>
    <row r="51" spans="1:12" s="632" customFormat="1" ht="15.75">
      <c r="A51" s="46"/>
      <c r="B51" s="46"/>
      <c r="C51" s="1469"/>
      <c r="D51" s="2189" t="s">
        <v>1426</v>
      </c>
      <c r="E51" s="2189"/>
      <c r="F51" s="2189"/>
      <c r="G51" s="46"/>
      <c r="H51" s="46"/>
      <c r="I51" s="46"/>
      <c r="J51" s="46"/>
      <c r="K51" s="46"/>
      <c r="L51" s="46"/>
    </row>
    <row r="52" spans="1:12" s="632" customFormat="1" ht="19.5" customHeight="1" outlineLevel="1">
      <c r="B52" s="1311"/>
      <c r="C52" s="633"/>
      <c r="D52" s="635"/>
      <c r="E52" s="633"/>
      <c r="F52" s="633"/>
    </row>
    <row r="53" spans="1:12" ht="33" customHeight="1" outlineLevel="1">
      <c r="B53" s="1311"/>
      <c r="C53" s="1311"/>
      <c r="D53" s="970"/>
      <c r="E53" s="970"/>
      <c r="F53" s="1097" t="s">
        <v>1051</v>
      </c>
      <c r="H53" s="1639" t="s">
        <v>1441</v>
      </c>
      <c r="I53" s="1640" t="s">
        <v>1432</v>
      </c>
      <c r="J53" s="1594" t="s">
        <v>1430</v>
      </c>
      <c r="K53" s="1595" t="s">
        <v>1431</v>
      </c>
      <c r="L53" s="1640" t="s">
        <v>1440</v>
      </c>
    </row>
    <row r="54" spans="1:12" ht="21" customHeight="1" outlineLevel="1">
      <c r="B54" s="1311"/>
      <c r="C54" s="1311"/>
      <c r="D54" s="1334" t="s">
        <v>1229</v>
      </c>
      <c r="E54" s="958" t="s">
        <v>1192</v>
      </c>
      <c r="F54" s="1940" t="s">
        <v>1235</v>
      </c>
      <c r="H54" s="2012" t="s">
        <v>1435</v>
      </c>
      <c r="I54" s="2018"/>
      <c r="J54" s="2126" t="s">
        <v>1326</v>
      </c>
      <c r="K54" s="2126"/>
      <c r="L54" s="2126"/>
    </row>
    <row r="55" spans="1:12" outlineLevel="1">
      <c r="B55" s="1305"/>
      <c r="C55" s="1305"/>
      <c r="D55" s="1335" t="s">
        <v>1314</v>
      </c>
      <c r="E55" s="1192" t="s">
        <v>88</v>
      </c>
      <c r="F55" s="1194"/>
      <c r="H55" s="1651"/>
      <c r="I55" s="1652"/>
      <c r="J55" s="1561" t="str">
        <f>IF(ISNONTEXT(F55)=TRUE,"","X")</f>
        <v/>
      </c>
      <c r="K55" s="1559" t="str">
        <f>IF(AND(F55&gt;=0)=TRUE,"","X")</f>
        <v/>
      </c>
      <c r="L55" s="1749" t="str">
        <f t="shared" ref="L55:L88" si="3">IF(AND(D55&lt;&gt;"",LEFT(D55,5)&lt;&gt;"&lt;TNSP",ISBLANK(F55))=TRUE,"X","")</f>
        <v/>
      </c>
    </row>
    <row r="56" spans="1:12" outlineLevel="1">
      <c r="B56" s="1312"/>
      <c r="C56" s="1312"/>
      <c r="D56" s="1336" t="s">
        <v>1314</v>
      </c>
      <c r="E56" s="1196" t="s">
        <v>88</v>
      </c>
      <c r="F56" s="1198"/>
      <c r="H56" s="1648"/>
      <c r="I56" s="1647"/>
      <c r="J56" s="1540" t="str">
        <f t="shared" ref="J56:J88" si="4">IF(ISNONTEXT(F56)=TRUE,"","X")</f>
        <v/>
      </c>
      <c r="K56" s="1534" t="str">
        <f t="shared" ref="K56:K88" si="5">IF(AND(F56&gt;=0)=TRUE,"","X")</f>
        <v/>
      </c>
      <c r="L56" s="1550" t="str">
        <f t="shared" si="3"/>
        <v/>
      </c>
    </row>
    <row r="57" spans="1:12" outlineLevel="1">
      <c r="B57" s="1305"/>
      <c r="C57" s="1305"/>
      <c r="D57" s="1336" t="s">
        <v>1314</v>
      </c>
      <c r="E57" s="1196" t="s">
        <v>88</v>
      </c>
      <c r="F57" s="1198"/>
      <c r="H57" s="1648"/>
      <c r="I57" s="1647"/>
      <c r="J57" s="1540" t="str">
        <f t="shared" si="4"/>
        <v/>
      </c>
      <c r="K57" s="1534" t="str">
        <f t="shared" si="5"/>
        <v/>
      </c>
      <c r="L57" s="1550" t="str">
        <f t="shared" si="3"/>
        <v/>
      </c>
    </row>
    <row r="58" spans="1:12" outlineLevel="1">
      <c r="B58" s="1305"/>
      <c r="C58" s="1305"/>
      <c r="D58" s="1336" t="s">
        <v>1314</v>
      </c>
      <c r="E58" s="1196" t="s">
        <v>88</v>
      </c>
      <c r="F58" s="1198"/>
      <c r="H58" s="1648"/>
      <c r="I58" s="1647"/>
      <c r="J58" s="1540" t="str">
        <f t="shared" si="4"/>
        <v/>
      </c>
      <c r="K58" s="1534" t="str">
        <f t="shared" si="5"/>
        <v/>
      </c>
      <c r="L58" s="1550" t="str">
        <f t="shared" si="3"/>
        <v/>
      </c>
    </row>
    <row r="59" spans="1:12" outlineLevel="1">
      <c r="B59" s="1305"/>
      <c r="C59" s="1305"/>
      <c r="D59" s="1336" t="s">
        <v>1314</v>
      </c>
      <c r="E59" s="1196" t="s">
        <v>88</v>
      </c>
      <c r="F59" s="1198"/>
      <c r="H59" s="1648"/>
      <c r="I59" s="1647"/>
      <c r="J59" s="1540" t="str">
        <f t="shared" si="4"/>
        <v/>
      </c>
      <c r="K59" s="1534" t="str">
        <f t="shared" si="5"/>
        <v/>
      </c>
      <c r="L59" s="1550" t="str">
        <f t="shared" si="3"/>
        <v/>
      </c>
    </row>
    <row r="60" spans="1:12" hidden="1" outlineLevel="2">
      <c r="B60" s="1305"/>
      <c r="C60" s="1305"/>
      <c r="D60" s="1336" t="s">
        <v>1314</v>
      </c>
      <c r="E60" s="1196" t="s">
        <v>88</v>
      </c>
      <c r="F60" s="1198"/>
      <c r="H60" s="1648"/>
      <c r="I60" s="1647"/>
      <c r="J60" s="1540" t="str">
        <f t="shared" si="4"/>
        <v/>
      </c>
      <c r="K60" s="1534" t="str">
        <f t="shared" si="5"/>
        <v/>
      </c>
      <c r="L60" s="1550" t="str">
        <f t="shared" si="3"/>
        <v/>
      </c>
    </row>
    <row r="61" spans="1:12" hidden="1" outlineLevel="2">
      <c r="B61" s="1305"/>
      <c r="C61" s="1305"/>
      <c r="D61" s="1336" t="s">
        <v>1314</v>
      </c>
      <c r="E61" s="1196" t="s">
        <v>88</v>
      </c>
      <c r="F61" s="1198"/>
      <c r="H61" s="1648"/>
      <c r="I61" s="1647"/>
      <c r="J61" s="1540" t="str">
        <f t="shared" si="4"/>
        <v/>
      </c>
      <c r="K61" s="1534" t="str">
        <f t="shared" si="5"/>
        <v/>
      </c>
      <c r="L61" s="1550" t="str">
        <f t="shared" si="3"/>
        <v/>
      </c>
    </row>
    <row r="62" spans="1:12" hidden="1" outlineLevel="2">
      <c r="B62" s="1305"/>
      <c r="C62" s="1305"/>
      <c r="D62" s="1336" t="s">
        <v>1314</v>
      </c>
      <c r="E62" s="1196" t="s">
        <v>88</v>
      </c>
      <c r="F62" s="1198"/>
      <c r="H62" s="1648"/>
      <c r="I62" s="1647"/>
      <c r="J62" s="1540" t="str">
        <f t="shared" si="4"/>
        <v/>
      </c>
      <c r="K62" s="1534" t="str">
        <f t="shared" si="5"/>
        <v/>
      </c>
      <c r="L62" s="1550" t="str">
        <f t="shared" si="3"/>
        <v/>
      </c>
    </row>
    <row r="63" spans="1:12" hidden="1" outlineLevel="2">
      <c r="B63" s="1305"/>
      <c r="C63" s="1305"/>
      <c r="D63" s="1336" t="s">
        <v>1314</v>
      </c>
      <c r="E63" s="1196" t="s">
        <v>88</v>
      </c>
      <c r="F63" s="1198"/>
      <c r="H63" s="1648"/>
      <c r="I63" s="1647"/>
      <c r="J63" s="1540" t="str">
        <f t="shared" si="4"/>
        <v/>
      </c>
      <c r="K63" s="1534" t="str">
        <f t="shared" si="5"/>
        <v/>
      </c>
      <c r="L63" s="1550" t="str">
        <f t="shared" si="3"/>
        <v/>
      </c>
    </row>
    <row r="64" spans="1:12" hidden="1" outlineLevel="2">
      <c r="B64" s="1305"/>
      <c r="C64" s="1305"/>
      <c r="D64" s="1336" t="s">
        <v>1314</v>
      </c>
      <c r="E64" s="1196" t="s">
        <v>88</v>
      </c>
      <c r="F64" s="1198"/>
      <c r="H64" s="1648"/>
      <c r="I64" s="1647"/>
      <c r="J64" s="1540" t="str">
        <f t="shared" si="4"/>
        <v/>
      </c>
      <c r="K64" s="1534" t="str">
        <f t="shared" si="5"/>
        <v/>
      </c>
      <c r="L64" s="1550" t="str">
        <f t="shared" si="3"/>
        <v/>
      </c>
    </row>
    <row r="65" spans="2:12" hidden="1" outlineLevel="2">
      <c r="B65" s="1305"/>
      <c r="C65" s="1305"/>
      <c r="D65" s="1336" t="s">
        <v>1314</v>
      </c>
      <c r="E65" s="1196" t="s">
        <v>88</v>
      </c>
      <c r="F65" s="1198"/>
      <c r="H65" s="1648"/>
      <c r="I65" s="1647"/>
      <c r="J65" s="1540" t="str">
        <f t="shared" si="4"/>
        <v/>
      </c>
      <c r="K65" s="1534" t="str">
        <f t="shared" si="5"/>
        <v/>
      </c>
      <c r="L65" s="1550" t="str">
        <f t="shared" si="3"/>
        <v/>
      </c>
    </row>
    <row r="66" spans="2:12" hidden="1" outlineLevel="2">
      <c r="B66" s="1305"/>
      <c r="C66" s="1305"/>
      <c r="D66" s="1336" t="s">
        <v>1314</v>
      </c>
      <c r="E66" s="1196" t="s">
        <v>88</v>
      </c>
      <c r="F66" s="1198"/>
      <c r="H66" s="1648"/>
      <c r="I66" s="1647"/>
      <c r="J66" s="1540" t="str">
        <f t="shared" si="4"/>
        <v/>
      </c>
      <c r="K66" s="1534" t="str">
        <f t="shared" si="5"/>
        <v/>
      </c>
      <c r="L66" s="1550" t="str">
        <f t="shared" si="3"/>
        <v/>
      </c>
    </row>
    <row r="67" spans="2:12" hidden="1" outlineLevel="2">
      <c r="B67" s="1305"/>
      <c r="C67" s="1305"/>
      <c r="D67" s="1336" t="s">
        <v>1314</v>
      </c>
      <c r="E67" s="1196" t="s">
        <v>88</v>
      </c>
      <c r="F67" s="1198"/>
      <c r="H67" s="1648"/>
      <c r="I67" s="1647"/>
      <c r="J67" s="1540" t="str">
        <f t="shared" si="4"/>
        <v/>
      </c>
      <c r="K67" s="1534" t="str">
        <f t="shared" si="5"/>
        <v/>
      </c>
      <c r="L67" s="1550" t="str">
        <f t="shared" si="3"/>
        <v/>
      </c>
    </row>
    <row r="68" spans="2:12" hidden="1" outlineLevel="2">
      <c r="B68" s="1305"/>
      <c r="C68" s="1305"/>
      <c r="D68" s="1336" t="s">
        <v>1314</v>
      </c>
      <c r="E68" s="1196" t="s">
        <v>88</v>
      </c>
      <c r="F68" s="1198"/>
      <c r="H68" s="1648"/>
      <c r="I68" s="1647"/>
      <c r="J68" s="1540" t="str">
        <f t="shared" si="4"/>
        <v/>
      </c>
      <c r="K68" s="1534" t="str">
        <f t="shared" si="5"/>
        <v/>
      </c>
      <c r="L68" s="1550" t="str">
        <f t="shared" si="3"/>
        <v/>
      </c>
    </row>
    <row r="69" spans="2:12" hidden="1" outlineLevel="2">
      <c r="B69" s="1305"/>
      <c r="C69" s="1305"/>
      <c r="D69" s="1336" t="s">
        <v>1314</v>
      </c>
      <c r="E69" s="1196" t="s">
        <v>88</v>
      </c>
      <c r="F69" s="1198"/>
      <c r="H69" s="1648"/>
      <c r="I69" s="1647"/>
      <c r="J69" s="1540" t="str">
        <f t="shared" si="4"/>
        <v/>
      </c>
      <c r="K69" s="1534" t="str">
        <f t="shared" si="5"/>
        <v/>
      </c>
      <c r="L69" s="1550" t="str">
        <f t="shared" si="3"/>
        <v/>
      </c>
    </row>
    <row r="70" spans="2:12" hidden="1" outlineLevel="2">
      <c r="B70" s="1305"/>
      <c r="C70" s="1305"/>
      <c r="D70" s="1336" t="s">
        <v>1314</v>
      </c>
      <c r="E70" s="1196" t="s">
        <v>88</v>
      </c>
      <c r="F70" s="1198"/>
      <c r="H70" s="1648"/>
      <c r="I70" s="1647"/>
      <c r="J70" s="1540" t="str">
        <f t="shared" si="4"/>
        <v/>
      </c>
      <c r="K70" s="1534" t="str">
        <f t="shared" si="5"/>
        <v/>
      </c>
      <c r="L70" s="1550" t="str">
        <f t="shared" si="3"/>
        <v/>
      </c>
    </row>
    <row r="71" spans="2:12" hidden="1" outlineLevel="2">
      <c r="B71" s="1305"/>
      <c r="C71" s="1305"/>
      <c r="D71" s="1336" t="s">
        <v>1314</v>
      </c>
      <c r="E71" s="1196" t="s">
        <v>88</v>
      </c>
      <c r="F71" s="1198"/>
      <c r="H71" s="1648"/>
      <c r="I71" s="1647"/>
      <c r="J71" s="1540" t="str">
        <f t="shared" si="4"/>
        <v/>
      </c>
      <c r="K71" s="1534" t="str">
        <f t="shared" si="5"/>
        <v/>
      </c>
      <c r="L71" s="1550" t="str">
        <f t="shared" si="3"/>
        <v/>
      </c>
    </row>
    <row r="72" spans="2:12" hidden="1" outlineLevel="2">
      <c r="B72" s="1305"/>
      <c r="C72" s="1305"/>
      <c r="D72" s="1336" t="s">
        <v>1314</v>
      </c>
      <c r="E72" s="1196" t="s">
        <v>88</v>
      </c>
      <c r="F72" s="1198"/>
      <c r="H72" s="1648"/>
      <c r="I72" s="1647"/>
      <c r="J72" s="1540" t="str">
        <f t="shared" si="4"/>
        <v/>
      </c>
      <c r="K72" s="1534" t="str">
        <f t="shared" si="5"/>
        <v/>
      </c>
      <c r="L72" s="1550" t="str">
        <f t="shared" si="3"/>
        <v/>
      </c>
    </row>
    <row r="73" spans="2:12" hidden="1" outlineLevel="2">
      <c r="B73" s="1305"/>
      <c r="C73" s="1305"/>
      <c r="D73" s="1336" t="s">
        <v>1314</v>
      </c>
      <c r="E73" s="1196" t="s">
        <v>88</v>
      </c>
      <c r="F73" s="1198"/>
      <c r="H73" s="1648"/>
      <c r="I73" s="1647"/>
      <c r="J73" s="1540" t="str">
        <f t="shared" si="4"/>
        <v/>
      </c>
      <c r="K73" s="1534" t="str">
        <f t="shared" si="5"/>
        <v/>
      </c>
      <c r="L73" s="1550" t="str">
        <f t="shared" si="3"/>
        <v/>
      </c>
    </row>
    <row r="74" spans="2:12" hidden="1" outlineLevel="2">
      <c r="B74" s="1305"/>
      <c r="C74" s="1305"/>
      <c r="D74" s="1336" t="s">
        <v>1314</v>
      </c>
      <c r="E74" s="1196" t="s">
        <v>88</v>
      </c>
      <c r="F74" s="1198"/>
      <c r="H74" s="1648"/>
      <c r="I74" s="1647"/>
      <c r="J74" s="1540" t="str">
        <f t="shared" si="4"/>
        <v/>
      </c>
      <c r="K74" s="1534" t="str">
        <f t="shared" si="5"/>
        <v/>
      </c>
      <c r="L74" s="1550" t="str">
        <f t="shared" si="3"/>
        <v/>
      </c>
    </row>
    <row r="75" spans="2:12" hidden="1" outlineLevel="2">
      <c r="B75" s="1305"/>
      <c r="C75" s="1305"/>
      <c r="D75" s="1336" t="s">
        <v>1314</v>
      </c>
      <c r="E75" s="1196" t="s">
        <v>88</v>
      </c>
      <c r="F75" s="1198"/>
      <c r="H75" s="1648"/>
      <c r="I75" s="1647"/>
      <c r="J75" s="1540" t="str">
        <f t="shared" si="4"/>
        <v/>
      </c>
      <c r="K75" s="1534" t="str">
        <f t="shared" si="5"/>
        <v/>
      </c>
      <c r="L75" s="1550" t="str">
        <f t="shared" si="3"/>
        <v/>
      </c>
    </row>
    <row r="76" spans="2:12" hidden="1" outlineLevel="2">
      <c r="B76" s="1305"/>
      <c r="C76" s="1305"/>
      <c r="D76" s="1336" t="s">
        <v>1314</v>
      </c>
      <c r="E76" s="1196" t="s">
        <v>88</v>
      </c>
      <c r="F76" s="1198"/>
      <c r="H76" s="1648"/>
      <c r="I76" s="1647"/>
      <c r="J76" s="1540" t="str">
        <f t="shared" si="4"/>
        <v/>
      </c>
      <c r="K76" s="1534" t="str">
        <f t="shared" si="5"/>
        <v/>
      </c>
      <c r="L76" s="1550" t="str">
        <f t="shared" si="3"/>
        <v/>
      </c>
    </row>
    <row r="77" spans="2:12" hidden="1" outlineLevel="2">
      <c r="B77" s="1305"/>
      <c r="C77" s="1305"/>
      <c r="D77" s="1336" t="s">
        <v>1314</v>
      </c>
      <c r="E77" s="1196" t="s">
        <v>88</v>
      </c>
      <c r="F77" s="1198"/>
      <c r="H77" s="1648"/>
      <c r="I77" s="1647"/>
      <c r="J77" s="1540" t="str">
        <f t="shared" si="4"/>
        <v/>
      </c>
      <c r="K77" s="1534" t="str">
        <f t="shared" si="5"/>
        <v/>
      </c>
      <c r="L77" s="1550" t="str">
        <f t="shared" si="3"/>
        <v/>
      </c>
    </row>
    <row r="78" spans="2:12" hidden="1" outlineLevel="2">
      <c r="B78" s="1305"/>
      <c r="C78" s="1305"/>
      <c r="D78" s="1336" t="s">
        <v>1314</v>
      </c>
      <c r="E78" s="1196" t="s">
        <v>88</v>
      </c>
      <c r="F78" s="1198"/>
      <c r="H78" s="1648"/>
      <c r="I78" s="1647"/>
      <c r="J78" s="1540" t="str">
        <f t="shared" si="4"/>
        <v/>
      </c>
      <c r="K78" s="1534" t="str">
        <f t="shared" si="5"/>
        <v/>
      </c>
      <c r="L78" s="1550" t="str">
        <f t="shared" si="3"/>
        <v/>
      </c>
    </row>
    <row r="79" spans="2:12" hidden="1" outlineLevel="2">
      <c r="B79" s="1305"/>
      <c r="C79" s="1305"/>
      <c r="D79" s="1336" t="s">
        <v>1314</v>
      </c>
      <c r="E79" s="1196" t="s">
        <v>88</v>
      </c>
      <c r="F79" s="1198"/>
      <c r="H79" s="1648"/>
      <c r="I79" s="1647"/>
      <c r="J79" s="1540" t="str">
        <f t="shared" si="4"/>
        <v/>
      </c>
      <c r="K79" s="1534" t="str">
        <f t="shared" si="5"/>
        <v/>
      </c>
      <c r="L79" s="1550" t="str">
        <f t="shared" si="3"/>
        <v/>
      </c>
    </row>
    <row r="80" spans="2:12" hidden="1" outlineLevel="2">
      <c r="B80" s="1305"/>
      <c r="C80" s="1305"/>
      <c r="D80" s="1336" t="s">
        <v>1314</v>
      </c>
      <c r="E80" s="1196" t="s">
        <v>88</v>
      </c>
      <c r="F80" s="1198"/>
      <c r="H80" s="1648"/>
      <c r="I80" s="1647"/>
      <c r="J80" s="1540" t="str">
        <f t="shared" si="4"/>
        <v/>
      </c>
      <c r="K80" s="1534" t="str">
        <f t="shared" si="5"/>
        <v/>
      </c>
      <c r="L80" s="1550" t="str">
        <f t="shared" si="3"/>
        <v/>
      </c>
    </row>
    <row r="81" spans="1:12" hidden="1" outlineLevel="2">
      <c r="B81" s="1305"/>
      <c r="C81" s="1305"/>
      <c r="D81" s="1336" t="s">
        <v>1314</v>
      </c>
      <c r="E81" s="1196" t="s">
        <v>88</v>
      </c>
      <c r="F81" s="1198"/>
      <c r="H81" s="1648"/>
      <c r="I81" s="1647"/>
      <c r="J81" s="1540" t="str">
        <f t="shared" si="4"/>
        <v/>
      </c>
      <c r="K81" s="1534" t="str">
        <f t="shared" si="5"/>
        <v/>
      </c>
      <c r="L81" s="1550" t="str">
        <f t="shared" si="3"/>
        <v/>
      </c>
    </row>
    <row r="82" spans="1:12" hidden="1" outlineLevel="2">
      <c r="B82" s="1305"/>
      <c r="C82" s="1305"/>
      <c r="D82" s="1336" t="s">
        <v>1314</v>
      </c>
      <c r="E82" s="1196" t="s">
        <v>88</v>
      </c>
      <c r="F82" s="1198"/>
      <c r="H82" s="1648"/>
      <c r="I82" s="1647"/>
      <c r="J82" s="1540" t="str">
        <f t="shared" si="4"/>
        <v/>
      </c>
      <c r="K82" s="1534" t="str">
        <f t="shared" si="5"/>
        <v/>
      </c>
      <c r="L82" s="1550" t="str">
        <f t="shared" si="3"/>
        <v/>
      </c>
    </row>
    <row r="83" spans="1:12" hidden="1" outlineLevel="2">
      <c r="B83" s="1305"/>
      <c r="C83" s="1305"/>
      <c r="D83" s="1336" t="s">
        <v>1314</v>
      </c>
      <c r="E83" s="1196" t="s">
        <v>88</v>
      </c>
      <c r="F83" s="1198"/>
      <c r="H83" s="1648"/>
      <c r="I83" s="1647"/>
      <c r="J83" s="1540" t="str">
        <f t="shared" si="4"/>
        <v/>
      </c>
      <c r="K83" s="1534" t="str">
        <f t="shared" si="5"/>
        <v/>
      </c>
      <c r="L83" s="1550" t="str">
        <f t="shared" si="3"/>
        <v/>
      </c>
    </row>
    <row r="84" spans="1:12" hidden="1" outlineLevel="2">
      <c r="B84" s="1305"/>
      <c r="C84" s="1305"/>
      <c r="D84" s="1336" t="s">
        <v>1314</v>
      </c>
      <c r="E84" s="1196" t="s">
        <v>88</v>
      </c>
      <c r="F84" s="1198"/>
      <c r="H84" s="1648"/>
      <c r="I84" s="1647"/>
      <c r="J84" s="1540" t="str">
        <f t="shared" si="4"/>
        <v/>
      </c>
      <c r="K84" s="1534" t="str">
        <f t="shared" si="5"/>
        <v/>
      </c>
      <c r="L84" s="1550" t="str">
        <f t="shared" si="3"/>
        <v/>
      </c>
    </row>
    <row r="85" spans="1:12" hidden="1" outlineLevel="2">
      <c r="B85" s="1305"/>
      <c r="C85" s="1305"/>
      <c r="D85" s="1336" t="s">
        <v>1314</v>
      </c>
      <c r="E85" s="1196" t="s">
        <v>88</v>
      </c>
      <c r="F85" s="1198"/>
      <c r="H85" s="1648"/>
      <c r="I85" s="1647"/>
      <c r="J85" s="1540" t="str">
        <f t="shared" si="4"/>
        <v/>
      </c>
      <c r="K85" s="1534" t="str">
        <f t="shared" si="5"/>
        <v/>
      </c>
      <c r="L85" s="1550" t="str">
        <f t="shared" si="3"/>
        <v/>
      </c>
    </row>
    <row r="86" spans="1:12" outlineLevel="1" collapsed="1">
      <c r="B86" s="1305"/>
      <c r="C86" s="1305"/>
      <c r="D86" s="1336" t="s">
        <v>1314</v>
      </c>
      <c r="E86" s="1196" t="s">
        <v>88</v>
      </c>
      <c r="F86" s="1198"/>
      <c r="H86" s="1648"/>
      <c r="I86" s="1647"/>
      <c r="J86" s="1540" t="str">
        <f t="shared" si="4"/>
        <v/>
      </c>
      <c r="K86" s="1534" t="str">
        <f t="shared" si="5"/>
        <v/>
      </c>
      <c r="L86" s="1550" t="str">
        <f t="shared" si="3"/>
        <v/>
      </c>
    </row>
    <row r="87" spans="1:12" outlineLevel="1">
      <c r="A87" s="1666" t="s">
        <v>1487</v>
      </c>
      <c r="C87" s="1305"/>
      <c r="D87" s="1336" t="s">
        <v>1314</v>
      </c>
      <c r="E87" s="1196" t="s">
        <v>88</v>
      </c>
      <c r="F87" s="1198"/>
      <c r="H87" s="1648"/>
      <c r="I87" s="1647"/>
      <c r="J87" s="1540" t="str">
        <f t="shared" si="4"/>
        <v/>
      </c>
      <c r="K87" s="1534" t="str">
        <f t="shared" si="5"/>
        <v/>
      </c>
      <c r="L87" s="1550" t="str">
        <f t="shared" si="3"/>
        <v/>
      </c>
    </row>
    <row r="88" spans="1:12" outlineLevel="1">
      <c r="B88" s="1312"/>
      <c r="C88" s="1312"/>
      <c r="D88" s="1337" t="s">
        <v>1314</v>
      </c>
      <c r="E88" s="1199" t="s">
        <v>88</v>
      </c>
      <c r="F88" s="1201"/>
      <c r="H88" s="1634"/>
      <c r="I88" s="1636"/>
      <c r="J88" s="1542" t="str">
        <f t="shared" si="4"/>
        <v/>
      </c>
      <c r="K88" s="1551" t="str">
        <f t="shared" si="5"/>
        <v/>
      </c>
      <c r="L88" s="1655" t="str">
        <f t="shared" si="3"/>
        <v/>
      </c>
    </row>
    <row r="91" spans="1:12">
      <c r="B91" s="1717" t="s">
        <v>1468</v>
      </c>
      <c r="C91" s="1714"/>
      <c r="D91" s="1715" t="s">
        <v>1488</v>
      </c>
    </row>
  </sheetData>
  <mergeCells count="6">
    <mergeCell ref="H54:I54"/>
    <mergeCell ref="J54:L54"/>
    <mergeCell ref="H12:I12"/>
    <mergeCell ref="D9:F9"/>
    <mergeCell ref="D51:F51"/>
    <mergeCell ref="J12:L12"/>
  </mergeCells>
  <conditionalFormatting sqref="D91">
    <cfRule type="cellIs" dxfId="26" priority="1" operator="equal">
      <formula>FALSE</formula>
    </cfRule>
  </conditionalFormatting>
  <conditionalFormatting sqref="F13:F46">
    <cfRule type="expression" dxfId="25" priority="8">
      <formula>dms_worksheet210flag="Worksheet 2.10"</formula>
    </cfRule>
  </conditionalFormatting>
  <conditionalFormatting sqref="F55:F88">
    <cfRule type="expression" dxfId="24" priority="2">
      <formula>dms_worksheet210flag="Worksheet 2.10"</formula>
    </cfRule>
  </conditionalFormatting>
  <dataValidations count="1">
    <dataValidation allowBlank="1" sqref="H11:L11 H53:L53 N1:N4 H1:H4" xr:uid="{4150D7C7-BF42-463F-9B8F-B733DA496A5E}"/>
  </dataValidations>
  <pageMargins left="0.7" right="0.7" top="0.75" bottom="0.75" header="0.3" footer="0.3"/>
  <pageSetup paperSize="9" scale="6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6EB9-3C52-4446-999A-6BC9812C89BA}">
  <sheetPr codeName="Sheet38">
    <tabColor rgb="FFB6B2FF"/>
  </sheetPr>
  <dimension ref="B1:T41"/>
  <sheetViews>
    <sheetView workbookViewId="0"/>
  </sheetViews>
  <sheetFormatPr defaultColWidth="9.140625" defaultRowHeight="23.25" outlineLevelRow="1"/>
  <cols>
    <col min="1" max="1" width="20.7109375" style="44" customWidth="1"/>
    <col min="2" max="2" width="15" style="1375" customWidth="1"/>
    <col min="3" max="3" width="2.5703125" style="44" customWidth="1"/>
    <col min="4" max="4" width="63.5703125" style="44" bestFit="1" customWidth="1"/>
    <col min="5" max="5" width="9" style="44" customWidth="1"/>
    <col min="6" max="6" width="19.42578125" style="44" customWidth="1"/>
    <col min="7" max="7" width="7.42578125" style="44" customWidth="1"/>
    <col min="8" max="19" width="3.7109375" style="44" customWidth="1"/>
    <col min="20" max="16384" width="9.140625" style="44"/>
  </cols>
  <sheetData>
    <row r="1" spans="2:20" s="1225" customFormat="1" ht="20.100000000000001" customHeight="1">
      <c r="B1" s="1220"/>
      <c r="C1" s="1002"/>
      <c r="D1" s="1002" t="str">
        <f>dms_SheetHeading1</f>
        <v>ANNUAL INFORMATION ORDER</v>
      </c>
      <c r="E1" s="1004"/>
      <c r="F1" s="1221"/>
      <c r="H1" s="1658" t="s">
        <v>1040</v>
      </c>
      <c r="I1" s="1323"/>
      <c r="J1" s="1323"/>
      <c r="K1" s="1323"/>
      <c r="L1" s="1323"/>
      <c r="M1" s="1323"/>
      <c r="N1" s="1657" t="s">
        <v>1039</v>
      </c>
      <c r="O1" s="1323"/>
      <c r="P1" s="1323"/>
      <c r="Q1" s="1323"/>
      <c r="R1" s="1323"/>
      <c r="S1" s="1323"/>
      <c r="T1" s="1323"/>
    </row>
    <row r="2" spans="2:20" s="1225" customFormat="1" ht="20.100000000000001" customHeight="1">
      <c r="B2" s="1222"/>
      <c r="C2" s="1003"/>
      <c r="D2" s="1003" t="str">
        <f>dms_SheetHeading2</f>
        <v>Australian Transmission Co.</v>
      </c>
      <c r="E2" s="1003"/>
      <c r="F2" s="1221"/>
      <c r="H2" s="1659" t="s">
        <v>1041</v>
      </c>
      <c r="I2" s="1324"/>
      <c r="J2" s="1324"/>
      <c r="K2" s="1324"/>
      <c r="L2" s="1324"/>
      <c r="M2" s="1324"/>
      <c r="N2" s="1379" t="s">
        <v>202</v>
      </c>
      <c r="O2" s="1324"/>
      <c r="P2" s="1324"/>
      <c r="Q2" s="1324"/>
      <c r="R2" s="1324"/>
      <c r="S2" s="1324"/>
      <c r="T2" s="1324"/>
    </row>
    <row r="3" spans="2:20" s="1225" customFormat="1" ht="20.100000000000001" customHeight="1">
      <c r="B3" s="1223"/>
      <c r="C3" s="1004"/>
      <c r="D3" s="1004" t="str">
        <f>dms_SheetHeading3</f>
        <v>REPORTING STATEMENT: 2024-25</v>
      </c>
      <c r="E3" s="1004"/>
      <c r="F3" s="1122"/>
      <c r="H3" s="1660" t="s">
        <v>1042</v>
      </c>
      <c r="I3" s="1325"/>
      <c r="J3" s="1325"/>
      <c r="K3" s="1325"/>
      <c r="L3" s="1325"/>
      <c r="M3" s="1325"/>
      <c r="N3" s="1380" t="s">
        <v>203</v>
      </c>
      <c r="O3" s="1325"/>
      <c r="P3" s="1325"/>
      <c r="Q3" s="1325"/>
      <c r="R3" s="1325"/>
      <c r="S3" s="1325"/>
      <c r="T3" s="1325"/>
    </row>
    <row r="4" spans="2:20" s="1225" customFormat="1" ht="20.100000000000001" customHeight="1">
      <c r="B4" s="1216"/>
      <c r="C4" s="1216"/>
      <c r="D4" s="1216" t="s">
        <v>1419</v>
      </c>
      <c r="E4" s="1216"/>
      <c r="F4" s="1216"/>
      <c r="H4" s="1662" t="s">
        <v>1044</v>
      </c>
      <c r="I4" s="1692"/>
      <c r="J4" s="1693"/>
      <c r="K4" s="1498"/>
      <c r="L4" s="1498"/>
      <c r="M4" s="1498"/>
      <c r="N4" s="1497" t="s">
        <v>1043</v>
      </c>
      <c r="O4" s="1498"/>
      <c r="P4" s="1498"/>
      <c r="Q4" s="1498"/>
      <c r="R4" s="1498"/>
      <c r="S4" s="1498"/>
      <c r="T4" s="1498"/>
    </row>
    <row r="5" spans="2:20" s="46" customFormat="1" ht="13.5" customHeight="1">
      <c r="B5" s="637"/>
      <c r="C5" s="59"/>
      <c r="F5" s="1061"/>
    </row>
    <row r="6" spans="2:20" s="46" customFormat="1" ht="18" customHeight="1">
      <c r="B6" s="628" t="s">
        <v>1032</v>
      </c>
      <c r="C6" s="973"/>
      <c r="D6" s="973"/>
      <c r="E6" s="973"/>
      <c r="F6" s="973"/>
      <c r="G6" s="44"/>
      <c r="H6" s="44"/>
      <c r="I6" s="44"/>
      <c r="J6" s="44"/>
      <c r="K6" s="44"/>
      <c r="L6" s="44"/>
    </row>
    <row r="7" spans="2:20" s="46" customFormat="1" ht="18" customHeight="1">
      <c r="B7" s="1032" t="s">
        <v>1304</v>
      </c>
      <c r="C7" s="1032"/>
      <c r="D7" s="1032"/>
      <c r="E7" s="1032"/>
      <c r="F7" s="1032"/>
    </row>
    <row r="8" spans="2:20" s="46" customFormat="1" ht="18" customHeight="1"/>
    <row r="9" spans="2:20" s="632" customFormat="1" ht="15.75">
      <c r="B9" s="1469"/>
      <c r="C9" s="1469"/>
      <c r="D9" s="2190" t="s">
        <v>1895</v>
      </c>
      <c r="E9" s="2190"/>
      <c r="F9" s="2190"/>
      <c r="G9" s="46"/>
      <c r="H9" s="46"/>
      <c r="I9" s="46"/>
      <c r="J9" s="46"/>
    </row>
    <row r="10" spans="2:20" s="632" customFormat="1" ht="24.75">
      <c r="G10" s="46"/>
      <c r="H10" s="1594" t="s">
        <v>1430</v>
      </c>
      <c r="I10" s="1595" t="s">
        <v>1431</v>
      </c>
      <c r="J10" s="1596" t="s">
        <v>1432</v>
      </c>
    </row>
    <row r="11" spans="2:20" s="632" customFormat="1" ht="25.5">
      <c r="B11" s="638"/>
      <c r="C11" s="639"/>
      <c r="D11" s="1092" t="s">
        <v>1145</v>
      </c>
      <c r="E11" s="958" t="s">
        <v>1192</v>
      </c>
      <c r="F11" s="1722" t="s">
        <v>1326</v>
      </c>
      <c r="G11" s="46"/>
      <c r="H11" s="2125" t="s">
        <v>1326</v>
      </c>
      <c r="I11" s="2125"/>
      <c r="J11" s="2125"/>
    </row>
    <row r="12" spans="2:20" ht="15" customHeight="1" outlineLevel="1">
      <c r="C12" s="1062"/>
      <c r="D12" s="1058" t="s">
        <v>98</v>
      </c>
      <c r="E12" s="641" t="s">
        <v>88</v>
      </c>
      <c r="F12" s="1365"/>
      <c r="G12" s="46"/>
      <c r="H12" s="1591" t="str">
        <f>IF(ISNONTEXT(F12)=TRUE,"","X")</f>
        <v/>
      </c>
      <c r="I12" s="1592" t="str">
        <f>IF(AND(F12&gt;=0)=TRUE,"","X")</f>
        <v/>
      </c>
      <c r="J12" s="1575" t="str">
        <f>IF(F12&lt;&gt;""=TRUE,"","X")</f>
        <v>X</v>
      </c>
    </row>
    <row r="13" spans="2:20" ht="15" customHeight="1" outlineLevel="1">
      <c r="C13" s="1062"/>
      <c r="D13" s="1060" t="s">
        <v>99</v>
      </c>
      <c r="E13" s="642" t="s">
        <v>88</v>
      </c>
      <c r="F13" s="1366"/>
      <c r="G13" s="46"/>
      <c r="H13" s="1591" t="str">
        <f t="shared" ref="H13:H17" si="0">IF(ISNONTEXT(F13)=TRUE,"","X")</f>
        <v/>
      </c>
      <c r="I13" s="1592" t="str">
        <f t="shared" ref="I13:I17" si="1">IF(AND(F13&gt;=0)=TRUE,"","X")</f>
        <v/>
      </c>
      <c r="J13" s="1575" t="str">
        <f t="shared" ref="J13:J17" si="2">IF(F13&lt;&gt;""=TRUE,"","X")</f>
        <v>X</v>
      </c>
    </row>
    <row r="14" spans="2:20" ht="15" customHeight="1" outlineLevel="1">
      <c r="C14" s="1062"/>
      <c r="D14" s="1060" t="s">
        <v>1320</v>
      </c>
      <c r="E14" s="642" t="s">
        <v>88</v>
      </c>
      <c r="F14" s="1366"/>
      <c r="G14" s="46"/>
      <c r="H14" s="1591" t="str">
        <f t="shared" si="0"/>
        <v/>
      </c>
      <c r="I14" s="1592" t="str">
        <f t="shared" si="1"/>
        <v/>
      </c>
      <c r="J14" s="1575" t="str">
        <f t="shared" si="2"/>
        <v>X</v>
      </c>
    </row>
    <row r="15" spans="2:20" ht="15" customHeight="1" outlineLevel="1">
      <c r="B15" s="44"/>
      <c r="C15" s="1062"/>
      <c r="D15" s="1060" t="s">
        <v>1146</v>
      </c>
      <c r="E15" s="642" t="s">
        <v>88</v>
      </c>
      <c r="F15" s="1366"/>
      <c r="G15" s="46"/>
      <c r="H15" s="1591" t="str">
        <f t="shared" si="0"/>
        <v/>
      </c>
      <c r="I15" s="1592" t="str">
        <f t="shared" si="1"/>
        <v/>
      </c>
      <c r="J15" s="1575" t="str">
        <f t="shared" si="2"/>
        <v>X</v>
      </c>
    </row>
    <row r="16" spans="2:20" ht="15" customHeight="1" outlineLevel="1">
      <c r="C16" s="1062"/>
      <c r="D16" s="1060" t="s">
        <v>100</v>
      </c>
      <c r="E16" s="642" t="s">
        <v>88</v>
      </c>
      <c r="F16" s="1366"/>
      <c r="G16" s="46"/>
      <c r="H16" s="1591" t="str">
        <f t="shared" si="0"/>
        <v/>
      </c>
      <c r="I16" s="1592" t="str">
        <f t="shared" si="1"/>
        <v/>
      </c>
      <c r="J16" s="1575" t="str">
        <f t="shared" si="2"/>
        <v>X</v>
      </c>
    </row>
    <row r="17" spans="2:12" ht="15" customHeight="1" outlineLevel="1">
      <c r="C17" s="1062"/>
      <c r="D17" s="1060" t="s">
        <v>1031</v>
      </c>
      <c r="E17" s="642" t="s">
        <v>88</v>
      </c>
      <c r="F17" s="1366"/>
      <c r="G17" s="46"/>
      <c r="H17" s="1591" t="str">
        <f t="shared" si="0"/>
        <v/>
      </c>
      <c r="I17" s="1592" t="str">
        <f t="shared" si="1"/>
        <v/>
      </c>
      <c r="J17" s="1575" t="str">
        <f t="shared" si="2"/>
        <v>X</v>
      </c>
    </row>
    <row r="18" spans="2:12" ht="15" customHeight="1" outlineLevel="1">
      <c r="C18" s="1062"/>
      <c r="D18" s="1064" t="s">
        <v>101</v>
      </c>
      <c r="E18" s="643" t="s">
        <v>88</v>
      </c>
      <c r="F18" s="1376">
        <f>F12+F15-F16+F17-F14+F13</f>
        <v>0</v>
      </c>
      <c r="G18" s="46"/>
      <c r="H18" s="1630"/>
      <c r="I18" s="1631"/>
      <c r="J18" s="1632"/>
    </row>
    <row r="19" spans="2:12" ht="15">
      <c r="B19" s="636"/>
      <c r="C19" s="1062"/>
      <c r="D19" s="1413"/>
      <c r="E19" s="1414"/>
      <c r="F19" s="627"/>
      <c r="G19" s="46"/>
      <c r="H19" s="46"/>
      <c r="I19" s="46"/>
      <c r="J19" s="46"/>
    </row>
    <row r="20" spans="2:12" s="46" customFormat="1" ht="18" customHeight="1">
      <c r="B20" s="628" t="s">
        <v>1032</v>
      </c>
      <c r="C20" s="973"/>
      <c r="D20" s="973"/>
      <c r="E20" s="973"/>
      <c r="F20" s="973"/>
      <c r="K20" s="44"/>
      <c r="L20" s="44"/>
    </row>
    <row r="21" spans="2:12" s="632" customFormat="1" ht="18" customHeight="1">
      <c r="B21" s="1032" t="s">
        <v>1319</v>
      </c>
      <c r="C21" s="1138"/>
      <c r="D21" s="1138"/>
      <c r="E21" s="1138"/>
      <c r="F21" s="1138"/>
      <c r="G21" s="46"/>
      <c r="H21" s="46"/>
      <c r="I21" s="46"/>
      <c r="J21" s="46"/>
    </row>
    <row r="22" spans="2:12" s="46" customFormat="1" ht="18" customHeight="1"/>
    <row r="23" spans="2:12" s="632" customFormat="1" ht="15.75">
      <c r="B23" s="1469"/>
      <c r="C23" s="1469"/>
      <c r="D23" s="2189" t="s">
        <v>1420</v>
      </c>
      <c r="E23" s="2189"/>
      <c r="F23" s="2189"/>
      <c r="G23" s="46"/>
      <c r="H23" s="46"/>
      <c r="I23" s="46"/>
      <c r="J23" s="46"/>
    </row>
    <row r="24" spans="2:12" s="632" customFormat="1" ht="24.75">
      <c r="B24" s="637"/>
      <c r="C24" s="639"/>
      <c r="D24" s="1377"/>
      <c r="E24" s="971"/>
      <c r="F24" s="971"/>
      <c r="G24" s="46"/>
      <c r="H24" s="1594" t="s">
        <v>1430</v>
      </c>
      <c r="I24" s="1595" t="s">
        <v>1431</v>
      </c>
      <c r="J24" s="1596" t="s">
        <v>1432</v>
      </c>
    </row>
    <row r="25" spans="2:12" s="632" customFormat="1" ht="25.5">
      <c r="B25" s="637"/>
      <c r="C25" s="639"/>
      <c r="D25" s="1092" t="s">
        <v>1145</v>
      </c>
      <c r="E25" s="958" t="s">
        <v>1192</v>
      </c>
      <c r="F25" s="1039" t="s">
        <v>1326</v>
      </c>
      <c r="G25" s="46"/>
      <c r="H25" s="2125" t="s">
        <v>1326</v>
      </c>
      <c r="I25" s="2125"/>
      <c r="J25" s="2125"/>
    </row>
    <row r="26" spans="2:12" ht="15" outlineLevel="1">
      <c r="B26" s="636"/>
      <c r="C26" s="1062"/>
      <c r="D26" s="1372" t="s">
        <v>98</v>
      </c>
      <c r="E26" s="641" t="s">
        <v>88</v>
      </c>
      <c r="F26" s="1365"/>
      <c r="G26" s="46"/>
      <c r="H26" s="1591" t="str">
        <f>IF(ISNONTEXT(F26)=TRUE,"","X")</f>
        <v/>
      </c>
      <c r="I26" s="1592" t="str">
        <f>IF(AND(F26&gt;=0)=TRUE,"","X")</f>
        <v/>
      </c>
      <c r="J26" s="1575" t="str">
        <f>IF(F26&lt;&gt;""=TRUE,"","X")</f>
        <v>X</v>
      </c>
    </row>
    <row r="27" spans="2:12" ht="15" outlineLevel="1">
      <c r="B27" s="636"/>
      <c r="C27" s="1062"/>
      <c r="D27" s="1373" t="s">
        <v>99</v>
      </c>
      <c r="E27" s="642" t="s">
        <v>88</v>
      </c>
      <c r="F27" s="1366"/>
      <c r="G27" s="46"/>
      <c r="H27" s="1591" t="str">
        <f t="shared" ref="H27:H31" si="3">IF(ISNONTEXT(F27)=TRUE,"","X")</f>
        <v/>
      </c>
      <c r="I27" s="1592" t="str">
        <f t="shared" ref="I27:I31" si="4">IF(AND(F27&gt;=0)=TRUE,"","X")</f>
        <v/>
      </c>
      <c r="J27" s="1575" t="str">
        <f t="shared" ref="J27:J31" si="5">IF(F27&lt;&gt;""=TRUE,"","X")</f>
        <v>X</v>
      </c>
    </row>
    <row r="28" spans="2:12" ht="15" outlineLevel="1">
      <c r="B28" s="636"/>
      <c r="C28" s="1062"/>
      <c r="D28" s="1060" t="s">
        <v>1320</v>
      </c>
      <c r="E28" s="642" t="s">
        <v>88</v>
      </c>
      <c r="F28" s="1366"/>
      <c r="G28" s="46"/>
      <c r="H28" s="1591" t="str">
        <f t="shared" si="3"/>
        <v/>
      </c>
      <c r="I28" s="1592" t="str">
        <f t="shared" si="4"/>
        <v/>
      </c>
      <c r="J28" s="1575" t="str">
        <f t="shared" si="5"/>
        <v>X</v>
      </c>
    </row>
    <row r="29" spans="2:12" ht="15" outlineLevel="1">
      <c r="B29" s="636"/>
      <c r="C29" s="1062"/>
      <c r="D29" s="1373" t="s">
        <v>1146</v>
      </c>
      <c r="E29" s="642" t="s">
        <v>88</v>
      </c>
      <c r="F29" s="1366"/>
      <c r="G29" s="1063"/>
      <c r="H29" s="1591" t="str">
        <f t="shared" si="3"/>
        <v/>
      </c>
      <c r="I29" s="1592" t="str">
        <f t="shared" si="4"/>
        <v/>
      </c>
      <c r="J29" s="1575" t="str">
        <f t="shared" si="5"/>
        <v>X</v>
      </c>
    </row>
    <row r="30" spans="2:12" ht="15" outlineLevel="1">
      <c r="B30" s="636"/>
      <c r="C30" s="1062"/>
      <c r="D30" s="1373" t="s">
        <v>100</v>
      </c>
      <c r="E30" s="642" t="s">
        <v>88</v>
      </c>
      <c r="F30" s="1366"/>
      <c r="G30" s="1063"/>
      <c r="H30" s="1591" t="str">
        <f t="shared" si="3"/>
        <v/>
      </c>
      <c r="I30" s="1592" t="str">
        <f t="shared" si="4"/>
        <v/>
      </c>
      <c r="J30" s="1575" t="str">
        <f t="shared" si="5"/>
        <v>X</v>
      </c>
    </row>
    <row r="31" spans="2:12" ht="15" outlineLevel="1">
      <c r="B31" s="636"/>
      <c r="C31" s="1062"/>
      <c r="D31" s="1373" t="s">
        <v>1031</v>
      </c>
      <c r="E31" s="642" t="s">
        <v>88</v>
      </c>
      <c r="F31" s="1366"/>
      <c r="G31" s="1063"/>
      <c r="H31" s="1591" t="str">
        <f t="shared" si="3"/>
        <v/>
      </c>
      <c r="I31" s="1592" t="str">
        <f t="shared" si="4"/>
        <v/>
      </c>
      <c r="J31" s="1575" t="str">
        <f t="shared" si="5"/>
        <v>X</v>
      </c>
    </row>
    <row r="32" spans="2:12" ht="15" outlineLevel="1">
      <c r="B32" s="636"/>
      <c r="C32" s="1062"/>
      <c r="D32" s="1374" t="s">
        <v>101</v>
      </c>
      <c r="E32" s="643" t="s">
        <v>88</v>
      </c>
      <c r="F32" s="1376">
        <f>F26+F29-F30+F31-F28+F27</f>
        <v>0</v>
      </c>
      <c r="G32" s="1063"/>
      <c r="H32" s="1630"/>
      <c r="I32" s="1631"/>
      <c r="J32" s="1632"/>
    </row>
    <row r="33" spans="2:10" s="46" customFormat="1" ht="15.75">
      <c r="B33" s="636"/>
      <c r="C33" s="55"/>
      <c r="D33" s="1092" t="s">
        <v>1147</v>
      </c>
      <c r="E33" s="627"/>
      <c r="F33" s="627"/>
      <c r="G33" s="44"/>
      <c r="H33" s="632"/>
      <c r="I33" s="44"/>
    </row>
    <row r="34" spans="2:10" ht="15" outlineLevel="1">
      <c r="B34" s="636"/>
      <c r="C34" s="1062"/>
      <c r="D34" s="1372" t="s">
        <v>98</v>
      </c>
      <c r="E34" s="641" t="s">
        <v>88</v>
      </c>
      <c r="F34" s="1365"/>
      <c r="G34" s="1063"/>
      <c r="H34" s="1561" t="str">
        <f>IF(ISNONTEXT(F34)=TRUE,"","X")</f>
        <v/>
      </c>
      <c r="I34" s="1559" t="str">
        <f>IF(AND(F34&gt;=0)=TRUE,"","X")</f>
        <v/>
      </c>
      <c r="J34" s="1560" t="str">
        <f>IF(F34&lt;&gt;""=TRUE,"","X")</f>
        <v>X</v>
      </c>
    </row>
    <row r="35" spans="2:10" ht="15" outlineLevel="1">
      <c r="B35" s="636"/>
      <c r="C35" s="1062"/>
      <c r="D35" s="1060" t="s">
        <v>1321</v>
      </c>
      <c r="E35" s="642" t="s">
        <v>88</v>
      </c>
      <c r="F35" s="1366"/>
      <c r="G35" s="1063"/>
      <c r="H35" s="1591" t="str">
        <f t="shared" ref="H35:H37" si="6">IF(ISNONTEXT(F35)=TRUE,"","X")</f>
        <v/>
      </c>
      <c r="I35" s="1592" t="str">
        <f t="shared" ref="I35:I37" si="7">IF(AND(F35&gt;=0)=TRUE,"","X")</f>
        <v/>
      </c>
      <c r="J35" s="1575" t="str">
        <f t="shared" ref="J35:J37" si="8">IF(F35&lt;&gt;""=TRUE,"","X")</f>
        <v>X</v>
      </c>
    </row>
    <row r="36" spans="2:10" ht="15" outlineLevel="1">
      <c r="B36" s="636"/>
      <c r="C36" s="1062"/>
      <c r="D36" s="1373" t="s">
        <v>1146</v>
      </c>
      <c r="E36" s="642" t="s">
        <v>88</v>
      </c>
      <c r="F36" s="1366"/>
      <c r="G36" s="1063"/>
      <c r="H36" s="1591" t="str">
        <f t="shared" si="6"/>
        <v/>
      </c>
      <c r="I36" s="1592" t="str">
        <f t="shared" si="7"/>
        <v/>
      </c>
      <c r="J36" s="1575" t="str">
        <f t="shared" si="8"/>
        <v>X</v>
      </c>
    </row>
    <row r="37" spans="2:10" ht="15" outlineLevel="1">
      <c r="B37" s="636"/>
      <c r="C37" s="1062"/>
      <c r="D37" s="1373" t="s">
        <v>100</v>
      </c>
      <c r="E37" s="642" t="s">
        <v>88</v>
      </c>
      <c r="F37" s="1366"/>
      <c r="G37" s="1063"/>
      <c r="H37" s="1591" t="str">
        <f t="shared" si="6"/>
        <v/>
      </c>
      <c r="I37" s="1592" t="str">
        <f t="shared" si="7"/>
        <v/>
      </c>
      <c r="J37" s="1575" t="str">
        <f t="shared" si="8"/>
        <v>X</v>
      </c>
    </row>
    <row r="38" spans="2:10" ht="15" outlineLevel="1">
      <c r="B38" s="636"/>
      <c r="C38" s="1062"/>
      <c r="D38" s="1374" t="s">
        <v>101</v>
      </c>
      <c r="E38" s="643" t="s">
        <v>88</v>
      </c>
      <c r="F38" s="1376">
        <f>F34+F36-F37-F35</f>
        <v>0</v>
      </c>
      <c r="G38" s="1063"/>
      <c r="H38" s="1630"/>
      <c r="I38" s="1631"/>
      <c r="J38" s="1632"/>
    </row>
    <row r="41" spans="2:10" ht="15">
      <c r="B41" s="1717" t="s">
        <v>1468</v>
      </c>
      <c r="C41" s="1714"/>
      <c r="D41" s="1715" t="s">
        <v>1488</v>
      </c>
    </row>
  </sheetData>
  <mergeCells count="4">
    <mergeCell ref="H25:J25"/>
    <mergeCell ref="D9:F9"/>
    <mergeCell ref="D23:F23"/>
    <mergeCell ref="H11:J11"/>
  </mergeCells>
  <conditionalFormatting sqref="D41">
    <cfRule type="cellIs" dxfId="23" priority="1" operator="equal">
      <formula>FALSE</formula>
    </cfRule>
  </conditionalFormatting>
  <dataValidations count="1">
    <dataValidation allowBlank="1" showErrorMessage="1" sqref="A1:XFD1048576" xr:uid="{94B677F1-E30D-4B5A-ADE0-4B7DF3831289}"/>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DFFD0-AA21-4BD6-8403-2D224332CB4A}">
  <sheetPr codeName="Sheet18">
    <tabColor rgb="FFB6B2FF"/>
    <pageSetUpPr fitToPage="1"/>
  </sheetPr>
  <dimension ref="B1:T70"/>
  <sheetViews>
    <sheetView workbookViewId="0"/>
  </sheetViews>
  <sheetFormatPr defaultColWidth="9.140625" defaultRowHeight="15" outlineLevelRow="1"/>
  <cols>
    <col min="1" max="1" width="9.140625" style="44"/>
    <col min="2" max="2" width="14.28515625" style="1272" customWidth="1"/>
    <col min="3" max="3" width="2.5703125" style="1272" customWidth="1"/>
    <col min="4" max="4" width="72.5703125" style="44" bestFit="1" customWidth="1"/>
    <col min="5" max="5" width="17.5703125" style="44" customWidth="1"/>
    <col min="6" max="6" width="17.140625" style="44" customWidth="1"/>
    <col min="7" max="7" width="17.42578125" style="44" customWidth="1"/>
    <col min="8" max="23" width="3.7109375" style="44" customWidth="1"/>
    <col min="24" max="16384" width="9.140625" style="44"/>
  </cols>
  <sheetData>
    <row r="1" spans="2:20" s="1084" customFormat="1" ht="20.100000000000001" customHeight="1">
      <c r="B1" s="1002"/>
      <c r="C1" s="1002"/>
      <c r="D1" s="1002" t="str">
        <f>dms_SheetHeading1</f>
        <v>ANNUAL INFORMATION ORDER</v>
      </c>
      <c r="E1" s="1205"/>
      <c r="F1" s="1205"/>
      <c r="H1" s="1658" t="s">
        <v>1040</v>
      </c>
      <c r="I1" s="1323"/>
      <c r="J1" s="1323"/>
      <c r="K1" s="1323"/>
      <c r="L1" s="1323"/>
      <c r="M1" s="1323"/>
      <c r="N1" s="1657" t="s">
        <v>1039</v>
      </c>
      <c r="O1" s="1323"/>
      <c r="P1" s="1323"/>
      <c r="Q1" s="1323"/>
      <c r="R1" s="1323"/>
      <c r="S1" s="1323"/>
      <c r="T1" s="1323"/>
    </row>
    <row r="2" spans="2:20" s="1084" customFormat="1" ht="20.100000000000001" customHeight="1">
      <c r="B2" s="1003"/>
      <c r="C2" s="1003"/>
      <c r="D2" s="1003" t="str">
        <f>dms_SheetHeading2</f>
        <v>Australian Transmission Co.</v>
      </c>
      <c r="E2" s="1205"/>
      <c r="F2" s="1205"/>
      <c r="H2" s="1659" t="s">
        <v>1041</v>
      </c>
      <c r="I2" s="1324"/>
      <c r="J2" s="1324"/>
      <c r="K2" s="1324"/>
      <c r="L2" s="1324"/>
      <c r="M2" s="1324"/>
      <c r="N2" s="1379" t="s">
        <v>202</v>
      </c>
      <c r="O2" s="1324"/>
      <c r="P2" s="1324"/>
      <c r="Q2" s="1324"/>
      <c r="R2" s="1324"/>
      <c r="S2" s="1324"/>
      <c r="T2" s="1324"/>
    </row>
    <row r="3" spans="2:20" s="1084" customFormat="1" ht="20.100000000000001" customHeight="1">
      <c r="B3" s="1004"/>
      <c r="C3" s="1004"/>
      <c r="D3" s="1004" t="str">
        <f>dms_SheetHeading3</f>
        <v>REPORTING STATEMENT: 2024-25</v>
      </c>
      <c r="E3" s="1205"/>
      <c r="F3" s="1205"/>
      <c r="H3" s="1660" t="s">
        <v>1042</v>
      </c>
      <c r="I3" s="1325"/>
      <c r="J3" s="1325"/>
      <c r="K3" s="1325"/>
      <c r="L3" s="1325"/>
      <c r="M3" s="1325"/>
      <c r="N3" s="1380" t="s">
        <v>203</v>
      </c>
      <c r="O3" s="1325"/>
      <c r="P3" s="1325"/>
      <c r="Q3" s="1325"/>
      <c r="R3" s="1325"/>
      <c r="S3" s="1325"/>
      <c r="T3" s="1325"/>
    </row>
    <row r="4" spans="2:20" s="1084" customFormat="1" ht="20.100000000000001" customHeight="1">
      <c r="B4" s="1206"/>
      <c r="C4" s="1206"/>
      <c r="D4" s="1230" t="s">
        <v>1887</v>
      </c>
      <c r="E4" s="1207"/>
      <c r="F4" s="1207"/>
      <c r="H4" s="1662" t="s">
        <v>1044</v>
      </c>
      <c r="I4" s="1692"/>
      <c r="J4" s="1693"/>
      <c r="K4" s="1498"/>
      <c r="L4" s="1498"/>
      <c r="M4" s="1498"/>
      <c r="N4" s="1497" t="s">
        <v>1043</v>
      </c>
      <c r="O4" s="1498"/>
      <c r="P4" s="1498"/>
      <c r="Q4" s="1498"/>
      <c r="R4" s="1498"/>
      <c r="S4" s="1498"/>
      <c r="T4" s="1498"/>
    </row>
    <row r="5" spans="2:20" ht="13.5" customHeight="1">
      <c r="B5" s="44"/>
      <c r="C5" s="44"/>
      <c r="D5" s="1087"/>
    </row>
    <row r="6" spans="2:20" s="46" customFormat="1" ht="18" customHeight="1">
      <c r="B6" s="950" t="s">
        <v>1094</v>
      </c>
      <c r="C6" s="973"/>
      <c r="D6" s="973"/>
      <c r="E6" s="973"/>
      <c r="F6" s="973"/>
    </row>
    <row r="7" spans="2:20" s="46" customFormat="1" ht="18" customHeight="1">
      <c r="B7" s="1032" t="s">
        <v>1261</v>
      </c>
      <c r="C7" s="1032"/>
      <c r="D7" s="1032"/>
      <c r="E7" s="1032"/>
      <c r="F7" s="1032"/>
    </row>
    <row r="8" spans="2:20" s="46" customFormat="1" ht="18" customHeight="1"/>
    <row r="9" spans="2:20" s="632" customFormat="1" ht="15.75">
      <c r="B9" s="1469"/>
      <c r="C9" s="1469"/>
      <c r="D9" s="2189" t="s">
        <v>1427</v>
      </c>
      <c r="E9" s="2189"/>
      <c r="F9" s="2189"/>
      <c r="G9" s="2194"/>
      <c r="H9" s="2194"/>
      <c r="I9" s="1646"/>
    </row>
    <row r="10" spans="2:20" s="633" customFormat="1" ht="28.5" customHeight="1">
      <c r="B10" s="627"/>
      <c r="C10" s="627"/>
      <c r="D10" s="1309"/>
      <c r="E10" s="1308"/>
      <c r="F10" s="627"/>
      <c r="G10" s="627"/>
      <c r="H10" s="1594" t="s">
        <v>1430</v>
      </c>
      <c r="I10" s="1595" t="s">
        <v>1431</v>
      </c>
      <c r="J10" s="1607" t="s">
        <v>1432</v>
      </c>
      <c r="K10" s="632"/>
    </row>
    <row r="11" spans="2:20" ht="26.25" customHeight="1">
      <c r="B11" s="1307"/>
      <c r="C11" s="1307"/>
      <c r="D11" s="1092" t="s">
        <v>1095</v>
      </c>
      <c r="E11" s="958" t="s">
        <v>1192</v>
      </c>
      <c r="F11" s="1895" t="s">
        <v>1301</v>
      </c>
      <c r="G11" s="627"/>
      <c r="H11" s="2192" t="s">
        <v>1326</v>
      </c>
      <c r="I11" s="2192"/>
      <c r="J11" s="2192"/>
      <c r="K11" s="632"/>
    </row>
    <row r="12" spans="2:20" ht="15.75" outlineLevel="1">
      <c r="B12" s="1305"/>
      <c r="C12" s="1305"/>
      <c r="D12" s="1191" t="s">
        <v>1096</v>
      </c>
      <c r="E12" s="1192" t="s">
        <v>88</v>
      </c>
      <c r="F12" s="1194"/>
      <c r="G12" s="627"/>
      <c r="H12" s="1544" t="str">
        <f>IF(ISNONTEXT(F12)=TRUE,"","X")</f>
        <v/>
      </c>
      <c r="I12" s="1544" t="str">
        <f>IF(AND(F12&gt;=0)=TRUE,"","X")</f>
        <v/>
      </c>
      <c r="J12" s="1544" t="str">
        <f>IF(F12&lt;&gt;""=TRUE,"","X")</f>
        <v>X</v>
      </c>
      <c r="K12" s="632"/>
    </row>
    <row r="13" spans="2:20" ht="15.75" outlineLevel="1">
      <c r="B13" s="1306"/>
      <c r="C13" s="1306"/>
      <c r="D13" s="1195" t="s">
        <v>1097</v>
      </c>
      <c r="E13" s="1196" t="s">
        <v>88</v>
      </c>
      <c r="F13" s="1349">
        <f>SUM(F14:F21)</f>
        <v>0</v>
      </c>
      <c r="G13" s="627"/>
      <c r="H13" s="1543"/>
      <c r="I13" s="1543"/>
      <c r="J13" s="1543"/>
      <c r="K13" s="632"/>
    </row>
    <row r="14" spans="2:20" ht="15.75" outlineLevel="1">
      <c r="B14" s="1305"/>
      <c r="C14" s="1305"/>
      <c r="D14" s="1350" t="s">
        <v>1098</v>
      </c>
      <c r="E14" s="1196" t="s">
        <v>88</v>
      </c>
      <c r="F14" s="1198"/>
      <c r="G14" s="627"/>
      <c r="H14" s="1544" t="str">
        <f t="shared" ref="H14:H18" si="0">IF(ISNONTEXT(F14)=TRUE,"","X")</f>
        <v/>
      </c>
      <c r="I14" s="1544" t="str">
        <f t="shared" ref="I14:I18" si="1">IF(AND(F14&gt;=0)=TRUE,"","X")</f>
        <v/>
      </c>
      <c r="J14" s="1543"/>
      <c r="K14" s="632"/>
    </row>
    <row r="15" spans="2:20" ht="15.75" outlineLevel="1">
      <c r="B15" s="1305"/>
      <c r="C15" s="1305"/>
      <c r="D15" s="1350" t="s">
        <v>1099</v>
      </c>
      <c r="E15" s="1196" t="s">
        <v>88</v>
      </c>
      <c r="F15" s="1198"/>
      <c r="G15" s="627"/>
      <c r="H15" s="1544" t="str">
        <f t="shared" si="0"/>
        <v/>
      </c>
      <c r="I15" s="1544" t="str">
        <f t="shared" si="1"/>
        <v/>
      </c>
      <c r="J15" s="1543"/>
      <c r="K15" s="632"/>
    </row>
    <row r="16" spans="2:20" ht="15.75" outlineLevel="1">
      <c r="B16" s="1305"/>
      <c r="C16" s="1305"/>
      <c r="D16" s="1350" t="s">
        <v>85</v>
      </c>
      <c r="E16" s="1196" t="s">
        <v>88</v>
      </c>
      <c r="F16" s="1198"/>
      <c r="G16" s="627"/>
      <c r="H16" s="1544" t="str">
        <f t="shared" si="0"/>
        <v/>
      </c>
      <c r="I16" s="1544" t="str">
        <f t="shared" si="1"/>
        <v/>
      </c>
      <c r="J16" s="1543"/>
      <c r="K16" s="632"/>
    </row>
    <row r="17" spans="2:12" ht="15.75" outlineLevel="1">
      <c r="B17" s="1305"/>
      <c r="C17" s="1305"/>
      <c r="D17" s="1350" t="s">
        <v>1100</v>
      </c>
      <c r="E17" s="1196" t="s">
        <v>88</v>
      </c>
      <c r="F17" s="1198"/>
      <c r="G17" s="627"/>
      <c r="H17" s="1544" t="str">
        <f t="shared" si="0"/>
        <v/>
      </c>
      <c r="I17" s="1544" t="str">
        <f t="shared" si="1"/>
        <v/>
      </c>
      <c r="J17" s="1543"/>
      <c r="K17" s="632"/>
    </row>
    <row r="18" spans="2:12" ht="15.75" outlineLevel="1">
      <c r="B18" s="1305"/>
      <c r="C18" s="1305"/>
      <c r="D18" s="1350" t="s">
        <v>1101</v>
      </c>
      <c r="E18" s="1196" t="s">
        <v>88</v>
      </c>
      <c r="F18" s="1198"/>
      <c r="G18" s="627"/>
      <c r="H18" s="1544" t="str">
        <f t="shared" si="0"/>
        <v/>
      </c>
      <c r="I18" s="1544" t="str">
        <f t="shared" si="1"/>
        <v/>
      </c>
      <c r="J18" s="1543"/>
      <c r="K18" s="632"/>
    </row>
    <row r="19" spans="2:12" ht="15.75" outlineLevel="1">
      <c r="B19" s="1305"/>
      <c r="C19" s="1305"/>
      <c r="D19" s="1350" t="s">
        <v>1102</v>
      </c>
      <c r="E19" s="1196" t="s">
        <v>88</v>
      </c>
      <c r="F19" s="1198"/>
      <c r="G19" s="627"/>
      <c r="H19" s="1544" t="str">
        <f t="shared" ref="H19:H25" si="2">IF(ISNONTEXT(F19)=TRUE,"","X")</f>
        <v/>
      </c>
      <c r="I19" s="1544" t="str">
        <f t="shared" ref="I19:I25" si="3">IF(AND(F19&gt;=0)=TRUE,"","X")</f>
        <v/>
      </c>
      <c r="J19" s="1543"/>
      <c r="K19" s="632"/>
    </row>
    <row r="20" spans="2:12" ht="15.75" outlineLevel="1">
      <c r="B20" s="1305"/>
      <c r="C20" s="1305"/>
      <c r="D20" s="1350" t="s">
        <v>1103</v>
      </c>
      <c r="E20" s="1196" t="s">
        <v>88</v>
      </c>
      <c r="F20" s="1198"/>
      <c r="G20" s="627"/>
      <c r="H20" s="1544" t="str">
        <f t="shared" si="2"/>
        <v/>
      </c>
      <c r="I20" s="1544" t="str">
        <f t="shared" si="3"/>
        <v/>
      </c>
      <c r="J20" s="1543"/>
      <c r="K20" s="632"/>
    </row>
    <row r="21" spans="2:12" ht="15.75" outlineLevel="1">
      <c r="B21" s="1305"/>
      <c r="C21" s="1305"/>
      <c r="D21" s="1350" t="s">
        <v>1104</v>
      </c>
      <c r="E21" s="1196" t="s">
        <v>88</v>
      </c>
      <c r="F21" s="1198"/>
      <c r="G21" s="627"/>
      <c r="H21" s="1544" t="str">
        <f t="shared" si="2"/>
        <v/>
      </c>
      <c r="I21" s="1544" t="str">
        <f t="shared" si="3"/>
        <v/>
      </c>
      <c r="J21" s="1543"/>
      <c r="K21" s="632"/>
    </row>
    <row r="22" spans="2:12" ht="15.75" outlineLevel="1">
      <c r="B22" s="1305"/>
      <c r="C22" s="1305"/>
      <c r="D22" s="1265" t="s">
        <v>1105</v>
      </c>
      <c r="E22" s="1199" t="s">
        <v>88</v>
      </c>
      <c r="F22" s="1201"/>
      <c r="G22" s="627"/>
      <c r="H22" s="1544" t="str">
        <f t="shared" si="2"/>
        <v/>
      </c>
      <c r="I22" s="1544" t="str">
        <f t="shared" si="3"/>
        <v/>
      </c>
      <c r="J22" s="1543"/>
      <c r="K22" s="632"/>
    </row>
    <row r="23" spans="2:12" ht="15.75" outlineLevel="1">
      <c r="B23" s="627"/>
      <c r="C23" s="627"/>
      <c r="D23" s="1351" t="s">
        <v>1126</v>
      </c>
      <c r="E23" s="1056" t="s">
        <v>88</v>
      </c>
      <c r="F23" s="1352">
        <f>F12+F13+F22</f>
        <v>0</v>
      </c>
      <c r="G23" s="627"/>
      <c r="H23" s="1543"/>
      <c r="I23" s="1543"/>
      <c r="J23" s="1543"/>
      <c r="K23" s="632"/>
    </row>
    <row r="24" spans="2:12" ht="15.75">
      <c r="B24" s="1307"/>
      <c r="C24" s="1307"/>
      <c r="D24" s="1354" t="s">
        <v>1106</v>
      </c>
      <c r="E24" s="1355"/>
      <c r="F24" s="1355"/>
      <c r="G24" s="627"/>
      <c r="H24" s="627"/>
      <c r="I24" s="627"/>
      <c r="J24" s="627"/>
      <c r="K24" s="632"/>
      <c r="L24" s="627"/>
    </row>
    <row r="25" spans="2:12" ht="15.75" outlineLevel="1">
      <c r="B25" s="1305"/>
      <c r="C25" s="1305"/>
      <c r="D25" s="1343" t="s">
        <v>1107</v>
      </c>
      <c r="E25" s="1053" t="s">
        <v>88</v>
      </c>
      <c r="F25" s="1131"/>
      <c r="G25" s="627"/>
      <c r="H25" s="1544" t="str">
        <f t="shared" si="2"/>
        <v/>
      </c>
      <c r="I25" s="1544" t="str">
        <f t="shared" si="3"/>
        <v/>
      </c>
      <c r="J25" s="1544" t="str">
        <f t="shared" ref="J25" si="4">IF(F25&lt;&gt;""=TRUE,"","X")</f>
        <v>X</v>
      </c>
      <c r="K25" s="632"/>
    </row>
    <row r="26" spans="2:12" ht="15.75" outlineLevel="1">
      <c r="B26" s="1306"/>
      <c r="C26" s="1306"/>
      <c r="D26" s="1344" t="s">
        <v>1108</v>
      </c>
      <c r="E26" s="1054" t="s">
        <v>88</v>
      </c>
      <c r="F26" s="1132"/>
      <c r="G26" s="627"/>
      <c r="H26" s="1544" t="str">
        <f t="shared" ref="H26:H33" si="5">IF(ISNONTEXT(F26)=TRUE,"","X")</f>
        <v/>
      </c>
      <c r="I26" s="1544" t="str">
        <f t="shared" ref="I26:I33" si="6">IF(AND(F26&gt;=0)=TRUE,"","X")</f>
        <v/>
      </c>
      <c r="J26" s="1544" t="str">
        <f t="shared" ref="J26:J33" si="7">IF(F26&lt;&gt;""=TRUE,"","X")</f>
        <v>X</v>
      </c>
      <c r="K26" s="632"/>
    </row>
    <row r="27" spans="2:12" ht="15.75" outlineLevel="1">
      <c r="B27" s="1305"/>
      <c r="C27" s="1305"/>
      <c r="D27" s="1344" t="s">
        <v>1109</v>
      </c>
      <c r="E27" s="1054" t="s">
        <v>88</v>
      </c>
      <c r="F27" s="1132"/>
      <c r="G27" s="627"/>
      <c r="H27" s="1544" t="str">
        <f t="shared" si="5"/>
        <v/>
      </c>
      <c r="I27" s="1544" t="str">
        <f t="shared" si="6"/>
        <v/>
      </c>
      <c r="J27" s="1544" t="str">
        <f t="shared" si="7"/>
        <v>X</v>
      </c>
      <c r="K27" s="632"/>
    </row>
    <row r="28" spans="2:12" ht="15.75" outlineLevel="1">
      <c r="B28" s="1305"/>
      <c r="C28" s="1305"/>
      <c r="D28" s="1344" t="s">
        <v>1110</v>
      </c>
      <c r="E28" s="1054" t="s">
        <v>88</v>
      </c>
      <c r="F28" s="1132"/>
      <c r="G28" s="627"/>
      <c r="H28" s="1544" t="str">
        <f t="shared" si="5"/>
        <v/>
      </c>
      <c r="I28" s="1544" t="str">
        <f t="shared" si="6"/>
        <v/>
      </c>
      <c r="J28" s="1544" t="str">
        <f t="shared" si="7"/>
        <v>X</v>
      </c>
      <c r="K28" s="632"/>
    </row>
    <row r="29" spans="2:12" ht="15.75" outlineLevel="1">
      <c r="B29" s="1305"/>
      <c r="C29" s="1305"/>
      <c r="D29" s="1344" t="s">
        <v>1111</v>
      </c>
      <c r="E29" s="1054" t="s">
        <v>88</v>
      </c>
      <c r="F29" s="1132"/>
      <c r="G29" s="627"/>
      <c r="H29" s="1544" t="str">
        <f t="shared" si="5"/>
        <v/>
      </c>
      <c r="I29" s="1544" t="str">
        <f t="shared" si="6"/>
        <v/>
      </c>
      <c r="J29" s="1544" t="str">
        <f t="shared" si="7"/>
        <v>X</v>
      </c>
      <c r="K29" s="632"/>
    </row>
    <row r="30" spans="2:12" ht="15.75" outlineLevel="1">
      <c r="B30" s="1305"/>
      <c r="C30" s="1305"/>
      <c r="D30" s="1344" t="s">
        <v>1112</v>
      </c>
      <c r="E30" s="1054" t="s">
        <v>88</v>
      </c>
      <c r="F30" s="1132"/>
      <c r="G30" s="627"/>
      <c r="H30" s="1544" t="str">
        <f t="shared" si="5"/>
        <v/>
      </c>
      <c r="I30" s="1544" t="str">
        <f t="shared" si="6"/>
        <v/>
      </c>
      <c r="J30" s="1544" t="str">
        <f t="shared" si="7"/>
        <v>X</v>
      </c>
      <c r="K30" s="632"/>
    </row>
    <row r="31" spans="2:12" ht="15.75" outlineLevel="1">
      <c r="B31" s="1305"/>
      <c r="C31" s="1305"/>
      <c r="D31" s="1344" t="s">
        <v>1113</v>
      </c>
      <c r="E31" s="1054" t="s">
        <v>88</v>
      </c>
      <c r="F31" s="1132"/>
      <c r="G31" s="627"/>
      <c r="H31" s="1544" t="str">
        <f t="shared" si="5"/>
        <v/>
      </c>
      <c r="I31" s="1544" t="str">
        <f t="shared" si="6"/>
        <v/>
      </c>
      <c r="J31" s="1544" t="str">
        <f t="shared" si="7"/>
        <v>X</v>
      </c>
      <c r="K31" s="632"/>
    </row>
    <row r="32" spans="2:12" ht="15.75" outlineLevel="1">
      <c r="B32" s="1305"/>
      <c r="C32" s="1305"/>
      <c r="D32" s="1344" t="s">
        <v>1114</v>
      </c>
      <c r="E32" s="1054" t="s">
        <v>88</v>
      </c>
      <c r="F32" s="1132"/>
      <c r="G32" s="627"/>
      <c r="H32" s="1544" t="str">
        <f t="shared" si="5"/>
        <v/>
      </c>
      <c r="I32" s="1544" t="str">
        <f t="shared" si="6"/>
        <v/>
      </c>
      <c r="J32" s="1544" t="str">
        <f t="shared" si="7"/>
        <v>X</v>
      </c>
      <c r="K32" s="632"/>
    </row>
    <row r="33" spans="2:11" ht="15.75" outlineLevel="1">
      <c r="B33" s="1305"/>
      <c r="C33" s="1305"/>
      <c r="D33" s="1520" t="s">
        <v>1115</v>
      </c>
      <c r="E33" s="1055" t="s">
        <v>88</v>
      </c>
      <c r="F33" s="1133"/>
      <c r="G33" s="627"/>
      <c r="H33" s="1544" t="str">
        <f t="shared" si="5"/>
        <v/>
      </c>
      <c r="I33" s="1544" t="str">
        <f t="shared" si="6"/>
        <v/>
      </c>
      <c r="J33" s="1544" t="str">
        <f t="shared" si="7"/>
        <v>X</v>
      </c>
      <c r="K33" s="632"/>
    </row>
    <row r="34" spans="2:11" ht="15.75" outlineLevel="1">
      <c r="B34" s="627"/>
      <c r="C34" s="627"/>
      <c r="D34" s="1351" t="s">
        <v>1127</v>
      </c>
      <c r="E34" s="1056" t="s">
        <v>88</v>
      </c>
      <c r="F34" s="1352">
        <f>SUM(F25:F33)</f>
        <v>0</v>
      </c>
      <c r="G34" s="627"/>
      <c r="H34" s="1543"/>
      <c r="I34" s="1543"/>
      <c r="J34" s="1543"/>
      <c r="K34" s="632"/>
    </row>
    <row r="35" spans="2:11" ht="15.75">
      <c r="B35" s="627"/>
      <c r="C35" s="627"/>
      <c r="D35" s="1356" t="s">
        <v>1117</v>
      </c>
      <c r="E35" s="627"/>
      <c r="F35" s="627"/>
      <c r="G35" s="627"/>
      <c r="K35" s="632"/>
    </row>
    <row r="36" spans="2:11" ht="15.75" outlineLevel="1">
      <c r="B36" s="1305"/>
      <c r="C36" s="1305"/>
      <c r="D36" s="1320" t="s">
        <v>1116</v>
      </c>
      <c r="E36" s="1345" t="s">
        <v>88</v>
      </c>
      <c r="F36" s="1357">
        <f>SUM(F25:F29)</f>
        <v>0</v>
      </c>
      <c r="G36" s="627"/>
      <c r="H36" s="1543"/>
      <c r="I36" s="1543"/>
      <c r="J36" s="1543"/>
      <c r="K36" s="632"/>
    </row>
    <row r="37" spans="2:11" ht="15.75" outlineLevel="1">
      <c r="B37" s="1305"/>
      <c r="C37" s="1305"/>
      <c r="D37" s="1353"/>
      <c r="E37" s="1056"/>
      <c r="F37" s="654"/>
      <c r="G37" s="627"/>
      <c r="K37" s="632"/>
    </row>
    <row r="38" spans="2:11" s="46" customFormat="1">
      <c r="B38" s="627"/>
      <c r="C38" s="627"/>
      <c r="D38" s="1359" t="s">
        <v>1316</v>
      </c>
      <c r="E38" s="627"/>
      <c r="F38" s="627"/>
      <c r="G38" s="971"/>
    </row>
    <row r="39" spans="2:11" outlineLevel="1">
      <c r="B39" s="1305"/>
      <c r="C39" s="1305"/>
      <c r="D39" s="1191" t="s">
        <v>1107</v>
      </c>
      <c r="E39" s="1192" t="s">
        <v>88</v>
      </c>
      <c r="F39" s="1194"/>
      <c r="G39" s="627"/>
      <c r="H39" s="1544" t="str">
        <f t="shared" ref="H39:H45" si="8">IF(ISNONTEXT(F39)=TRUE,"","X")</f>
        <v/>
      </c>
      <c r="I39" s="1544" t="str">
        <f t="shared" ref="I39:I45" si="9">IF(AND(F39&gt;=0)=TRUE,"","X")</f>
        <v/>
      </c>
      <c r="J39" s="1544" t="str">
        <f t="shared" ref="J39:J45" si="10">IF(F39&lt;&gt;""=TRUE,"","X")</f>
        <v>X</v>
      </c>
      <c r="K39" s="46"/>
    </row>
    <row r="40" spans="2:11" outlineLevel="1">
      <c r="B40" s="1306"/>
      <c r="C40" s="1306"/>
      <c r="D40" s="1195" t="s">
        <v>1108</v>
      </c>
      <c r="E40" s="1196" t="s">
        <v>88</v>
      </c>
      <c r="F40" s="1198"/>
      <c r="G40" s="627"/>
      <c r="H40" s="1544" t="str">
        <f t="shared" si="8"/>
        <v/>
      </c>
      <c r="I40" s="1544" t="str">
        <f t="shared" si="9"/>
        <v/>
      </c>
      <c r="J40" s="1544" t="str">
        <f t="shared" si="10"/>
        <v>X</v>
      </c>
      <c r="K40" s="46"/>
    </row>
    <row r="41" spans="2:11" outlineLevel="1">
      <c r="B41" s="1305"/>
      <c r="C41" s="1305"/>
      <c r="D41" s="1195" t="s">
        <v>1118</v>
      </c>
      <c r="E41" s="1196" t="s">
        <v>88</v>
      </c>
      <c r="F41" s="1198"/>
      <c r="G41" s="627"/>
      <c r="H41" s="1544" t="str">
        <f t="shared" si="8"/>
        <v/>
      </c>
      <c r="I41" s="1544" t="str">
        <f t="shared" si="9"/>
        <v/>
      </c>
      <c r="J41" s="1544" t="str">
        <f t="shared" si="10"/>
        <v>X</v>
      </c>
      <c r="K41" s="46"/>
    </row>
    <row r="42" spans="2:11" outlineLevel="1">
      <c r="B42" s="1305"/>
      <c r="C42" s="1305"/>
      <c r="D42" s="1195" t="s">
        <v>1119</v>
      </c>
      <c r="E42" s="1196" t="s">
        <v>88</v>
      </c>
      <c r="F42" s="1198"/>
      <c r="G42" s="627"/>
      <c r="H42" s="1544" t="str">
        <f t="shared" si="8"/>
        <v/>
      </c>
      <c r="I42" s="1544" t="str">
        <f t="shared" si="9"/>
        <v/>
      </c>
      <c r="J42" s="1544" t="str">
        <f t="shared" si="10"/>
        <v>X</v>
      </c>
      <c r="K42" s="46"/>
    </row>
    <row r="43" spans="2:11" outlineLevel="1">
      <c r="B43" s="1305"/>
      <c r="C43" s="1305"/>
      <c r="D43" s="1195" t="s">
        <v>1110</v>
      </c>
      <c r="E43" s="1196" t="s">
        <v>88</v>
      </c>
      <c r="F43" s="1198"/>
      <c r="G43" s="627"/>
      <c r="H43" s="1544" t="str">
        <f t="shared" si="8"/>
        <v/>
      </c>
      <c r="I43" s="1544" t="str">
        <f t="shared" si="9"/>
        <v/>
      </c>
      <c r="J43" s="1544" t="str">
        <f t="shared" si="10"/>
        <v>X</v>
      </c>
      <c r="K43" s="46"/>
    </row>
    <row r="44" spans="2:11" outlineLevel="1">
      <c r="B44" s="627"/>
      <c r="C44" s="627"/>
      <c r="D44" s="1195" t="s">
        <v>1111</v>
      </c>
      <c r="E44" s="1196" t="s">
        <v>88</v>
      </c>
      <c r="F44" s="1198"/>
      <c r="G44" s="627"/>
      <c r="H44" s="1544" t="str">
        <f t="shared" si="8"/>
        <v/>
      </c>
      <c r="I44" s="1544" t="str">
        <f t="shared" si="9"/>
        <v/>
      </c>
      <c r="J44" s="1544" t="str">
        <f t="shared" si="10"/>
        <v>X</v>
      </c>
      <c r="K44" s="46"/>
    </row>
    <row r="45" spans="2:11" outlineLevel="1">
      <c r="B45" s="1189" t="s">
        <v>1883</v>
      </c>
      <c r="C45" s="627"/>
      <c r="D45" s="1265" t="s">
        <v>1030</v>
      </c>
      <c r="E45" s="1199" t="s">
        <v>88</v>
      </c>
      <c r="F45" s="1201"/>
      <c r="G45" s="627"/>
      <c r="H45" s="1544" t="str">
        <f t="shared" si="8"/>
        <v/>
      </c>
      <c r="I45" s="1544" t="str">
        <f t="shared" si="9"/>
        <v/>
      </c>
      <c r="J45" s="1544" t="str">
        <f t="shared" si="10"/>
        <v>X</v>
      </c>
      <c r="K45" s="46"/>
    </row>
    <row r="46" spans="2:11" outlineLevel="1">
      <c r="B46" s="1358" t="s">
        <v>1884</v>
      </c>
      <c r="C46" s="627"/>
      <c r="D46" s="1351" t="s">
        <v>1128</v>
      </c>
      <c r="E46" s="1056" t="s">
        <v>88</v>
      </c>
      <c r="F46" s="1352">
        <f>SUM(F39:F45)</f>
        <v>0</v>
      </c>
      <c r="G46" s="627"/>
      <c r="H46" s="1543"/>
      <c r="I46" s="1543"/>
      <c r="J46" s="1543"/>
      <c r="K46" s="46"/>
    </row>
    <row r="47" spans="2:11" s="46" customFormat="1">
      <c r="B47" s="627"/>
      <c r="C47" s="627"/>
      <c r="D47" s="1359" t="s">
        <v>1317</v>
      </c>
      <c r="E47" s="627"/>
      <c r="F47" s="627"/>
      <c r="G47" s="971"/>
      <c r="H47" s="971"/>
      <c r="I47" s="971"/>
      <c r="J47" s="971"/>
    </row>
    <row r="48" spans="2:11" outlineLevel="1">
      <c r="B48" s="1305"/>
      <c r="C48" s="1305"/>
      <c r="D48" s="1318" t="s">
        <v>1120</v>
      </c>
      <c r="E48" s="1053" t="s">
        <v>88</v>
      </c>
      <c r="F48" s="1346">
        <f>dms_RevenueEarned-dms_AdjAllowedRev</f>
        <v>0</v>
      </c>
      <c r="G48" s="627"/>
      <c r="H48" s="1543" t="str">
        <f>IF(ISNONTEXT(F48)=TRUE,"","X")</f>
        <v/>
      </c>
      <c r="I48" s="1543"/>
      <c r="J48" s="1543" t="str">
        <f>IF(F48&lt;&gt;""=TRUE,"","X")</f>
        <v/>
      </c>
      <c r="K48" s="46"/>
    </row>
    <row r="49" spans="2:12" outlineLevel="1">
      <c r="B49" s="1306"/>
      <c r="C49" s="1306"/>
      <c r="D49" s="1340" t="s">
        <v>1121</v>
      </c>
      <c r="E49" s="1054" t="s">
        <v>88</v>
      </c>
      <c r="F49" s="1132"/>
      <c r="G49" s="627"/>
      <c r="H49" s="1544" t="str">
        <f t="shared" ref="H49:H53" si="11">IF(ISNONTEXT(F49)=TRUE,"","X")</f>
        <v/>
      </c>
      <c r="I49" s="1543"/>
      <c r="J49" s="1544" t="str">
        <f t="shared" ref="J49:J53" si="12">IF(F49&lt;&gt;""=TRUE,"","X")</f>
        <v>X</v>
      </c>
      <c r="K49" s="46"/>
    </row>
    <row r="50" spans="2:12" outlineLevel="1">
      <c r="B50" s="1305"/>
      <c r="C50" s="1305"/>
      <c r="D50" s="1340" t="s">
        <v>1122</v>
      </c>
      <c r="E50" s="1054" t="s">
        <v>88</v>
      </c>
      <c r="F50" s="1341">
        <f>SUM(F51:F52)</f>
        <v>0</v>
      </c>
      <c r="G50" s="627"/>
      <c r="H50" s="1543" t="str">
        <f t="shared" si="11"/>
        <v/>
      </c>
      <c r="I50" s="1543"/>
      <c r="J50" s="1543" t="str">
        <f t="shared" si="12"/>
        <v/>
      </c>
      <c r="K50" s="46"/>
    </row>
    <row r="51" spans="2:12" outlineLevel="1">
      <c r="B51" s="1305"/>
      <c r="C51" s="1305"/>
      <c r="D51" s="1342" t="s">
        <v>1123</v>
      </c>
      <c r="E51" s="1054" t="s">
        <v>88</v>
      </c>
      <c r="F51" s="1132"/>
      <c r="G51" s="627"/>
      <c r="H51" s="1544" t="str">
        <f t="shared" si="11"/>
        <v/>
      </c>
      <c r="I51" s="1543"/>
      <c r="J51" s="1544" t="str">
        <f t="shared" si="12"/>
        <v>X</v>
      </c>
      <c r="K51" s="46"/>
    </row>
    <row r="52" spans="2:12" outlineLevel="1">
      <c r="B52" s="1305"/>
      <c r="C52" s="1305"/>
      <c r="D52" s="1342" t="s">
        <v>1124</v>
      </c>
      <c r="E52" s="1054" t="s">
        <v>88</v>
      </c>
      <c r="F52" s="1132"/>
      <c r="G52" s="627"/>
      <c r="H52" s="1544" t="str">
        <f t="shared" si="11"/>
        <v/>
      </c>
      <c r="I52" s="1543"/>
      <c r="J52" s="1544" t="str">
        <f t="shared" si="12"/>
        <v>X</v>
      </c>
      <c r="K52" s="46"/>
    </row>
    <row r="53" spans="2:12" outlineLevel="1">
      <c r="B53" s="1305"/>
      <c r="C53" s="1305"/>
      <c r="D53" s="1319" t="s">
        <v>1125</v>
      </c>
      <c r="E53" s="1055" t="s">
        <v>88</v>
      </c>
      <c r="F53" s="1347">
        <f>SUM(F48:F50)</f>
        <v>0</v>
      </c>
      <c r="G53" s="627"/>
      <c r="H53" s="1543" t="str">
        <f t="shared" si="11"/>
        <v/>
      </c>
      <c r="I53" s="1543"/>
      <c r="J53" s="1543" t="str">
        <f t="shared" si="12"/>
        <v/>
      </c>
      <c r="K53" s="46"/>
    </row>
    <row r="54" spans="2:12" s="633" customFormat="1" ht="15.75" outlineLevel="1">
      <c r="B54" s="627"/>
      <c r="C54" s="627"/>
      <c r="D54" s="627"/>
      <c r="E54" s="627"/>
      <c r="F54" s="627"/>
      <c r="G54" s="627"/>
    </row>
    <row r="55" spans="2:12" s="633" customFormat="1" ht="33" outlineLevel="1">
      <c r="B55" s="627"/>
      <c r="C55" s="627"/>
      <c r="D55" s="627"/>
      <c r="E55" s="627"/>
      <c r="F55" s="627"/>
      <c r="G55" s="627"/>
      <c r="H55" s="1653" t="s">
        <v>88</v>
      </c>
      <c r="I55" s="1598" t="s">
        <v>1440</v>
      </c>
      <c r="J55" s="1594" t="s">
        <v>1430</v>
      </c>
      <c r="K55" s="1595" t="s">
        <v>1431</v>
      </c>
      <c r="L55" s="1596" t="s">
        <v>1432</v>
      </c>
    </row>
    <row r="56" spans="2:12" s="46" customFormat="1" ht="30" customHeight="1">
      <c r="B56" s="627"/>
      <c r="C56" s="627"/>
      <c r="D56" s="1359" t="s">
        <v>1318</v>
      </c>
      <c r="E56" s="1695" t="s">
        <v>1466</v>
      </c>
      <c r="F56" s="627"/>
      <c r="G56" s="971"/>
      <c r="H56" s="2191" t="s">
        <v>1467</v>
      </c>
      <c r="I56" s="2193"/>
      <c r="J56" s="2191" t="s">
        <v>1326</v>
      </c>
      <c r="K56" s="2192"/>
      <c r="L56" s="2193"/>
    </row>
    <row r="57" spans="2:12" outlineLevel="1">
      <c r="B57" s="1305"/>
      <c r="C57" s="1305"/>
      <c r="D57" s="1318" t="s">
        <v>1129</v>
      </c>
      <c r="E57" s="1521" t="s">
        <v>88</v>
      </c>
      <c r="F57" s="1131"/>
      <c r="G57" s="627"/>
      <c r="H57" s="1586" t="str">
        <f>IF(LEFT(E57,1)="$","","X")</f>
        <v/>
      </c>
      <c r="I57" s="1550" t="str">
        <f>IF(AND(F57&lt;&gt;"",ISBLANK(E57))=TRUE,"X","")</f>
        <v/>
      </c>
      <c r="J57" s="1586" t="str">
        <f>IF(ISNONTEXT(F57)=TRUE,"","X")</f>
        <v/>
      </c>
      <c r="K57" s="1544" t="str">
        <f>IF(AND(F57&gt;=0)=TRUE,"","X")</f>
        <v/>
      </c>
      <c r="L57" s="1550" t="str">
        <f>IF(F57&lt;&gt;""=TRUE,"","X")</f>
        <v>X</v>
      </c>
    </row>
    <row r="58" spans="2:12" outlineLevel="1">
      <c r="B58" s="1306"/>
      <c r="C58" s="1306"/>
      <c r="D58" s="1340" t="s">
        <v>1130</v>
      </c>
      <c r="E58" s="1522" t="s">
        <v>88</v>
      </c>
      <c r="F58" s="1132"/>
      <c r="G58" s="627"/>
      <c r="H58" s="1586" t="str">
        <f>IF(LEFT(E58,1)="$","","X")</f>
        <v/>
      </c>
      <c r="I58" s="1550" t="str">
        <f>IF(AND(F58&lt;&gt;"",ISBLANK(E58))=TRUE,"X","")</f>
        <v/>
      </c>
      <c r="J58" s="1586" t="str">
        <f>IF(ISNONTEXT(F58)=TRUE,"","X")</f>
        <v/>
      </c>
      <c r="K58" s="1544" t="str">
        <f>IF(AND(F58&gt;=0)=TRUE,"","X")</f>
        <v/>
      </c>
      <c r="L58" s="1550" t="str">
        <f>IF(F58&lt;&gt;""=TRUE,"","X")</f>
        <v>X</v>
      </c>
    </row>
    <row r="59" spans="2:12" outlineLevel="1">
      <c r="B59" s="1305"/>
      <c r="C59" s="1305"/>
      <c r="D59" s="1340" t="s">
        <v>1131</v>
      </c>
      <c r="E59" s="1522" t="s">
        <v>88</v>
      </c>
      <c r="F59" s="1341">
        <f>F58-F57</f>
        <v>0</v>
      </c>
      <c r="G59" s="627"/>
      <c r="H59" s="1585" t="str">
        <f>IF(LEFT(E59,1)="$","","X")</f>
        <v/>
      </c>
      <c r="I59" s="1549"/>
      <c r="J59" s="1585"/>
      <c r="K59" s="1543"/>
      <c r="L59" s="1549"/>
    </row>
    <row r="60" spans="2:12" outlineLevel="1">
      <c r="B60" s="1305"/>
      <c r="C60" s="1305"/>
      <c r="D60" s="1340" t="s">
        <v>1132</v>
      </c>
      <c r="E60" s="1522" t="s">
        <v>88</v>
      </c>
      <c r="F60" s="1132"/>
      <c r="G60" s="627"/>
      <c r="H60" s="1586" t="str">
        <f>IF(LEFT(E60,1)="$","","X")</f>
        <v/>
      </c>
      <c r="I60" s="1550" t="str">
        <f t="shared" ref="I60:I61" si="13">IF(AND(F60&lt;&gt;"",ISBLANK(E60))=TRUE,"X","")</f>
        <v/>
      </c>
      <c r="J60" s="1586" t="str">
        <f>IF(ISNONTEXT(F60)=TRUE,"","X")</f>
        <v/>
      </c>
      <c r="K60" s="1544" t="str">
        <f>IF(AND(F60&gt;=0)=TRUE,"","X")</f>
        <v/>
      </c>
      <c r="L60" s="1550" t="str">
        <f>IF(F60&lt;&gt;""=TRUE,"","X")</f>
        <v>X</v>
      </c>
    </row>
    <row r="61" spans="2:12" outlineLevel="1">
      <c r="B61" s="1305"/>
      <c r="C61" s="1305"/>
      <c r="D61" s="1319" t="s">
        <v>1133</v>
      </c>
      <c r="E61" s="1523" t="s">
        <v>88</v>
      </c>
      <c r="F61" s="1133"/>
      <c r="G61" s="627"/>
      <c r="H61" s="1654" t="str">
        <f>IF(LEFT(E61,1)="$","","X")</f>
        <v/>
      </c>
      <c r="I61" s="1655" t="str">
        <f t="shared" si="13"/>
        <v/>
      </c>
      <c r="J61" s="1654" t="str">
        <f>IF(ISNONTEXT(F61)=TRUE,"","X")</f>
        <v/>
      </c>
      <c r="K61" s="1656" t="str">
        <f>IF(AND(F61&gt;=0)=TRUE,"","X")</f>
        <v/>
      </c>
      <c r="L61" s="1655" t="str">
        <f>IF(F61&lt;&gt;""=TRUE,"","X")</f>
        <v>X</v>
      </c>
    </row>
    <row r="62" spans="2:12" ht="15" customHeight="1">
      <c r="B62" s="1305"/>
      <c r="C62" s="1305"/>
      <c r="D62" s="1348"/>
      <c r="E62" s="1313"/>
      <c r="F62" s="627"/>
      <c r="G62" s="627"/>
    </row>
    <row r="63" spans="2:12">
      <c r="B63" s="1169"/>
      <c r="C63" s="1169"/>
      <c r="D63" s="627"/>
      <c r="E63" s="627"/>
      <c r="F63" s="627"/>
      <c r="G63" s="627"/>
    </row>
    <row r="64" spans="2:12">
      <c r="B64" s="1169"/>
      <c r="C64" s="1169"/>
      <c r="D64" s="1169"/>
      <c r="E64" s="627"/>
      <c r="F64" s="627"/>
      <c r="G64" s="627"/>
    </row>
    <row r="65" spans="2:7">
      <c r="B65" s="1717" t="s">
        <v>1468</v>
      </c>
      <c r="C65" s="1714"/>
      <c r="D65" s="1715" t="s">
        <v>1488</v>
      </c>
      <c r="E65" s="627"/>
      <c r="F65" s="627"/>
      <c r="G65" s="627"/>
    </row>
    <row r="66" spans="2:7">
      <c r="B66" s="1169"/>
      <c r="C66" s="1169"/>
      <c r="D66" s="627"/>
      <c r="E66" s="627"/>
      <c r="F66" s="627"/>
      <c r="G66" s="627"/>
    </row>
    <row r="67" spans="2:7">
      <c r="B67" s="1169"/>
      <c r="C67" s="1169"/>
      <c r="D67" s="627"/>
      <c r="E67" s="627"/>
      <c r="F67" s="627"/>
      <c r="G67" s="627"/>
    </row>
    <row r="68" spans="2:7">
      <c r="B68" s="1169"/>
      <c r="C68" s="1169"/>
      <c r="D68" s="627"/>
      <c r="E68" s="627"/>
      <c r="F68" s="627"/>
      <c r="G68" s="627"/>
    </row>
    <row r="69" spans="2:7">
      <c r="B69" s="1169"/>
      <c r="C69" s="1169"/>
      <c r="D69" s="627"/>
      <c r="E69" s="627"/>
      <c r="F69" s="627"/>
      <c r="G69" s="627"/>
    </row>
    <row r="70" spans="2:7">
      <c r="B70" s="1169"/>
      <c r="C70" s="1169"/>
      <c r="D70" s="627"/>
      <c r="E70" s="627"/>
      <c r="F70" s="627"/>
      <c r="G70" s="627"/>
    </row>
  </sheetData>
  <mergeCells count="5">
    <mergeCell ref="J56:L56"/>
    <mergeCell ref="H56:I56"/>
    <mergeCell ref="D9:F9"/>
    <mergeCell ref="G9:H9"/>
    <mergeCell ref="H11:J11"/>
  </mergeCells>
  <conditionalFormatting sqref="D65">
    <cfRule type="cellIs" dxfId="22" priority="1" operator="equal">
      <formula>FALSE</formula>
    </cfRule>
  </conditionalFormatting>
  <conditionalFormatting sqref="F12:F23">
    <cfRule type="expression" dxfId="21" priority="5">
      <formula>dms_worksheet210flag="Worksheet 2.10"</formula>
    </cfRule>
  </conditionalFormatting>
  <conditionalFormatting sqref="F25:F34">
    <cfRule type="expression" dxfId="20" priority="3">
      <formula>dms_worksheet210flag="Worksheet 2.10"</formula>
    </cfRule>
  </conditionalFormatting>
  <conditionalFormatting sqref="F36">
    <cfRule type="expression" dxfId="19" priority="14">
      <formula>dms_worksheet210flag="Worksheet 2.10"</formula>
    </cfRule>
  </conditionalFormatting>
  <conditionalFormatting sqref="F39:F46">
    <cfRule type="expression" dxfId="18" priority="2">
      <formula>dms_worksheet210flag="Worksheet 2.10"</formula>
    </cfRule>
  </conditionalFormatting>
  <conditionalFormatting sqref="F48:F53">
    <cfRule type="expression" dxfId="17" priority="25">
      <formula>dms_worksheet210flag="Worksheet 2.10"</formula>
    </cfRule>
  </conditionalFormatting>
  <conditionalFormatting sqref="F57:F61">
    <cfRule type="expression" dxfId="16" priority="17">
      <formula>dms_worksheet210flag="Worksheet 2.10"</formula>
    </cfRule>
  </conditionalFormatting>
  <dataValidations count="1">
    <dataValidation allowBlank="1" sqref="H10:J10 I55:L55 N1:N4 H1:H4" xr:uid="{5410CFE1-F8CE-415E-9670-2A32FED1B98D}"/>
  </dataValidations>
  <pageMargins left="0.7" right="0.7" top="0.75" bottom="0.75" header="0.3" footer="0.3"/>
  <pageSetup paperSize="9" scale="6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0A749-3DD0-4D2E-9952-8B0627A9A8AC}">
  <sheetPr codeName="Sheet30"/>
  <dimension ref="B1:D16"/>
  <sheetViews>
    <sheetView workbookViewId="0"/>
  </sheetViews>
  <sheetFormatPr defaultColWidth="9.140625" defaultRowHeight="15"/>
  <cols>
    <col min="1" max="1" width="11.140625" style="1944" customWidth="1"/>
    <col min="2" max="2" width="22.140625" style="1944" customWidth="1"/>
    <col min="3" max="3" width="59.140625" style="1944" customWidth="1"/>
    <col min="4" max="4" width="73.140625" style="1944" customWidth="1"/>
    <col min="5" max="16384" width="9.140625" style="1944"/>
  </cols>
  <sheetData>
    <row r="1" spans="2:4" ht="55.5" customHeight="1" thickBot="1">
      <c r="B1" s="2195" t="s">
        <v>124</v>
      </c>
      <c r="C1" s="2195"/>
      <c r="D1" s="2195"/>
    </row>
    <row r="2" spans="2:4" ht="33" customHeight="1">
      <c r="B2" s="2196" t="s">
        <v>125</v>
      </c>
      <c r="C2" s="2197"/>
      <c r="D2" s="2198"/>
    </row>
    <row r="3" spans="2:4" ht="33" customHeight="1" thickBot="1">
      <c r="B3" s="1945" t="s">
        <v>126</v>
      </c>
      <c r="C3" s="1946" t="s">
        <v>127</v>
      </c>
      <c r="D3" s="1947" t="s">
        <v>60</v>
      </c>
    </row>
    <row r="4" spans="2:4" ht="30" customHeight="1">
      <c r="B4" s="1071"/>
      <c r="C4" s="1072"/>
      <c r="D4" s="1073"/>
    </row>
    <row r="5" spans="2:4">
      <c r="B5" s="1074"/>
      <c r="C5" s="1075"/>
      <c r="D5" s="1076"/>
    </row>
    <row r="6" spans="2:4">
      <c r="B6" s="1074"/>
      <c r="C6" s="1075"/>
      <c r="D6" s="1076"/>
    </row>
    <row r="7" spans="2:4">
      <c r="B7" s="1074"/>
      <c r="C7" s="1075"/>
      <c r="D7" s="1076"/>
    </row>
    <row r="8" spans="2:4">
      <c r="B8" s="1074"/>
      <c r="C8" s="1075"/>
      <c r="D8" s="1076"/>
    </row>
    <row r="9" spans="2:4" ht="18.75">
      <c r="B9" s="1074"/>
      <c r="C9" s="625"/>
      <c r="D9" s="1076"/>
    </row>
    <row r="10" spans="2:4">
      <c r="B10" s="1074"/>
      <c r="C10" s="1077"/>
      <c r="D10" s="1076"/>
    </row>
    <row r="11" spans="2:4">
      <c r="B11" s="1074"/>
      <c r="C11" s="1075"/>
      <c r="D11" s="1076"/>
    </row>
    <row r="12" spans="2:4">
      <c r="B12" s="1074"/>
      <c r="C12" s="1075"/>
      <c r="D12" s="1078"/>
    </row>
    <row r="13" spans="2:4">
      <c r="B13" s="1074"/>
      <c r="C13" s="1075"/>
      <c r="D13" s="1078"/>
    </row>
    <row r="14" spans="2:4">
      <c r="B14" s="1074"/>
      <c r="C14" s="1075"/>
      <c r="D14" s="1079"/>
    </row>
    <row r="15" spans="2:4">
      <c r="B15" s="1074"/>
      <c r="C15" s="1075"/>
      <c r="D15" s="1078"/>
    </row>
    <row r="16" spans="2:4" ht="15.75" thickBot="1">
      <c r="B16" s="1080"/>
      <c r="C16" s="1081"/>
      <c r="D16" s="1082"/>
    </row>
  </sheetData>
  <mergeCells count="2">
    <mergeCell ref="B1:D1"/>
    <mergeCell ref="B2:D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A6A20-D342-4DFF-BF8A-CDC3DC81EF93}">
  <sheetPr codeName="Sheet10">
    <tabColor theme="0" tint="-0.34998626667073579"/>
  </sheetPr>
  <dimension ref="A1:K29"/>
  <sheetViews>
    <sheetView workbookViewId="0"/>
  </sheetViews>
  <sheetFormatPr defaultColWidth="9.140625" defaultRowHeight="15"/>
  <cols>
    <col min="1" max="1" width="28.28515625" style="52" bestFit="1" customWidth="1"/>
    <col min="2" max="3" width="14.140625" style="52" customWidth="1"/>
    <col min="4" max="4" width="13.7109375" style="52" bestFit="1" customWidth="1"/>
    <col min="5" max="6" width="14.140625" style="52" customWidth="1"/>
    <col min="7" max="8" width="17" style="52" customWidth="1"/>
    <col min="9" max="16384" width="9.140625" style="52"/>
  </cols>
  <sheetData>
    <row r="1" spans="1:8">
      <c r="A1" s="1512" t="s">
        <v>1328</v>
      </c>
      <c r="B1" s="1428"/>
      <c r="C1" s="1428"/>
      <c r="D1" s="1428"/>
      <c r="E1" s="1429"/>
      <c r="F1" s="1429"/>
      <c r="G1" s="1428"/>
      <c r="H1" s="1428"/>
    </row>
    <row r="2" spans="1:8" ht="15" customHeight="1">
      <c r="A2" s="2202" t="s">
        <v>1329</v>
      </c>
      <c r="B2" s="2202"/>
      <c r="C2" s="2202"/>
      <c r="D2" s="2202"/>
      <c r="E2" s="2202"/>
      <c r="F2" s="2202"/>
      <c r="G2" s="2202"/>
      <c r="H2" s="2202"/>
    </row>
    <row r="3" spans="1:8">
      <c r="A3" s="1515" t="s">
        <v>1330</v>
      </c>
      <c r="B3" s="1516" t="s">
        <v>179</v>
      </c>
      <c r="C3" s="1516" t="s">
        <v>184</v>
      </c>
      <c r="D3" s="1516" t="s">
        <v>199</v>
      </c>
      <c r="E3" s="1516" t="s">
        <v>1331</v>
      </c>
      <c r="F3" s="1517" t="s">
        <v>195</v>
      </c>
      <c r="G3" s="1517" t="s">
        <v>191</v>
      </c>
      <c r="H3" s="1517" t="s">
        <v>182</v>
      </c>
    </row>
    <row r="4" spans="1:8">
      <c r="A4" s="1518" t="s">
        <v>1332</v>
      </c>
      <c r="B4" s="1513">
        <v>0.05</v>
      </c>
      <c r="C4" s="1513">
        <v>0.05</v>
      </c>
      <c r="D4" s="1513">
        <v>0.1</v>
      </c>
      <c r="E4" s="1513">
        <v>0.05</v>
      </c>
      <c r="F4" s="1514">
        <v>0.05</v>
      </c>
      <c r="G4" s="1514" t="s">
        <v>1511</v>
      </c>
      <c r="H4" s="1514" t="s">
        <v>1511</v>
      </c>
    </row>
    <row r="5" spans="1:8">
      <c r="A5" s="1519" t="s">
        <v>1333</v>
      </c>
      <c r="B5" s="1430">
        <v>0.3</v>
      </c>
      <c r="C5" s="1430">
        <v>0.2</v>
      </c>
      <c r="D5" s="1430">
        <v>1</v>
      </c>
      <c r="E5" s="1430">
        <v>0.25</v>
      </c>
      <c r="F5" s="1431">
        <v>0.4</v>
      </c>
      <c r="G5" s="1431" t="s">
        <v>1511</v>
      </c>
      <c r="H5" s="1431" t="s">
        <v>1511</v>
      </c>
    </row>
    <row r="7" spans="1:8">
      <c r="E7" s="2199" t="s">
        <v>1372</v>
      </c>
      <c r="F7" s="2199"/>
    </row>
    <row r="8" spans="1:8">
      <c r="A8" s="1501"/>
      <c r="B8" s="1091"/>
      <c r="C8" s="1091"/>
      <c r="D8" s="1501"/>
      <c r="E8" s="1308" t="s">
        <v>1355</v>
      </c>
      <c r="F8" s="1308" t="s">
        <v>173</v>
      </c>
      <c r="G8" s="627" t="s">
        <v>1399</v>
      </c>
    </row>
    <row r="9" spans="1:8">
      <c r="A9" s="1502" t="s">
        <v>1398</v>
      </c>
      <c r="B9" s="1509">
        <v>0.05</v>
      </c>
      <c r="C9" s="2200" t="s">
        <v>1373</v>
      </c>
      <c r="D9" s="2201"/>
      <c r="E9" s="1671" t="s">
        <v>1356</v>
      </c>
      <c r="F9" s="1672" t="s">
        <v>1364</v>
      </c>
    </row>
    <row r="10" spans="1:8">
      <c r="A10" s="1503"/>
      <c r="B10" s="1507">
        <v>0.1</v>
      </c>
      <c r="C10" s="1508"/>
      <c r="D10" s="1504"/>
      <c r="E10" s="1673" t="s">
        <v>1357</v>
      </c>
      <c r="F10" s="1674" t="s">
        <v>1365</v>
      </c>
    </row>
    <row r="11" spans="1:8">
      <c r="A11" s="1503"/>
      <c r="B11" s="1507">
        <v>0.15</v>
      </c>
      <c r="C11" s="1508"/>
      <c r="D11" s="1504"/>
      <c r="E11" s="1673" t="s">
        <v>1374</v>
      </c>
      <c r="F11" s="1674" t="s">
        <v>1375</v>
      </c>
    </row>
    <row r="12" spans="1:8">
      <c r="A12" s="1503"/>
      <c r="B12" s="1507">
        <v>0.2</v>
      </c>
      <c r="C12" s="1508"/>
      <c r="D12" s="1504"/>
      <c r="E12" s="1673" t="s">
        <v>1358</v>
      </c>
      <c r="F12" s="1674" t="s">
        <v>1366</v>
      </c>
    </row>
    <row r="13" spans="1:8">
      <c r="A13" s="1503"/>
      <c r="B13" s="1507">
        <v>0.25</v>
      </c>
      <c r="C13" s="1508"/>
      <c r="D13" s="1504"/>
      <c r="E13" s="1673" t="s">
        <v>1359</v>
      </c>
      <c r="F13" s="1674" t="s">
        <v>1367</v>
      </c>
    </row>
    <row r="14" spans="1:8">
      <c r="A14" s="1503"/>
      <c r="B14" s="1507">
        <v>0.3</v>
      </c>
      <c r="C14" s="1508"/>
      <c r="D14" s="1504"/>
      <c r="E14" s="1673" t="s">
        <v>1360</v>
      </c>
      <c r="F14" s="1674" t="s">
        <v>1368</v>
      </c>
    </row>
    <row r="15" spans="1:8">
      <c r="A15" s="1503"/>
      <c r="B15" s="1507">
        <v>0.35</v>
      </c>
      <c r="C15" s="1508"/>
      <c r="D15" s="1504"/>
      <c r="E15" s="1673" t="s">
        <v>1376</v>
      </c>
      <c r="F15" s="1674" t="s">
        <v>1377</v>
      </c>
    </row>
    <row r="16" spans="1:8">
      <c r="A16" s="1503"/>
      <c r="B16" s="1507">
        <v>0.4</v>
      </c>
      <c r="C16" s="1508"/>
      <c r="D16" s="1504"/>
      <c r="E16" s="1673" t="s">
        <v>1378</v>
      </c>
      <c r="F16" s="1674" t="s">
        <v>1388</v>
      </c>
    </row>
    <row r="17" spans="1:11">
      <c r="A17" s="1503"/>
      <c r="B17" s="1507">
        <v>0.45</v>
      </c>
      <c r="C17" s="1508"/>
      <c r="D17" s="1504"/>
      <c r="E17" s="1673" t="s">
        <v>1379</v>
      </c>
      <c r="F17" s="1674" t="s">
        <v>1389</v>
      </c>
    </row>
    <row r="18" spans="1:11">
      <c r="A18" s="1503"/>
      <c r="B18" s="1507">
        <v>0.5</v>
      </c>
      <c r="C18" s="1508"/>
      <c r="D18" s="1504"/>
      <c r="E18" s="1673" t="s">
        <v>1361</v>
      </c>
      <c r="F18" s="1674" t="s">
        <v>1369</v>
      </c>
      <c r="G18" s="1501"/>
      <c r="H18" s="1501"/>
      <c r="I18" s="1501"/>
      <c r="J18" s="1501"/>
      <c r="K18" s="1501"/>
    </row>
    <row r="19" spans="1:11">
      <c r="A19" s="1503"/>
      <c r="B19" s="1507">
        <v>0.55000000000000004</v>
      </c>
      <c r="C19" s="1508"/>
      <c r="D19" s="1504"/>
      <c r="E19" s="1673" t="s">
        <v>1380</v>
      </c>
      <c r="F19" s="1674" t="s">
        <v>1390</v>
      </c>
      <c r="G19" s="1501"/>
      <c r="H19" s="1501"/>
      <c r="I19" s="1501"/>
      <c r="J19" s="1501"/>
      <c r="K19" s="1501"/>
    </row>
    <row r="20" spans="1:11">
      <c r="A20" s="1503"/>
      <c r="B20" s="1507">
        <v>0.6</v>
      </c>
      <c r="C20" s="1508"/>
      <c r="D20" s="1504"/>
      <c r="E20" s="1673" t="s">
        <v>1381</v>
      </c>
      <c r="F20" s="1674" t="s">
        <v>1391</v>
      </c>
      <c r="G20" s="1501"/>
      <c r="H20" s="1501"/>
      <c r="I20" s="1501"/>
      <c r="J20" s="1501"/>
      <c r="K20" s="1501"/>
    </row>
    <row r="21" spans="1:11">
      <c r="A21" s="1503"/>
      <c r="B21" s="1507">
        <v>0.65</v>
      </c>
      <c r="C21" s="1508"/>
      <c r="D21" s="1504"/>
      <c r="E21" s="1673" t="s">
        <v>1382</v>
      </c>
      <c r="F21" s="1674" t="s">
        <v>1392</v>
      </c>
      <c r="G21" s="1501"/>
      <c r="H21" s="1501"/>
      <c r="I21" s="1501"/>
      <c r="J21" s="1501"/>
      <c r="K21" s="1501"/>
    </row>
    <row r="22" spans="1:11">
      <c r="A22" s="1503"/>
      <c r="B22" s="1507">
        <v>0.7</v>
      </c>
      <c r="C22" s="1508"/>
      <c r="D22" s="1504"/>
      <c r="E22" s="1673" t="s">
        <v>1383</v>
      </c>
      <c r="F22" s="1674" t="s">
        <v>1393</v>
      </c>
      <c r="G22" s="1501"/>
      <c r="H22" s="1501"/>
      <c r="I22" s="1501"/>
      <c r="J22" s="1501"/>
      <c r="K22" s="1501"/>
    </row>
    <row r="23" spans="1:11">
      <c r="A23" s="1503"/>
      <c r="B23" s="1507">
        <v>0.75</v>
      </c>
      <c r="C23" s="1508"/>
      <c r="D23" s="1504"/>
      <c r="E23" s="1673" t="s">
        <v>1362</v>
      </c>
      <c r="F23" s="1674" t="s">
        <v>1370</v>
      </c>
      <c r="G23" s="1501"/>
      <c r="H23" s="1501"/>
      <c r="I23" s="1501"/>
      <c r="J23" s="1501"/>
      <c r="K23" s="1501"/>
    </row>
    <row r="24" spans="1:11">
      <c r="A24" s="1503"/>
      <c r="B24" s="1507">
        <v>0.8</v>
      </c>
      <c r="C24" s="1508"/>
      <c r="D24" s="1504"/>
      <c r="E24" s="1673" t="s">
        <v>1384</v>
      </c>
      <c r="F24" s="1674" t="s">
        <v>1394</v>
      </c>
      <c r="G24" s="1501"/>
      <c r="H24" s="1501"/>
      <c r="I24" s="1501"/>
      <c r="J24" s="1501"/>
      <c r="K24" s="1501"/>
    </row>
    <row r="25" spans="1:11">
      <c r="A25" s="1503"/>
      <c r="B25" s="1507">
        <v>0.85</v>
      </c>
      <c r="C25" s="1508"/>
      <c r="D25" s="1504"/>
      <c r="E25" s="1673" t="s">
        <v>1385</v>
      </c>
      <c r="F25" s="1674" t="s">
        <v>1395</v>
      </c>
      <c r="G25" s="1501"/>
      <c r="H25" s="1501"/>
      <c r="I25" s="1501"/>
      <c r="J25" s="1501"/>
      <c r="K25" s="1501"/>
    </row>
    <row r="26" spans="1:11">
      <c r="A26" s="1503"/>
      <c r="B26" s="1507">
        <v>0.9</v>
      </c>
      <c r="C26" s="1508"/>
      <c r="D26" s="1504"/>
      <c r="E26" s="1673" t="s">
        <v>1386</v>
      </c>
      <c r="F26" s="1674" t="s">
        <v>1396</v>
      </c>
      <c r="G26" s="1501"/>
      <c r="H26" s="1501"/>
      <c r="I26" s="1501"/>
      <c r="J26" s="1501"/>
      <c r="K26" s="1501"/>
    </row>
    <row r="27" spans="1:11">
      <c r="A27" s="1503"/>
      <c r="B27" s="1507">
        <v>0.95</v>
      </c>
      <c r="C27" s="1508"/>
      <c r="D27" s="1504"/>
      <c r="E27" s="1673" t="s">
        <v>1387</v>
      </c>
      <c r="F27" s="1674" t="s">
        <v>1397</v>
      </c>
      <c r="G27" s="1501"/>
      <c r="H27" s="1501"/>
      <c r="I27" s="1501"/>
      <c r="J27" s="1501"/>
      <c r="K27" s="1501"/>
    </row>
    <row r="28" spans="1:11">
      <c r="A28" s="1505"/>
      <c r="B28" s="1510">
        <v>1</v>
      </c>
      <c r="C28" s="1511"/>
      <c r="D28" s="1506"/>
      <c r="E28" s="1675" t="s">
        <v>1363</v>
      </c>
      <c r="F28" s="1676" t="s">
        <v>1371</v>
      </c>
      <c r="G28" s="1091"/>
      <c r="H28" s="1091"/>
      <c r="I28" s="1091"/>
      <c r="J28" s="1501"/>
      <c r="K28" s="1501"/>
    </row>
    <row r="29" spans="1:11">
      <c r="A29" s="1501"/>
      <c r="B29" s="1501"/>
      <c r="C29" s="1501"/>
      <c r="D29" s="1501"/>
      <c r="E29" s="1501"/>
      <c r="F29" s="1501"/>
      <c r="G29" s="1501"/>
      <c r="H29" s="1501"/>
      <c r="I29" s="1501"/>
      <c r="J29" s="1501"/>
      <c r="K29" s="1501"/>
    </row>
  </sheetData>
  <mergeCells count="3">
    <mergeCell ref="E7:F7"/>
    <mergeCell ref="C9:D9"/>
    <mergeCell ref="A2:H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B8360-514C-4DF6-944D-6337F067ACBC}">
  <sheetPr codeName="Sheet5">
    <tabColor theme="1"/>
  </sheetPr>
  <dimension ref="B1:CL127"/>
  <sheetViews>
    <sheetView workbookViewId="0"/>
  </sheetViews>
  <sheetFormatPr defaultColWidth="9.140625" defaultRowHeight="15"/>
  <cols>
    <col min="1" max="1" width="11.140625" style="1" customWidth="1"/>
    <col min="2" max="2" width="43.5703125" style="1" customWidth="1"/>
    <col min="3" max="3" width="16.7109375" style="1" customWidth="1"/>
    <col min="4" max="5" width="15.5703125" style="1" customWidth="1"/>
    <col min="6" max="8" width="15.140625" style="1" customWidth="1"/>
    <col min="9" max="12" width="16.7109375" style="1" customWidth="1"/>
    <col min="13" max="13" width="15.140625" style="1" customWidth="1"/>
    <col min="14" max="14" width="13.5703125" style="1" customWidth="1"/>
    <col min="15" max="15" width="15.140625" style="1" customWidth="1"/>
    <col min="16" max="16" width="13.5703125" style="1" customWidth="1"/>
    <col min="17" max="17" width="14.85546875" style="1" customWidth="1"/>
    <col min="18" max="19" width="16.140625" style="1" customWidth="1"/>
    <col min="20" max="20" width="18.42578125" style="1" customWidth="1"/>
    <col min="21" max="21" width="15.42578125" style="1" customWidth="1"/>
    <col min="22" max="22" width="20.85546875" style="1" customWidth="1"/>
    <col min="23" max="23" width="11.140625" style="1" customWidth="1"/>
    <col min="24" max="24" width="9.5703125" style="1" customWidth="1"/>
    <col min="25" max="16384" width="9.140625" style="1"/>
  </cols>
  <sheetData>
    <row r="1" spans="2:24" ht="51" customHeight="1">
      <c r="B1" s="62" t="s">
        <v>128</v>
      </c>
      <c r="C1" s="63"/>
      <c r="D1" s="63"/>
      <c r="E1" s="63"/>
      <c r="F1" s="63"/>
      <c r="G1" s="63"/>
      <c r="H1" s="63"/>
      <c r="I1" s="63"/>
      <c r="J1" s="63"/>
      <c r="K1" s="63"/>
      <c r="L1" s="63"/>
      <c r="M1" s="63"/>
    </row>
    <row r="2" spans="2:24" ht="30" customHeight="1"/>
    <row r="4" spans="2:24" ht="19.5" customHeight="1">
      <c r="B4" s="2204" t="s">
        <v>129</v>
      </c>
      <c r="C4" s="2205"/>
      <c r="D4" s="2205"/>
      <c r="E4" s="2205"/>
      <c r="F4" s="2205"/>
      <c r="G4" s="2205"/>
      <c r="H4" s="2205"/>
      <c r="I4" s="2205"/>
      <c r="J4" s="2205"/>
      <c r="K4" s="2205"/>
      <c r="L4" s="2205"/>
      <c r="M4" s="2205"/>
      <c r="N4" s="2205"/>
      <c r="O4" s="2205"/>
      <c r="P4" s="2205"/>
      <c r="Q4" s="2205"/>
      <c r="R4" s="2205"/>
      <c r="S4" s="2205"/>
      <c r="T4" s="2205"/>
      <c r="U4" s="2205"/>
      <c r="V4" s="2205"/>
    </row>
    <row r="5" spans="2:24" s="215" customFormat="1" ht="105.75" thickBot="1">
      <c r="B5"/>
      <c r="C5"/>
      <c r="D5"/>
      <c r="E5"/>
      <c r="F5" s="936" t="s">
        <v>130</v>
      </c>
      <c r="G5" s="937" t="s">
        <v>131</v>
      </c>
      <c r="H5" s="938" t="s">
        <v>132</v>
      </c>
      <c r="I5" s="937" t="s">
        <v>133</v>
      </c>
      <c r="J5" s="937" t="s">
        <v>134</v>
      </c>
      <c r="K5" s="937" t="s">
        <v>135</v>
      </c>
      <c r="L5" s="937" t="s">
        <v>136</v>
      </c>
      <c r="M5" s="939" t="s">
        <v>137</v>
      </c>
      <c r="N5" s="936" t="s">
        <v>138</v>
      </c>
      <c r="O5" s="937" t="s">
        <v>139</v>
      </c>
      <c r="P5" s="937" t="s">
        <v>140</v>
      </c>
      <c r="Q5" s="937" t="s">
        <v>141</v>
      </c>
      <c r="R5" s="937" t="s">
        <v>142</v>
      </c>
      <c r="S5" s="937" t="s">
        <v>143</v>
      </c>
      <c r="T5" s="937" t="s">
        <v>144</v>
      </c>
      <c r="U5" s="936" t="s">
        <v>145</v>
      </c>
      <c r="V5" s="940"/>
      <c r="W5" s="941"/>
      <c r="X5" s="941"/>
    </row>
    <row r="6" spans="2:24" s="67" customFormat="1" ht="30.75" customHeight="1" thickBot="1">
      <c r="B6" s="64" t="s">
        <v>146</v>
      </c>
      <c r="C6" s="65" t="s">
        <v>147</v>
      </c>
      <c r="D6" s="66" t="s">
        <v>148</v>
      </c>
      <c r="E6" s="66" t="s">
        <v>149</v>
      </c>
      <c r="F6" s="942" t="s">
        <v>150</v>
      </c>
      <c r="G6" s="942" t="s">
        <v>151</v>
      </c>
      <c r="H6" s="942" t="s">
        <v>152</v>
      </c>
      <c r="I6" s="942" t="s">
        <v>153</v>
      </c>
      <c r="J6" s="942" t="s">
        <v>154</v>
      </c>
      <c r="K6" s="942" t="s">
        <v>155</v>
      </c>
      <c r="L6" s="942" t="s">
        <v>156</v>
      </c>
      <c r="M6" s="942" t="s">
        <v>157</v>
      </c>
      <c r="N6" s="942" t="s">
        <v>158</v>
      </c>
      <c r="O6" s="943" t="s">
        <v>159</v>
      </c>
      <c r="P6" s="944" t="s">
        <v>160</v>
      </c>
      <c r="Q6" s="945" t="s">
        <v>161</v>
      </c>
      <c r="R6" s="946" t="s">
        <v>162</v>
      </c>
      <c r="S6" s="946" t="s">
        <v>163</v>
      </c>
      <c r="T6" s="946" t="s">
        <v>164</v>
      </c>
      <c r="U6" s="947" t="s">
        <v>165</v>
      </c>
      <c r="V6" s="947" t="s">
        <v>166</v>
      </c>
      <c r="W6" s="948" t="s">
        <v>167</v>
      </c>
      <c r="X6" s="949" t="s">
        <v>168</v>
      </c>
    </row>
    <row r="7" spans="2:24">
      <c r="B7" s="68" t="s">
        <v>169</v>
      </c>
      <c r="C7" s="69" t="s">
        <v>170</v>
      </c>
      <c r="D7" s="69" t="s">
        <v>171</v>
      </c>
      <c r="E7" s="69" t="s">
        <v>172</v>
      </c>
      <c r="F7" s="70"/>
      <c r="G7" s="71" t="s">
        <v>173</v>
      </c>
      <c r="H7" s="71"/>
      <c r="I7" s="71" t="s">
        <v>173</v>
      </c>
      <c r="J7" s="71" t="s">
        <v>173</v>
      </c>
      <c r="K7" s="71" t="s">
        <v>174</v>
      </c>
      <c r="L7" s="71" t="s">
        <v>173</v>
      </c>
      <c r="M7" s="71" t="s">
        <v>174</v>
      </c>
      <c r="N7" s="70" t="s">
        <v>174</v>
      </c>
      <c r="O7" s="70" t="s">
        <v>174</v>
      </c>
      <c r="P7" s="71" t="s">
        <v>173</v>
      </c>
      <c r="Q7" s="70" t="s">
        <v>173</v>
      </c>
      <c r="R7" s="70" t="s">
        <v>174</v>
      </c>
      <c r="S7" s="71" t="s">
        <v>173</v>
      </c>
      <c r="T7" s="71" t="s">
        <v>173</v>
      </c>
      <c r="U7" s="70" t="s">
        <v>174</v>
      </c>
      <c r="V7" s="71" t="s">
        <v>174</v>
      </c>
      <c r="W7" s="70" t="s">
        <v>174</v>
      </c>
      <c r="X7" s="72" t="s">
        <v>174</v>
      </c>
    </row>
    <row r="8" spans="2:24">
      <c r="B8" s="73" t="s">
        <v>175</v>
      </c>
      <c r="C8" s="74" t="s">
        <v>176</v>
      </c>
      <c r="D8" s="74" t="s">
        <v>171</v>
      </c>
      <c r="E8" s="74" t="s">
        <v>172</v>
      </c>
      <c r="F8" s="75"/>
      <c r="G8" s="76" t="s">
        <v>173</v>
      </c>
      <c r="H8" s="76"/>
      <c r="I8" s="76" t="s">
        <v>174</v>
      </c>
      <c r="J8" s="76" t="s">
        <v>174</v>
      </c>
      <c r="K8" s="76" t="s">
        <v>174</v>
      </c>
      <c r="L8" s="76" t="s">
        <v>173</v>
      </c>
      <c r="M8" s="76" t="s">
        <v>174</v>
      </c>
      <c r="N8" s="75" t="s">
        <v>174</v>
      </c>
      <c r="O8" s="75" t="s">
        <v>174</v>
      </c>
      <c r="P8" s="76" t="s">
        <v>173</v>
      </c>
      <c r="Q8" s="75" t="s">
        <v>173</v>
      </c>
      <c r="R8" s="75" t="s">
        <v>174</v>
      </c>
      <c r="S8" s="76" t="s">
        <v>173</v>
      </c>
      <c r="T8" s="76" t="s">
        <v>173</v>
      </c>
      <c r="U8" s="75" t="s">
        <v>174</v>
      </c>
      <c r="V8" s="76" t="s">
        <v>174</v>
      </c>
      <c r="W8" s="75" t="s">
        <v>174</v>
      </c>
      <c r="X8" s="77" t="s">
        <v>174</v>
      </c>
    </row>
    <row r="9" spans="2:24">
      <c r="B9" s="73" t="s">
        <v>177</v>
      </c>
      <c r="C9" s="74" t="s">
        <v>178</v>
      </c>
      <c r="D9" s="74" t="s">
        <v>171</v>
      </c>
      <c r="E9" s="74" t="s">
        <v>172</v>
      </c>
      <c r="F9" s="75"/>
      <c r="G9" s="76" t="s">
        <v>174</v>
      </c>
      <c r="H9" s="76"/>
      <c r="I9" s="76" t="s">
        <v>174</v>
      </c>
      <c r="J9" s="76" t="s">
        <v>174</v>
      </c>
      <c r="K9" s="76" t="s">
        <v>174</v>
      </c>
      <c r="L9" s="76" t="s">
        <v>174</v>
      </c>
      <c r="M9" s="76" t="s">
        <v>174</v>
      </c>
      <c r="N9" s="75" t="s">
        <v>173</v>
      </c>
      <c r="O9" s="75" t="s">
        <v>174</v>
      </c>
      <c r="P9" s="76" t="s">
        <v>173</v>
      </c>
      <c r="Q9" s="75" t="s">
        <v>174</v>
      </c>
      <c r="R9" s="75" t="s">
        <v>174</v>
      </c>
      <c r="S9" s="76" t="s">
        <v>174</v>
      </c>
      <c r="T9" s="76" t="s">
        <v>173</v>
      </c>
      <c r="U9" s="75" t="s">
        <v>174</v>
      </c>
      <c r="V9" s="76" t="s">
        <v>174</v>
      </c>
      <c r="W9" s="75" t="s">
        <v>174</v>
      </c>
      <c r="X9" s="77" t="s">
        <v>174</v>
      </c>
    </row>
    <row r="10" spans="2:24">
      <c r="B10" s="78" t="s">
        <v>179</v>
      </c>
      <c r="C10" s="79" t="s">
        <v>178</v>
      </c>
      <c r="D10" s="79" t="s">
        <v>171</v>
      </c>
      <c r="E10" s="79" t="s">
        <v>180</v>
      </c>
      <c r="F10" s="75"/>
      <c r="G10" s="76" t="s">
        <v>174</v>
      </c>
      <c r="H10" s="76"/>
      <c r="I10" s="76" t="s">
        <v>174</v>
      </c>
      <c r="J10" s="76" t="s">
        <v>174</v>
      </c>
      <c r="K10" s="76" t="s">
        <v>174</v>
      </c>
      <c r="L10" s="76" t="s">
        <v>174</v>
      </c>
      <c r="M10" s="76" t="s">
        <v>174</v>
      </c>
      <c r="N10" s="75" t="s">
        <v>173</v>
      </c>
      <c r="O10" s="75" t="s">
        <v>174</v>
      </c>
      <c r="P10" s="76" t="s">
        <v>173</v>
      </c>
      <c r="Q10" s="75" t="s">
        <v>174</v>
      </c>
      <c r="R10" s="75" t="s">
        <v>174</v>
      </c>
      <c r="S10" s="76" t="s">
        <v>174</v>
      </c>
      <c r="T10" s="76" t="s">
        <v>173</v>
      </c>
      <c r="U10" s="75" t="s">
        <v>174</v>
      </c>
      <c r="V10" s="76" t="s">
        <v>174</v>
      </c>
      <c r="W10" s="75" t="s">
        <v>174</v>
      </c>
      <c r="X10" s="77" t="s">
        <v>174</v>
      </c>
    </row>
    <row r="11" spans="2:24">
      <c r="B11" s="73" t="s">
        <v>181</v>
      </c>
      <c r="C11" s="74" t="s">
        <v>178</v>
      </c>
      <c r="D11" s="74" t="s">
        <v>171</v>
      </c>
      <c r="E11" s="74" t="s">
        <v>172</v>
      </c>
      <c r="F11" s="75"/>
      <c r="G11" s="76" t="s">
        <v>174</v>
      </c>
      <c r="H11" s="76"/>
      <c r="I11" s="76" t="s">
        <v>174</v>
      </c>
      <c r="J11" s="76" t="s">
        <v>174</v>
      </c>
      <c r="K11" s="76" t="s">
        <v>174</v>
      </c>
      <c r="L11" s="76" t="s">
        <v>174</v>
      </c>
      <c r="M11" s="76" t="s">
        <v>174</v>
      </c>
      <c r="N11" s="75" t="s">
        <v>173</v>
      </c>
      <c r="O11" s="75" t="s">
        <v>174</v>
      </c>
      <c r="P11" s="76" t="s">
        <v>173</v>
      </c>
      <c r="Q11" s="75" t="s">
        <v>174</v>
      </c>
      <c r="R11" s="75" t="s">
        <v>174</v>
      </c>
      <c r="S11" s="76" t="s">
        <v>174</v>
      </c>
      <c r="T11" s="76" t="s">
        <v>173</v>
      </c>
      <c r="U11" s="75" t="s">
        <v>174</v>
      </c>
      <c r="V11" s="76" t="s">
        <v>174</v>
      </c>
      <c r="W11" s="75" t="s">
        <v>174</v>
      </c>
      <c r="X11" s="77" t="s">
        <v>174</v>
      </c>
    </row>
    <row r="12" spans="2:24">
      <c r="B12" s="78" t="s">
        <v>182</v>
      </c>
      <c r="C12" s="80" t="s">
        <v>183</v>
      </c>
      <c r="D12" s="80" t="s">
        <v>171</v>
      </c>
      <c r="E12" s="80" t="s">
        <v>180</v>
      </c>
      <c r="F12" s="75"/>
      <c r="G12" s="76" t="s">
        <v>174</v>
      </c>
      <c r="H12" s="76"/>
      <c r="I12" s="76" t="s">
        <v>174</v>
      </c>
      <c r="J12" s="76" t="s">
        <v>174</v>
      </c>
      <c r="K12" s="76" t="s">
        <v>174</v>
      </c>
      <c r="L12" s="76" t="s">
        <v>174</v>
      </c>
      <c r="M12" s="76" t="s">
        <v>174</v>
      </c>
      <c r="N12" s="75" t="s">
        <v>173</v>
      </c>
      <c r="O12" s="75" t="s">
        <v>174</v>
      </c>
      <c r="P12" s="76" t="s">
        <v>173</v>
      </c>
      <c r="Q12" s="75" t="s">
        <v>174</v>
      </c>
      <c r="R12" s="75" t="s">
        <v>174</v>
      </c>
      <c r="S12" s="76" t="s">
        <v>173</v>
      </c>
      <c r="T12" s="76" t="s">
        <v>173</v>
      </c>
      <c r="U12" s="75" t="s">
        <v>174</v>
      </c>
      <c r="V12" s="76" t="s">
        <v>174</v>
      </c>
      <c r="W12" s="75" t="s">
        <v>174</v>
      </c>
      <c r="X12" s="77" t="s">
        <v>174</v>
      </c>
    </row>
    <row r="13" spans="2:24">
      <c r="B13" s="78" t="s">
        <v>184</v>
      </c>
      <c r="C13" s="79" t="s">
        <v>185</v>
      </c>
      <c r="D13" s="79" t="s">
        <v>171</v>
      </c>
      <c r="E13" s="79" t="s">
        <v>180</v>
      </c>
      <c r="F13" s="75"/>
      <c r="G13" s="76" t="s">
        <v>174</v>
      </c>
      <c r="H13" s="76"/>
      <c r="I13" s="76" t="s">
        <v>174</v>
      </c>
      <c r="J13" s="76" t="s">
        <v>174</v>
      </c>
      <c r="K13" s="76" t="s">
        <v>174</v>
      </c>
      <c r="L13" s="76" t="s">
        <v>174</v>
      </c>
      <c r="M13" s="76" t="s">
        <v>174</v>
      </c>
      <c r="N13" s="75" t="s">
        <v>173</v>
      </c>
      <c r="O13" s="75" t="s">
        <v>174</v>
      </c>
      <c r="P13" s="76" t="s">
        <v>173</v>
      </c>
      <c r="Q13" s="75" t="s">
        <v>174</v>
      </c>
      <c r="R13" s="75" t="s">
        <v>174</v>
      </c>
      <c r="S13" s="76" t="s">
        <v>173</v>
      </c>
      <c r="T13" s="76" t="s">
        <v>173</v>
      </c>
      <c r="U13" s="75" t="s">
        <v>174</v>
      </c>
      <c r="V13" s="76" t="s">
        <v>174</v>
      </c>
      <c r="W13" s="75" t="s">
        <v>174</v>
      </c>
      <c r="X13" s="77" t="s">
        <v>174</v>
      </c>
    </row>
    <row r="14" spans="2:24">
      <c r="B14" s="73" t="s">
        <v>186</v>
      </c>
      <c r="C14" s="81" t="s">
        <v>176</v>
      </c>
      <c r="D14" s="81" t="s">
        <v>171</v>
      </c>
      <c r="E14" s="81" t="s">
        <v>172</v>
      </c>
      <c r="F14" s="75"/>
      <c r="G14" s="76" t="s">
        <v>173</v>
      </c>
      <c r="H14" s="76"/>
      <c r="I14" s="76" t="s">
        <v>174</v>
      </c>
      <c r="J14" s="76" t="s">
        <v>174</v>
      </c>
      <c r="K14" s="76" t="s">
        <v>174</v>
      </c>
      <c r="L14" s="76" t="s">
        <v>173</v>
      </c>
      <c r="M14" s="76" t="s">
        <v>174</v>
      </c>
      <c r="N14" s="75" t="s">
        <v>174</v>
      </c>
      <c r="O14" s="75" t="s">
        <v>174</v>
      </c>
      <c r="P14" s="76" t="s">
        <v>173</v>
      </c>
      <c r="Q14" s="75" t="s">
        <v>173</v>
      </c>
      <c r="R14" s="75" t="s">
        <v>174</v>
      </c>
      <c r="S14" s="76" t="s">
        <v>173</v>
      </c>
      <c r="T14" s="76" t="s">
        <v>173</v>
      </c>
      <c r="U14" s="75" t="s">
        <v>173</v>
      </c>
      <c r="V14" s="76" t="s">
        <v>174</v>
      </c>
      <c r="W14" s="75" t="s">
        <v>174</v>
      </c>
      <c r="X14" s="77" t="s">
        <v>174</v>
      </c>
    </row>
    <row r="15" spans="2:24">
      <c r="B15" s="73" t="s">
        <v>187</v>
      </c>
      <c r="C15" s="74" t="s">
        <v>183</v>
      </c>
      <c r="D15" s="74" t="s">
        <v>171</v>
      </c>
      <c r="E15" s="74" t="s">
        <v>172</v>
      </c>
      <c r="F15" s="75"/>
      <c r="G15" s="76" t="s">
        <v>173</v>
      </c>
      <c r="H15" s="76"/>
      <c r="I15" s="76" t="s">
        <v>174</v>
      </c>
      <c r="J15" s="76" t="s">
        <v>174</v>
      </c>
      <c r="K15" s="76" t="s">
        <v>174</v>
      </c>
      <c r="L15" s="76" t="s">
        <v>174</v>
      </c>
      <c r="M15" s="76" t="s">
        <v>174</v>
      </c>
      <c r="N15" s="75" t="s">
        <v>174</v>
      </c>
      <c r="O15" s="75" t="s">
        <v>174</v>
      </c>
      <c r="P15" s="76" t="s">
        <v>173</v>
      </c>
      <c r="Q15" s="75" t="s">
        <v>173</v>
      </c>
      <c r="R15" s="75" t="s">
        <v>174</v>
      </c>
      <c r="S15" s="76" t="s">
        <v>173</v>
      </c>
      <c r="T15" s="76" t="s">
        <v>173</v>
      </c>
      <c r="U15" s="75" t="s">
        <v>173</v>
      </c>
      <c r="V15" s="76" t="s">
        <v>174</v>
      </c>
      <c r="W15" s="75" t="s">
        <v>174</v>
      </c>
      <c r="X15" s="77" t="s">
        <v>174</v>
      </c>
    </row>
    <row r="16" spans="2:24">
      <c r="B16" s="73" t="s">
        <v>188</v>
      </c>
      <c r="C16" s="81" t="s">
        <v>183</v>
      </c>
      <c r="D16" s="81" t="s">
        <v>171</v>
      </c>
      <c r="E16" s="81" t="s">
        <v>172</v>
      </c>
      <c r="F16" s="75"/>
      <c r="G16" s="76" t="s">
        <v>173</v>
      </c>
      <c r="H16" s="76"/>
      <c r="I16" s="76" t="s">
        <v>174</v>
      </c>
      <c r="J16" s="76" t="s">
        <v>174</v>
      </c>
      <c r="K16" s="76" t="s">
        <v>174</v>
      </c>
      <c r="L16" s="76" t="s">
        <v>174</v>
      </c>
      <c r="M16" s="76" t="s">
        <v>174</v>
      </c>
      <c r="N16" s="75" t="s">
        <v>174</v>
      </c>
      <c r="O16" s="75" t="s">
        <v>174</v>
      </c>
      <c r="P16" s="76" t="s">
        <v>173</v>
      </c>
      <c r="Q16" s="75" t="s">
        <v>173</v>
      </c>
      <c r="R16" s="75" t="s">
        <v>174</v>
      </c>
      <c r="S16" s="76" t="s">
        <v>173</v>
      </c>
      <c r="T16" s="76" t="s">
        <v>173</v>
      </c>
      <c r="U16" s="75" t="s">
        <v>174</v>
      </c>
      <c r="V16" s="76" t="s">
        <v>174</v>
      </c>
      <c r="W16" s="75" t="s">
        <v>174</v>
      </c>
      <c r="X16" s="77" t="s">
        <v>174</v>
      </c>
    </row>
    <row r="17" spans="2:90">
      <c r="B17" s="73" t="s">
        <v>189</v>
      </c>
      <c r="C17" s="74" t="s">
        <v>176</v>
      </c>
      <c r="D17" s="74" t="s">
        <v>171</v>
      </c>
      <c r="E17" s="74" t="s">
        <v>172</v>
      </c>
      <c r="F17" s="75"/>
      <c r="G17" s="76" t="s">
        <v>173</v>
      </c>
      <c r="H17" s="76"/>
      <c r="I17" s="76" t="s">
        <v>174</v>
      </c>
      <c r="J17" s="76" t="s">
        <v>174</v>
      </c>
      <c r="K17" s="76" t="s">
        <v>174</v>
      </c>
      <c r="L17" s="76" t="s">
        <v>173</v>
      </c>
      <c r="M17" s="76" t="s">
        <v>174</v>
      </c>
      <c r="N17" s="75" t="s">
        <v>174</v>
      </c>
      <c r="O17" s="75" t="s">
        <v>174</v>
      </c>
      <c r="P17" s="76" t="s">
        <v>173</v>
      </c>
      <c r="Q17" s="75" t="s">
        <v>173</v>
      </c>
      <c r="R17" s="75" t="s">
        <v>174</v>
      </c>
      <c r="S17" s="76" t="s">
        <v>173</v>
      </c>
      <c r="T17" s="76" t="s">
        <v>173</v>
      </c>
      <c r="U17" s="75" t="s">
        <v>174</v>
      </c>
      <c r="V17" s="76" t="s">
        <v>174</v>
      </c>
      <c r="W17" s="75" t="s">
        <v>174</v>
      </c>
      <c r="X17" s="77" t="s">
        <v>174</v>
      </c>
    </row>
    <row r="18" spans="2:90">
      <c r="B18" s="73" t="s">
        <v>190</v>
      </c>
      <c r="C18" s="81" t="s">
        <v>178</v>
      </c>
      <c r="D18" s="81" t="s">
        <v>171</v>
      </c>
      <c r="E18" s="81" t="s">
        <v>172</v>
      </c>
      <c r="F18" s="75"/>
      <c r="G18" s="76" t="s">
        <v>174</v>
      </c>
      <c r="H18" s="76"/>
      <c r="I18" s="76" t="s">
        <v>174</v>
      </c>
      <c r="J18" s="76" t="s">
        <v>174</v>
      </c>
      <c r="K18" s="76" t="s">
        <v>174</v>
      </c>
      <c r="L18" s="76" t="s">
        <v>174</v>
      </c>
      <c r="M18" s="76" t="s">
        <v>174</v>
      </c>
      <c r="N18" s="75" t="s">
        <v>173</v>
      </c>
      <c r="O18" s="75" t="s">
        <v>174</v>
      </c>
      <c r="P18" s="76" t="s">
        <v>173</v>
      </c>
      <c r="Q18" s="75" t="s">
        <v>174</v>
      </c>
      <c r="R18" s="75" t="s">
        <v>174</v>
      </c>
      <c r="S18" s="76" t="s">
        <v>174</v>
      </c>
      <c r="T18" s="76" t="s">
        <v>173</v>
      </c>
      <c r="U18" s="75" t="s">
        <v>174</v>
      </c>
      <c r="V18" s="76" t="s">
        <v>174</v>
      </c>
      <c r="W18" s="75" t="s">
        <v>174</v>
      </c>
      <c r="X18" s="77" t="s">
        <v>174</v>
      </c>
    </row>
    <row r="19" spans="2:90">
      <c r="B19" s="78" t="s">
        <v>191</v>
      </c>
      <c r="C19" s="79" t="s">
        <v>185</v>
      </c>
      <c r="D19" s="79" t="s">
        <v>171</v>
      </c>
      <c r="E19" s="79" t="s">
        <v>180</v>
      </c>
      <c r="F19" s="75"/>
      <c r="G19" s="76" t="s">
        <v>174</v>
      </c>
      <c r="H19" s="76"/>
      <c r="I19" s="76" t="s">
        <v>174</v>
      </c>
      <c r="J19" s="76" t="s">
        <v>174</v>
      </c>
      <c r="K19" s="76" t="s">
        <v>174</v>
      </c>
      <c r="L19" s="76" t="s">
        <v>174</v>
      </c>
      <c r="M19" s="76" t="s">
        <v>174</v>
      </c>
      <c r="N19" s="75" t="s">
        <v>173</v>
      </c>
      <c r="O19" s="75" t="s">
        <v>174</v>
      </c>
      <c r="P19" s="76" t="s">
        <v>173</v>
      </c>
      <c r="Q19" s="75" t="s">
        <v>174</v>
      </c>
      <c r="R19" s="75" t="s">
        <v>174</v>
      </c>
      <c r="S19" s="76" t="s">
        <v>173</v>
      </c>
      <c r="T19" s="76" t="s">
        <v>173</v>
      </c>
      <c r="U19" s="75" t="s">
        <v>174</v>
      </c>
      <c r="V19" s="76" t="s">
        <v>174</v>
      </c>
      <c r="W19" s="75" t="s">
        <v>174</v>
      </c>
      <c r="X19" s="77" t="s">
        <v>174</v>
      </c>
    </row>
    <row r="20" spans="2:90">
      <c r="B20" s="73" t="s">
        <v>192</v>
      </c>
      <c r="C20" s="74" t="s">
        <v>193</v>
      </c>
      <c r="D20" s="81" t="s">
        <v>171</v>
      </c>
      <c r="E20" s="81" t="s">
        <v>172</v>
      </c>
      <c r="F20" s="75"/>
      <c r="G20" s="76" t="s">
        <v>174</v>
      </c>
      <c r="H20" s="76"/>
      <c r="I20" s="76" t="s">
        <v>174</v>
      </c>
      <c r="J20" s="76" t="s">
        <v>173</v>
      </c>
      <c r="K20" s="76" t="s">
        <v>174</v>
      </c>
      <c r="L20" s="76" t="s">
        <v>174</v>
      </c>
      <c r="M20" s="76" t="s">
        <v>173</v>
      </c>
      <c r="N20" s="75" t="s">
        <v>173</v>
      </c>
      <c r="O20" s="75" t="s">
        <v>173</v>
      </c>
      <c r="P20" s="76" t="s">
        <v>173</v>
      </c>
      <c r="Q20" s="75" t="s">
        <v>173</v>
      </c>
      <c r="R20" s="75" t="s">
        <v>174</v>
      </c>
      <c r="S20" s="76" t="s">
        <v>173</v>
      </c>
      <c r="T20" s="76" t="s">
        <v>173</v>
      </c>
      <c r="U20" s="75" t="s">
        <v>174</v>
      </c>
      <c r="V20" s="76" t="s">
        <v>174</v>
      </c>
      <c r="W20" s="75" t="s">
        <v>174</v>
      </c>
      <c r="X20" s="77" t="s">
        <v>174</v>
      </c>
    </row>
    <row r="21" spans="2:90">
      <c r="B21" s="73" t="s">
        <v>194</v>
      </c>
      <c r="C21" s="74" t="s">
        <v>178</v>
      </c>
      <c r="D21" s="74" t="s">
        <v>171</v>
      </c>
      <c r="E21" s="74" t="s">
        <v>172</v>
      </c>
      <c r="F21" s="75"/>
      <c r="G21" s="76" t="s">
        <v>174</v>
      </c>
      <c r="H21" s="76"/>
      <c r="I21" s="76" t="s">
        <v>174</v>
      </c>
      <c r="J21" s="76" t="s">
        <v>174</v>
      </c>
      <c r="K21" s="76" t="s">
        <v>174</v>
      </c>
      <c r="L21" s="76" t="s">
        <v>174</v>
      </c>
      <c r="M21" s="76" t="s">
        <v>174</v>
      </c>
      <c r="N21" s="75" t="s">
        <v>173</v>
      </c>
      <c r="O21" s="75" t="s">
        <v>174</v>
      </c>
      <c r="P21" s="76" t="s">
        <v>173</v>
      </c>
      <c r="Q21" s="75" t="s">
        <v>174</v>
      </c>
      <c r="R21" s="75" t="s">
        <v>174</v>
      </c>
      <c r="S21" s="76" t="s">
        <v>174</v>
      </c>
      <c r="T21" s="76" t="s">
        <v>173</v>
      </c>
      <c r="U21" s="75" t="s">
        <v>174</v>
      </c>
      <c r="V21" s="76" t="s">
        <v>174</v>
      </c>
      <c r="W21" s="75" t="s">
        <v>174</v>
      </c>
      <c r="X21" s="77" t="s">
        <v>174</v>
      </c>
    </row>
    <row r="22" spans="2:90">
      <c r="B22" s="78" t="s">
        <v>195</v>
      </c>
      <c r="C22" s="80" t="s">
        <v>183</v>
      </c>
      <c r="D22" s="80" t="s">
        <v>171</v>
      </c>
      <c r="E22" s="80" t="s">
        <v>180</v>
      </c>
      <c r="F22" s="75"/>
      <c r="G22" s="76" t="s">
        <v>174</v>
      </c>
      <c r="H22" s="76"/>
      <c r="I22" s="76" t="s">
        <v>174</v>
      </c>
      <c r="J22" s="76" t="s">
        <v>174</v>
      </c>
      <c r="K22" s="76" t="s">
        <v>174</v>
      </c>
      <c r="L22" s="76" t="s">
        <v>174</v>
      </c>
      <c r="M22" s="76" t="s">
        <v>174</v>
      </c>
      <c r="N22" s="75" t="s">
        <v>173</v>
      </c>
      <c r="O22" s="75" t="s">
        <v>174</v>
      </c>
      <c r="P22" s="76" t="s">
        <v>173</v>
      </c>
      <c r="Q22" s="75" t="s">
        <v>174</v>
      </c>
      <c r="R22" s="75" t="s">
        <v>174</v>
      </c>
      <c r="S22" s="76" t="s">
        <v>173</v>
      </c>
      <c r="T22" s="76" t="s">
        <v>173</v>
      </c>
      <c r="U22" s="75" t="s">
        <v>174</v>
      </c>
      <c r="V22" s="76" t="s">
        <v>174</v>
      </c>
      <c r="W22" s="75" t="s">
        <v>174</v>
      </c>
      <c r="X22" s="77" t="s">
        <v>174</v>
      </c>
    </row>
    <row r="23" spans="2:90">
      <c r="B23" s="73" t="s">
        <v>196</v>
      </c>
      <c r="C23" s="81" t="s">
        <v>185</v>
      </c>
      <c r="D23" s="81" t="s">
        <v>171</v>
      </c>
      <c r="E23" s="81" t="s">
        <v>172</v>
      </c>
      <c r="F23" s="75"/>
      <c r="G23" s="76" t="s">
        <v>173</v>
      </c>
      <c r="H23" s="76"/>
      <c r="I23" s="76" t="s">
        <v>174</v>
      </c>
      <c r="J23" s="76" t="s">
        <v>174</v>
      </c>
      <c r="K23" s="76" t="s">
        <v>174</v>
      </c>
      <c r="L23" s="76" t="s">
        <v>174</v>
      </c>
      <c r="M23" s="76" t="s">
        <v>174</v>
      </c>
      <c r="N23" s="75" t="s">
        <v>173</v>
      </c>
      <c r="O23" s="75" t="s">
        <v>174</v>
      </c>
      <c r="P23" s="76" t="s">
        <v>173</v>
      </c>
      <c r="Q23" s="75" t="s">
        <v>173</v>
      </c>
      <c r="R23" s="75" t="s">
        <v>173</v>
      </c>
      <c r="S23" s="76" t="s">
        <v>173</v>
      </c>
      <c r="T23" s="76" t="s">
        <v>174</v>
      </c>
      <c r="U23" s="75" t="s">
        <v>174</v>
      </c>
      <c r="V23" s="76" t="s">
        <v>174</v>
      </c>
      <c r="W23" s="75" t="s">
        <v>174</v>
      </c>
      <c r="X23" s="77" t="s">
        <v>174</v>
      </c>
    </row>
    <row r="24" spans="2:90">
      <c r="B24" s="73" t="s">
        <v>197</v>
      </c>
      <c r="C24" s="74" t="s">
        <v>198</v>
      </c>
      <c r="D24" s="74" t="s">
        <v>171</v>
      </c>
      <c r="E24" s="74" t="s">
        <v>172</v>
      </c>
      <c r="F24" s="75"/>
      <c r="G24" s="76" t="s">
        <v>173</v>
      </c>
      <c r="H24" s="76"/>
      <c r="I24" s="76" t="s">
        <v>174</v>
      </c>
      <c r="J24" s="76" t="s">
        <v>174</v>
      </c>
      <c r="K24" s="76" t="s">
        <v>174</v>
      </c>
      <c r="L24" s="76" t="s">
        <v>174</v>
      </c>
      <c r="M24" s="76" t="s">
        <v>174</v>
      </c>
      <c r="N24" s="75" t="s">
        <v>174</v>
      </c>
      <c r="O24" s="75" t="s">
        <v>174</v>
      </c>
      <c r="P24" s="76" t="s">
        <v>173</v>
      </c>
      <c r="Q24" s="75" t="s">
        <v>173</v>
      </c>
      <c r="R24" s="75" t="s">
        <v>174</v>
      </c>
      <c r="S24" s="76" t="s">
        <v>173</v>
      </c>
      <c r="T24" s="76" t="s">
        <v>173</v>
      </c>
      <c r="U24" s="75" t="s">
        <v>174</v>
      </c>
      <c r="V24" s="76" t="s">
        <v>174</v>
      </c>
      <c r="W24" s="75" t="s">
        <v>174</v>
      </c>
      <c r="X24" s="77" t="s">
        <v>174</v>
      </c>
    </row>
    <row r="25" spans="2:90">
      <c r="B25" s="78" t="s">
        <v>199</v>
      </c>
      <c r="C25" s="80" t="s">
        <v>198</v>
      </c>
      <c r="D25" s="80" t="s">
        <v>171</v>
      </c>
      <c r="E25" s="80" t="s">
        <v>180</v>
      </c>
      <c r="F25" s="75"/>
      <c r="G25" s="76" t="s">
        <v>174</v>
      </c>
      <c r="H25" s="76"/>
      <c r="I25" s="76" t="s">
        <v>174</v>
      </c>
      <c r="J25" s="76" t="s">
        <v>174</v>
      </c>
      <c r="K25" s="76" t="s">
        <v>174</v>
      </c>
      <c r="L25" s="76" t="s">
        <v>174</v>
      </c>
      <c r="M25" s="76" t="s">
        <v>174</v>
      </c>
      <c r="N25" s="75" t="s">
        <v>173</v>
      </c>
      <c r="O25" s="75" t="s">
        <v>174</v>
      </c>
      <c r="P25" s="76" t="s">
        <v>173</v>
      </c>
      <c r="Q25" s="75" t="s">
        <v>174</v>
      </c>
      <c r="R25" s="75" t="s">
        <v>174</v>
      </c>
      <c r="S25" s="76" t="s">
        <v>173</v>
      </c>
      <c r="T25" s="76" t="s">
        <v>173</v>
      </c>
      <c r="U25" s="75" t="s">
        <v>174</v>
      </c>
      <c r="V25" s="76" t="s">
        <v>174</v>
      </c>
      <c r="W25" s="75" t="s">
        <v>174</v>
      </c>
      <c r="X25" s="77" t="s">
        <v>174</v>
      </c>
    </row>
    <row r="26" spans="2:90">
      <c r="B26" s="78" t="s">
        <v>200</v>
      </c>
      <c r="C26" s="79" t="s">
        <v>176</v>
      </c>
      <c r="D26" s="79" t="s">
        <v>171</v>
      </c>
      <c r="E26" s="79" t="s">
        <v>180</v>
      </c>
      <c r="F26" s="75"/>
      <c r="G26" s="76" t="s">
        <v>174</v>
      </c>
      <c r="H26" s="76"/>
      <c r="I26" s="76" t="s">
        <v>174</v>
      </c>
      <c r="J26" s="76" t="s">
        <v>174</v>
      </c>
      <c r="K26" s="76" t="s">
        <v>174</v>
      </c>
      <c r="L26" s="76" t="s">
        <v>174</v>
      </c>
      <c r="M26" s="76" t="s">
        <v>174</v>
      </c>
      <c r="N26" s="75" t="s">
        <v>173</v>
      </c>
      <c r="O26" s="75" t="s">
        <v>174</v>
      </c>
      <c r="P26" s="76" t="s">
        <v>173</v>
      </c>
      <c r="Q26" s="75" t="s">
        <v>174</v>
      </c>
      <c r="R26" s="75" t="s">
        <v>174</v>
      </c>
      <c r="S26" s="76" t="s">
        <v>173</v>
      </c>
      <c r="T26" s="76" t="s">
        <v>173</v>
      </c>
      <c r="U26" s="75" t="s">
        <v>174</v>
      </c>
      <c r="V26" s="76" t="s">
        <v>174</v>
      </c>
      <c r="W26" s="75" t="s">
        <v>174</v>
      </c>
      <c r="X26" s="77" t="s">
        <v>174</v>
      </c>
    </row>
    <row r="27" spans="2:90" ht="15.75" thickBot="1">
      <c r="B27" s="82" t="s">
        <v>201</v>
      </c>
      <c r="C27" s="83" t="s">
        <v>178</v>
      </c>
      <c r="D27" s="83" t="s">
        <v>171</v>
      </c>
      <c r="E27" s="83" t="s">
        <v>172</v>
      </c>
      <c r="F27" s="84"/>
      <c r="G27" s="85" t="s">
        <v>174</v>
      </c>
      <c r="H27" s="85"/>
      <c r="I27" s="85" t="s">
        <v>174</v>
      </c>
      <c r="J27" s="85" t="s">
        <v>174</v>
      </c>
      <c r="K27" s="85" t="s">
        <v>174</v>
      </c>
      <c r="L27" s="85" t="s">
        <v>174</v>
      </c>
      <c r="M27" s="85" t="s">
        <v>174</v>
      </c>
      <c r="N27" s="84" t="s">
        <v>173</v>
      </c>
      <c r="O27" s="84" t="s">
        <v>174</v>
      </c>
      <c r="P27" s="85" t="s">
        <v>173</v>
      </c>
      <c r="Q27" s="84" t="s">
        <v>174</v>
      </c>
      <c r="R27" s="84" t="s">
        <v>174</v>
      </c>
      <c r="S27" s="85" t="s">
        <v>174</v>
      </c>
      <c r="T27" s="85" t="s">
        <v>173</v>
      </c>
      <c r="U27" s="84" t="s">
        <v>174</v>
      </c>
      <c r="V27" s="85" t="s">
        <v>174</v>
      </c>
      <c r="W27" s="84" t="s">
        <v>174</v>
      </c>
      <c r="X27" s="86" t="s">
        <v>174</v>
      </c>
    </row>
    <row r="30" spans="2:90">
      <c r="B30" s="87" t="s">
        <v>202</v>
      </c>
    </row>
    <row r="31" spans="2:90">
      <c r="B31" s="88" t="s">
        <v>203</v>
      </c>
    </row>
    <row r="32" spans="2:90">
      <c r="AL32" s="2203"/>
      <c r="AM32" s="2203"/>
      <c r="AN32" s="2203"/>
      <c r="AO32" s="2203"/>
      <c r="AP32" s="2203"/>
      <c r="AQ32" s="2203"/>
      <c r="AR32" s="2203"/>
      <c r="AS32" s="2203"/>
      <c r="AT32" s="2203"/>
      <c r="AU32" s="2203"/>
      <c r="AV32" s="2203"/>
      <c r="AW32" s="2203"/>
      <c r="AX32" s="2203"/>
      <c r="AY32" s="2203"/>
      <c r="AZ32" s="2203"/>
      <c r="BA32" s="2203"/>
      <c r="BB32" s="2203"/>
      <c r="BC32" s="2203"/>
      <c r="BD32" s="2203"/>
      <c r="BE32" s="2203"/>
      <c r="BF32" s="2203"/>
      <c r="BG32" s="2203"/>
      <c r="BQ32" s="2203"/>
      <c r="BR32" s="2203"/>
      <c r="BS32" s="2203"/>
      <c r="BT32" s="2203"/>
      <c r="BU32" s="2203"/>
      <c r="BV32" s="2203"/>
      <c r="BW32" s="2203"/>
      <c r="BX32" s="2203"/>
      <c r="BY32" s="2203"/>
      <c r="BZ32" s="2203"/>
      <c r="CA32" s="2203"/>
      <c r="CB32" s="2203"/>
      <c r="CC32" s="2203"/>
      <c r="CD32" s="2203"/>
      <c r="CE32" s="2203"/>
      <c r="CF32" s="2203"/>
      <c r="CG32" s="2203"/>
      <c r="CH32" s="2203"/>
      <c r="CI32" s="2203"/>
      <c r="CJ32" s="2203"/>
      <c r="CK32" s="2203"/>
      <c r="CL32" s="2203"/>
    </row>
    <row r="33" spans="2:90">
      <c r="B33" s="89" t="s">
        <v>204</v>
      </c>
      <c r="AL33" s="2203"/>
      <c r="AM33" s="2203"/>
      <c r="AN33" s="2203"/>
      <c r="AO33" s="2203"/>
      <c r="AP33" s="2203"/>
      <c r="AQ33" s="2203"/>
      <c r="AR33" s="2203"/>
      <c r="AS33" s="2203"/>
      <c r="AT33" s="2203"/>
      <c r="AU33" s="2203"/>
      <c r="AV33" s="2203"/>
      <c r="AW33" s="2203"/>
      <c r="AX33" s="2203"/>
      <c r="AY33" s="2203"/>
      <c r="AZ33" s="2203"/>
      <c r="BA33" s="2203"/>
      <c r="BB33" s="2203"/>
      <c r="BC33" s="2203"/>
      <c r="BD33" s="2203"/>
      <c r="BE33" s="2203"/>
      <c r="BF33" s="2203"/>
      <c r="BG33" s="2203"/>
      <c r="BQ33" s="2203"/>
      <c r="BR33" s="2203"/>
      <c r="BS33" s="2203"/>
      <c r="BT33" s="2203"/>
      <c r="BU33" s="2203"/>
      <c r="BV33" s="2203"/>
      <c r="BW33" s="2203"/>
      <c r="BX33" s="2203"/>
      <c r="BY33" s="2203"/>
      <c r="BZ33" s="2203"/>
      <c r="CA33" s="2203"/>
      <c r="CB33" s="2203"/>
      <c r="CC33" s="2203"/>
      <c r="CD33" s="2203"/>
      <c r="CE33" s="2203"/>
      <c r="CF33" s="2203"/>
      <c r="CG33" s="2203"/>
      <c r="CH33" s="2203"/>
      <c r="CI33" s="2203"/>
      <c r="CJ33" s="2203"/>
      <c r="CK33" s="2203"/>
      <c r="CL33" s="2203"/>
    </row>
    <row r="34" spans="2:90">
      <c r="B34" s="90" t="s">
        <v>205</v>
      </c>
      <c r="C34" s="89"/>
      <c r="D34" s="90"/>
      <c r="E34" s="90"/>
      <c r="F34" s="89" t="s">
        <v>206</v>
      </c>
      <c r="G34" s="89"/>
      <c r="AL34" s="2203"/>
      <c r="AM34" s="2203"/>
      <c r="AN34" s="2203"/>
      <c r="AO34" s="2203"/>
      <c r="AP34" s="2203"/>
      <c r="AQ34" s="2203"/>
      <c r="AR34" s="2203"/>
      <c r="AS34" s="2203"/>
      <c r="AT34" s="2203"/>
      <c r="AU34" s="2203"/>
      <c r="AV34" s="2203"/>
      <c r="AW34" s="2203"/>
      <c r="AX34" s="2203"/>
      <c r="AY34" s="2203"/>
      <c r="AZ34" s="2203"/>
      <c r="BA34" s="2203"/>
      <c r="BB34" s="2203"/>
      <c r="BC34" s="2203"/>
      <c r="BD34" s="2203"/>
      <c r="BE34" s="2203"/>
      <c r="BF34" s="2203"/>
      <c r="BG34" s="2203"/>
      <c r="BQ34" s="2203"/>
      <c r="BR34" s="2203"/>
      <c r="BS34" s="2203"/>
      <c r="BT34" s="2203"/>
      <c r="BU34" s="2203"/>
      <c r="BV34" s="2203"/>
      <c r="BW34" s="2203"/>
      <c r="BX34" s="2203"/>
      <c r="BY34" s="2203"/>
      <c r="BZ34" s="2203"/>
      <c r="CA34" s="2203"/>
      <c r="CB34" s="2203"/>
      <c r="CC34" s="2203"/>
      <c r="CD34" s="2203"/>
      <c r="CE34" s="2203"/>
      <c r="CF34" s="2203"/>
      <c r="CG34" s="2203"/>
      <c r="CH34" s="2203"/>
      <c r="CI34" s="2203"/>
      <c r="CJ34" s="2203"/>
      <c r="CK34" s="2203"/>
      <c r="CL34" s="2203"/>
    </row>
    <row r="35" spans="2:90">
      <c r="B35" s="91"/>
      <c r="F35" s="92"/>
    </row>
    <row r="36" spans="2:90">
      <c r="B36" s="91" t="s">
        <v>207</v>
      </c>
      <c r="F36" s="91" t="s">
        <v>208</v>
      </c>
    </row>
    <row r="37" spans="2:90">
      <c r="B37" s="91" t="s">
        <v>209</v>
      </c>
      <c r="F37" s="91" t="s">
        <v>210</v>
      </c>
    </row>
    <row r="38" spans="2:90">
      <c r="B38" s="91" t="s">
        <v>211</v>
      </c>
      <c r="F38" s="91" t="s">
        <v>212</v>
      </c>
    </row>
    <row r="39" spans="2:90">
      <c r="B39" s="91" t="s">
        <v>213</v>
      </c>
      <c r="F39" s="92" t="s">
        <v>214</v>
      </c>
    </row>
    <row r="40" spans="2:90">
      <c r="B40" s="91" t="s">
        <v>215</v>
      </c>
      <c r="F40" s="91" t="s">
        <v>216</v>
      </c>
    </row>
    <row r="41" spans="2:90">
      <c r="B41" s="33" t="s">
        <v>217</v>
      </c>
      <c r="F41" s="33" t="s">
        <v>218</v>
      </c>
    </row>
    <row r="42" spans="2:90">
      <c r="B42" s="91"/>
    </row>
    <row r="44" spans="2:90">
      <c r="B44" s="92" t="s">
        <v>3</v>
      </c>
    </row>
    <row r="45" spans="2:90">
      <c r="B45" s="33" t="s">
        <v>219</v>
      </c>
    </row>
    <row r="46" spans="2:90">
      <c r="B46" s="33" t="s">
        <v>220</v>
      </c>
    </row>
    <row r="49" spans="2:3" ht="20.25">
      <c r="B49" s="11" t="s">
        <v>221</v>
      </c>
      <c r="C49" s="21"/>
    </row>
    <row r="50" spans="2:3" ht="36">
      <c r="B50" s="93"/>
      <c r="C50" s="21" t="s">
        <v>222</v>
      </c>
    </row>
    <row r="51" spans="2:3" ht="26.25">
      <c r="B51" s="94"/>
      <c r="C51" s="21" t="s">
        <v>223</v>
      </c>
    </row>
    <row r="52" spans="2:3" ht="15.75">
      <c r="B52" s="95"/>
      <c r="C52" s="21" t="s">
        <v>224</v>
      </c>
    </row>
    <row r="53" spans="2:3" ht="18.75">
      <c r="B53" s="96"/>
      <c r="C53" s="21" t="s">
        <v>225</v>
      </c>
    </row>
    <row r="54" spans="2:3">
      <c r="B54" s="97"/>
      <c r="C54" s="21" t="s">
        <v>226</v>
      </c>
    </row>
    <row r="55" spans="2:3">
      <c r="B55" s="98"/>
      <c r="C55" s="21" t="s">
        <v>227</v>
      </c>
    </row>
    <row r="56" spans="2:3">
      <c r="B56" s="99"/>
      <c r="C56" s="21" t="s">
        <v>228</v>
      </c>
    </row>
    <row r="57" spans="2:3" ht="15.75">
      <c r="B57" s="100"/>
      <c r="C57" s="21" t="s">
        <v>229</v>
      </c>
    </row>
    <row r="58" spans="2:3">
      <c r="B58" s="101"/>
      <c r="C58" s="1" t="s">
        <v>230</v>
      </c>
    </row>
    <row r="59" spans="2:3" ht="15.75" thickBot="1">
      <c r="B59" s="102"/>
      <c r="C59" s="21" t="s">
        <v>231</v>
      </c>
    </row>
    <row r="60" spans="2:3" ht="15.75" thickBot="1">
      <c r="B60" s="103"/>
      <c r="C60" s="21" t="s">
        <v>232</v>
      </c>
    </row>
    <row r="61" spans="2:3" ht="15.75" thickBot="1">
      <c r="B61" s="104"/>
      <c r="C61" s="1" t="s">
        <v>233</v>
      </c>
    </row>
    <row r="62" spans="2:3">
      <c r="B62" s="105"/>
      <c r="C62" s="1" t="s">
        <v>234</v>
      </c>
    </row>
    <row r="63" spans="2:3" ht="15.75" thickBot="1">
      <c r="B63" s="106"/>
      <c r="C63" s="1" t="s">
        <v>235</v>
      </c>
    </row>
    <row r="64" spans="2:3" ht="15.75" thickBot="1">
      <c r="B64" s="107"/>
      <c r="C64" s="1" t="s">
        <v>236</v>
      </c>
    </row>
    <row r="65" spans="2:3">
      <c r="B65" s="108"/>
      <c r="C65" s="1" t="s">
        <v>237</v>
      </c>
    </row>
    <row r="66" spans="2:3" ht="15.75" thickBot="1">
      <c r="B66" s="109"/>
      <c r="C66" s="1" t="s">
        <v>238</v>
      </c>
    </row>
    <row r="67" spans="2:3" ht="15.75" thickBot="1">
      <c r="B67" s="110"/>
      <c r="C67" s="1" t="s">
        <v>239</v>
      </c>
    </row>
    <row r="126" spans="3:3">
      <c r="C126" s="111"/>
    </row>
    <row r="127" spans="3:3">
      <c r="C127" s="111"/>
    </row>
  </sheetData>
  <mergeCells count="7">
    <mergeCell ref="AL34:BG34"/>
    <mergeCell ref="BQ34:CL34"/>
    <mergeCell ref="B4:V4"/>
    <mergeCell ref="AL32:BG32"/>
    <mergeCell ref="BQ32:CL32"/>
    <mergeCell ref="AL33:BG33"/>
    <mergeCell ref="BQ33:CL33"/>
  </mergeCells>
  <conditionalFormatting sqref="F7:X27">
    <cfRule type="cellIs" dxfId="15" priority="1" operator="equal">
      <formula>"Y"</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6C267-070C-40AB-AE56-608E309A8FAF}">
  <sheetPr codeName="Sheet11">
    <tabColor theme="1"/>
  </sheetPr>
  <dimension ref="B1:CK237"/>
  <sheetViews>
    <sheetView workbookViewId="0"/>
  </sheetViews>
  <sheetFormatPr defaultColWidth="9.140625" defaultRowHeight="15"/>
  <cols>
    <col min="1" max="1" width="11.140625" style="1" customWidth="1"/>
    <col min="2" max="2" width="47.28515625" style="1" customWidth="1"/>
    <col min="3" max="3" width="40.7109375" style="1" customWidth="1"/>
    <col min="4" max="4" width="31.42578125" style="1" customWidth="1"/>
    <col min="5" max="5" width="33.140625" style="1" customWidth="1"/>
    <col min="6" max="6" width="43.140625" style="1" customWidth="1"/>
    <col min="7" max="7" width="38.7109375" style="1" customWidth="1"/>
    <col min="8" max="8" width="24.28515625" style="1" customWidth="1"/>
    <col min="9" max="9" width="28.140625" style="1" customWidth="1"/>
    <col min="10" max="10" width="29" style="1" customWidth="1"/>
    <col min="11" max="11" width="23.7109375" style="1" customWidth="1"/>
    <col min="12" max="13" width="28.28515625" style="1" customWidth="1"/>
    <col min="14" max="14" width="24.5703125" style="1" customWidth="1"/>
    <col min="15" max="15" width="33" style="1" customWidth="1"/>
    <col min="16" max="16" width="47" style="1" customWidth="1"/>
    <col min="17" max="17" width="40.140625" style="1" customWidth="1"/>
    <col min="18" max="18" width="24.85546875" style="1" customWidth="1"/>
    <col min="19" max="19" width="22.7109375" style="1" customWidth="1"/>
    <col min="20" max="20" width="22" style="1" customWidth="1"/>
    <col min="21" max="22" width="9.140625" style="1"/>
    <col min="23" max="23" width="9.140625" style="1" customWidth="1"/>
    <col min="24" max="16384" width="9.140625" style="1"/>
  </cols>
  <sheetData>
    <row r="1" spans="2:28" ht="51" customHeight="1">
      <c r="B1" s="62" t="s">
        <v>240</v>
      </c>
      <c r="C1" s="63"/>
      <c r="D1" s="63"/>
      <c r="E1" s="63"/>
      <c r="F1" s="63"/>
      <c r="G1" s="63"/>
      <c r="H1" s="63"/>
      <c r="I1" s="63"/>
      <c r="J1" s="63"/>
      <c r="K1" s="63"/>
      <c r="L1" s="63"/>
      <c r="M1" s="63"/>
      <c r="N1" s="63"/>
    </row>
    <row r="2" spans="2:28" ht="30" customHeight="1"/>
    <row r="3" spans="2:28" ht="28.5">
      <c r="B3" s="112" t="s">
        <v>241</v>
      </c>
      <c r="C3" s="112"/>
      <c r="D3" s="112"/>
      <c r="E3" s="112"/>
      <c r="F3" s="112"/>
      <c r="G3" s="112"/>
      <c r="H3" s="112"/>
      <c r="I3" s="112"/>
      <c r="J3" s="112"/>
      <c r="K3" s="112"/>
      <c r="L3" s="112"/>
      <c r="M3" s="112"/>
      <c r="N3" s="112"/>
    </row>
    <row r="4" spans="2:28" ht="30" customHeight="1" thickBot="1"/>
    <row r="5" spans="2:28" ht="29.25" customHeight="1">
      <c r="B5" s="2217" t="s">
        <v>242</v>
      </c>
      <c r="C5" s="113" t="s">
        <v>243</v>
      </c>
      <c r="D5" s="113" t="s">
        <v>244</v>
      </c>
      <c r="E5" s="114"/>
      <c r="F5" s="4"/>
      <c r="W5" s="4"/>
      <c r="X5" s="4"/>
      <c r="AA5" s="115"/>
      <c r="AB5" s="115"/>
    </row>
    <row r="6" spans="2:28" ht="15" customHeight="1">
      <c r="B6" s="2217"/>
      <c r="C6" s="116" t="s">
        <v>245</v>
      </c>
      <c r="D6" s="116" t="s">
        <v>245</v>
      </c>
      <c r="E6" s="114"/>
      <c r="F6" s="4"/>
      <c r="W6" s="4"/>
      <c r="X6" s="4"/>
      <c r="AA6" s="115"/>
      <c r="AB6" s="115"/>
    </row>
    <row r="7" spans="2:28" ht="15" customHeight="1">
      <c r="B7" s="2217"/>
      <c r="C7" s="117" t="s">
        <v>246</v>
      </c>
      <c r="D7" s="118" t="s">
        <v>45</v>
      </c>
      <c r="E7" s="119"/>
      <c r="S7" s="4"/>
      <c r="T7" s="4"/>
      <c r="U7" s="4"/>
      <c r="V7" s="4"/>
      <c r="W7" s="4"/>
      <c r="X7" s="4"/>
    </row>
    <row r="8" spans="2:28" ht="15" customHeight="1">
      <c r="B8" s="2217"/>
      <c r="C8" s="120" t="s">
        <v>247</v>
      </c>
      <c r="D8" s="121" t="s">
        <v>202</v>
      </c>
      <c r="E8" s="119"/>
      <c r="S8" s="4"/>
      <c r="T8" s="4"/>
      <c r="U8" s="4"/>
      <c r="V8" s="4"/>
      <c r="W8" s="4"/>
      <c r="X8" s="4"/>
    </row>
    <row r="9" spans="2:28" ht="15" customHeight="1">
      <c r="B9" s="2217"/>
      <c r="C9" s="120" t="s">
        <v>43</v>
      </c>
      <c r="D9" s="122"/>
      <c r="E9" s="119"/>
      <c r="S9" s="4"/>
      <c r="T9" s="4"/>
      <c r="U9" s="4"/>
      <c r="V9" s="4"/>
      <c r="W9" s="4"/>
      <c r="X9" s="4"/>
    </row>
    <row r="10" spans="2:28" ht="15.75" customHeight="1" thickBot="1">
      <c r="B10" s="2217"/>
      <c r="C10" s="123"/>
      <c r="D10" s="124"/>
      <c r="E10" s="119"/>
      <c r="S10" s="4"/>
      <c r="T10" s="4"/>
      <c r="U10" s="4"/>
      <c r="V10" s="4"/>
      <c r="W10" s="4"/>
      <c r="X10" s="4"/>
    </row>
    <row r="11" spans="2:28" ht="15.75" thickBot="1">
      <c r="B11" s="2217"/>
      <c r="C11" s="21"/>
      <c r="D11" s="125"/>
      <c r="E11" s="119"/>
      <c r="S11" s="4"/>
      <c r="T11" s="4"/>
      <c r="U11" s="4"/>
      <c r="V11" s="4"/>
      <c r="W11" s="4"/>
      <c r="X11" s="4"/>
    </row>
    <row r="12" spans="2:28" ht="86.25" thickBot="1">
      <c r="B12" s="2217"/>
      <c r="C12" s="126" t="s">
        <v>248</v>
      </c>
      <c r="D12" s="126" t="s">
        <v>249</v>
      </c>
      <c r="G12" s="119"/>
      <c r="H12" s="33"/>
      <c r="S12" s="4"/>
      <c r="T12" s="4"/>
      <c r="U12" s="4"/>
      <c r="V12" s="4"/>
      <c r="W12" s="4"/>
      <c r="X12" s="4"/>
    </row>
    <row r="13" spans="2:28" ht="24" customHeight="1" thickBot="1">
      <c r="B13" s="2217"/>
      <c r="C13" s="113" t="s">
        <v>250</v>
      </c>
      <c r="D13" s="113" t="s">
        <v>251</v>
      </c>
      <c r="G13" s="119"/>
      <c r="H13" s="33"/>
      <c r="S13" s="4"/>
      <c r="T13" s="4"/>
      <c r="U13" s="4"/>
      <c r="V13" s="4"/>
      <c r="W13" s="4"/>
      <c r="X13" s="4"/>
    </row>
    <row r="14" spans="2:28">
      <c r="B14" s="2217"/>
      <c r="C14" s="127" t="s">
        <v>245</v>
      </c>
      <c r="D14" s="128" t="s">
        <v>252</v>
      </c>
      <c r="G14" s="119"/>
      <c r="S14" s="4"/>
      <c r="T14" s="4"/>
      <c r="U14" s="4"/>
      <c r="V14" s="4"/>
      <c r="W14" s="4"/>
      <c r="X14" s="4"/>
    </row>
    <row r="15" spans="2:28">
      <c r="B15" s="2217"/>
      <c r="C15" s="121" t="s">
        <v>253</v>
      </c>
      <c r="D15" s="129" t="s">
        <v>254</v>
      </c>
      <c r="H15" s="33"/>
      <c r="S15" s="4"/>
      <c r="T15" s="4"/>
      <c r="U15" s="4"/>
      <c r="V15" s="4"/>
      <c r="W15" s="4"/>
      <c r="X15" s="4"/>
    </row>
    <row r="16" spans="2:28" ht="15.75" thickBot="1">
      <c r="B16" s="2217"/>
      <c r="C16" s="121" t="s">
        <v>255</v>
      </c>
      <c r="D16" s="130" t="s">
        <v>256</v>
      </c>
      <c r="H16" s="33"/>
      <c r="S16" s="4"/>
      <c r="T16" s="4"/>
      <c r="U16" s="4"/>
      <c r="V16" s="4"/>
      <c r="W16" s="4"/>
      <c r="X16" s="4"/>
    </row>
    <row r="17" spans="2:89">
      <c r="B17" s="2217"/>
      <c r="C17" s="121" t="s">
        <v>257</v>
      </c>
      <c r="H17" s="33"/>
      <c r="S17" s="4"/>
      <c r="T17" s="4"/>
      <c r="U17" s="4"/>
      <c r="V17" s="4"/>
      <c r="W17" s="4"/>
      <c r="X17" s="4"/>
    </row>
    <row r="18" spans="2:89">
      <c r="B18" s="2217"/>
      <c r="C18" s="121" t="s">
        <v>258</v>
      </c>
      <c r="D18" s="21"/>
      <c r="S18" s="4"/>
      <c r="T18" s="4"/>
      <c r="U18" s="4"/>
      <c r="V18" s="4"/>
      <c r="W18" s="4"/>
      <c r="X18" s="4"/>
    </row>
    <row r="19" spans="2:89">
      <c r="B19" s="2217"/>
      <c r="C19" s="121" t="s">
        <v>259</v>
      </c>
      <c r="D19" s="21"/>
      <c r="S19" s="4"/>
      <c r="T19" s="4"/>
      <c r="U19" s="4"/>
      <c r="V19" s="4"/>
      <c r="W19" s="4"/>
      <c r="X19" s="4"/>
    </row>
    <row r="20" spans="2:89">
      <c r="B20" s="2217"/>
      <c r="C20" s="121" t="s">
        <v>260</v>
      </c>
      <c r="D20" s="21"/>
      <c r="J20" s="21"/>
      <c r="L20" s="131"/>
      <c r="O20" s="4"/>
      <c r="P20" s="4"/>
      <c r="Q20" s="4"/>
      <c r="R20" s="4"/>
      <c r="S20" s="4"/>
      <c r="T20" s="4"/>
      <c r="U20" s="4"/>
      <c r="V20" s="4"/>
      <c r="W20" s="4"/>
      <c r="X20" s="4"/>
    </row>
    <row r="21" spans="2:89">
      <c r="B21" s="2217"/>
      <c r="C21" s="121" t="s">
        <v>261</v>
      </c>
      <c r="D21" s="21"/>
      <c r="J21" s="21"/>
      <c r="L21" s="131"/>
      <c r="O21" s="4"/>
      <c r="P21" s="4"/>
      <c r="Q21" s="4"/>
      <c r="R21" s="4"/>
      <c r="S21" s="4"/>
      <c r="T21" s="4"/>
      <c r="U21" s="4"/>
      <c r="V21" s="4"/>
      <c r="W21" s="4"/>
      <c r="X21" s="4"/>
    </row>
    <row r="22" spans="2:89">
      <c r="B22" s="2217"/>
      <c r="C22" s="121" t="s">
        <v>262</v>
      </c>
      <c r="D22" s="21"/>
      <c r="J22" s="21"/>
      <c r="L22" s="131"/>
      <c r="O22" s="4"/>
      <c r="P22" s="4"/>
      <c r="Q22" s="4"/>
      <c r="R22" s="4"/>
      <c r="S22" s="4"/>
      <c r="T22" s="4"/>
      <c r="U22" s="4"/>
      <c r="V22" s="4"/>
      <c r="W22" s="4"/>
    </row>
    <row r="23" spans="2:89">
      <c r="B23" s="2217"/>
      <c r="C23" s="121" t="s">
        <v>263</v>
      </c>
      <c r="D23" s="21"/>
      <c r="J23" s="21"/>
      <c r="L23" s="131"/>
      <c r="O23" s="4"/>
      <c r="P23" s="4"/>
      <c r="Q23" s="4"/>
      <c r="R23" s="4"/>
      <c r="S23" s="4"/>
      <c r="T23" s="4"/>
      <c r="U23" s="4"/>
      <c r="V23" s="4"/>
      <c r="W23" s="4"/>
    </row>
    <row r="24" spans="2:89">
      <c r="B24" s="2217"/>
      <c r="C24" s="121" t="s">
        <v>264</v>
      </c>
      <c r="D24" s="21"/>
      <c r="J24" s="21"/>
      <c r="L24" s="131"/>
      <c r="O24" s="4"/>
      <c r="P24" s="4"/>
      <c r="Q24" s="4"/>
      <c r="R24" s="4"/>
      <c r="S24" s="4"/>
      <c r="T24" s="4"/>
      <c r="U24" s="4"/>
      <c r="V24" s="4"/>
      <c r="W24" s="4"/>
    </row>
    <row r="25" spans="2:89">
      <c r="B25" s="2217"/>
      <c r="C25" s="121" t="s">
        <v>265</v>
      </c>
      <c r="D25" s="21"/>
      <c r="G25" s="119"/>
      <c r="J25" s="21"/>
      <c r="L25" s="131"/>
      <c r="O25" s="4"/>
      <c r="P25" s="4"/>
      <c r="Q25" s="4"/>
      <c r="R25" s="4"/>
      <c r="S25" s="4"/>
      <c r="T25" s="4"/>
      <c r="U25" s="4"/>
      <c r="V25" s="4"/>
      <c r="W25" s="4"/>
    </row>
    <row r="26" spans="2:89">
      <c r="B26" s="2217"/>
      <c r="C26" s="121" t="s">
        <v>40</v>
      </c>
      <c r="D26" s="21"/>
      <c r="G26" s="119"/>
      <c r="J26" s="21"/>
      <c r="L26" s="131"/>
      <c r="O26" s="4"/>
      <c r="P26" s="4"/>
      <c r="Q26" s="4"/>
      <c r="R26" s="4"/>
      <c r="S26" s="4"/>
      <c r="T26" s="4"/>
      <c r="U26" s="4"/>
      <c r="V26" s="4"/>
      <c r="W26" s="4"/>
    </row>
    <row r="27" spans="2:89" ht="15.75" thickBot="1">
      <c r="B27" s="2217"/>
      <c r="C27" s="132" t="s">
        <v>266</v>
      </c>
      <c r="D27" s="21"/>
      <c r="G27" s="119"/>
      <c r="J27" s="21"/>
      <c r="L27" s="131"/>
      <c r="O27" s="4"/>
      <c r="P27" s="4"/>
      <c r="Q27" s="4"/>
      <c r="R27" s="4"/>
      <c r="S27" s="4"/>
      <c r="T27" s="4"/>
      <c r="U27" s="4"/>
      <c r="V27" s="4"/>
      <c r="W27" s="4"/>
    </row>
    <row r="28" spans="2:89" ht="15" customHeight="1">
      <c r="B28" s="133"/>
      <c r="G28" s="119"/>
      <c r="I28" s="33"/>
      <c r="J28" s="21"/>
      <c r="K28" s="33"/>
      <c r="L28" s="131"/>
      <c r="O28" s="4"/>
      <c r="P28" s="4"/>
      <c r="Q28" s="4"/>
      <c r="R28" s="4"/>
      <c r="S28" s="4"/>
      <c r="T28" s="4"/>
      <c r="U28" s="4"/>
      <c r="V28" s="4"/>
      <c r="W28" s="4"/>
    </row>
    <row r="29" spans="2:89" ht="28.5">
      <c r="B29" s="133"/>
    </row>
    <row r="30" spans="2:89" ht="29.25" thickBot="1">
      <c r="B30" s="133"/>
      <c r="D30" s="21"/>
      <c r="G30" s="119"/>
      <c r="K30" s="134" t="s">
        <v>267</v>
      </c>
      <c r="M30" s="131"/>
      <c r="N30" s="1" t="s">
        <v>268</v>
      </c>
      <c r="P30" s="4"/>
      <c r="Q30" s="4"/>
      <c r="R30" s="4"/>
      <c r="S30" s="4"/>
      <c r="T30" s="4"/>
      <c r="U30" s="4"/>
      <c r="V30" s="4"/>
      <c r="W30" s="4"/>
      <c r="X30" s="4"/>
    </row>
    <row r="31" spans="2:89" ht="30.75" customHeight="1" thickBot="1">
      <c r="B31" s="2218" t="s">
        <v>269</v>
      </c>
      <c r="C31" s="135" t="s">
        <v>270</v>
      </c>
      <c r="D31" s="136" t="s">
        <v>271</v>
      </c>
      <c r="E31" s="135" t="s">
        <v>272</v>
      </c>
      <c r="F31" s="136" t="s">
        <v>273</v>
      </c>
      <c r="G31" s="135" t="s">
        <v>274</v>
      </c>
      <c r="H31" s="137" t="s">
        <v>275</v>
      </c>
      <c r="I31" s="138" t="s">
        <v>276</v>
      </c>
      <c r="J31" s="139" t="s">
        <v>277</v>
      </c>
      <c r="K31" s="140" t="s">
        <v>278</v>
      </c>
      <c r="L31" s="141"/>
      <c r="N31" s="138" t="s">
        <v>279</v>
      </c>
      <c r="R31" s="4"/>
      <c r="S31" s="4"/>
      <c r="T31" s="4"/>
      <c r="U31" s="4"/>
      <c r="V31" s="4"/>
      <c r="W31" s="4"/>
    </row>
    <row r="32" spans="2:89" ht="15" customHeight="1">
      <c r="B32" s="2218"/>
      <c r="C32" s="142" t="s">
        <v>280</v>
      </c>
      <c r="D32" s="143" t="s">
        <v>281</v>
      </c>
      <c r="E32" s="144" t="s">
        <v>282</v>
      </c>
      <c r="F32" s="145" t="s">
        <v>283</v>
      </c>
      <c r="G32" s="146" t="s">
        <v>282</v>
      </c>
      <c r="H32" s="147" t="s">
        <v>284</v>
      </c>
      <c r="I32" s="148" t="s">
        <v>285</v>
      </c>
      <c r="J32" s="149" t="s">
        <v>286</v>
      </c>
      <c r="K32" s="2219" t="s">
        <v>285</v>
      </c>
      <c r="L32" s="150" t="s">
        <v>286</v>
      </c>
      <c r="N32" s="151" t="s">
        <v>287</v>
      </c>
      <c r="R32" s="4"/>
      <c r="S32" s="4"/>
      <c r="T32" s="4"/>
      <c r="U32" s="4"/>
      <c r="V32" s="4"/>
      <c r="W32" s="4"/>
      <c r="AK32" s="2203"/>
      <c r="AL32" s="2203"/>
      <c r="AM32" s="2203"/>
      <c r="AN32" s="2203"/>
      <c r="AO32" s="2203"/>
      <c r="AP32" s="2203"/>
      <c r="AQ32" s="2203"/>
      <c r="AR32" s="2203"/>
      <c r="AS32" s="2203"/>
      <c r="AT32" s="2203"/>
      <c r="AU32" s="2203"/>
      <c r="AV32" s="2203"/>
      <c r="AW32" s="2203"/>
      <c r="AX32" s="2203"/>
      <c r="AY32" s="2203"/>
      <c r="AZ32" s="2203"/>
      <c r="BA32" s="2203"/>
      <c r="BB32" s="2203"/>
      <c r="BC32" s="2203"/>
      <c r="BD32" s="2203"/>
      <c r="BE32" s="2203"/>
      <c r="BF32" s="2203"/>
      <c r="BP32" s="2203"/>
      <c r="BQ32" s="2203"/>
      <c r="BR32" s="2203"/>
      <c r="BS32" s="2203"/>
      <c r="BT32" s="2203"/>
      <c r="BU32" s="2203"/>
      <c r="BV32" s="2203"/>
      <c r="BW32" s="2203"/>
      <c r="BX32" s="2203"/>
      <c r="BY32" s="2203"/>
      <c r="BZ32" s="2203"/>
      <c r="CA32" s="2203"/>
      <c r="CB32" s="2203"/>
      <c r="CC32" s="2203"/>
      <c r="CD32" s="2203"/>
      <c r="CE32" s="2203"/>
      <c r="CF32" s="2203"/>
      <c r="CG32" s="2203"/>
      <c r="CH32" s="2203"/>
      <c r="CI32" s="2203"/>
      <c r="CJ32" s="2203"/>
      <c r="CK32" s="2203"/>
    </row>
    <row r="33" spans="2:89" ht="15" customHeight="1">
      <c r="B33" s="2218"/>
      <c r="C33" s="152" t="s">
        <v>288</v>
      </c>
      <c r="D33" s="153" t="s">
        <v>289</v>
      </c>
      <c r="E33" s="154" t="s">
        <v>290</v>
      </c>
      <c r="F33" s="154" t="s">
        <v>291</v>
      </c>
      <c r="G33" s="155" t="s">
        <v>290</v>
      </c>
      <c r="H33" s="156" t="s">
        <v>292</v>
      </c>
      <c r="I33" s="157" t="s">
        <v>293</v>
      </c>
      <c r="J33" s="158" t="s">
        <v>294</v>
      </c>
      <c r="K33" s="2220"/>
      <c r="L33" s="159" t="s">
        <v>294</v>
      </c>
      <c r="N33" s="160" t="s">
        <v>295</v>
      </c>
      <c r="R33" s="4"/>
      <c r="S33" s="4"/>
      <c r="T33" s="4"/>
      <c r="U33" s="4"/>
      <c r="V33" s="4"/>
      <c r="W33" s="4"/>
      <c r="AK33" s="2203"/>
      <c r="AL33" s="2203"/>
      <c r="AM33" s="2203"/>
      <c r="AN33" s="2203"/>
      <c r="AO33" s="2203"/>
      <c r="AP33" s="2203"/>
      <c r="AQ33" s="2203"/>
      <c r="AR33" s="2203"/>
      <c r="AS33" s="2203"/>
      <c r="AT33" s="2203"/>
      <c r="AU33" s="2203"/>
      <c r="AV33" s="2203"/>
      <c r="AW33" s="2203"/>
      <c r="AX33" s="2203"/>
      <c r="AY33" s="2203"/>
      <c r="AZ33" s="2203"/>
      <c r="BA33" s="2203"/>
      <c r="BB33" s="2203"/>
      <c r="BC33" s="2203"/>
      <c r="BD33" s="2203"/>
      <c r="BE33" s="2203"/>
      <c r="BF33" s="2203"/>
      <c r="BP33" s="2203"/>
      <c r="BQ33" s="2203"/>
      <c r="BR33" s="2203"/>
      <c r="BS33" s="2203"/>
      <c r="BT33" s="2203"/>
      <c r="BU33" s="2203"/>
      <c r="BV33" s="2203"/>
      <c r="BW33" s="2203"/>
      <c r="BX33" s="2203"/>
      <c r="BY33" s="2203"/>
      <c r="BZ33" s="2203"/>
      <c r="CA33" s="2203"/>
      <c r="CB33" s="2203"/>
      <c r="CC33" s="2203"/>
      <c r="CD33" s="2203"/>
      <c r="CE33" s="2203"/>
      <c r="CF33" s="2203"/>
      <c r="CG33" s="2203"/>
      <c r="CH33" s="2203"/>
      <c r="CI33" s="2203"/>
      <c r="CJ33" s="2203"/>
      <c r="CK33" s="2203"/>
    </row>
    <row r="34" spans="2:89" ht="15.75" customHeight="1">
      <c r="B34" s="2218"/>
      <c r="C34" s="152" t="s">
        <v>296</v>
      </c>
      <c r="D34" s="153" t="s">
        <v>297</v>
      </c>
      <c r="E34" s="161" t="s">
        <v>298</v>
      </c>
      <c r="F34" s="154" t="s">
        <v>299</v>
      </c>
      <c r="G34" s="162" t="s">
        <v>298</v>
      </c>
      <c r="H34" s="156" t="s">
        <v>300</v>
      </c>
      <c r="I34" s="157" t="s">
        <v>59</v>
      </c>
      <c r="J34" s="163" t="s">
        <v>59</v>
      </c>
      <c r="K34" s="2221"/>
      <c r="L34" s="164" t="s">
        <v>59</v>
      </c>
      <c r="N34" s="160" t="s">
        <v>301</v>
      </c>
      <c r="R34" s="4"/>
      <c r="S34" s="4"/>
      <c r="T34" s="4"/>
      <c r="U34" s="4"/>
      <c r="V34" s="4"/>
      <c r="W34" s="4"/>
      <c r="AK34" s="2203"/>
      <c r="AL34" s="2203"/>
      <c r="AM34" s="2203"/>
      <c r="AN34" s="2203"/>
      <c r="AO34" s="2203"/>
      <c r="AP34" s="2203"/>
      <c r="AQ34" s="2203"/>
      <c r="AR34" s="2203"/>
      <c r="AS34" s="2203"/>
      <c r="AT34" s="2203"/>
      <c r="AU34" s="2203"/>
      <c r="AV34" s="2203"/>
      <c r="AW34" s="2203"/>
      <c r="AX34" s="2203"/>
      <c r="AY34" s="2203"/>
      <c r="AZ34" s="2203"/>
      <c r="BA34" s="2203"/>
      <c r="BB34" s="2203"/>
      <c r="BC34" s="2203"/>
      <c r="BD34" s="2203"/>
      <c r="BE34" s="2203"/>
      <c r="BF34" s="2203"/>
      <c r="BP34" s="2203"/>
      <c r="BQ34" s="2203"/>
      <c r="BR34" s="2203"/>
      <c r="BS34" s="2203"/>
      <c r="BT34" s="2203"/>
      <c r="BU34" s="2203"/>
      <c r="BV34" s="2203"/>
      <c r="BW34" s="2203"/>
      <c r="BX34" s="2203"/>
      <c r="BY34" s="2203"/>
      <c r="BZ34" s="2203"/>
      <c r="CA34" s="2203"/>
      <c r="CB34" s="2203"/>
      <c r="CC34" s="2203"/>
      <c r="CD34" s="2203"/>
      <c r="CE34" s="2203"/>
      <c r="CF34" s="2203"/>
      <c r="CG34" s="2203"/>
      <c r="CH34" s="2203"/>
      <c r="CI34" s="2203"/>
      <c r="CJ34" s="2203"/>
      <c r="CK34" s="2203"/>
    </row>
    <row r="35" spans="2:89" ht="15.75" customHeight="1">
      <c r="B35" s="2218"/>
      <c r="C35" s="152" t="s">
        <v>59</v>
      </c>
      <c r="D35" s="153" t="s">
        <v>59</v>
      </c>
      <c r="E35" s="161" t="s">
        <v>302</v>
      </c>
      <c r="F35" s="154" t="s">
        <v>303</v>
      </c>
      <c r="G35" s="162" t="s">
        <v>302</v>
      </c>
      <c r="H35" s="156" t="s">
        <v>304</v>
      </c>
      <c r="I35" s="157" t="s">
        <v>305</v>
      </c>
      <c r="J35" s="165" t="s">
        <v>306</v>
      </c>
      <c r="K35" s="2222" t="s">
        <v>293</v>
      </c>
      <c r="L35" s="166" t="s">
        <v>306</v>
      </c>
      <c r="N35" s="160" t="s">
        <v>307</v>
      </c>
      <c r="R35" s="4"/>
      <c r="S35" s="4"/>
      <c r="T35" s="4"/>
      <c r="U35" s="4"/>
      <c r="V35" s="4"/>
      <c r="W35" s="4"/>
    </row>
    <row r="36" spans="2:89" ht="15" customHeight="1">
      <c r="B36" s="2218"/>
      <c r="C36" s="167"/>
      <c r="D36" s="168"/>
      <c r="E36" s="161" t="s">
        <v>308</v>
      </c>
      <c r="F36" s="154" t="s">
        <v>309</v>
      </c>
      <c r="G36" s="162" t="s">
        <v>310</v>
      </c>
      <c r="H36" s="156" t="s">
        <v>311</v>
      </c>
      <c r="I36" s="157" t="s">
        <v>312</v>
      </c>
      <c r="J36" s="169" t="s">
        <v>313</v>
      </c>
      <c r="K36" s="2220"/>
      <c r="L36" s="159" t="s">
        <v>313</v>
      </c>
      <c r="N36" s="160" t="s">
        <v>314</v>
      </c>
      <c r="R36" s="4"/>
      <c r="S36" s="4"/>
      <c r="T36" s="4"/>
      <c r="U36" s="4"/>
      <c r="V36" s="4"/>
      <c r="W36" s="4"/>
    </row>
    <row r="37" spans="2:89" ht="15" customHeight="1">
      <c r="B37" s="2218"/>
      <c r="C37" s="167"/>
      <c r="D37" s="168"/>
      <c r="E37" s="161" t="s">
        <v>315</v>
      </c>
      <c r="F37" s="154" t="s">
        <v>316</v>
      </c>
      <c r="G37" s="162" t="s">
        <v>308</v>
      </c>
      <c r="H37" s="156" t="s">
        <v>317</v>
      </c>
      <c r="I37" s="157" t="s">
        <v>318</v>
      </c>
      <c r="J37" s="169" t="s">
        <v>319</v>
      </c>
      <c r="K37" s="2220"/>
      <c r="L37" s="159" t="s">
        <v>319</v>
      </c>
      <c r="N37" s="160" t="s">
        <v>320</v>
      </c>
      <c r="U37" s="4"/>
      <c r="V37" s="4"/>
      <c r="W37" s="4"/>
    </row>
    <row r="38" spans="2:89" ht="15" customHeight="1">
      <c r="B38" s="2218"/>
      <c r="C38" s="167"/>
      <c r="D38" s="168"/>
      <c r="E38" s="161" t="s">
        <v>321</v>
      </c>
      <c r="F38" s="154" t="s">
        <v>322</v>
      </c>
      <c r="G38" s="162" t="s">
        <v>315</v>
      </c>
      <c r="H38" s="156" t="s">
        <v>323</v>
      </c>
      <c r="I38" s="157" t="s">
        <v>324</v>
      </c>
      <c r="J38" s="169" t="s">
        <v>288</v>
      </c>
      <c r="K38" s="2220"/>
      <c r="L38" s="159" t="s">
        <v>288</v>
      </c>
      <c r="N38" s="160" t="s">
        <v>325</v>
      </c>
      <c r="R38" s="4"/>
      <c r="S38" s="4"/>
      <c r="T38" s="4"/>
      <c r="U38" s="4"/>
      <c r="V38" s="4"/>
      <c r="W38" s="4"/>
    </row>
    <row r="39" spans="2:89" ht="15.75" customHeight="1">
      <c r="B39" s="2218"/>
      <c r="C39" s="167"/>
      <c r="D39" s="168"/>
      <c r="E39" s="170"/>
      <c r="F39" s="154" t="s">
        <v>326</v>
      </c>
      <c r="G39" s="162" t="s">
        <v>321</v>
      </c>
      <c r="H39" s="156" t="s">
        <v>327</v>
      </c>
      <c r="I39" s="157" t="s">
        <v>328</v>
      </c>
      <c r="J39" s="171" t="s">
        <v>329</v>
      </c>
      <c r="K39" s="2221"/>
      <c r="L39" s="164" t="s">
        <v>329</v>
      </c>
      <c r="N39" s="160" t="s">
        <v>330</v>
      </c>
      <c r="R39" s="4"/>
      <c r="S39" s="4"/>
      <c r="T39" s="4"/>
      <c r="U39" s="4"/>
      <c r="V39" s="4"/>
      <c r="W39" s="4"/>
    </row>
    <row r="40" spans="2:89" ht="15" customHeight="1">
      <c r="B40" s="2218"/>
      <c r="C40" s="167"/>
      <c r="D40" s="168"/>
      <c r="E40" s="170"/>
      <c r="F40" s="154" t="s">
        <v>331</v>
      </c>
      <c r="G40" s="172"/>
      <c r="H40" s="156" t="s">
        <v>332</v>
      </c>
      <c r="I40" s="157" t="s">
        <v>304</v>
      </c>
      <c r="J40" s="173" t="s">
        <v>333</v>
      </c>
      <c r="K40" s="174" t="s">
        <v>59</v>
      </c>
      <c r="L40" s="175" t="s">
        <v>333</v>
      </c>
      <c r="N40" s="160" t="s">
        <v>334</v>
      </c>
      <c r="R40" s="4"/>
      <c r="S40" s="4"/>
      <c r="T40" s="4"/>
      <c r="U40" s="4"/>
      <c r="V40" s="4"/>
      <c r="W40" s="4"/>
    </row>
    <row r="41" spans="2:89" ht="15.75" customHeight="1">
      <c r="B41" s="2218"/>
      <c r="C41" s="167"/>
      <c r="D41" s="176"/>
      <c r="E41" s="170"/>
      <c r="F41" s="154" t="s">
        <v>335</v>
      </c>
      <c r="G41" s="172"/>
      <c r="H41" s="156" t="s">
        <v>59</v>
      </c>
      <c r="I41" s="157" t="s">
        <v>284</v>
      </c>
      <c r="J41" s="177" t="s">
        <v>336</v>
      </c>
      <c r="K41" s="178" t="s">
        <v>305</v>
      </c>
      <c r="L41" s="179"/>
      <c r="N41" s="160" t="s">
        <v>337</v>
      </c>
      <c r="R41" s="4"/>
      <c r="S41" s="4"/>
      <c r="T41" s="4"/>
      <c r="U41" s="4"/>
      <c r="V41" s="4"/>
      <c r="W41" s="4"/>
    </row>
    <row r="42" spans="2:89" ht="15.75" customHeight="1" thickBot="1">
      <c r="B42" s="2218"/>
      <c r="C42" s="167"/>
      <c r="D42" s="176"/>
      <c r="E42" s="170"/>
      <c r="F42" s="154" t="s">
        <v>338</v>
      </c>
      <c r="G42" s="172"/>
      <c r="H42" s="167"/>
      <c r="I42" s="157" t="s">
        <v>339</v>
      </c>
      <c r="J42" s="158" t="s">
        <v>340</v>
      </c>
      <c r="K42" s="178" t="s">
        <v>312</v>
      </c>
      <c r="L42" s="179"/>
      <c r="N42" s="160" t="s">
        <v>59</v>
      </c>
      <c r="R42" s="4"/>
      <c r="S42" s="4"/>
      <c r="T42" s="4"/>
      <c r="U42" s="4"/>
      <c r="V42" s="4"/>
      <c r="W42" s="4"/>
    </row>
    <row r="43" spans="2:89" ht="15" customHeight="1">
      <c r="B43" s="2218"/>
      <c r="C43" s="167"/>
      <c r="D43" s="176"/>
      <c r="E43" s="170"/>
      <c r="F43" s="154" t="s">
        <v>341</v>
      </c>
      <c r="G43" s="172"/>
      <c r="H43" s="167"/>
      <c r="I43" s="157" t="s">
        <v>342</v>
      </c>
      <c r="J43" s="180" t="s">
        <v>343</v>
      </c>
      <c r="K43" s="2222" t="s">
        <v>318</v>
      </c>
      <c r="L43" s="181" t="s">
        <v>336</v>
      </c>
      <c r="N43" s="168"/>
      <c r="R43" s="4"/>
      <c r="S43" s="4"/>
      <c r="T43" s="4"/>
      <c r="U43" s="4"/>
      <c r="V43" s="4"/>
      <c r="W43" s="4"/>
    </row>
    <row r="44" spans="2:89" ht="15.75" customHeight="1">
      <c r="B44" s="2218"/>
      <c r="C44" s="167"/>
      <c r="D44" s="176"/>
      <c r="E44" s="170"/>
      <c r="F44" s="154" t="s">
        <v>59</v>
      </c>
      <c r="G44" s="172"/>
      <c r="H44" s="167"/>
      <c r="I44" s="157" t="s">
        <v>344</v>
      </c>
      <c r="J44" s="169" t="s">
        <v>59</v>
      </c>
      <c r="K44" s="2221"/>
      <c r="L44" s="182" t="s">
        <v>340</v>
      </c>
      <c r="N44" s="168"/>
      <c r="R44" s="4"/>
      <c r="S44" s="4"/>
      <c r="T44" s="4"/>
      <c r="U44" s="4"/>
      <c r="V44" s="4"/>
      <c r="W44" s="4"/>
    </row>
    <row r="45" spans="2:89">
      <c r="B45" s="2218"/>
      <c r="C45" s="167"/>
      <c r="D45" s="168"/>
      <c r="E45" s="168"/>
      <c r="F45" s="168"/>
      <c r="G45" s="172"/>
      <c r="H45" s="167"/>
      <c r="I45" s="157" t="s">
        <v>345</v>
      </c>
      <c r="J45" s="169" t="s">
        <v>346</v>
      </c>
      <c r="K45" s="183" t="s">
        <v>324</v>
      </c>
      <c r="L45" s="184" t="s">
        <v>343</v>
      </c>
      <c r="N45" s="168"/>
    </row>
    <row r="46" spans="2:89">
      <c r="B46" s="2218"/>
      <c r="C46" s="167"/>
      <c r="D46" s="168"/>
      <c r="E46" s="168"/>
      <c r="F46" s="168"/>
      <c r="G46" s="172"/>
      <c r="H46" s="167"/>
      <c r="I46" s="157" t="s">
        <v>347</v>
      </c>
      <c r="J46" s="169" t="s">
        <v>348</v>
      </c>
      <c r="K46" s="183"/>
      <c r="L46" s="185" t="s">
        <v>59</v>
      </c>
      <c r="N46" s="168"/>
    </row>
    <row r="47" spans="2:89">
      <c r="B47" s="2218"/>
      <c r="C47" s="167"/>
      <c r="D47" s="168"/>
      <c r="E47" s="168"/>
      <c r="F47" s="168"/>
      <c r="G47" s="172"/>
      <c r="H47" s="167"/>
      <c r="I47" s="157" t="s">
        <v>349</v>
      </c>
      <c r="J47" s="158" t="s">
        <v>350</v>
      </c>
      <c r="K47" s="183"/>
      <c r="L47" s="185" t="s">
        <v>346</v>
      </c>
      <c r="N47" s="168"/>
    </row>
    <row r="48" spans="2:89">
      <c r="B48" s="2218"/>
      <c r="C48" s="167"/>
      <c r="D48" s="168"/>
      <c r="E48" s="168"/>
      <c r="F48" s="168"/>
      <c r="G48" s="172"/>
      <c r="H48" s="167"/>
      <c r="I48" s="168"/>
      <c r="J48" s="173" t="s">
        <v>328</v>
      </c>
      <c r="K48" s="183"/>
      <c r="L48" s="185" t="s">
        <v>348</v>
      </c>
      <c r="N48" s="168"/>
    </row>
    <row r="49" spans="2:23">
      <c r="B49" s="2218"/>
      <c r="C49" s="167"/>
      <c r="D49" s="168"/>
      <c r="E49" s="168"/>
      <c r="F49" s="168"/>
      <c r="G49" s="172"/>
      <c r="H49" s="167"/>
      <c r="I49" s="168"/>
      <c r="J49" s="177" t="s">
        <v>351</v>
      </c>
      <c r="K49" s="174"/>
      <c r="L49" s="182" t="s">
        <v>350</v>
      </c>
      <c r="N49" s="168"/>
    </row>
    <row r="50" spans="2:23">
      <c r="B50" s="2218"/>
      <c r="C50" s="167"/>
      <c r="D50" s="168"/>
      <c r="E50" s="168"/>
      <c r="F50" s="168"/>
      <c r="G50" s="172"/>
      <c r="H50" s="167"/>
      <c r="I50" s="168"/>
      <c r="J50" s="169" t="s">
        <v>352</v>
      </c>
      <c r="K50" s="174" t="s">
        <v>328</v>
      </c>
      <c r="L50" s="186" t="s">
        <v>328</v>
      </c>
      <c r="N50" s="168"/>
    </row>
    <row r="51" spans="2:23">
      <c r="B51" s="2218"/>
      <c r="C51" s="167"/>
      <c r="D51" s="168"/>
      <c r="E51" s="168"/>
      <c r="F51" s="168"/>
      <c r="G51" s="172"/>
      <c r="H51" s="167"/>
      <c r="I51" s="187"/>
      <c r="J51" s="169" t="s">
        <v>353</v>
      </c>
      <c r="K51" s="188" t="s">
        <v>304</v>
      </c>
      <c r="L51" s="189" t="s">
        <v>351</v>
      </c>
      <c r="N51" s="187"/>
      <c r="Q51" s="4"/>
      <c r="R51" s="4"/>
      <c r="S51" s="4"/>
      <c r="T51" s="4"/>
      <c r="U51" s="4"/>
      <c r="V51" s="4"/>
    </row>
    <row r="52" spans="2:23">
      <c r="B52" s="2218"/>
      <c r="C52" s="167"/>
      <c r="D52" s="168"/>
      <c r="E52" s="168"/>
      <c r="F52" s="168"/>
      <c r="G52" s="172"/>
      <c r="H52" s="167"/>
      <c r="I52" s="187"/>
      <c r="J52" s="169" t="s">
        <v>354</v>
      </c>
      <c r="K52" s="188"/>
      <c r="L52" s="185" t="s">
        <v>352</v>
      </c>
      <c r="N52" s="187"/>
      <c r="Q52" s="4"/>
      <c r="R52" s="4"/>
      <c r="S52" s="4"/>
      <c r="T52" s="4"/>
      <c r="U52" s="4"/>
      <c r="V52" s="4"/>
    </row>
    <row r="53" spans="2:23">
      <c r="B53" s="2218"/>
      <c r="C53" s="167"/>
      <c r="D53" s="168"/>
      <c r="E53" s="168"/>
      <c r="F53" s="168"/>
      <c r="G53" s="172"/>
      <c r="H53" s="167"/>
      <c r="I53" s="187"/>
      <c r="J53" s="190"/>
      <c r="K53" s="188"/>
      <c r="L53" s="185" t="s">
        <v>353</v>
      </c>
      <c r="N53" s="187"/>
      <c r="Q53" s="4"/>
      <c r="R53" s="4"/>
      <c r="S53" s="4"/>
      <c r="T53" s="4"/>
      <c r="U53" s="4"/>
      <c r="V53" s="4"/>
    </row>
    <row r="54" spans="2:23" ht="15.75" thickBot="1">
      <c r="B54" s="2218"/>
      <c r="C54" s="191"/>
      <c r="D54" s="192"/>
      <c r="E54" s="192"/>
      <c r="F54" s="192"/>
      <c r="G54" s="193"/>
      <c r="H54" s="191"/>
      <c r="I54" s="194"/>
      <c r="J54" s="195"/>
      <c r="K54" s="196"/>
      <c r="L54" s="182" t="s">
        <v>354</v>
      </c>
      <c r="N54" s="194"/>
      <c r="Q54" s="4"/>
      <c r="R54" s="4"/>
      <c r="S54" s="4"/>
      <c r="T54" s="4"/>
      <c r="U54" s="4"/>
      <c r="V54" s="4"/>
    </row>
    <row r="55" spans="2:23">
      <c r="I55" s="4"/>
      <c r="K55" s="174" t="s">
        <v>284</v>
      </c>
      <c r="L55" s="179"/>
      <c r="Q55" s="4"/>
      <c r="R55" s="4"/>
      <c r="S55" s="4"/>
      <c r="T55" s="4"/>
      <c r="U55" s="4"/>
      <c r="V55" s="4"/>
    </row>
    <row r="56" spans="2:23">
      <c r="I56" s="4"/>
      <c r="K56" s="197" t="s">
        <v>339</v>
      </c>
      <c r="L56" s="179"/>
      <c r="Q56" s="4"/>
      <c r="R56" s="4"/>
      <c r="S56" s="4"/>
      <c r="T56" s="4"/>
      <c r="U56" s="4"/>
      <c r="V56" s="4"/>
    </row>
    <row r="57" spans="2:23" ht="15.75" customHeight="1">
      <c r="I57" s="4"/>
      <c r="K57" s="198" t="s">
        <v>342</v>
      </c>
      <c r="L57" s="179"/>
      <c r="Q57" s="4"/>
      <c r="R57" s="4"/>
      <c r="S57" s="4"/>
      <c r="T57" s="4"/>
      <c r="U57" s="4"/>
      <c r="V57" s="4"/>
    </row>
    <row r="58" spans="2:23">
      <c r="I58" s="4"/>
      <c r="K58" s="198" t="s">
        <v>344</v>
      </c>
      <c r="L58" s="179"/>
      <c r="Q58" s="4"/>
      <c r="R58" s="4"/>
      <c r="S58" s="4"/>
      <c r="T58" s="4"/>
      <c r="U58" s="4"/>
      <c r="V58" s="4"/>
    </row>
    <row r="59" spans="2:23">
      <c r="I59" s="4"/>
      <c r="K59" s="198" t="s">
        <v>345</v>
      </c>
      <c r="L59" s="179"/>
      <c r="Q59" s="4"/>
      <c r="R59" s="4"/>
      <c r="S59" s="4"/>
      <c r="T59" s="4"/>
      <c r="U59" s="4"/>
      <c r="V59" s="4"/>
    </row>
    <row r="60" spans="2:23">
      <c r="I60" s="4"/>
      <c r="K60" s="198" t="s">
        <v>347</v>
      </c>
      <c r="L60" s="179"/>
      <c r="Q60" s="4"/>
      <c r="R60" s="4"/>
      <c r="S60" s="4"/>
      <c r="T60" s="4"/>
      <c r="U60" s="4"/>
      <c r="V60" s="4"/>
    </row>
    <row r="61" spans="2:23" ht="15.75" thickBot="1">
      <c r="I61" s="4"/>
      <c r="K61" s="199" t="s">
        <v>349</v>
      </c>
      <c r="L61" s="200"/>
      <c r="Q61" s="4"/>
      <c r="R61" s="4"/>
      <c r="S61" s="4"/>
      <c r="T61" s="4"/>
      <c r="U61" s="4"/>
      <c r="V61" s="4"/>
    </row>
    <row r="62" spans="2:23">
      <c r="I62" s="4"/>
      <c r="J62" s="4"/>
      <c r="K62" s="4"/>
      <c r="R62" s="4"/>
      <c r="S62" s="4"/>
      <c r="T62" s="4"/>
      <c r="U62" s="4"/>
      <c r="V62" s="4"/>
      <c r="W62" s="4"/>
    </row>
    <row r="63" spans="2:23" ht="29.25" thickBot="1">
      <c r="B63" s="133"/>
      <c r="K63" s="21"/>
      <c r="L63" s="131"/>
      <c r="O63" s="4"/>
      <c r="P63" s="4"/>
      <c r="Q63" s="4"/>
      <c r="R63" s="4"/>
      <c r="S63" s="4"/>
      <c r="T63" s="4"/>
      <c r="U63" s="4"/>
      <c r="V63" s="4"/>
      <c r="W63" s="4"/>
    </row>
    <row r="64" spans="2:23" ht="30.75" thickBot="1">
      <c r="B64" s="2223" t="s">
        <v>355</v>
      </c>
      <c r="C64" s="135" t="s">
        <v>356</v>
      </c>
      <c r="D64" s="136" t="s">
        <v>357</v>
      </c>
      <c r="E64" s="135" t="s">
        <v>358</v>
      </c>
      <c r="F64" s="136" t="s">
        <v>359</v>
      </c>
      <c r="G64" s="135" t="s">
        <v>360</v>
      </c>
      <c r="J64" s="21"/>
      <c r="K64" s="21"/>
      <c r="L64" s="131"/>
      <c r="O64" s="4"/>
      <c r="P64" s="4"/>
      <c r="Q64" s="4"/>
      <c r="R64" s="4"/>
      <c r="S64" s="4"/>
      <c r="T64" s="4"/>
      <c r="U64" s="4"/>
      <c r="V64" s="4"/>
      <c r="W64" s="4"/>
    </row>
    <row r="65" spans="2:7">
      <c r="B65" s="2218"/>
      <c r="C65" s="142" t="s">
        <v>361</v>
      </c>
      <c r="D65" s="143" t="s">
        <v>281</v>
      </c>
      <c r="E65" s="144" t="s">
        <v>282</v>
      </c>
      <c r="F65" s="145" t="s">
        <v>283</v>
      </c>
      <c r="G65" s="201" t="s">
        <v>282</v>
      </c>
    </row>
    <row r="66" spans="2:7">
      <c r="B66" s="2218"/>
      <c r="C66" s="152" t="s">
        <v>296</v>
      </c>
      <c r="D66" s="153" t="s">
        <v>362</v>
      </c>
      <c r="E66" s="154" t="s">
        <v>290</v>
      </c>
      <c r="F66" s="154" t="s">
        <v>291</v>
      </c>
      <c r="G66" s="202" t="s">
        <v>290</v>
      </c>
    </row>
    <row r="67" spans="2:7">
      <c r="B67" s="2218"/>
      <c r="C67" s="152" t="s">
        <v>363</v>
      </c>
      <c r="D67" s="153" t="s">
        <v>364</v>
      </c>
      <c r="E67" s="161" t="s">
        <v>298</v>
      </c>
      <c r="F67" s="154" t="s">
        <v>299</v>
      </c>
      <c r="G67" s="203" t="s">
        <v>298</v>
      </c>
    </row>
    <row r="68" spans="2:7">
      <c r="B68" s="2218"/>
      <c r="C68" s="152" t="s">
        <v>59</v>
      </c>
      <c r="D68" s="153" t="s">
        <v>59</v>
      </c>
      <c r="E68" s="161" t="s">
        <v>302</v>
      </c>
      <c r="F68" s="154" t="s">
        <v>303</v>
      </c>
      <c r="G68" s="203" t="s">
        <v>302</v>
      </c>
    </row>
    <row r="69" spans="2:7">
      <c r="B69" s="2218"/>
      <c r="C69" s="167"/>
      <c r="D69" s="168"/>
      <c r="E69" s="161" t="s">
        <v>365</v>
      </c>
      <c r="F69" s="154" t="s">
        <v>309</v>
      </c>
      <c r="G69" s="203" t="s">
        <v>310</v>
      </c>
    </row>
    <row r="70" spans="2:7">
      <c r="B70" s="2218"/>
      <c r="C70" s="167"/>
      <c r="D70" s="168"/>
      <c r="E70" s="161" t="s">
        <v>308</v>
      </c>
      <c r="F70" s="154" t="s">
        <v>316</v>
      </c>
      <c r="G70" s="203" t="s">
        <v>308</v>
      </c>
    </row>
    <row r="71" spans="2:7">
      <c r="B71" s="2218"/>
      <c r="C71" s="167"/>
      <c r="D71" s="168"/>
      <c r="E71" s="161" t="s">
        <v>315</v>
      </c>
      <c r="F71" s="154" t="s">
        <v>322</v>
      </c>
      <c r="G71" s="203" t="s">
        <v>315</v>
      </c>
    </row>
    <row r="72" spans="2:7">
      <c r="B72" s="2218"/>
      <c r="C72" s="167"/>
      <c r="D72" s="168"/>
      <c r="E72" s="161" t="s">
        <v>321</v>
      </c>
      <c r="F72" s="154" t="s">
        <v>326</v>
      </c>
      <c r="G72" s="203" t="s">
        <v>321</v>
      </c>
    </row>
    <row r="73" spans="2:7">
      <c r="B73" s="2218"/>
      <c r="C73" s="167"/>
      <c r="D73" s="168"/>
      <c r="E73" s="168"/>
      <c r="F73" s="154" t="s">
        <v>331</v>
      </c>
      <c r="G73" s="204"/>
    </row>
    <row r="74" spans="2:7">
      <c r="B74" s="2218"/>
      <c r="C74" s="167"/>
      <c r="D74" s="168"/>
      <c r="E74" s="168"/>
      <c r="F74" s="154" t="s">
        <v>335</v>
      </c>
      <c r="G74" s="204"/>
    </row>
    <row r="75" spans="2:7">
      <c r="B75" s="2218"/>
      <c r="C75" s="167"/>
      <c r="D75" s="168"/>
      <c r="E75" s="168"/>
      <c r="F75" s="154" t="s">
        <v>338</v>
      </c>
      <c r="G75" s="204"/>
    </row>
    <row r="76" spans="2:7">
      <c r="B76" s="2218"/>
      <c r="C76" s="167"/>
      <c r="D76" s="168"/>
      <c r="E76" s="168"/>
      <c r="F76" s="154" t="s">
        <v>341</v>
      </c>
      <c r="G76" s="204"/>
    </row>
    <row r="77" spans="2:7" ht="15.75" thickBot="1">
      <c r="B77" s="2218"/>
      <c r="C77" s="191"/>
      <c r="D77" s="192"/>
      <c r="E77" s="192"/>
      <c r="F77" s="205" t="s">
        <v>59</v>
      </c>
      <c r="G77" s="206"/>
    </row>
    <row r="80" spans="2:7" ht="28.5">
      <c r="B80" s="133"/>
    </row>
    <row r="81" spans="2:22" ht="31.5">
      <c r="B81" s="207" t="s">
        <v>366</v>
      </c>
      <c r="C81" s="208"/>
      <c r="D81" s="208"/>
      <c r="E81" s="208"/>
      <c r="F81" s="208"/>
      <c r="G81" s="208"/>
      <c r="H81" s="208"/>
      <c r="I81" s="208"/>
      <c r="J81" s="208"/>
      <c r="K81" s="208"/>
      <c r="L81" s="208"/>
      <c r="M81" s="208"/>
      <c r="N81" s="208"/>
      <c r="O81" s="208"/>
    </row>
    <row r="82" spans="2:22" ht="30.75" customHeight="1" thickBot="1">
      <c r="B82" s="133"/>
      <c r="C82" s="4"/>
      <c r="D82" s="209"/>
      <c r="E82" s="209"/>
      <c r="F82" s="209"/>
      <c r="G82" s="209"/>
      <c r="H82" s="4"/>
      <c r="I82" s="4"/>
      <c r="J82" s="4"/>
      <c r="K82" s="4"/>
      <c r="L82" s="4"/>
      <c r="V82" s="4"/>
    </row>
    <row r="83" spans="2:22" s="215" customFormat="1" ht="42" customHeight="1" thickBot="1">
      <c r="B83" s="2223" t="s">
        <v>367</v>
      </c>
      <c r="C83" s="210" t="s">
        <v>368</v>
      </c>
      <c r="D83" s="211" t="s">
        <v>369</v>
      </c>
      <c r="E83" s="212" t="s">
        <v>370</v>
      </c>
      <c r="F83" s="211" t="s">
        <v>371</v>
      </c>
      <c r="G83" s="211" t="s">
        <v>372</v>
      </c>
      <c r="H83" s="211" t="s">
        <v>373</v>
      </c>
      <c r="I83" s="211" t="s">
        <v>374</v>
      </c>
      <c r="J83" s="211" t="s">
        <v>375</v>
      </c>
      <c r="K83" s="213" t="s">
        <v>376</v>
      </c>
      <c r="L83" s="214" t="s">
        <v>377</v>
      </c>
      <c r="M83" s="211" t="s">
        <v>378</v>
      </c>
      <c r="N83" s="211" t="s">
        <v>379</v>
      </c>
      <c r="O83" s="211" t="s">
        <v>380</v>
      </c>
      <c r="V83" s="216"/>
    </row>
    <row r="84" spans="2:22" ht="15" customHeight="1">
      <c r="B84" s="2218"/>
      <c r="C84" s="217" t="s">
        <v>381</v>
      </c>
      <c r="D84" s="218" t="s">
        <v>382</v>
      </c>
      <c r="E84" s="218" t="s">
        <v>382</v>
      </c>
      <c r="F84" s="218" t="s">
        <v>382</v>
      </c>
      <c r="G84" s="218" t="s">
        <v>382</v>
      </c>
      <c r="H84" s="219" t="s">
        <v>67</v>
      </c>
      <c r="I84" s="219" t="s">
        <v>67</v>
      </c>
      <c r="J84" s="219" t="s">
        <v>70</v>
      </c>
      <c r="K84" s="220" t="s">
        <v>382</v>
      </c>
      <c r="L84" s="221" t="s">
        <v>383</v>
      </c>
      <c r="M84" s="222" t="s">
        <v>68</v>
      </c>
      <c r="N84" s="219" t="s">
        <v>68</v>
      </c>
      <c r="O84" s="223" t="s">
        <v>384</v>
      </c>
      <c r="V84" s="4"/>
    </row>
    <row r="85" spans="2:22" ht="15" customHeight="1">
      <c r="B85" s="2218"/>
      <c r="C85" s="224" t="s">
        <v>381</v>
      </c>
      <c r="D85" s="225" t="s">
        <v>382</v>
      </c>
      <c r="E85" s="225" t="s">
        <v>382</v>
      </c>
      <c r="F85" s="225" t="s">
        <v>382</v>
      </c>
      <c r="G85" s="225" t="s">
        <v>382</v>
      </c>
      <c r="H85" s="226" t="s">
        <v>382</v>
      </c>
      <c r="I85" s="226" t="s">
        <v>382</v>
      </c>
      <c r="J85" s="226" t="s">
        <v>71</v>
      </c>
      <c r="K85" s="227" t="s">
        <v>382</v>
      </c>
      <c r="L85" s="228" t="s">
        <v>382</v>
      </c>
      <c r="M85" s="229" t="s">
        <v>68</v>
      </c>
      <c r="N85" s="226" t="s">
        <v>68</v>
      </c>
      <c r="O85" s="230" t="s">
        <v>68</v>
      </c>
      <c r="V85" s="4"/>
    </row>
    <row r="86" spans="2:22" ht="15" customHeight="1">
      <c r="B86" s="2218"/>
      <c r="C86" s="224" t="s">
        <v>381</v>
      </c>
      <c r="D86" s="225" t="s">
        <v>385</v>
      </c>
      <c r="E86" s="225" t="s">
        <v>385</v>
      </c>
      <c r="F86" s="225" t="s">
        <v>385</v>
      </c>
      <c r="G86" s="225" t="s">
        <v>385</v>
      </c>
      <c r="H86" s="226" t="s">
        <v>67</v>
      </c>
      <c r="I86" s="226" t="s">
        <v>67</v>
      </c>
      <c r="J86" s="226" t="s">
        <v>72</v>
      </c>
      <c r="K86" s="227" t="s">
        <v>382</v>
      </c>
      <c r="L86" s="228" t="s">
        <v>386</v>
      </c>
      <c r="M86" s="229" t="s">
        <v>68</v>
      </c>
      <c r="N86" s="226" t="s">
        <v>68</v>
      </c>
      <c r="O86" s="230" t="s">
        <v>68</v>
      </c>
      <c r="V86" s="4"/>
    </row>
    <row r="87" spans="2:22" ht="15" customHeight="1">
      <c r="B87" s="2218"/>
      <c r="C87" s="224" t="s">
        <v>381</v>
      </c>
      <c r="D87" s="225" t="s">
        <v>382</v>
      </c>
      <c r="E87" s="225" t="s">
        <v>382</v>
      </c>
      <c r="F87" s="225" t="s">
        <v>382</v>
      </c>
      <c r="G87" s="225" t="s">
        <v>382</v>
      </c>
      <c r="H87" s="226" t="s">
        <v>67</v>
      </c>
      <c r="I87" s="226" t="s">
        <v>67</v>
      </c>
      <c r="J87" s="226" t="s">
        <v>74</v>
      </c>
      <c r="K87" s="227" t="s">
        <v>386</v>
      </c>
      <c r="L87" s="228" t="s">
        <v>382</v>
      </c>
      <c r="M87" s="229" t="s">
        <v>67</v>
      </c>
      <c r="N87" s="226" t="s">
        <v>68</v>
      </c>
      <c r="O87" s="231"/>
      <c r="V87" s="4"/>
    </row>
    <row r="88" spans="2:22" ht="15" customHeight="1">
      <c r="B88" s="2218"/>
      <c r="C88" s="224" t="s">
        <v>387</v>
      </c>
      <c r="D88" s="225" t="s">
        <v>388</v>
      </c>
      <c r="E88" s="225" t="s">
        <v>388</v>
      </c>
      <c r="F88" s="225" t="s">
        <v>388</v>
      </c>
      <c r="G88" s="225" t="s">
        <v>388</v>
      </c>
      <c r="H88" s="226" t="s">
        <v>382</v>
      </c>
      <c r="I88" s="226" t="s">
        <v>382</v>
      </c>
      <c r="J88" s="226" t="s">
        <v>73</v>
      </c>
      <c r="K88" s="232"/>
      <c r="L88" s="233"/>
      <c r="M88" s="234"/>
      <c r="N88" s="235"/>
      <c r="O88" s="231"/>
      <c r="V88" s="4"/>
    </row>
    <row r="89" spans="2:22" ht="15" customHeight="1">
      <c r="B89" s="2218"/>
      <c r="C89" s="224" t="s">
        <v>387</v>
      </c>
      <c r="D89" s="225" t="s">
        <v>389</v>
      </c>
      <c r="E89" s="225" t="s">
        <v>389</v>
      </c>
      <c r="F89" s="225" t="s">
        <v>389</v>
      </c>
      <c r="G89" s="225" t="s">
        <v>389</v>
      </c>
      <c r="H89" s="226" t="s">
        <v>77</v>
      </c>
      <c r="I89" s="226" t="s">
        <v>77</v>
      </c>
      <c r="J89" s="226" t="s">
        <v>76</v>
      </c>
      <c r="K89" s="232"/>
      <c r="L89" s="233"/>
      <c r="M89" s="234"/>
      <c r="N89" s="235"/>
      <c r="O89" s="231"/>
      <c r="V89" s="4"/>
    </row>
    <row r="90" spans="2:22" ht="15" customHeight="1">
      <c r="B90" s="2218"/>
      <c r="C90" s="224" t="s">
        <v>387</v>
      </c>
      <c r="D90" s="225" t="s">
        <v>388</v>
      </c>
      <c r="E90" s="225" t="s">
        <v>388</v>
      </c>
      <c r="F90" s="225" t="s">
        <v>388</v>
      </c>
      <c r="G90" s="225" t="s">
        <v>388</v>
      </c>
      <c r="H90" s="236"/>
      <c r="I90" s="236"/>
      <c r="J90" s="236"/>
      <c r="K90" s="232"/>
      <c r="L90" s="233"/>
      <c r="M90" s="234"/>
      <c r="N90" s="235"/>
      <c r="O90" s="231"/>
      <c r="V90" s="4"/>
    </row>
    <row r="91" spans="2:22" ht="15.75" customHeight="1">
      <c r="B91" s="2218"/>
      <c r="C91" s="237"/>
      <c r="D91" s="225" t="s">
        <v>389</v>
      </c>
      <c r="E91" s="225" t="s">
        <v>389</v>
      </c>
      <c r="F91" s="225" t="s">
        <v>389</v>
      </c>
      <c r="G91" s="225" t="s">
        <v>389</v>
      </c>
      <c r="H91" s="236"/>
      <c r="I91" s="236"/>
      <c r="J91" s="236"/>
      <c r="K91" s="232"/>
      <c r="L91" s="233"/>
      <c r="M91" s="234"/>
      <c r="N91" s="235"/>
      <c r="O91" s="231"/>
      <c r="V91" s="4"/>
    </row>
    <row r="92" spans="2:22" ht="15" customHeight="1">
      <c r="B92" s="2218"/>
      <c r="C92" s="237"/>
      <c r="D92" s="225" t="s">
        <v>388</v>
      </c>
      <c r="E92" s="225" t="s">
        <v>388</v>
      </c>
      <c r="F92" s="225" t="s">
        <v>388</v>
      </c>
      <c r="G92" s="225" t="s">
        <v>388</v>
      </c>
      <c r="H92" s="236"/>
      <c r="I92" s="236"/>
      <c r="J92" s="236"/>
      <c r="K92" s="232"/>
      <c r="L92" s="233"/>
      <c r="M92" s="234"/>
      <c r="N92" s="235"/>
      <c r="O92" s="231"/>
      <c r="V92" s="4"/>
    </row>
    <row r="93" spans="2:22" ht="15" customHeight="1">
      <c r="B93" s="2218"/>
      <c r="C93" s="237"/>
      <c r="D93" s="225" t="s">
        <v>382</v>
      </c>
      <c r="E93" s="236"/>
      <c r="F93" s="225" t="s">
        <v>386</v>
      </c>
      <c r="G93" s="236"/>
      <c r="H93" s="236"/>
      <c r="I93" s="236"/>
      <c r="J93" s="236"/>
      <c r="K93" s="232"/>
      <c r="L93" s="233"/>
      <c r="M93" s="234"/>
      <c r="N93" s="235"/>
      <c r="O93" s="231"/>
      <c r="V93" s="4"/>
    </row>
    <row r="94" spans="2:22" ht="15" customHeight="1">
      <c r="B94" s="2218"/>
      <c r="C94" s="237"/>
      <c r="D94" s="225" t="s">
        <v>382</v>
      </c>
      <c r="E94" s="236"/>
      <c r="F94" s="236"/>
      <c r="G94" s="236"/>
      <c r="H94" s="236"/>
      <c r="I94" s="236"/>
      <c r="J94" s="236"/>
      <c r="K94" s="232"/>
      <c r="L94" s="233"/>
      <c r="M94" s="234"/>
      <c r="N94" s="235"/>
      <c r="O94" s="231"/>
      <c r="V94" s="4"/>
    </row>
    <row r="95" spans="2:22" ht="15" customHeight="1">
      <c r="B95" s="2218"/>
      <c r="C95" s="237"/>
      <c r="D95" s="225" t="s">
        <v>382</v>
      </c>
      <c r="E95" s="236"/>
      <c r="F95" s="236"/>
      <c r="G95" s="236"/>
      <c r="H95" s="236"/>
      <c r="I95" s="236"/>
      <c r="J95" s="236"/>
      <c r="K95" s="232"/>
      <c r="L95" s="233"/>
      <c r="M95" s="234"/>
      <c r="N95" s="235"/>
      <c r="O95" s="231"/>
      <c r="V95" s="4"/>
    </row>
    <row r="96" spans="2:22" ht="15.75" thickBot="1">
      <c r="B96" s="2218"/>
      <c r="C96" s="238"/>
      <c r="D96" s="239" t="s">
        <v>386</v>
      </c>
      <c r="E96" s="240"/>
      <c r="F96" s="240"/>
      <c r="G96" s="240"/>
      <c r="H96" s="240"/>
      <c r="I96" s="240"/>
      <c r="J96" s="240"/>
      <c r="K96" s="241"/>
      <c r="L96" s="242"/>
      <c r="M96" s="243"/>
      <c r="N96" s="244"/>
      <c r="O96" s="245"/>
      <c r="V96" s="4"/>
    </row>
    <row r="97" spans="2:23" ht="28.5">
      <c r="B97" s="133"/>
      <c r="E97" s="114"/>
      <c r="F97" s="4"/>
      <c r="G97" s="4"/>
      <c r="H97" s="246"/>
      <c r="I97" s="4"/>
      <c r="J97" s="4"/>
      <c r="K97" s="4"/>
      <c r="L97" s="4"/>
      <c r="M97" s="4"/>
      <c r="W97" s="4"/>
    </row>
    <row r="98" spans="2:23" ht="29.25" thickBot="1">
      <c r="B98" s="247"/>
    </row>
    <row r="99" spans="2:23" ht="25.5" customHeight="1" thickBot="1">
      <c r="B99" s="2218" t="s">
        <v>390</v>
      </c>
      <c r="C99" s="248" t="s">
        <v>373</v>
      </c>
    </row>
    <row r="100" spans="2:23" ht="15" customHeight="1">
      <c r="B100" s="2218"/>
      <c r="C100" s="249" t="s">
        <v>67</v>
      </c>
    </row>
    <row r="101" spans="2:23" ht="15" customHeight="1">
      <c r="B101" s="2218"/>
      <c r="C101" s="250" t="s">
        <v>382</v>
      </c>
    </row>
    <row r="102" spans="2:23" ht="15" customHeight="1">
      <c r="B102" s="2218"/>
      <c r="C102" s="250" t="s">
        <v>67</v>
      </c>
    </row>
    <row r="103" spans="2:23" ht="15" customHeight="1">
      <c r="B103" s="2218"/>
      <c r="C103" s="250" t="s">
        <v>382</v>
      </c>
    </row>
    <row r="104" spans="2:23" ht="15" customHeight="1">
      <c r="B104" s="2218"/>
      <c r="C104" s="250" t="s">
        <v>67</v>
      </c>
    </row>
    <row r="105" spans="2:23" ht="15" customHeight="1">
      <c r="B105" s="2218"/>
      <c r="C105" s="250" t="s">
        <v>75</v>
      </c>
    </row>
    <row r="106" spans="2:23" ht="15.75" customHeight="1" thickBot="1">
      <c r="B106" s="2218"/>
      <c r="C106" s="251" t="s">
        <v>77</v>
      </c>
    </row>
    <row r="107" spans="2:23" ht="15" customHeight="1"/>
    <row r="108" spans="2:23" ht="15" customHeight="1" thickBot="1"/>
    <row r="109" spans="2:23" ht="15" customHeight="1" thickBot="1">
      <c r="B109" s="2218" t="s">
        <v>391</v>
      </c>
      <c r="C109" s="252" t="s">
        <v>392</v>
      </c>
    </row>
    <row r="110" spans="2:23" ht="15" customHeight="1">
      <c r="B110" s="2218"/>
      <c r="C110" s="253" t="s">
        <v>382</v>
      </c>
    </row>
    <row r="111" spans="2:23" ht="15" customHeight="1">
      <c r="B111" s="2218"/>
      <c r="C111" s="254" t="s">
        <v>382</v>
      </c>
    </row>
    <row r="112" spans="2:23" ht="15" customHeight="1">
      <c r="B112" s="2218"/>
      <c r="C112" s="254" t="s">
        <v>382</v>
      </c>
    </row>
    <row r="113" spans="2:7" ht="15" customHeight="1">
      <c r="B113" s="2218"/>
      <c r="C113" s="254" t="s">
        <v>382</v>
      </c>
    </row>
    <row r="114" spans="2:7" ht="15" customHeight="1" thickBot="1">
      <c r="B114" s="2218"/>
      <c r="C114" s="255" t="s">
        <v>69</v>
      </c>
    </row>
    <row r="115" spans="2:7" ht="15" customHeight="1"/>
    <row r="116" spans="2:7" ht="28.5">
      <c r="B116" s="247"/>
    </row>
    <row r="117" spans="2:7" ht="15.75" customHeight="1" thickBot="1">
      <c r="B117" s="2215" t="s">
        <v>393</v>
      </c>
      <c r="C117" s="256" t="s">
        <v>394</v>
      </c>
      <c r="D117" s="257" t="s">
        <v>395</v>
      </c>
      <c r="E117" s="257" t="s">
        <v>396</v>
      </c>
      <c r="F117" s="257" t="s">
        <v>397</v>
      </c>
      <c r="G117" s="258" t="s">
        <v>398</v>
      </c>
    </row>
    <row r="118" spans="2:7" ht="26.25" customHeight="1">
      <c r="B118" s="2216"/>
      <c r="C118" s="259" t="s">
        <v>399</v>
      </c>
      <c r="D118" s="260" t="s">
        <v>399</v>
      </c>
      <c r="E118" s="261" t="s">
        <v>400</v>
      </c>
      <c r="F118" s="261" t="s">
        <v>115</v>
      </c>
      <c r="G118" s="262" t="s">
        <v>67</v>
      </c>
    </row>
    <row r="119" spans="2:7" ht="15.75" customHeight="1">
      <c r="B119" s="2216"/>
      <c r="C119" s="263" t="s">
        <v>399</v>
      </c>
      <c r="D119" s="264" t="s">
        <v>399</v>
      </c>
      <c r="E119" s="264" t="s">
        <v>401</v>
      </c>
      <c r="F119" s="264" t="s">
        <v>120</v>
      </c>
      <c r="G119" s="265"/>
    </row>
    <row r="120" spans="2:7" ht="15" customHeight="1">
      <c r="B120" s="2216"/>
      <c r="C120" s="263" t="s">
        <v>402</v>
      </c>
      <c r="D120" s="264" t="s">
        <v>402</v>
      </c>
      <c r="E120" s="264" t="s">
        <v>403</v>
      </c>
      <c r="F120" s="264" t="s">
        <v>120</v>
      </c>
      <c r="G120" s="265"/>
    </row>
    <row r="121" spans="2:7" ht="15" customHeight="1">
      <c r="B121" s="2216"/>
      <c r="C121" s="263" t="s">
        <v>402</v>
      </c>
      <c r="D121" s="264" t="s">
        <v>402</v>
      </c>
      <c r="E121" s="168"/>
      <c r="F121" s="264" t="s">
        <v>120</v>
      </c>
      <c r="G121" s="265"/>
    </row>
    <row r="122" spans="2:7" ht="15" customHeight="1">
      <c r="B122" s="2216"/>
      <c r="C122" s="266"/>
      <c r="D122" s="168"/>
      <c r="E122" s="168"/>
      <c r="F122" s="264" t="s">
        <v>120</v>
      </c>
      <c r="G122" s="265"/>
    </row>
    <row r="123" spans="2:7" ht="15" customHeight="1">
      <c r="B123" s="2216"/>
      <c r="C123" s="266"/>
      <c r="D123" s="168"/>
      <c r="E123" s="168"/>
      <c r="F123" s="264" t="s">
        <v>121</v>
      </c>
      <c r="G123" s="265"/>
    </row>
    <row r="124" spans="2:7" ht="15" customHeight="1">
      <c r="B124" s="2216"/>
      <c r="C124" s="266"/>
      <c r="D124" s="168"/>
      <c r="E124" s="168"/>
      <c r="F124" s="264" t="s">
        <v>121</v>
      </c>
      <c r="G124" s="265"/>
    </row>
    <row r="125" spans="2:7" ht="15" customHeight="1">
      <c r="B125" s="2216"/>
      <c r="C125" s="167"/>
      <c r="D125" s="168"/>
      <c r="E125" s="168"/>
      <c r="F125" s="264" t="s">
        <v>122</v>
      </c>
      <c r="G125" s="265"/>
    </row>
    <row r="126" spans="2:7" ht="15" customHeight="1">
      <c r="B126" s="2216"/>
      <c r="C126" s="167"/>
      <c r="D126" s="168"/>
      <c r="E126" s="168"/>
      <c r="F126" s="264" t="s">
        <v>122</v>
      </c>
      <c r="G126" s="265"/>
    </row>
    <row r="127" spans="2:7" ht="15.75" customHeight="1">
      <c r="B127" s="2216"/>
      <c r="C127" s="167"/>
      <c r="D127" s="168"/>
      <c r="E127" s="168"/>
      <c r="F127" s="264" t="s">
        <v>123</v>
      </c>
      <c r="G127" s="265"/>
    </row>
    <row r="128" spans="2:7" ht="15" customHeight="1">
      <c r="B128" s="2216"/>
      <c r="C128" s="167"/>
      <c r="D128" s="168"/>
      <c r="E128" s="168"/>
      <c r="F128" s="264" t="s">
        <v>123</v>
      </c>
      <c r="G128" s="265"/>
    </row>
    <row r="129" spans="2:7" ht="15" customHeight="1">
      <c r="B129" s="2216"/>
      <c r="C129" s="167"/>
      <c r="D129" s="168"/>
      <c r="E129" s="168"/>
      <c r="F129" s="264" t="s">
        <v>404</v>
      </c>
      <c r="G129" s="265"/>
    </row>
    <row r="130" spans="2:7" ht="15" customHeight="1">
      <c r="B130" s="2216"/>
      <c r="C130" s="167"/>
      <c r="D130" s="168"/>
      <c r="E130" s="168"/>
      <c r="F130" s="264" t="s">
        <v>67</v>
      </c>
      <c r="G130" s="265"/>
    </row>
    <row r="131" spans="2:7" ht="15.75" customHeight="1" thickBot="1">
      <c r="B131" s="2216"/>
      <c r="C131" s="191"/>
      <c r="D131" s="192"/>
      <c r="E131" s="192"/>
      <c r="F131" s="267" t="s">
        <v>404</v>
      </c>
      <c r="G131" s="268"/>
    </row>
    <row r="132" spans="2:7" ht="28.5">
      <c r="B132" s="269"/>
      <c r="G132" s="270"/>
    </row>
    <row r="133" spans="2:7" ht="29.25" thickBot="1">
      <c r="B133" s="269"/>
      <c r="C133" s="271" t="s">
        <v>405</v>
      </c>
      <c r="D133" s="271"/>
      <c r="E133" s="271"/>
      <c r="F133" s="271"/>
      <c r="G133" s="270"/>
    </row>
    <row r="134" spans="2:7" ht="15.75" customHeight="1" thickBot="1">
      <c r="B134" s="2207" t="s">
        <v>406</v>
      </c>
      <c r="C134" s="272" t="s">
        <v>394</v>
      </c>
      <c r="D134" s="273"/>
      <c r="E134" s="273" t="s">
        <v>396</v>
      </c>
      <c r="F134" s="274" t="s">
        <v>397</v>
      </c>
      <c r="G134" s="274" t="s">
        <v>398</v>
      </c>
    </row>
    <row r="135" spans="2:7" ht="15" customHeight="1">
      <c r="B135" s="2208"/>
      <c r="C135" s="275" t="s">
        <v>115</v>
      </c>
      <c r="D135" s="276"/>
      <c r="E135" s="261" t="s">
        <v>120</v>
      </c>
      <c r="F135" s="277" t="s">
        <v>67</v>
      </c>
      <c r="G135" s="279" t="s">
        <v>67</v>
      </c>
    </row>
    <row r="136" spans="2:7" ht="15" customHeight="1">
      <c r="B136" s="2208"/>
      <c r="C136" s="278" t="s">
        <v>68</v>
      </c>
      <c r="D136" s="168"/>
      <c r="E136" s="264" t="s">
        <v>121</v>
      </c>
      <c r="F136" s="279" t="s">
        <v>115</v>
      </c>
      <c r="G136" s="279" t="s">
        <v>68</v>
      </c>
    </row>
    <row r="137" spans="2:7" ht="15" customHeight="1">
      <c r="B137" s="2208"/>
      <c r="C137" s="278" t="s">
        <v>68</v>
      </c>
      <c r="D137" s="168"/>
      <c r="E137" s="264" t="s">
        <v>122</v>
      </c>
      <c r="F137" s="279" t="s">
        <v>67</v>
      </c>
      <c r="G137" s="279"/>
    </row>
    <row r="138" spans="2:7" ht="15" customHeight="1">
      <c r="B138" s="2208"/>
      <c r="C138" s="278" t="s">
        <v>115</v>
      </c>
      <c r="D138" s="168"/>
      <c r="E138" s="264" t="s">
        <v>123</v>
      </c>
      <c r="F138" s="279" t="s">
        <v>68</v>
      </c>
      <c r="G138" s="279"/>
    </row>
    <row r="139" spans="2:7" ht="15" customHeight="1">
      <c r="B139" s="2208"/>
      <c r="C139" s="278" t="s">
        <v>68</v>
      </c>
      <c r="D139" s="168"/>
      <c r="E139" s="264" t="s">
        <v>120</v>
      </c>
      <c r="F139" s="280"/>
      <c r="G139" s="270"/>
    </row>
    <row r="140" spans="2:7" ht="15.75" customHeight="1">
      <c r="B140" s="2208"/>
      <c r="C140" s="278" t="s">
        <v>68</v>
      </c>
      <c r="D140" s="168"/>
      <c r="E140" s="264" t="s">
        <v>67</v>
      </c>
      <c r="F140" s="280"/>
      <c r="G140" s="270"/>
    </row>
    <row r="141" spans="2:7" ht="15" customHeight="1">
      <c r="B141" s="2208"/>
      <c r="C141" s="278" t="s">
        <v>115</v>
      </c>
      <c r="D141" s="168"/>
      <c r="E141" s="264" t="s">
        <v>67</v>
      </c>
      <c r="F141" s="280"/>
      <c r="G141" s="270"/>
    </row>
    <row r="142" spans="2:7" ht="15" customHeight="1">
      <c r="B142" s="2208"/>
      <c r="C142" s="278" t="s">
        <v>68</v>
      </c>
      <c r="D142" s="168"/>
      <c r="E142" s="264" t="s">
        <v>120</v>
      </c>
      <c r="F142" s="280"/>
      <c r="G142" s="270"/>
    </row>
    <row r="143" spans="2:7" ht="15" customHeight="1">
      <c r="B143" s="2208"/>
      <c r="C143" s="278" t="s">
        <v>68</v>
      </c>
      <c r="D143" s="168"/>
      <c r="E143" s="168"/>
      <c r="F143" s="280"/>
      <c r="G143" s="270"/>
    </row>
    <row r="144" spans="2:7" ht="15" customHeight="1">
      <c r="B144" s="2208"/>
      <c r="C144" s="278" t="s">
        <v>115</v>
      </c>
      <c r="D144" s="168"/>
      <c r="E144" s="168"/>
      <c r="F144" s="280"/>
      <c r="G144" s="270"/>
    </row>
    <row r="145" spans="2:7" ht="15" customHeight="1">
      <c r="B145" s="2208"/>
      <c r="C145" s="278" t="s">
        <v>68</v>
      </c>
      <c r="D145" s="168"/>
      <c r="E145" s="168"/>
      <c r="F145" s="280"/>
      <c r="G145" s="270"/>
    </row>
    <row r="146" spans="2:7" ht="15" customHeight="1">
      <c r="B146" s="2208"/>
      <c r="C146" s="278" t="s">
        <v>115</v>
      </c>
      <c r="D146" s="168"/>
      <c r="E146" s="168"/>
      <c r="F146" s="280"/>
      <c r="G146" s="270"/>
    </row>
    <row r="147" spans="2:7" ht="15" customHeight="1">
      <c r="B147" s="2208"/>
      <c r="C147" s="278" t="s">
        <v>68</v>
      </c>
      <c r="D147" s="168"/>
      <c r="E147" s="168"/>
      <c r="F147" s="280"/>
      <c r="G147" s="270"/>
    </row>
    <row r="148" spans="2:7" ht="15" customHeight="1">
      <c r="B148" s="2208"/>
      <c r="C148" s="278" t="s">
        <v>115</v>
      </c>
      <c r="D148" s="168"/>
      <c r="E148" s="168"/>
      <c r="F148" s="280"/>
      <c r="G148" s="270"/>
    </row>
    <row r="149" spans="2:7" ht="27" customHeight="1">
      <c r="B149" s="2209"/>
      <c r="C149" s="281" t="s">
        <v>68</v>
      </c>
      <c r="D149" s="282"/>
      <c r="E149" s="282"/>
      <c r="F149" s="283"/>
      <c r="G149" s="284"/>
    </row>
    <row r="150" spans="2:7" ht="29.25" thickBot="1">
      <c r="B150" s="133"/>
    </row>
    <row r="151" spans="2:7" ht="15.75" customHeight="1" thickBot="1">
      <c r="B151" s="2210" t="s">
        <v>407</v>
      </c>
      <c r="C151" s="285" t="s">
        <v>408</v>
      </c>
    </row>
    <row r="152" spans="2:7" ht="15" customHeight="1">
      <c r="B152" s="2210"/>
      <c r="C152" s="286" t="s">
        <v>409</v>
      </c>
    </row>
    <row r="153" spans="2:7" ht="15" customHeight="1">
      <c r="B153" s="2210"/>
      <c r="C153" s="286" t="s">
        <v>410</v>
      </c>
    </row>
    <row r="154" spans="2:7" ht="15" customHeight="1">
      <c r="B154" s="2210"/>
      <c r="C154" s="286" t="s">
        <v>410</v>
      </c>
    </row>
    <row r="155" spans="2:7" ht="15" customHeight="1">
      <c r="B155" s="2210"/>
      <c r="C155" s="286" t="s">
        <v>410</v>
      </c>
    </row>
    <row r="156" spans="2:7" ht="15" customHeight="1">
      <c r="B156" s="2210"/>
      <c r="C156" s="286" t="s">
        <v>410</v>
      </c>
    </row>
    <row r="157" spans="2:7" ht="15.75" customHeight="1" thickBot="1">
      <c r="B157" s="2210"/>
      <c r="C157" s="287" t="s">
        <v>410</v>
      </c>
    </row>
    <row r="158" spans="2:7" ht="29.25" thickBot="1">
      <c r="B158" s="133"/>
    </row>
    <row r="159" spans="2:7" ht="15.75" thickBot="1">
      <c r="B159" s="2211" t="s">
        <v>411</v>
      </c>
      <c r="C159" s="288" t="s">
        <v>412</v>
      </c>
      <c r="D159" s="289" t="s">
        <v>413</v>
      </c>
      <c r="E159" s="289" t="s">
        <v>414</v>
      </c>
      <c r="F159" s="290" t="s">
        <v>414</v>
      </c>
    </row>
    <row r="160" spans="2:7">
      <c r="B160" s="2212"/>
      <c r="C160" s="291" t="s">
        <v>68</v>
      </c>
      <c r="D160" s="292" t="s">
        <v>68</v>
      </c>
      <c r="E160" s="293"/>
      <c r="F160" s="294"/>
    </row>
    <row r="161" spans="2:6" ht="15" customHeight="1">
      <c r="B161" s="2212"/>
      <c r="C161" s="295" t="s">
        <v>68</v>
      </c>
      <c r="D161" s="296" t="s">
        <v>68</v>
      </c>
      <c r="E161" s="168"/>
      <c r="F161" s="297"/>
    </row>
    <row r="162" spans="2:6" ht="15" customHeight="1">
      <c r="B162" s="2212"/>
      <c r="C162" s="295" t="s">
        <v>68</v>
      </c>
      <c r="D162" s="296" t="s">
        <v>68</v>
      </c>
      <c r="E162" s="168"/>
      <c r="F162" s="297"/>
    </row>
    <row r="163" spans="2:6" ht="15" customHeight="1">
      <c r="B163" s="2212"/>
      <c r="C163" s="295" t="s">
        <v>68</v>
      </c>
      <c r="D163" s="296" t="s">
        <v>68</v>
      </c>
      <c r="E163" s="168"/>
      <c r="F163" s="297"/>
    </row>
    <row r="164" spans="2:6" ht="15" customHeight="1">
      <c r="B164" s="2212"/>
      <c r="C164" s="295" t="s">
        <v>68</v>
      </c>
      <c r="D164" s="296" t="s">
        <v>69</v>
      </c>
      <c r="E164" s="168"/>
      <c r="F164" s="297"/>
    </row>
    <row r="165" spans="2:6" ht="15" customHeight="1">
      <c r="B165" s="2212"/>
      <c r="C165" s="295" t="s">
        <v>68</v>
      </c>
      <c r="D165" s="168"/>
      <c r="E165" s="168"/>
      <c r="F165" s="297"/>
    </row>
    <row r="166" spans="2:6" ht="15" customHeight="1">
      <c r="B166" s="2212"/>
      <c r="C166" s="295" t="s">
        <v>68</v>
      </c>
      <c r="D166" s="168"/>
      <c r="E166" s="168"/>
      <c r="F166" s="297"/>
    </row>
    <row r="167" spans="2:6" ht="15" customHeight="1">
      <c r="B167" s="2212"/>
      <c r="C167" s="295" t="s">
        <v>68</v>
      </c>
      <c r="D167" s="168"/>
      <c r="E167" s="168"/>
      <c r="F167" s="297"/>
    </row>
    <row r="168" spans="2:6" ht="15" customHeight="1">
      <c r="B168" s="2212"/>
      <c r="C168" s="295" t="s">
        <v>68</v>
      </c>
      <c r="D168" s="168"/>
      <c r="E168" s="168"/>
      <c r="F168" s="297"/>
    </row>
    <row r="169" spans="2:6" ht="15" customHeight="1">
      <c r="B169" s="2212"/>
      <c r="C169" s="295" t="s">
        <v>68</v>
      </c>
      <c r="D169" s="168"/>
      <c r="E169" s="168"/>
      <c r="F169" s="297"/>
    </row>
    <row r="170" spans="2:6" ht="15" customHeight="1">
      <c r="B170" s="2212"/>
      <c r="C170" s="295" t="s">
        <v>68</v>
      </c>
      <c r="D170" s="168"/>
      <c r="E170" s="168"/>
      <c r="F170" s="297"/>
    </row>
    <row r="171" spans="2:6" ht="15" customHeight="1">
      <c r="B171" s="2212"/>
      <c r="C171" s="295" t="s">
        <v>68</v>
      </c>
      <c r="D171" s="168"/>
      <c r="E171" s="168"/>
      <c r="F171" s="297"/>
    </row>
    <row r="172" spans="2:6" ht="15" customHeight="1">
      <c r="B172" s="2212"/>
      <c r="C172" s="295" t="s">
        <v>69</v>
      </c>
      <c r="D172" s="168"/>
      <c r="E172" s="168"/>
      <c r="F172" s="297"/>
    </row>
    <row r="173" spans="2:6" ht="15.75" customHeight="1" thickBot="1">
      <c r="B173" s="2212"/>
      <c r="C173" s="298" t="s">
        <v>69</v>
      </c>
      <c r="D173" s="192" t="s">
        <v>61</v>
      </c>
      <c r="E173" s="192"/>
      <c r="F173" s="299"/>
    </row>
    <row r="174" spans="2:6" ht="29.25" thickBot="1">
      <c r="B174" s="133"/>
    </row>
    <row r="175" spans="2:6" ht="15.75" customHeight="1" thickBot="1">
      <c r="B175" s="2213" t="s">
        <v>415</v>
      </c>
      <c r="C175" s="300" t="s">
        <v>416</v>
      </c>
      <c r="D175" s="301" t="s">
        <v>417</v>
      </c>
      <c r="E175" s="302" t="s">
        <v>418</v>
      </c>
    </row>
    <row r="176" spans="2:6" ht="15.75" customHeight="1" thickBot="1">
      <c r="B176" s="2214"/>
      <c r="C176" s="303" t="s">
        <v>409</v>
      </c>
      <c r="D176" s="304" t="s">
        <v>419</v>
      </c>
      <c r="E176" s="305" t="s">
        <v>420</v>
      </c>
    </row>
    <row r="177" spans="2:23" ht="29.25" thickBot="1">
      <c r="B177" s="133"/>
      <c r="C177" s="306"/>
      <c r="D177" s="4"/>
      <c r="E177" s="307"/>
    </row>
    <row r="178" spans="2:23" ht="15.75" customHeight="1" thickBot="1">
      <c r="B178" s="2213" t="s">
        <v>421</v>
      </c>
      <c r="C178" s="308" t="s">
        <v>422</v>
      </c>
      <c r="D178" s="309" t="s">
        <v>423</v>
      </c>
      <c r="E178" s="310" t="s">
        <v>424</v>
      </c>
    </row>
    <row r="179" spans="2:23" ht="15" customHeight="1">
      <c r="B179" s="2213"/>
      <c r="C179" s="311" t="s">
        <v>409</v>
      </c>
      <c r="D179" s="312" t="s">
        <v>409</v>
      </c>
      <c r="E179" s="313" t="s">
        <v>425</v>
      </c>
    </row>
    <row r="180" spans="2:23" ht="26.25" customHeight="1">
      <c r="B180" s="2213"/>
      <c r="C180" s="314" t="s">
        <v>410</v>
      </c>
      <c r="D180" s="315" t="s">
        <v>410</v>
      </c>
      <c r="E180" s="316"/>
    </row>
    <row r="181" spans="2:23" ht="26.25" customHeight="1">
      <c r="B181" s="2213"/>
      <c r="C181" s="314" t="s">
        <v>410</v>
      </c>
      <c r="D181" s="315" t="s">
        <v>410</v>
      </c>
      <c r="E181" s="316"/>
    </row>
    <row r="182" spans="2:23" ht="26.25" customHeight="1">
      <c r="B182" s="2213"/>
      <c r="C182" s="314" t="s">
        <v>410</v>
      </c>
      <c r="D182" s="315" t="s">
        <v>410</v>
      </c>
      <c r="E182" s="316"/>
    </row>
    <row r="183" spans="2:23" ht="27" customHeight="1" thickBot="1">
      <c r="B183" s="2213"/>
      <c r="C183" s="317" t="s">
        <v>410</v>
      </c>
      <c r="D183" s="318"/>
      <c r="E183" s="319"/>
    </row>
    <row r="184" spans="2:23" ht="28.5">
      <c r="B184" s="133"/>
    </row>
    <row r="185" spans="2:23" ht="28.5">
      <c r="B185" s="133"/>
    </row>
    <row r="186" spans="2:23" ht="31.5">
      <c r="B186" s="207" t="s">
        <v>426</v>
      </c>
      <c r="C186" s="208"/>
      <c r="D186" s="208"/>
      <c r="E186" s="208"/>
      <c r="F186" s="208"/>
      <c r="G186" s="208"/>
      <c r="H186" s="208"/>
      <c r="I186" s="208"/>
      <c r="J186" s="208"/>
      <c r="K186" s="208"/>
      <c r="L186" s="208"/>
      <c r="M186" s="208"/>
      <c r="N186" s="208"/>
      <c r="O186" s="208"/>
    </row>
    <row r="187" spans="2:23" ht="15.75" thickBot="1"/>
    <row r="188" spans="2:23" ht="15.75" thickBot="1">
      <c r="B188" s="320" t="s">
        <v>427</v>
      </c>
      <c r="C188" s="321"/>
      <c r="D188" s="321"/>
      <c r="E188" s="321"/>
      <c r="F188" s="322"/>
      <c r="R188" s="4"/>
      <c r="S188" s="4"/>
      <c r="T188" s="4"/>
      <c r="U188" s="4"/>
      <c r="V188" s="4"/>
      <c r="W188" s="4"/>
    </row>
    <row r="189" spans="2:23" ht="15.75" thickBot="1">
      <c r="D189" s="323"/>
      <c r="E189" s="324"/>
      <c r="F189" s="4"/>
      <c r="Q189" s="4"/>
      <c r="R189" s="4"/>
      <c r="S189" s="4"/>
      <c r="T189" s="4"/>
      <c r="U189" s="4"/>
      <c r="V189" s="4"/>
      <c r="W189" s="4"/>
    </row>
    <row r="190" spans="2:23" ht="30.75" customHeight="1" thickBot="1">
      <c r="B190" s="2206" t="s">
        <v>428</v>
      </c>
      <c r="C190" s="325" t="s">
        <v>429</v>
      </c>
      <c r="D190" s="326" t="s">
        <v>430</v>
      </c>
      <c r="E190" s="326" t="s">
        <v>431</v>
      </c>
      <c r="F190" s="327" t="s">
        <v>432</v>
      </c>
      <c r="G190" s="328"/>
      <c r="Q190" s="4"/>
      <c r="R190" s="4"/>
      <c r="S190" s="4"/>
      <c r="T190" s="4"/>
      <c r="U190" s="4"/>
      <c r="V190" s="4"/>
      <c r="W190" s="4"/>
    </row>
    <row r="191" spans="2:23" ht="45.75" customHeight="1" thickBot="1">
      <c r="B191" s="2206"/>
      <c r="C191" s="329" t="s">
        <v>433</v>
      </c>
      <c r="D191" s="330" t="s">
        <v>434</v>
      </c>
      <c r="E191" s="331" t="s">
        <v>435</v>
      </c>
      <c r="F191" s="332" t="s">
        <v>436</v>
      </c>
      <c r="G191" s="4"/>
      <c r="Q191" s="4"/>
      <c r="R191" s="4"/>
      <c r="S191" s="4"/>
      <c r="T191" s="4"/>
      <c r="U191" s="4"/>
      <c r="V191" s="4"/>
      <c r="W191" s="4"/>
    </row>
    <row r="192" spans="2:23">
      <c r="C192" s="4"/>
      <c r="D192" s="4"/>
      <c r="E192" s="114"/>
      <c r="F192" s="4"/>
      <c r="G192" s="4"/>
      <c r="Q192" s="4"/>
      <c r="R192" s="4"/>
      <c r="S192" s="4"/>
      <c r="T192" s="4"/>
      <c r="U192" s="4"/>
      <c r="V192" s="4"/>
      <c r="W192" s="4"/>
    </row>
    <row r="193" spans="2:23" ht="15.75" thickBot="1">
      <c r="G193" s="4"/>
      <c r="Q193" s="4"/>
      <c r="R193" s="4"/>
      <c r="S193" s="4"/>
      <c r="T193" s="4"/>
      <c r="U193" s="4"/>
      <c r="V193" s="4"/>
      <c r="W193" s="4"/>
    </row>
    <row r="194" spans="2:23" ht="30" customHeight="1" thickBot="1">
      <c r="B194" s="2206" t="s">
        <v>437</v>
      </c>
      <c r="C194" s="333" t="s">
        <v>438</v>
      </c>
      <c r="D194" s="334" t="s">
        <v>439</v>
      </c>
      <c r="E194" s="335" t="s">
        <v>440</v>
      </c>
      <c r="G194" s="4"/>
      <c r="Q194" s="4"/>
      <c r="R194" s="4"/>
      <c r="S194" s="4"/>
      <c r="T194" s="4"/>
      <c r="U194" s="4"/>
      <c r="V194" s="4"/>
      <c r="W194" s="4"/>
    </row>
    <row r="195" spans="2:23" ht="51.75" thickBot="1">
      <c r="B195" s="2206"/>
      <c r="C195" s="336" t="s">
        <v>441</v>
      </c>
      <c r="D195" s="337" t="s">
        <v>442</v>
      </c>
      <c r="E195" s="338" t="str">
        <f>dms_060701_StartDateTxt</f>
        <v>1-Jul-2024</v>
      </c>
      <c r="Q195" s="4"/>
      <c r="R195" s="4"/>
      <c r="S195" s="4"/>
      <c r="T195" s="4"/>
      <c r="U195" s="4"/>
      <c r="V195" s="4"/>
      <c r="W195" s="4"/>
    </row>
    <row r="196" spans="2:23">
      <c r="C196" s="4"/>
      <c r="D196" s="4"/>
      <c r="E196" s="114"/>
      <c r="G196" s="4"/>
      <c r="Q196" s="4"/>
      <c r="R196" s="4"/>
      <c r="S196" s="4"/>
      <c r="T196" s="4"/>
      <c r="U196" s="4"/>
      <c r="V196" s="4"/>
      <c r="W196" s="4"/>
    </row>
    <row r="197" spans="2:23" ht="15.75" thickBot="1">
      <c r="C197" s="4"/>
      <c r="P197" s="4"/>
      <c r="Q197" s="4"/>
      <c r="R197" s="4"/>
      <c r="S197" s="4"/>
      <c r="T197" s="4"/>
      <c r="U197" s="4"/>
      <c r="V197" s="4"/>
      <c r="W197" s="4"/>
    </row>
    <row r="198" spans="2:23" ht="22.5" customHeight="1" thickBot="1">
      <c r="B198" s="2206" t="s">
        <v>443</v>
      </c>
      <c r="C198" s="339" t="s">
        <v>444</v>
      </c>
      <c r="D198" s="340" t="s">
        <v>445</v>
      </c>
      <c r="E198" s="340" t="s">
        <v>446</v>
      </c>
      <c r="F198" s="341" t="s">
        <v>447</v>
      </c>
      <c r="Q198" s="4"/>
      <c r="R198" s="4"/>
      <c r="S198" s="4"/>
      <c r="T198" s="4"/>
      <c r="U198" s="4"/>
      <c r="V198" s="4"/>
      <c r="W198" s="4"/>
    </row>
    <row r="199" spans="2:23" ht="22.5" customHeight="1" thickBot="1">
      <c r="B199" s="2206"/>
      <c r="C199" s="336" t="s">
        <v>448</v>
      </c>
      <c r="D199" s="337" t="s">
        <v>449</v>
      </c>
      <c r="E199" s="342" t="s">
        <v>450</v>
      </c>
      <c r="F199" s="343" t="s">
        <v>451</v>
      </c>
      <c r="Q199" s="4"/>
      <c r="R199" s="4"/>
      <c r="S199" s="4"/>
      <c r="T199" s="4"/>
      <c r="U199" s="4"/>
      <c r="V199" s="4"/>
      <c r="W199" s="4"/>
    </row>
    <row r="200" spans="2:23">
      <c r="B200" s="4"/>
      <c r="C200" s="4"/>
      <c r="D200" s="4"/>
      <c r="E200" s="114"/>
      <c r="F200" s="4"/>
      <c r="Q200" s="4"/>
      <c r="R200" s="4"/>
      <c r="S200" s="4"/>
      <c r="T200" s="4"/>
      <c r="U200" s="4"/>
      <c r="V200" s="4"/>
      <c r="W200" s="4"/>
    </row>
    <row r="201" spans="2:23" ht="15.75" thickBot="1">
      <c r="C201" s="4"/>
      <c r="Q201" s="4"/>
      <c r="R201" s="4"/>
      <c r="S201" s="4"/>
      <c r="T201" s="4"/>
      <c r="U201" s="4"/>
      <c r="V201" s="4"/>
      <c r="W201" s="4"/>
    </row>
    <row r="202" spans="2:23" ht="36" customHeight="1" thickBot="1">
      <c r="B202" s="344" t="s">
        <v>452</v>
      </c>
      <c r="C202" s="345" t="s">
        <v>453</v>
      </c>
      <c r="D202" s="346" t="s">
        <v>454</v>
      </c>
      <c r="E202" s="347" t="s">
        <v>455</v>
      </c>
      <c r="Q202" s="4"/>
      <c r="R202" s="4"/>
      <c r="S202" s="4"/>
      <c r="T202" s="4"/>
      <c r="U202" s="4"/>
      <c r="V202" s="4"/>
      <c r="W202" s="4"/>
    </row>
    <row r="204" spans="2:23">
      <c r="C204" s="4"/>
      <c r="P204" s="4"/>
      <c r="Q204" s="4"/>
      <c r="R204" s="4"/>
      <c r="S204" s="4"/>
      <c r="T204" s="4"/>
      <c r="U204" s="4"/>
      <c r="V204" s="4"/>
      <c r="W204" s="4"/>
    </row>
    <row r="205" spans="2:23" s="4" customFormat="1" ht="21.75" customHeight="1">
      <c r="B205" s="348" t="s">
        <v>456</v>
      </c>
      <c r="C205" s="349"/>
      <c r="D205" s="349"/>
      <c r="E205" s="349"/>
      <c r="F205" s="349"/>
      <c r="G205" s="349"/>
      <c r="H205" s="349"/>
      <c r="I205" s="349"/>
      <c r="J205" s="349"/>
      <c r="K205" s="349"/>
      <c r="L205" s="349"/>
      <c r="M205" s="349"/>
      <c r="N205" s="349"/>
      <c r="O205" s="349"/>
    </row>
    <row r="206" spans="2:23" ht="15.75" thickBot="1">
      <c r="B206" s="350"/>
      <c r="C206" s="4"/>
      <c r="F206" s="119"/>
      <c r="K206" s="33"/>
      <c r="P206" s="4"/>
      <c r="Q206" s="4"/>
      <c r="R206" s="4"/>
      <c r="S206" s="4"/>
      <c r="T206" s="4"/>
      <c r="U206" s="4"/>
      <c r="V206" s="4"/>
      <c r="W206" s="4"/>
    </row>
    <row r="207" spans="2:23" ht="15" customHeight="1" thickBot="1">
      <c r="B207" s="2206" t="s">
        <v>457</v>
      </c>
      <c r="C207" s="351" t="s">
        <v>458</v>
      </c>
      <c r="D207" s="352" t="str">
        <f>INDEX(dms_FeederName_1,MATCH(dms_TradingName,dms_TradingName_List))</f>
        <v>CBD</v>
      </c>
      <c r="E207" s="353" t="str">
        <f>INDEX(dms_FeederName_1,MATCH(dms_TradingName,dms_TradingName_List))</f>
        <v>CBD</v>
      </c>
      <c r="F207" s="354" t="str">
        <f>INDEX(dms_FeederName_2,MATCH(dms_TradingName,dms_TradingName_List))</f>
        <v>Urban</v>
      </c>
      <c r="G207" s="355" t="str">
        <f>INDEX(dms_FeederName_2,MATCH(dms_TradingName,dms_TradingName_List))</f>
        <v>Urban</v>
      </c>
      <c r="H207" s="353" t="str">
        <f>INDEX(dms_FeederName_3,MATCH(dms_TradingName,dms_TradingName_List))</f>
        <v>Short rural</v>
      </c>
      <c r="I207" s="353" t="str">
        <f>INDEX(dms_FeederName_3,MATCH(dms_TradingName,dms_TradingName_List))</f>
        <v>Short rural</v>
      </c>
      <c r="J207" s="355" t="str">
        <f>INDEX(dms_FeederName_4,MATCH(dms_TradingName,dms_TradingName_List))</f>
        <v>Long rural</v>
      </c>
      <c r="K207" s="355" t="str">
        <f>INDEX(dms_FeederName_4,MATCH(dms_TradingName,dms_TradingName_List))</f>
        <v>Long rural</v>
      </c>
      <c r="L207" s="353" t="str">
        <f>IF((INDEX(dms_FeederName_5,MATCH(dms_TradingName,dms_TradingName_List))=0),"Network",(INDEX(dms_FeederName_5,MATCH(dms_TradingName,dms_TradingName_List))))</f>
        <v>Network</v>
      </c>
      <c r="M207" s="353" t="str">
        <f>IF((INDEX(dms_FeederName_5,MATCH(dms_TradingName,dms_TradingName_List))=0),"Network",(INDEX(dms_FeederName_5,MATCH(dms_TradingName,dms_TradingName_List))))</f>
        <v>Network</v>
      </c>
      <c r="N207" s="353" t="s">
        <v>459</v>
      </c>
      <c r="O207" s="353" t="s">
        <v>459</v>
      </c>
      <c r="P207" s="4"/>
      <c r="Q207" s="4"/>
      <c r="R207" s="4"/>
      <c r="S207" s="4"/>
      <c r="T207" s="4"/>
      <c r="U207" s="4"/>
      <c r="V207" s="4"/>
      <c r="W207" s="4"/>
    </row>
    <row r="208" spans="2:23" ht="15.75" thickBot="1">
      <c r="B208" s="2206"/>
      <c r="C208" s="356"/>
      <c r="D208" s="357"/>
      <c r="F208" s="119"/>
      <c r="N208" s="358"/>
      <c r="P208" s="4"/>
      <c r="Q208" s="4"/>
      <c r="R208" s="4"/>
      <c r="S208" s="4"/>
      <c r="T208" s="4"/>
      <c r="U208" s="4"/>
      <c r="V208" s="4"/>
      <c r="W208" s="4"/>
    </row>
    <row r="209" spans="2:23" ht="26.25" thickBot="1">
      <c r="B209" s="2206"/>
      <c r="C209" s="351" t="s">
        <v>460</v>
      </c>
      <c r="D209" s="359" t="s">
        <v>461</v>
      </c>
      <c r="E209" s="360" t="s">
        <v>462</v>
      </c>
      <c r="F209" s="361" t="s">
        <v>461</v>
      </c>
      <c r="G209" s="360" t="s">
        <v>462</v>
      </c>
      <c r="H209" s="360" t="s">
        <v>461</v>
      </c>
      <c r="I209" s="360" t="s">
        <v>462</v>
      </c>
      <c r="J209" s="360" t="s">
        <v>461</v>
      </c>
      <c r="K209" s="360" t="s">
        <v>462</v>
      </c>
      <c r="L209" s="360" t="s">
        <v>461</v>
      </c>
      <c r="M209" s="362" t="s">
        <v>462</v>
      </c>
      <c r="N209" s="360" t="s">
        <v>461</v>
      </c>
      <c r="O209" s="362" t="s">
        <v>462</v>
      </c>
      <c r="P209" s="4"/>
      <c r="Q209" s="4"/>
      <c r="R209" s="4"/>
      <c r="S209" s="4"/>
      <c r="T209" s="4"/>
      <c r="U209" s="4"/>
      <c r="V209" s="4"/>
      <c r="W209" s="4"/>
    </row>
    <row r="210" spans="2:23">
      <c r="B210" s="2206"/>
      <c r="C210" s="4"/>
      <c r="D210" s="363" t="s">
        <v>463</v>
      </c>
      <c r="F210" s="119"/>
      <c r="P210" s="4"/>
      <c r="Q210" s="4"/>
      <c r="R210" s="4"/>
      <c r="S210" s="4"/>
      <c r="T210" s="4"/>
      <c r="U210" s="4"/>
      <c r="V210" s="4"/>
      <c r="W210" s="4"/>
    </row>
    <row r="211" spans="2:23" ht="15.75" thickBot="1">
      <c r="B211" s="2206"/>
      <c r="C211" s="4"/>
      <c r="F211" s="119"/>
      <c r="P211" s="4"/>
      <c r="Q211" s="4"/>
      <c r="R211" s="4"/>
      <c r="S211" s="4"/>
      <c r="T211" s="4"/>
      <c r="U211" s="4"/>
      <c r="V211" s="4"/>
      <c r="W211" s="4"/>
    </row>
    <row r="212" spans="2:23" ht="15.75" thickBot="1">
      <c r="B212" s="2206"/>
      <c r="C212" s="351" t="s">
        <v>464</v>
      </c>
      <c r="D212" s="364" t="str">
        <f>INDEX(dms_FeederName_1,MATCH(dms_TradingName,dms_TradingName_List))</f>
        <v>CBD</v>
      </c>
      <c r="E212" s="365" t="str">
        <f>INDEX(dms_FeederName_2,MATCH(dms_TradingName,dms_TradingName_List))</f>
        <v>Urban</v>
      </c>
      <c r="F212" s="365" t="str">
        <f>INDEX(dms_FeederName_3,MATCH(dms_TradingName,dms_TradingName_List))</f>
        <v>Short rural</v>
      </c>
      <c r="G212" s="365" t="str">
        <f>INDEX(dms_FeederName_4,MATCH(dms_TradingName,dms_TradingName_List))</f>
        <v>Long rural</v>
      </c>
      <c r="H212" s="366"/>
      <c r="Q212" s="4"/>
      <c r="R212" s="4"/>
      <c r="S212" s="4"/>
      <c r="T212" s="4"/>
      <c r="U212" s="4"/>
      <c r="V212" s="4"/>
      <c r="W212" s="4"/>
    </row>
    <row r="213" spans="2:23">
      <c r="B213" s="4"/>
      <c r="C213" s="92"/>
      <c r="D213" s="91"/>
      <c r="E213" s="119"/>
      <c r="I213" s="367"/>
      <c r="J213" s="91"/>
      <c r="Q213" s="4"/>
      <c r="R213" s="4"/>
      <c r="S213" s="4"/>
      <c r="T213" s="4"/>
      <c r="U213" s="4"/>
      <c r="V213" s="4"/>
      <c r="W213" s="4"/>
    </row>
    <row r="214" spans="2:23">
      <c r="E214" s="119"/>
      <c r="Q214" s="4"/>
      <c r="R214" s="4"/>
      <c r="S214" s="4"/>
      <c r="T214" s="4"/>
      <c r="U214" s="4"/>
      <c r="V214" s="4"/>
      <c r="W214" s="4"/>
    </row>
    <row r="215" spans="2:23" ht="29.25" customHeight="1">
      <c r="B215" s="348" t="s">
        <v>465</v>
      </c>
      <c r="C215" s="348" t="s">
        <v>465</v>
      </c>
      <c r="D215" s="348"/>
      <c r="E215" s="348"/>
      <c r="F215" s="348"/>
      <c r="G215" s="348"/>
      <c r="H215" s="348"/>
      <c r="I215" s="348"/>
      <c r="J215" s="348"/>
      <c r="K215" s="348"/>
      <c r="L215" s="348"/>
      <c r="M215" s="348"/>
      <c r="Q215" s="4"/>
      <c r="R215" s="4"/>
      <c r="S215" s="4"/>
      <c r="T215" s="4"/>
      <c r="U215" s="4"/>
      <c r="V215" s="4"/>
      <c r="W215" s="4"/>
    </row>
    <row r="216" spans="2:23" ht="15.75" customHeight="1">
      <c r="B216" s="368"/>
      <c r="E216" s="119"/>
      <c r="Q216" s="4"/>
      <c r="R216" s="4"/>
      <c r="S216" s="4"/>
      <c r="T216" s="4"/>
      <c r="U216" s="4"/>
      <c r="V216" s="4"/>
      <c r="W216" s="4"/>
    </row>
    <row r="217" spans="2:23">
      <c r="B217" s="368"/>
      <c r="E217" s="119"/>
      <c r="Q217" s="4"/>
      <c r="R217" s="4"/>
      <c r="S217" s="4"/>
      <c r="T217" s="4"/>
      <c r="U217" s="4"/>
      <c r="V217" s="4"/>
      <c r="W217" s="4"/>
    </row>
    <row r="218" spans="2:23">
      <c r="B218" s="369" t="s">
        <v>466</v>
      </c>
      <c r="C218" s="1" t="s">
        <v>467</v>
      </c>
      <c r="D218" s="1" t="s">
        <v>468</v>
      </c>
      <c r="E218" s="119" t="s">
        <v>469</v>
      </c>
      <c r="Q218" s="4"/>
      <c r="R218" s="4"/>
      <c r="S218" s="4"/>
      <c r="T218" s="4"/>
      <c r="U218" s="4"/>
      <c r="V218" s="4"/>
      <c r="W218" s="4"/>
    </row>
    <row r="219" spans="2:23">
      <c r="B219" s="370"/>
      <c r="C219" s="1" t="s">
        <v>470</v>
      </c>
      <c r="E219" s="119"/>
      <c r="Q219" s="4"/>
      <c r="R219" s="4"/>
      <c r="S219" s="4"/>
      <c r="T219" s="4"/>
      <c r="U219" s="4"/>
      <c r="V219" s="4"/>
      <c r="W219" s="4"/>
    </row>
    <row r="220" spans="2:23">
      <c r="B220" s="368"/>
      <c r="E220" s="119"/>
      <c r="Q220" s="4"/>
      <c r="R220" s="4"/>
      <c r="S220" s="4"/>
      <c r="T220" s="4"/>
      <c r="U220" s="4"/>
      <c r="V220" s="4"/>
      <c r="W220" s="4"/>
    </row>
    <row r="221" spans="2:23">
      <c r="B221" s="368"/>
      <c r="D221" s="115"/>
      <c r="E221" s="371"/>
      <c r="F221" s="115"/>
      <c r="G221" s="115"/>
      <c r="H221" s="115"/>
      <c r="I221" s="115"/>
      <c r="J221" s="115"/>
      <c r="K221" s="115"/>
      <c r="L221" s="115"/>
      <c r="M221" s="372"/>
      <c r="Q221" s="4"/>
      <c r="R221" s="4"/>
      <c r="S221" s="4"/>
      <c r="T221" s="4"/>
      <c r="U221" s="4"/>
      <c r="V221" s="4"/>
      <c r="W221" s="4"/>
    </row>
    <row r="222" spans="2:23">
      <c r="B222" s="373" t="s">
        <v>471</v>
      </c>
      <c r="C222" s="115" t="s">
        <v>472</v>
      </c>
      <c r="D222" s="115" t="s">
        <v>473</v>
      </c>
      <c r="E222" s="371" t="s">
        <v>474</v>
      </c>
      <c r="F222" s="115" t="s">
        <v>475</v>
      </c>
      <c r="G222" s="115" t="s">
        <v>476</v>
      </c>
      <c r="H222" s="115" t="s">
        <v>477</v>
      </c>
      <c r="I222" s="115" t="s">
        <v>478</v>
      </c>
      <c r="J222" s="115" t="s">
        <v>479</v>
      </c>
      <c r="K222" s="115" t="s">
        <v>480</v>
      </c>
      <c r="L222" s="115" t="s">
        <v>481</v>
      </c>
      <c r="M222" s="372"/>
      <c r="Q222" s="4"/>
      <c r="R222" s="4"/>
      <c r="S222" s="4"/>
      <c r="T222" s="4"/>
      <c r="U222" s="4"/>
      <c r="V222" s="4"/>
      <c r="W222" s="4"/>
    </row>
    <row r="223" spans="2:23">
      <c r="B223" s="370"/>
      <c r="C223" s="1" t="s">
        <v>482</v>
      </c>
      <c r="E223" s="119"/>
      <c r="Q223" s="4"/>
      <c r="R223" s="4"/>
      <c r="S223" s="4"/>
      <c r="T223" s="4"/>
      <c r="U223" s="4"/>
      <c r="V223" s="4"/>
      <c r="W223" s="4"/>
    </row>
    <row r="224" spans="2:23">
      <c r="B224" s="368"/>
      <c r="C224" s="21"/>
      <c r="E224" s="119"/>
      <c r="H224" s="21"/>
      <c r="I224" s="374"/>
      <c r="J224" s="21"/>
      <c r="K224" s="21"/>
      <c r="L224" s="131"/>
      <c r="Q224" s="4"/>
      <c r="R224" s="4"/>
      <c r="S224" s="4"/>
      <c r="T224" s="4"/>
      <c r="U224" s="4"/>
      <c r="V224" s="4"/>
      <c r="W224" s="4"/>
    </row>
    <row r="225" spans="2:23">
      <c r="B225" s="375"/>
      <c r="E225" s="119"/>
      <c r="Q225" s="4"/>
      <c r="R225" s="4"/>
      <c r="S225" s="4"/>
      <c r="T225" s="4"/>
      <c r="U225" s="4"/>
      <c r="V225" s="4"/>
      <c r="W225" s="4"/>
    </row>
    <row r="226" spans="2:23">
      <c r="B226" s="373" t="s">
        <v>483</v>
      </c>
      <c r="C226" s="1" t="s">
        <v>484</v>
      </c>
      <c r="D226" s="1" t="s">
        <v>485</v>
      </c>
      <c r="E226" s="119" t="s">
        <v>486</v>
      </c>
      <c r="F226" s="1" t="s">
        <v>487</v>
      </c>
      <c r="G226" s="1" t="s">
        <v>488</v>
      </c>
      <c r="H226" s="1" t="s">
        <v>489</v>
      </c>
      <c r="I226" s="1" t="s">
        <v>490</v>
      </c>
      <c r="J226" s="1" t="s">
        <v>491</v>
      </c>
      <c r="K226" s="1" t="s">
        <v>492</v>
      </c>
      <c r="L226" s="1" t="s">
        <v>493</v>
      </c>
      <c r="M226" s="1" t="s">
        <v>494</v>
      </c>
      <c r="Q226" s="4"/>
      <c r="R226" s="4"/>
      <c r="S226" s="4"/>
      <c r="T226" s="4"/>
      <c r="U226" s="4"/>
      <c r="V226" s="4"/>
      <c r="W226" s="4"/>
    </row>
    <row r="227" spans="2:23">
      <c r="B227" s="4"/>
      <c r="E227" s="119"/>
      <c r="Q227" s="4"/>
      <c r="R227" s="4"/>
      <c r="S227" s="4"/>
      <c r="T227" s="4"/>
      <c r="U227" s="4"/>
      <c r="V227" s="4"/>
      <c r="W227" s="4"/>
    </row>
    <row r="228" spans="2:23">
      <c r="Q228" s="4"/>
      <c r="R228" s="4"/>
      <c r="S228" s="4"/>
      <c r="T228" s="4"/>
      <c r="U228" s="4"/>
      <c r="V228" s="4"/>
      <c r="W228" s="4"/>
    </row>
    <row r="229" spans="2:23">
      <c r="Q229" s="4"/>
      <c r="R229" s="4"/>
      <c r="S229" s="4"/>
      <c r="T229" s="4"/>
      <c r="U229" s="4"/>
      <c r="V229" s="4"/>
      <c r="W229" s="4"/>
    </row>
    <row r="230" spans="2:23">
      <c r="E230" s="376"/>
      <c r="F230" s="374"/>
      <c r="G230" s="21"/>
      <c r="H230" s="21"/>
      <c r="I230" s="131"/>
      <c r="L230" s="4"/>
      <c r="M230" s="4"/>
      <c r="N230" s="4"/>
      <c r="Q230" s="4"/>
      <c r="R230" s="4"/>
      <c r="S230" s="4"/>
      <c r="T230" s="4"/>
      <c r="U230" s="4"/>
      <c r="V230" s="4"/>
      <c r="W230" s="4"/>
    </row>
    <row r="231" spans="2:23">
      <c r="B231" s="21"/>
      <c r="C231" s="21"/>
      <c r="E231" s="119"/>
      <c r="H231" s="21"/>
      <c r="I231" s="374"/>
      <c r="J231" s="21"/>
      <c r="K231" s="21"/>
      <c r="L231" s="131"/>
      <c r="Q231" s="4"/>
      <c r="R231" s="4"/>
      <c r="S231" s="4"/>
      <c r="T231" s="4"/>
      <c r="U231" s="4"/>
      <c r="V231" s="4"/>
      <c r="W231" s="4"/>
    </row>
    <row r="232" spans="2:23">
      <c r="B232" s="21"/>
      <c r="C232" s="21"/>
      <c r="E232" s="119"/>
      <c r="H232" s="21"/>
      <c r="I232" s="374"/>
      <c r="J232" s="21"/>
      <c r="K232" s="21"/>
      <c r="L232" s="131"/>
      <c r="O232" s="4"/>
      <c r="P232" s="4"/>
      <c r="Q232" s="4"/>
      <c r="R232" s="4"/>
      <c r="S232" s="4"/>
      <c r="T232" s="4"/>
      <c r="U232" s="4"/>
      <c r="V232" s="4"/>
      <c r="W232" s="4"/>
    </row>
    <row r="233" spans="2:23">
      <c r="B233" s="21"/>
      <c r="C233" s="21"/>
      <c r="E233" s="119"/>
      <c r="H233" s="21"/>
      <c r="I233" s="374"/>
      <c r="J233" s="21"/>
      <c r="K233" s="21"/>
      <c r="L233" s="131"/>
      <c r="O233" s="4"/>
      <c r="P233" s="4"/>
      <c r="Q233" s="4"/>
      <c r="R233" s="4"/>
      <c r="S233" s="4"/>
      <c r="T233" s="4"/>
      <c r="U233" s="4"/>
      <c r="V233" s="4"/>
      <c r="W233" s="4"/>
    </row>
    <row r="234" spans="2:23">
      <c r="B234" s="21"/>
      <c r="C234" s="21"/>
      <c r="E234" s="119"/>
      <c r="H234" s="21"/>
      <c r="I234" s="374"/>
      <c r="J234" s="21"/>
      <c r="K234" s="21"/>
      <c r="L234" s="131"/>
      <c r="O234" s="4"/>
      <c r="P234" s="4"/>
      <c r="Q234" s="4"/>
      <c r="R234" s="4"/>
      <c r="S234" s="4"/>
      <c r="T234" s="4"/>
      <c r="U234" s="4"/>
      <c r="V234" s="4"/>
      <c r="W234" s="4"/>
    </row>
    <row r="235" spans="2:23">
      <c r="B235" s="21"/>
      <c r="C235" s="21"/>
      <c r="E235" s="119"/>
      <c r="H235" s="21"/>
      <c r="I235" s="374"/>
      <c r="J235" s="21"/>
      <c r="K235" s="21"/>
      <c r="L235" s="131"/>
      <c r="O235" s="4"/>
      <c r="P235" s="4"/>
      <c r="Q235" s="4"/>
      <c r="R235" s="4"/>
      <c r="S235" s="4"/>
      <c r="T235" s="4"/>
      <c r="U235" s="4"/>
      <c r="V235" s="4"/>
      <c r="W235" s="4"/>
    </row>
    <row r="236" spans="2:23">
      <c r="B236" s="21"/>
      <c r="C236" s="21"/>
      <c r="E236" s="119"/>
      <c r="H236" s="21"/>
      <c r="I236" s="374"/>
      <c r="J236" s="21"/>
      <c r="K236" s="21"/>
      <c r="L236" s="131"/>
      <c r="O236" s="4"/>
      <c r="P236" s="4"/>
      <c r="Q236" s="4"/>
      <c r="R236" s="4"/>
      <c r="S236" s="4"/>
      <c r="T236" s="4"/>
      <c r="U236" s="4"/>
      <c r="V236" s="4"/>
      <c r="W236" s="4"/>
    </row>
    <row r="237" spans="2:23">
      <c r="B237" s="21"/>
      <c r="C237" s="21"/>
      <c r="E237" s="119"/>
      <c r="H237" s="21"/>
      <c r="I237" s="374"/>
      <c r="J237" s="21"/>
      <c r="K237" s="21"/>
      <c r="L237" s="131"/>
      <c r="O237" s="4"/>
      <c r="P237" s="4"/>
      <c r="Q237" s="4"/>
      <c r="R237" s="4"/>
      <c r="S237" s="4"/>
      <c r="T237" s="4"/>
      <c r="U237" s="4"/>
      <c r="V237" s="4"/>
      <c r="W237" s="4"/>
    </row>
  </sheetData>
  <mergeCells count="25">
    <mergeCell ref="BP32:CK32"/>
    <mergeCell ref="AK33:BF33"/>
    <mergeCell ref="BP33:CK33"/>
    <mergeCell ref="AK34:BF34"/>
    <mergeCell ref="BP34:CK34"/>
    <mergeCell ref="B117:B131"/>
    <mergeCell ref="B5:B27"/>
    <mergeCell ref="B31:B54"/>
    <mergeCell ref="K32:K34"/>
    <mergeCell ref="AK32:BF32"/>
    <mergeCell ref="K35:K39"/>
    <mergeCell ref="K43:K44"/>
    <mergeCell ref="B64:B77"/>
    <mergeCell ref="B83:B96"/>
    <mergeCell ref="B99:B106"/>
    <mergeCell ref="B109:B114"/>
    <mergeCell ref="B194:B195"/>
    <mergeCell ref="B198:B199"/>
    <mergeCell ref="B207:B212"/>
    <mergeCell ref="B134:B149"/>
    <mergeCell ref="B151:B157"/>
    <mergeCell ref="B159:B173"/>
    <mergeCell ref="B175:B176"/>
    <mergeCell ref="B178:B183"/>
    <mergeCell ref="B190:B191"/>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27E9E-A05C-452A-9CC8-5137AF02E614}">
  <sheetPr codeName="Sheet13">
    <tabColor theme="1"/>
  </sheetPr>
  <dimension ref="A1:AL90"/>
  <sheetViews>
    <sheetView workbookViewId="0"/>
  </sheetViews>
  <sheetFormatPr defaultColWidth="9.140625" defaultRowHeight="15"/>
  <cols>
    <col min="1" max="1" width="11.140625" style="1" customWidth="1"/>
    <col min="2" max="2" width="33.85546875" style="21" customWidth="1"/>
    <col min="3" max="3" width="60.5703125" style="21" customWidth="1"/>
    <col min="4" max="4" width="38.85546875" style="1" customWidth="1"/>
    <col min="5" max="5" width="25.140625" style="119" customWidth="1"/>
    <col min="6" max="6" width="21" style="1" customWidth="1"/>
    <col min="7" max="7" width="27.28515625" style="1" customWidth="1"/>
    <col min="8" max="8" width="19.85546875" style="21" customWidth="1"/>
    <col min="9" max="9" width="19.85546875" style="374" customWidth="1"/>
    <col min="10" max="10" width="19.85546875" style="21" customWidth="1"/>
    <col min="11" max="11" width="15.140625" style="21" customWidth="1"/>
    <col min="12" max="12" width="15.140625" style="131" customWidth="1"/>
    <col min="13" max="13" width="15.140625" style="1" customWidth="1"/>
    <col min="14" max="14" width="19.85546875" style="1" customWidth="1"/>
    <col min="15" max="23" width="19.85546875" style="4" customWidth="1"/>
    <col min="24" max="25" width="19.85546875" style="1" customWidth="1"/>
    <col min="26" max="36" width="13.7109375" style="1" customWidth="1"/>
    <col min="37" max="38" width="19.85546875" style="1" customWidth="1"/>
    <col min="39" max="16384" width="9.140625" style="1"/>
  </cols>
  <sheetData>
    <row r="1" spans="1:38" ht="51" customHeight="1">
      <c r="B1" s="62" t="s">
        <v>495</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3"/>
    </row>
    <row r="2" spans="1:38" ht="14.25" customHeight="1">
      <c r="B2" s="1"/>
      <c r="C2" s="1"/>
      <c r="E2" s="1"/>
      <c r="H2" s="1"/>
      <c r="I2" s="1"/>
      <c r="J2" s="1"/>
      <c r="K2" s="1"/>
      <c r="L2" s="1"/>
      <c r="O2" s="1"/>
      <c r="P2" s="1"/>
      <c r="Q2" s="1"/>
      <c r="R2" s="1"/>
      <c r="S2" s="1"/>
      <c r="T2" s="1"/>
      <c r="U2" s="1"/>
      <c r="V2" s="1"/>
      <c r="W2" s="1"/>
    </row>
    <row r="3" spans="1:38" ht="16.5" thickBot="1">
      <c r="B3" s="377"/>
      <c r="C3" s="377" t="s">
        <v>496</v>
      </c>
      <c r="D3" s="378">
        <v>5</v>
      </c>
      <c r="E3" s="378"/>
      <c r="F3" s="377"/>
      <c r="G3" s="377"/>
      <c r="H3" s="1"/>
      <c r="I3" s="1"/>
      <c r="J3" s="1"/>
      <c r="K3" s="1"/>
      <c r="L3" s="1"/>
      <c r="N3" s="4"/>
      <c r="W3" s="1"/>
      <c r="Z3" s="379"/>
      <c r="AA3" s="379"/>
      <c r="AB3" s="379"/>
      <c r="AC3" s="379"/>
      <c r="AD3" s="379"/>
      <c r="AE3" s="379"/>
      <c r="AF3" s="379"/>
      <c r="AG3" s="379"/>
      <c r="AH3" s="379"/>
      <c r="AI3" s="379"/>
      <c r="AJ3" s="379"/>
      <c r="AK3" s="379"/>
    </row>
    <row r="4" spans="1:38" s="3" customFormat="1">
      <c r="Z4" s="380" t="s">
        <v>497</v>
      </c>
      <c r="AA4" s="381"/>
      <c r="AB4" s="381"/>
      <c r="AC4" s="381"/>
      <c r="AD4" s="382" t="s">
        <v>197</v>
      </c>
      <c r="AE4" s="383" t="s">
        <v>498</v>
      </c>
      <c r="AF4" s="384" t="s">
        <v>499</v>
      </c>
      <c r="AG4" s="385"/>
      <c r="AH4" s="385"/>
      <c r="AI4" s="385"/>
      <c r="AJ4" s="386"/>
      <c r="AK4" s="387"/>
    </row>
    <row r="5" spans="1:38" s="3" customFormat="1" ht="15.75" thickBot="1"/>
    <row r="6" spans="1:38" s="216" customFormat="1" ht="40.5" customHeight="1">
      <c r="A6" s="388"/>
      <c r="B6" s="389" t="s">
        <v>500</v>
      </c>
      <c r="C6" s="390" t="s">
        <v>501</v>
      </c>
      <c r="D6" s="391" t="s">
        <v>502</v>
      </c>
      <c r="E6" s="392" t="s">
        <v>503</v>
      </c>
      <c r="F6" s="393" t="s">
        <v>504</v>
      </c>
      <c r="G6" s="393" t="s">
        <v>505</v>
      </c>
      <c r="H6" s="393" t="s">
        <v>506</v>
      </c>
      <c r="I6" s="393" t="s">
        <v>507</v>
      </c>
      <c r="J6" s="393" t="s">
        <v>508</v>
      </c>
      <c r="K6" s="394" t="s">
        <v>509</v>
      </c>
      <c r="L6" s="395" t="s">
        <v>510</v>
      </c>
      <c r="M6" s="395" t="s">
        <v>511</v>
      </c>
      <c r="N6" s="396" t="s">
        <v>512</v>
      </c>
      <c r="O6" s="397" t="s">
        <v>513</v>
      </c>
      <c r="P6" s="398" t="s">
        <v>514</v>
      </c>
      <c r="Q6" s="399" t="s">
        <v>515</v>
      </c>
      <c r="R6" s="399" t="s">
        <v>516</v>
      </c>
      <c r="S6" s="399" t="s">
        <v>517</v>
      </c>
      <c r="T6" s="399" t="s">
        <v>518</v>
      </c>
      <c r="U6" s="400" t="s">
        <v>519</v>
      </c>
      <c r="V6" s="400" t="s">
        <v>520</v>
      </c>
      <c r="W6" s="400" t="s">
        <v>521</v>
      </c>
      <c r="X6" s="400" t="s">
        <v>522</v>
      </c>
      <c r="Y6" s="400" t="s">
        <v>523</v>
      </c>
      <c r="Z6" s="401" t="s">
        <v>524</v>
      </c>
      <c r="AA6" s="401" t="s">
        <v>525</v>
      </c>
      <c r="AB6" s="401" t="s">
        <v>526</v>
      </c>
      <c r="AC6" s="401" t="s">
        <v>527</v>
      </c>
      <c r="AD6" s="401" t="s">
        <v>528</v>
      </c>
      <c r="AE6" s="401" t="s">
        <v>529</v>
      </c>
      <c r="AF6" s="401" t="s">
        <v>530</v>
      </c>
      <c r="AG6" s="401" t="s">
        <v>531</v>
      </c>
      <c r="AH6" s="401" t="s">
        <v>532</v>
      </c>
      <c r="AI6" s="401" t="s">
        <v>533</v>
      </c>
      <c r="AJ6" s="402" t="s">
        <v>534</v>
      </c>
      <c r="AK6" s="403" t="s">
        <v>535</v>
      </c>
      <c r="AL6" s="3"/>
    </row>
    <row r="7" spans="1:38">
      <c r="B7" s="404" t="s">
        <v>536</v>
      </c>
      <c r="C7" s="404" t="s">
        <v>537</v>
      </c>
      <c r="D7" s="405">
        <v>94072010327</v>
      </c>
      <c r="E7" s="406" t="s">
        <v>178</v>
      </c>
      <c r="F7" s="407" t="s">
        <v>171</v>
      </c>
      <c r="G7" s="407" t="s">
        <v>180</v>
      </c>
      <c r="H7" s="408" t="s">
        <v>538</v>
      </c>
      <c r="I7" s="409" t="s">
        <v>539</v>
      </c>
      <c r="J7" s="408" t="s">
        <v>540</v>
      </c>
      <c r="K7" s="410">
        <v>5</v>
      </c>
      <c r="L7" s="411">
        <v>5</v>
      </c>
      <c r="M7" s="412">
        <v>5</v>
      </c>
      <c r="N7" s="413" t="s">
        <v>541</v>
      </c>
      <c r="O7" s="407" t="s">
        <v>538</v>
      </c>
      <c r="P7" s="414" t="s">
        <v>542</v>
      </c>
      <c r="Q7" s="415" t="s">
        <v>543</v>
      </c>
      <c r="R7" s="415" t="s">
        <v>544</v>
      </c>
      <c r="S7" s="415" t="s">
        <v>178</v>
      </c>
      <c r="T7" s="416">
        <v>3000</v>
      </c>
      <c r="U7" s="414" t="s">
        <v>545</v>
      </c>
      <c r="V7" s="415"/>
      <c r="W7" s="415" t="s">
        <v>544</v>
      </c>
      <c r="X7" s="415" t="s">
        <v>178</v>
      </c>
      <c r="Y7" s="416">
        <v>3001</v>
      </c>
      <c r="Z7" s="417" t="s">
        <v>546</v>
      </c>
      <c r="AA7" s="418" t="s">
        <v>546</v>
      </c>
      <c r="AB7" s="418" t="s">
        <v>546</v>
      </c>
      <c r="AC7" s="418" t="s">
        <v>546</v>
      </c>
      <c r="AD7" s="418" t="s">
        <v>546</v>
      </c>
      <c r="AE7" s="417" t="s">
        <v>538</v>
      </c>
      <c r="AF7" s="417" t="s">
        <v>547</v>
      </c>
      <c r="AG7" s="418" t="s">
        <v>548</v>
      </c>
      <c r="AH7" s="418" t="s">
        <v>549</v>
      </c>
      <c r="AI7" s="419" t="s">
        <v>550</v>
      </c>
      <c r="AJ7" s="417"/>
      <c r="AK7" s="420" t="s">
        <v>546</v>
      </c>
      <c r="AL7" s="3"/>
    </row>
    <row r="8" spans="1:38">
      <c r="B8" s="404" t="s">
        <v>179</v>
      </c>
      <c r="C8" s="404" t="s">
        <v>551</v>
      </c>
      <c r="D8" s="405" t="s">
        <v>552</v>
      </c>
      <c r="E8" s="406" t="s">
        <v>178</v>
      </c>
      <c r="F8" s="407" t="s">
        <v>171</v>
      </c>
      <c r="G8" s="407" t="s">
        <v>180</v>
      </c>
      <c r="H8" s="408" t="s">
        <v>252</v>
      </c>
      <c r="I8" s="409" t="s">
        <v>539</v>
      </c>
      <c r="J8" s="408" t="s">
        <v>540</v>
      </c>
      <c r="K8" s="421">
        <v>5</v>
      </c>
      <c r="L8" s="422">
        <v>5</v>
      </c>
      <c r="M8" s="423">
        <v>5</v>
      </c>
      <c r="N8" s="413">
        <v>2</v>
      </c>
      <c r="O8" s="407" t="s">
        <v>553</v>
      </c>
      <c r="P8" s="414" t="s">
        <v>554</v>
      </c>
      <c r="Q8" s="415" t="s">
        <v>555</v>
      </c>
      <c r="R8" s="415" t="s">
        <v>556</v>
      </c>
      <c r="S8" s="415" t="s">
        <v>178</v>
      </c>
      <c r="T8" s="416">
        <v>3006</v>
      </c>
      <c r="U8" s="414" t="s">
        <v>557</v>
      </c>
      <c r="V8" s="415"/>
      <c r="W8" s="415" t="s">
        <v>558</v>
      </c>
      <c r="X8" s="424" t="s">
        <v>178</v>
      </c>
      <c r="Y8" s="416">
        <v>8001</v>
      </c>
      <c r="Z8" s="417" t="s">
        <v>546</v>
      </c>
      <c r="AA8" s="418" t="s">
        <v>546</v>
      </c>
      <c r="AB8" s="418" t="s">
        <v>546</v>
      </c>
      <c r="AC8" s="418" t="s">
        <v>546</v>
      </c>
      <c r="AD8" s="418" t="s">
        <v>546</v>
      </c>
      <c r="AE8" s="417" t="s">
        <v>538</v>
      </c>
      <c r="AF8" s="417" t="s">
        <v>547</v>
      </c>
      <c r="AG8" s="418" t="s">
        <v>548</v>
      </c>
      <c r="AH8" s="418" t="s">
        <v>549</v>
      </c>
      <c r="AI8" s="419" t="s">
        <v>550</v>
      </c>
      <c r="AJ8" s="417"/>
      <c r="AK8" s="420" t="s">
        <v>546</v>
      </c>
      <c r="AL8" s="3"/>
    </row>
    <row r="9" spans="1:38">
      <c r="B9" s="425" t="s">
        <v>22</v>
      </c>
      <c r="C9" s="425" t="s">
        <v>22</v>
      </c>
      <c r="D9" s="426">
        <v>11222333444</v>
      </c>
      <c r="E9" s="427" t="s">
        <v>538</v>
      </c>
      <c r="F9" s="428" t="s">
        <v>171</v>
      </c>
      <c r="G9" s="428" t="s">
        <v>180</v>
      </c>
      <c r="H9" s="429" t="s">
        <v>252</v>
      </c>
      <c r="I9" s="430" t="s">
        <v>539</v>
      </c>
      <c r="J9" s="429" t="s">
        <v>559</v>
      </c>
      <c r="K9" s="421">
        <v>5</v>
      </c>
      <c r="L9" s="422">
        <v>5</v>
      </c>
      <c r="M9" s="423">
        <v>5</v>
      </c>
      <c r="N9" s="431">
        <v>5</v>
      </c>
      <c r="O9" s="428" t="s">
        <v>553</v>
      </c>
      <c r="P9" s="432" t="s">
        <v>560</v>
      </c>
      <c r="Q9" s="433"/>
      <c r="R9" s="433" t="s">
        <v>561</v>
      </c>
      <c r="S9" s="433" t="s">
        <v>176</v>
      </c>
      <c r="T9" s="434">
        <v>2000</v>
      </c>
      <c r="U9" s="432" t="s">
        <v>562</v>
      </c>
      <c r="V9" s="433"/>
      <c r="W9" s="433" t="s">
        <v>561</v>
      </c>
      <c r="X9" s="433" t="s">
        <v>176</v>
      </c>
      <c r="Y9" s="434">
        <v>2000</v>
      </c>
      <c r="Z9" s="417" t="s">
        <v>546</v>
      </c>
      <c r="AA9" s="418" t="s">
        <v>546</v>
      </c>
      <c r="AB9" s="418" t="s">
        <v>546</v>
      </c>
      <c r="AC9" s="418" t="s">
        <v>546</v>
      </c>
      <c r="AD9" s="418" t="s">
        <v>546</v>
      </c>
      <c r="AE9" s="417" t="s">
        <v>538</v>
      </c>
      <c r="AF9" s="417" t="s">
        <v>547</v>
      </c>
      <c r="AG9" s="418" t="s">
        <v>548</v>
      </c>
      <c r="AH9" s="418" t="s">
        <v>549</v>
      </c>
      <c r="AI9" s="419" t="s">
        <v>550</v>
      </c>
      <c r="AJ9" s="417"/>
      <c r="AK9" s="420" t="s">
        <v>546</v>
      </c>
      <c r="AL9" s="3"/>
    </row>
    <row r="10" spans="1:38">
      <c r="B10" s="404" t="s">
        <v>182</v>
      </c>
      <c r="C10" s="404" t="s">
        <v>182</v>
      </c>
      <c r="D10" s="405">
        <v>16779340889</v>
      </c>
      <c r="E10" s="406" t="s">
        <v>183</v>
      </c>
      <c r="F10" s="407" t="s">
        <v>171</v>
      </c>
      <c r="G10" s="407" t="s">
        <v>180</v>
      </c>
      <c r="H10" s="408" t="s">
        <v>252</v>
      </c>
      <c r="I10" s="409" t="s">
        <v>539</v>
      </c>
      <c r="J10" s="408" t="s">
        <v>559</v>
      </c>
      <c r="K10" s="421">
        <v>5</v>
      </c>
      <c r="L10" s="422">
        <v>5</v>
      </c>
      <c r="M10" s="423">
        <v>5</v>
      </c>
      <c r="N10" s="413">
        <v>5</v>
      </c>
      <c r="O10" s="407" t="s">
        <v>553</v>
      </c>
      <c r="P10" s="414" t="s">
        <v>563</v>
      </c>
      <c r="Q10" s="415" t="s">
        <v>564</v>
      </c>
      <c r="R10" s="415" t="s">
        <v>561</v>
      </c>
      <c r="S10" s="435" t="s">
        <v>176</v>
      </c>
      <c r="T10" s="416">
        <v>2000</v>
      </c>
      <c r="U10" s="414" t="s">
        <v>565</v>
      </c>
      <c r="V10" s="415"/>
      <c r="W10" s="415" t="s">
        <v>566</v>
      </c>
      <c r="X10" s="415" t="s">
        <v>176</v>
      </c>
      <c r="Y10" s="416">
        <v>1225</v>
      </c>
      <c r="Z10" s="417" t="s">
        <v>546</v>
      </c>
      <c r="AA10" s="418" t="s">
        <v>546</v>
      </c>
      <c r="AB10" s="418" t="s">
        <v>546</v>
      </c>
      <c r="AC10" s="418" t="s">
        <v>546</v>
      </c>
      <c r="AD10" s="418" t="s">
        <v>546</v>
      </c>
      <c r="AE10" s="417" t="s">
        <v>538</v>
      </c>
      <c r="AF10" s="417" t="s">
        <v>547</v>
      </c>
      <c r="AG10" s="418" t="s">
        <v>548</v>
      </c>
      <c r="AH10" s="418" t="s">
        <v>549</v>
      </c>
      <c r="AI10" s="419" t="s">
        <v>550</v>
      </c>
      <c r="AJ10" s="417"/>
      <c r="AK10" s="420" t="s">
        <v>546</v>
      </c>
      <c r="AL10" s="3"/>
    </row>
    <row r="11" spans="1:38">
      <c r="B11" s="404" t="s">
        <v>184</v>
      </c>
      <c r="C11" s="404" t="s">
        <v>184</v>
      </c>
      <c r="D11" s="405">
        <v>41094482416</v>
      </c>
      <c r="E11" s="406" t="s">
        <v>185</v>
      </c>
      <c r="F11" s="407" t="s">
        <v>171</v>
      </c>
      <c r="G11" s="407" t="s">
        <v>180</v>
      </c>
      <c r="H11" s="408" t="s">
        <v>252</v>
      </c>
      <c r="I11" s="409" t="s">
        <v>539</v>
      </c>
      <c r="J11" s="408" t="s">
        <v>559</v>
      </c>
      <c r="K11" s="410">
        <v>5</v>
      </c>
      <c r="L11" s="411">
        <v>5</v>
      </c>
      <c r="M11" s="412">
        <v>5</v>
      </c>
      <c r="N11" s="413">
        <v>5</v>
      </c>
      <c r="O11" s="407" t="s">
        <v>553</v>
      </c>
      <c r="P11" s="414" t="s">
        <v>567</v>
      </c>
      <c r="Q11" s="415" t="s">
        <v>568</v>
      </c>
      <c r="R11" s="415" t="s">
        <v>569</v>
      </c>
      <c r="S11" s="415" t="s">
        <v>185</v>
      </c>
      <c r="T11" s="416">
        <v>5000</v>
      </c>
      <c r="U11" s="414" t="s">
        <v>570</v>
      </c>
      <c r="V11" s="415" t="s">
        <v>571</v>
      </c>
      <c r="W11" s="415" t="s">
        <v>569</v>
      </c>
      <c r="X11" s="415" t="s">
        <v>185</v>
      </c>
      <c r="Y11" s="436">
        <v>5000</v>
      </c>
      <c r="Z11" s="417" t="s">
        <v>546</v>
      </c>
      <c r="AA11" s="418" t="s">
        <v>546</v>
      </c>
      <c r="AB11" s="418" t="s">
        <v>546</v>
      </c>
      <c r="AC11" s="418" t="s">
        <v>546</v>
      </c>
      <c r="AD11" s="418" t="s">
        <v>546</v>
      </c>
      <c r="AE11" s="417" t="s">
        <v>538</v>
      </c>
      <c r="AF11" s="417" t="s">
        <v>547</v>
      </c>
      <c r="AG11" s="418" t="s">
        <v>548</v>
      </c>
      <c r="AH11" s="418" t="s">
        <v>549</v>
      </c>
      <c r="AI11" s="419" t="s">
        <v>550</v>
      </c>
      <c r="AJ11" s="417"/>
      <c r="AK11" s="420" t="s">
        <v>546</v>
      </c>
      <c r="AL11" s="3"/>
    </row>
    <row r="12" spans="1:38">
      <c r="B12" s="404" t="s">
        <v>191</v>
      </c>
      <c r="C12" s="404" t="s">
        <v>191</v>
      </c>
      <c r="D12" s="405">
        <v>79181207909</v>
      </c>
      <c r="E12" s="406" t="s">
        <v>185</v>
      </c>
      <c r="F12" s="407" t="s">
        <v>171</v>
      </c>
      <c r="G12" s="407" t="s">
        <v>180</v>
      </c>
      <c r="H12" s="408" t="s">
        <v>252</v>
      </c>
      <c r="I12" s="409" t="s">
        <v>539</v>
      </c>
      <c r="J12" s="408" t="s">
        <v>559</v>
      </c>
      <c r="K12" s="410">
        <v>5</v>
      </c>
      <c r="L12" s="411">
        <v>5</v>
      </c>
      <c r="M12" s="412">
        <v>5</v>
      </c>
      <c r="N12" s="413">
        <v>5</v>
      </c>
      <c r="O12" s="407" t="s">
        <v>553</v>
      </c>
      <c r="P12" s="414" t="s">
        <v>572</v>
      </c>
      <c r="Q12" s="415" t="s">
        <v>564</v>
      </c>
      <c r="R12" s="415" t="s">
        <v>561</v>
      </c>
      <c r="S12" s="435" t="s">
        <v>176</v>
      </c>
      <c r="T12" s="416">
        <v>2000</v>
      </c>
      <c r="U12" s="414" t="s">
        <v>565</v>
      </c>
      <c r="V12" s="415"/>
      <c r="W12" s="415" t="s">
        <v>566</v>
      </c>
      <c r="X12" s="415" t="s">
        <v>176</v>
      </c>
      <c r="Y12" s="416">
        <v>1225</v>
      </c>
      <c r="Z12" s="417" t="s">
        <v>546</v>
      </c>
      <c r="AA12" s="418" t="s">
        <v>546</v>
      </c>
      <c r="AB12" s="418" t="s">
        <v>546</v>
      </c>
      <c r="AC12" s="418" t="s">
        <v>546</v>
      </c>
      <c r="AD12" s="418" t="s">
        <v>546</v>
      </c>
      <c r="AE12" s="417" t="s">
        <v>538</v>
      </c>
      <c r="AF12" s="417" t="s">
        <v>547</v>
      </c>
      <c r="AG12" s="418" t="s">
        <v>548</v>
      </c>
      <c r="AH12" s="418" t="s">
        <v>549</v>
      </c>
      <c r="AI12" s="419" t="s">
        <v>550</v>
      </c>
      <c r="AJ12" s="417"/>
      <c r="AK12" s="420" t="s">
        <v>546</v>
      </c>
      <c r="AL12" s="3"/>
    </row>
    <row r="13" spans="1:38" ht="28.5">
      <c r="B13" s="404" t="s">
        <v>195</v>
      </c>
      <c r="C13" s="437" t="s">
        <v>573</v>
      </c>
      <c r="D13" s="405">
        <v>82078849233</v>
      </c>
      <c r="E13" s="406" t="s">
        <v>183</v>
      </c>
      <c r="F13" s="407" t="s">
        <v>171</v>
      </c>
      <c r="G13" s="407" t="s">
        <v>180</v>
      </c>
      <c r="H13" s="408" t="s">
        <v>252</v>
      </c>
      <c r="I13" s="409" t="s">
        <v>539</v>
      </c>
      <c r="J13" s="408" t="s">
        <v>559</v>
      </c>
      <c r="K13" s="421">
        <v>5</v>
      </c>
      <c r="L13" s="422">
        <v>5</v>
      </c>
      <c r="M13" s="423">
        <v>5</v>
      </c>
      <c r="N13" s="413">
        <v>5</v>
      </c>
      <c r="O13" s="407" t="s">
        <v>553</v>
      </c>
      <c r="P13" s="414" t="s">
        <v>574</v>
      </c>
      <c r="Q13" s="415"/>
      <c r="R13" s="415" t="s">
        <v>575</v>
      </c>
      <c r="S13" s="415" t="s">
        <v>183</v>
      </c>
      <c r="T13" s="416">
        <v>4014</v>
      </c>
      <c r="U13" s="414" t="s">
        <v>576</v>
      </c>
      <c r="V13" s="415"/>
      <c r="W13" s="415" t="s">
        <v>575</v>
      </c>
      <c r="X13" s="415" t="s">
        <v>577</v>
      </c>
      <c r="Y13" s="416">
        <v>4014</v>
      </c>
      <c r="Z13" s="417" t="s">
        <v>546</v>
      </c>
      <c r="AA13" s="418" t="s">
        <v>546</v>
      </c>
      <c r="AB13" s="418" t="s">
        <v>546</v>
      </c>
      <c r="AC13" s="418" t="s">
        <v>546</v>
      </c>
      <c r="AD13" s="418" t="s">
        <v>546</v>
      </c>
      <c r="AE13" s="417" t="s">
        <v>538</v>
      </c>
      <c r="AF13" s="417" t="s">
        <v>547</v>
      </c>
      <c r="AG13" s="418" t="s">
        <v>548</v>
      </c>
      <c r="AH13" s="418" t="s">
        <v>549</v>
      </c>
      <c r="AI13" s="419" t="s">
        <v>550</v>
      </c>
      <c r="AJ13" s="417"/>
      <c r="AK13" s="420" t="s">
        <v>546</v>
      </c>
      <c r="AL13" s="3"/>
    </row>
    <row r="14" spans="1:38">
      <c r="B14" s="404" t="s">
        <v>199</v>
      </c>
      <c r="C14" s="404" t="s">
        <v>199</v>
      </c>
      <c r="D14" s="405">
        <v>24167357299</v>
      </c>
      <c r="E14" s="406" t="s">
        <v>198</v>
      </c>
      <c r="F14" s="407" t="s">
        <v>171</v>
      </c>
      <c r="G14" s="407" t="s">
        <v>180</v>
      </c>
      <c r="H14" s="408" t="s">
        <v>252</v>
      </c>
      <c r="I14" s="409" t="s">
        <v>539</v>
      </c>
      <c r="J14" s="408" t="s">
        <v>559</v>
      </c>
      <c r="K14" s="421">
        <v>5</v>
      </c>
      <c r="L14" s="422">
        <v>5</v>
      </c>
      <c r="M14" s="423">
        <v>5</v>
      </c>
      <c r="N14" s="413">
        <v>5</v>
      </c>
      <c r="O14" s="407" t="s">
        <v>553</v>
      </c>
      <c r="P14" s="414" t="s">
        <v>578</v>
      </c>
      <c r="Q14" s="415"/>
      <c r="R14" s="415" t="s">
        <v>579</v>
      </c>
      <c r="S14" s="415" t="s">
        <v>198</v>
      </c>
      <c r="T14" s="416">
        <v>7008</v>
      </c>
      <c r="U14" s="414" t="s">
        <v>580</v>
      </c>
      <c r="V14" s="415"/>
      <c r="W14" s="415" t="s">
        <v>581</v>
      </c>
      <c r="X14" s="415" t="s">
        <v>198</v>
      </c>
      <c r="Y14" s="416">
        <v>7009</v>
      </c>
      <c r="Z14" s="417" t="s">
        <v>546</v>
      </c>
      <c r="AA14" s="418" t="s">
        <v>546</v>
      </c>
      <c r="AB14" s="418" t="s">
        <v>546</v>
      </c>
      <c r="AC14" s="418" t="s">
        <v>546</v>
      </c>
      <c r="AD14" s="418" t="s">
        <v>546</v>
      </c>
      <c r="AE14" s="417" t="s">
        <v>538</v>
      </c>
      <c r="AF14" s="417" t="s">
        <v>547</v>
      </c>
      <c r="AG14" s="418" t="s">
        <v>548</v>
      </c>
      <c r="AH14" s="418" t="s">
        <v>549</v>
      </c>
      <c r="AI14" s="419" t="s">
        <v>550</v>
      </c>
      <c r="AJ14" s="417"/>
      <c r="AK14" s="420" t="s">
        <v>546</v>
      </c>
      <c r="AL14" s="3"/>
    </row>
    <row r="15" spans="1:38" ht="15.75" thickBot="1">
      <c r="B15" s="438" t="s">
        <v>200</v>
      </c>
      <c r="C15" s="438" t="s">
        <v>582</v>
      </c>
      <c r="D15" s="439" t="s">
        <v>583</v>
      </c>
      <c r="E15" s="440" t="s">
        <v>176</v>
      </c>
      <c r="F15" s="441" t="s">
        <v>171</v>
      </c>
      <c r="G15" s="441" t="s">
        <v>180</v>
      </c>
      <c r="H15" s="442" t="s">
        <v>252</v>
      </c>
      <c r="I15" s="443" t="s">
        <v>539</v>
      </c>
      <c r="J15" s="442" t="s">
        <v>559</v>
      </c>
      <c r="K15" s="444">
        <v>4</v>
      </c>
      <c r="L15" s="445">
        <v>5</v>
      </c>
      <c r="M15" s="446">
        <v>5</v>
      </c>
      <c r="N15" s="447">
        <v>5</v>
      </c>
      <c r="O15" s="441" t="s">
        <v>553</v>
      </c>
      <c r="P15" s="448" t="s">
        <v>584</v>
      </c>
      <c r="Q15" s="449"/>
      <c r="R15" s="449" t="s">
        <v>561</v>
      </c>
      <c r="S15" s="449" t="s">
        <v>176</v>
      </c>
      <c r="T15" s="450">
        <v>2000</v>
      </c>
      <c r="U15" s="448" t="s">
        <v>585</v>
      </c>
      <c r="V15" s="449"/>
      <c r="W15" s="449" t="s">
        <v>586</v>
      </c>
      <c r="X15" s="449" t="s">
        <v>176</v>
      </c>
      <c r="Y15" s="450">
        <v>1235</v>
      </c>
      <c r="Z15" s="451" t="s">
        <v>546</v>
      </c>
      <c r="AA15" s="452" t="s">
        <v>546</v>
      </c>
      <c r="AB15" s="452" t="s">
        <v>546</v>
      </c>
      <c r="AC15" s="452" t="s">
        <v>546</v>
      </c>
      <c r="AD15" s="452" t="s">
        <v>546</v>
      </c>
      <c r="AE15" s="451" t="s">
        <v>538</v>
      </c>
      <c r="AF15" s="451" t="s">
        <v>547</v>
      </c>
      <c r="AG15" s="452" t="s">
        <v>548</v>
      </c>
      <c r="AH15" s="452" t="s">
        <v>549</v>
      </c>
      <c r="AI15" s="453" t="s">
        <v>550</v>
      </c>
      <c r="AJ15" s="451"/>
      <c r="AK15" s="454" t="s">
        <v>546</v>
      </c>
      <c r="AL15" s="3"/>
    </row>
    <row r="16" spans="1:38">
      <c r="C16" s="125"/>
      <c r="X16" s="4"/>
      <c r="AL16" s="3"/>
    </row>
    <row r="17" spans="2:38">
      <c r="C17" s="125"/>
      <c r="X17" s="4"/>
      <c r="AL17" s="3"/>
    </row>
    <row r="18" spans="2:38">
      <c r="C18" s="125"/>
      <c r="X18" s="4"/>
      <c r="AL18" s="3"/>
    </row>
    <row r="19" spans="2:38">
      <c r="C19" s="125"/>
      <c r="X19" s="4"/>
    </row>
    <row r="20" spans="2:38" ht="15.75" thickBot="1">
      <c r="C20" s="125"/>
      <c r="H20" s="1"/>
      <c r="I20" s="1"/>
      <c r="J20" s="1"/>
      <c r="K20" s="1"/>
      <c r="X20" s="4"/>
    </row>
    <row r="21" spans="2:38" ht="47.25" customHeight="1" thickBot="1">
      <c r="B21" s="2224" t="s">
        <v>587</v>
      </c>
      <c r="C21" s="2225"/>
      <c r="D21" s="2225"/>
      <c r="E21" s="2225"/>
      <c r="H21" s="1"/>
      <c r="I21" s="1"/>
      <c r="J21" s="1"/>
      <c r="K21" s="1"/>
      <c r="L21" s="21"/>
      <c r="M21" s="21"/>
      <c r="N21" s="131"/>
      <c r="O21" s="1"/>
      <c r="P21" s="1"/>
      <c r="X21" s="4"/>
      <c r="Y21" s="4"/>
    </row>
    <row r="22" spans="2:38" ht="31.5" customHeight="1" thickBot="1">
      <c r="B22" s="455" t="s">
        <v>588</v>
      </c>
      <c r="C22" s="456" t="s">
        <v>589</v>
      </c>
      <c r="D22" s="457" t="s">
        <v>590</v>
      </c>
      <c r="E22" s="458" t="s">
        <v>591</v>
      </c>
      <c r="H22" s="1"/>
      <c r="I22" s="1"/>
      <c r="J22" s="1"/>
      <c r="K22" s="1"/>
      <c r="L22" s="24"/>
      <c r="M22" s="24"/>
      <c r="N22" s="459"/>
      <c r="O22" s="1"/>
      <c r="P22" s="1"/>
      <c r="X22" s="4"/>
      <c r="Y22" s="4"/>
    </row>
    <row r="23" spans="2:38">
      <c r="B23" s="460" t="s">
        <v>592</v>
      </c>
      <c r="C23" s="460" t="s">
        <v>593</v>
      </c>
      <c r="D23" s="461" t="str">
        <f>IF(dms_MultiYear_ResponseFlag="yes","NEW HISTORICAL ANNUAL REPORTING","ANNUAL REPORTING")</f>
        <v>ANNUAL REPORTING</v>
      </c>
      <c r="E23" s="462">
        <v>1</v>
      </c>
      <c r="H23" s="1"/>
      <c r="I23" s="1"/>
      <c r="J23" s="1"/>
      <c r="K23" s="1"/>
      <c r="L23" s="21"/>
      <c r="M23" s="21"/>
      <c r="N23" s="131"/>
      <c r="O23" s="1"/>
      <c r="P23" s="1"/>
      <c r="X23" s="4"/>
      <c r="Y23" s="4"/>
    </row>
    <row r="24" spans="2:38">
      <c r="B24" s="463" t="s">
        <v>594</v>
      </c>
      <c r="C24" s="463" t="s">
        <v>595</v>
      </c>
      <c r="D24" s="464" t="str">
        <f>IF(dms_MultiYear_ResponseFlag="yes","NEW HISTORICAL CATEGORY ANALYSIS","CATEGORY ANALYSIS")</f>
        <v>CATEGORY ANALYSIS</v>
      </c>
      <c r="E24" s="465">
        <v>1</v>
      </c>
      <c r="H24" s="1"/>
      <c r="I24" s="1"/>
      <c r="J24" s="1"/>
      <c r="K24" s="1"/>
      <c r="L24" s="21"/>
      <c r="M24" s="21"/>
      <c r="N24" s="131"/>
      <c r="O24" s="1"/>
      <c r="P24" s="1"/>
      <c r="X24" s="4"/>
      <c r="Y24" s="4"/>
    </row>
    <row r="25" spans="2:38">
      <c r="B25" s="463" t="s">
        <v>596</v>
      </c>
      <c r="C25" s="463" t="s">
        <v>597</v>
      </c>
      <c r="D25" s="464" t="s">
        <v>598</v>
      </c>
      <c r="E25" s="465">
        <v>5</v>
      </c>
      <c r="H25" s="1"/>
      <c r="I25" s="1"/>
      <c r="J25" s="1"/>
      <c r="K25" s="1"/>
      <c r="L25" s="1"/>
      <c r="M25" s="21"/>
      <c r="N25" s="131"/>
      <c r="O25" s="1"/>
      <c r="P25" s="1"/>
      <c r="X25" s="4"/>
      <c r="Y25" s="4"/>
    </row>
    <row r="26" spans="2:38">
      <c r="B26" s="463" t="s">
        <v>599</v>
      </c>
      <c r="C26" s="463" t="s">
        <v>599</v>
      </c>
      <c r="D26" s="464" t="s">
        <v>599</v>
      </c>
      <c r="E26" s="465">
        <v>5</v>
      </c>
      <c r="H26" s="1"/>
      <c r="I26" s="1"/>
      <c r="J26" s="1"/>
      <c r="K26" s="1"/>
      <c r="L26" s="1"/>
      <c r="M26" s="21"/>
      <c r="N26" s="131"/>
      <c r="O26" s="1"/>
      <c r="P26" s="1"/>
      <c r="X26" s="4"/>
      <c r="Y26" s="4"/>
    </row>
    <row r="27" spans="2:38">
      <c r="B27" s="463" t="s">
        <v>600</v>
      </c>
      <c r="C27" s="463" t="s">
        <v>601</v>
      </c>
      <c r="D27" s="464" t="str">
        <f>IF(dms_MultiYear_ResponseFlag="yes","NEW HISTORICAL ECONOMIC BENCHMARKING","ECONOMIC BENCHMARKING")</f>
        <v>ECONOMIC BENCHMARKING</v>
      </c>
      <c r="E27" s="466">
        <v>1</v>
      </c>
      <c r="H27" s="1"/>
      <c r="I27" s="1"/>
      <c r="J27" s="1"/>
      <c r="K27" s="1"/>
      <c r="L27" s="1"/>
      <c r="M27" s="21"/>
      <c r="N27" s="131"/>
      <c r="O27" s="1"/>
      <c r="P27" s="1"/>
      <c r="X27" s="4"/>
      <c r="Y27" s="4"/>
    </row>
    <row r="28" spans="2:38">
      <c r="B28" s="463" t="s">
        <v>602</v>
      </c>
      <c r="C28" s="463" t="s">
        <v>603</v>
      </c>
      <c r="D28" s="464" t="s">
        <v>604</v>
      </c>
      <c r="E28" s="466">
        <v>5</v>
      </c>
      <c r="H28" s="1"/>
      <c r="I28" s="1"/>
      <c r="J28" s="1"/>
      <c r="K28" s="1"/>
      <c r="L28" s="1"/>
      <c r="M28" s="21"/>
      <c r="N28" s="131"/>
      <c r="O28" s="1"/>
      <c r="P28" s="1"/>
      <c r="X28" s="4"/>
      <c r="Y28" s="4"/>
    </row>
    <row r="29" spans="2:38">
      <c r="B29" s="463" t="s">
        <v>421</v>
      </c>
      <c r="C29" s="463" t="s">
        <v>605</v>
      </c>
      <c r="D29" s="464" t="s">
        <v>606</v>
      </c>
      <c r="E29" s="466">
        <v>5</v>
      </c>
      <c r="H29" s="1"/>
      <c r="I29" s="1"/>
      <c r="J29" s="1"/>
      <c r="K29" s="1"/>
      <c r="L29" s="1"/>
      <c r="M29" s="21"/>
      <c r="N29" s="131"/>
      <c r="O29" s="1"/>
      <c r="P29" s="1"/>
      <c r="X29" s="4"/>
      <c r="Y29" s="4"/>
    </row>
    <row r="30" spans="2:38">
      <c r="B30" s="463" t="s">
        <v>607</v>
      </c>
      <c r="C30" s="463" t="s">
        <v>608</v>
      </c>
      <c r="D30" s="464" t="s">
        <v>609</v>
      </c>
      <c r="E30" s="466">
        <v>5</v>
      </c>
      <c r="H30" s="1"/>
      <c r="I30" s="1"/>
      <c r="J30" s="1"/>
      <c r="K30" s="1"/>
      <c r="L30" s="1"/>
      <c r="M30" s="21"/>
      <c r="N30" s="131"/>
      <c r="O30" s="1"/>
      <c r="P30" s="1"/>
      <c r="X30" s="4"/>
      <c r="Y30" s="4"/>
    </row>
    <row r="31" spans="2:38">
      <c r="B31" s="463" t="s">
        <v>415</v>
      </c>
      <c r="C31" s="463" t="s">
        <v>610</v>
      </c>
      <c r="D31" s="464" t="s">
        <v>611</v>
      </c>
      <c r="E31" s="466">
        <v>5</v>
      </c>
      <c r="H31" s="1"/>
      <c r="I31" s="1"/>
      <c r="J31" s="1"/>
      <c r="K31" s="1"/>
      <c r="L31" s="1"/>
      <c r="M31" s="21"/>
      <c r="N31" s="131"/>
      <c r="O31" s="1"/>
      <c r="P31" s="1"/>
      <c r="X31" s="4"/>
      <c r="Y31" s="4"/>
    </row>
    <row r="32" spans="2:38" ht="15.75" thickBot="1">
      <c r="B32" s="467" t="s">
        <v>612</v>
      </c>
      <c r="C32" s="467" t="s">
        <v>613</v>
      </c>
      <c r="D32" s="468" t="s">
        <v>614</v>
      </c>
      <c r="E32" s="469">
        <v>1</v>
      </c>
      <c r="H32" s="1"/>
      <c r="I32" s="1"/>
      <c r="J32" s="1"/>
      <c r="K32" s="1"/>
      <c r="L32" s="1"/>
      <c r="M32" s="21"/>
      <c r="N32" s="131"/>
      <c r="O32" s="1"/>
      <c r="P32" s="1"/>
      <c r="X32" s="4"/>
      <c r="Y32" s="4"/>
    </row>
    <row r="33" spans="2:22" s="4" customFormat="1">
      <c r="E33" s="114"/>
    </row>
    <row r="34" spans="2:22">
      <c r="B34" s="1"/>
      <c r="C34" s="4"/>
      <c r="D34" s="4"/>
      <c r="E34" s="114"/>
      <c r="F34" s="4"/>
      <c r="G34" s="4"/>
      <c r="H34" s="4"/>
      <c r="I34" s="4"/>
      <c r="J34" s="4"/>
      <c r="K34" s="4"/>
      <c r="L34" s="4"/>
      <c r="O34" s="1"/>
      <c r="P34" s="1"/>
      <c r="Q34" s="1"/>
      <c r="R34" s="1"/>
      <c r="S34" s="1"/>
      <c r="T34" s="1"/>
      <c r="U34" s="1"/>
      <c r="V34" s="1"/>
    </row>
    <row r="35" spans="2:22">
      <c r="C35" s="111"/>
      <c r="E35" s="470"/>
    </row>
    <row r="36" spans="2:22" ht="15.75" thickBot="1">
      <c r="B36" s="471" t="s">
        <v>539</v>
      </c>
      <c r="C36" s="472" t="s">
        <v>615</v>
      </c>
      <c r="E36" s="473" t="s">
        <v>616</v>
      </c>
      <c r="G36" s="473" t="s">
        <v>617</v>
      </c>
      <c r="H36" s="1"/>
      <c r="I36" s="474" t="s">
        <v>618</v>
      </c>
    </row>
    <row r="37" spans="2:22" ht="15.75" thickBot="1">
      <c r="B37" s="475" t="s">
        <v>619</v>
      </c>
      <c r="C37" s="476" t="s">
        <v>620</v>
      </c>
      <c r="D37" s="477" t="s">
        <v>621</v>
      </c>
      <c r="E37" s="478" t="e">
        <f ca="1">INDEX(INDIRECT(dms_RPT),dms_PRCP_start_row)</f>
        <v>#REF!</v>
      </c>
      <c r="F37" s="477" t="s">
        <v>622</v>
      </c>
      <c r="G37" s="478" t="e">
        <f ca="1">INDEX(INDIRECT(dms_RPT),dms_CRCP_start_row)</f>
        <v>#REF!</v>
      </c>
      <c r="H37" s="479" t="e">
        <f>FRCP_y1</f>
        <v>#REF!</v>
      </c>
      <c r="I37" s="478" t="e">
        <f ca="1">INDEX(INDIRECT(dms_RPT),dms_FRCP_start_row)</f>
        <v>#REF!</v>
      </c>
    </row>
    <row r="38" spans="2:22">
      <c r="B38" s="480" t="s">
        <v>623</v>
      </c>
      <c r="C38" s="481" t="s">
        <v>624</v>
      </c>
      <c r="D38" s="482" t="s">
        <v>625</v>
      </c>
      <c r="E38" s="483" t="e">
        <f ca="1">INDEX(INDIRECT(dms_RPT),dms_PRCP_start_row+1)</f>
        <v>#REF!</v>
      </c>
      <c r="F38" s="482" t="s">
        <v>626</v>
      </c>
      <c r="G38" s="484" t="e">
        <f ca="1">INDEX(INDIRECT(dms_RPT),dms_CRCP_start_row+1)</f>
        <v>#REF!</v>
      </c>
      <c r="H38" s="485" t="s">
        <v>627</v>
      </c>
      <c r="I38" s="484" t="e">
        <f ca="1">INDEX(INDIRECT(dms_RPT),dms_FRCP_start_row+1)</f>
        <v>#REF!</v>
      </c>
    </row>
    <row r="39" spans="2:22">
      <c r="B39" s="480" t="s">
        <v>628</v>
      </c>
      <c r="C39" s="481" t="s">
        <v>629</v>
      </c>
      <c r="D39" s="482" t="s">
        <v>630</v>
      </c>
      <c r="E39" s="484" t="e">
        <f ca="1">INDEX(INDIRECT(dms_RPT),dms_PRCP_start_row+2)</f>
        <v>#REF!</v>
      </c>
      <c r="F39" s="482" t="s">
        <v>631</v>
      </c>
      <c r="G39" s="484" t="e">
        <f ca="1">INDEX(INDIRECT(dms_RPT),dms_CRCP_start_row+2)</f>
        <v>#REF!</v>
      </c>
      <c r="H39" s="482" t="s">
        <v>632</v>
      </c>
      <c r="I39" s="484" t="e">
        <f ca="1">INDEX(INDIRECT(dms_RPT),dms_FRCP_start_row+2)</f>
        <v>#REF!</v>
      </c>
    </row>
    <row r="40" spans="2:22">
      <c r="B40" s="480" t="s">
        <v>633</v>
      </c>
      <c r="C40" s="481" t="s">
        <v>634</v>
      </c>
      <c r="D40" s="482" t="s">
        <v>635</v>
      </c>
      <c r="E40" s="484" t="e">
        <f ca="1">INDEX(INDIRECT(dms_RPT),dms_PRCP_start_row+3)</f>
        <v>#REF!</v>
      </c>
      <c r="F40" s="482" t="s">
        <v>636</v>
      </c>
      <c r="G40" s="484" t="e">
        <f ca="1">INDEX(INDIRECT(dms_RPT),dms_CRCP_start_row+3)</f>
        <v>#REF!</v>
      </c>
      <c r="H40" s="482" t="s">
        <v>637</v>
      </c>
      <c r="I40" s="484" t="e">
        <f ca="1">INDEX(INDIRECT(dms_RPT),dms_FRCP_start_row+3)</f>
        <v>#REF!</v>
      </c>
    </row>
    <row r="41" spans="2:22">
      <c r="B41" s="480" t="s">
        <v>638</v>
      </c>
      <c r="C41" s="481" t="s">
        <v>639</v>
      </c>
      <c r="D41" s="482" t="s">
        <v>640</v>
      </c>
      <c r="E41" s="484" t="e">
        <f ca="1">INDEX(INDIRECT(dms_RPT),dms_PRCP_start_row+4)</f>
        <v>#REF!</v>
      </c>
      <c r="F41" s="482" t="s">
        <v>641</v>
      </c>
      <c r="G41" s="484" t="e">
        <f ca="1">INDEX(INDIRECT(dms_RPT),dms_CRCP_start_row+4)</f>
        <v>#REF!</v>
      </c>
      <c r="H41" s="482" t="s">
        <v>642</v>
      </c>
      <c r="I41" s="484" t="e">
        <f ca="1">INDEX(INDIRECT(dms_RPT),dms_FRCP_start_row+4)</f>
        <v>#REF!</v>
      </c>
    </row>
    <row r="42" spans="2:22">
      <c r="B42" s="480" t="s">
        <v>643</v>
      </c>
      <c r="C42" s="481" t="s">
        <v>644</v>
      </c>
      <c r="D42" s="482" t="s">
        <v>645</v>
      </c>
      <c r="E42" s="484" t="e">
        <f ca="1">INDEX(INDIRECT(dms_RPT),dms_PRCP_start_row+5)</f>
        <v>#REF!</v>
      </c>
      <c r="F42" s="482" t="s">
        <v>646</v>
      </c>
      <c r="G42" s="484" t="e">
        <f ca="1">INDEX(INDIRECT(dms_RPT),dms_CRCP_start_row+5)</f>
        <v>#REF!</v>
      </c>
      <c r="H42" s="482" t="s">
        <v>647</v>
      </c>
      <c r="I42" s="484" t="e">
        <f ca="1">INDEX(INDIRECT(dms_RPT),dms_FRCP_start_row+5)</f>
        <v>#REF!</v>
      </c>
    </row>
    <row r="43" spans="2:22">
      <c r="B43" s="480" t="s">
        <v>648</v>
      </c>
      <c r="C43" s="481" t="s">
        <v>649</v>
      </c>
      <c r="D43" s="482" t="s">
        <v>650</v>
      </c>
      <c r="E43" s="484" t="e">
        <f ca="1">INDEX(INDIRECT(dms_RPT),dms_PRCP_start_row+6)</f>
        <v>#REF!</v>
      </c>
      <c r="F43" s="482" t="s">
        <v>651</v>
      </c>
      <c r="G43" s="484" t="e">
        <f ca="1">INDEX(INDIRECT(dms_RPT),dms_CRCP_start_row+6)</f>
        <v>#REF!</v>
      </c>
      <c r="H43" s="482" t="s">
        <v>652</v>
      </c>
      <c r="I43" s="484" t="e">
        <f ca="1">INDEX(INDIRECT(dms_RPT),dms_FRCP_start_row+6)</f>
        <v>#REF!</v>
      </c>
    </row>
    <row r="44" spans="2:22">
      <c r="B44" s="480" t="s">
        <v>653</v>
      </c>
      <c r="C44" s="481" t="s">
        <v>654</v>
      </c>
      <c r="D44" s="482" t="s">
        <v>655</v>
      </c>
      <c r="E44" s="484" t="e">
        <f ca="1">INDEX(INDIRECT(dms_RPT),dms_PRCP_start_row+7)</f>
        <v>#REF!</v>
      </c>
      <c r="F44" s="482" t="s">
        <v>656</v>
      </c>
      <c r="G44" s="484" t="e">
        <f ca="1">INDEX(INDIRECT(dms_RPT),dms_CRCP_start_row+7)</f>
        <v>#REF!</v>
      </c>
      <c r="H44" s="482" t="s">
        <v>657</v>
      </c>
      <c r="I44" s="484" t="e">
        <f ca="1">INDEX(INDIRECT(dms_RPT),dms_FRCP_start_row+7)</f>
        <v>#REF!</v>
      </c>
      <c r="J44" s="1"/>
      <c r="K44" s="1"/>
      <c r="L44" s="1"/>
    </row>
    <row r="45" spans="2:22">
      <c r="B45" s="480" t="s">
        <v>658</v>
      </c>
      <c r="C45" s="481" t="s">
        <v>659</v>
      </c>
      <c r="D45" s="482" t="s">
        <v>660</v>
      </c>
      <c r="E45" s="484" t="e">
        <f ca="1">INDEX(INDIRECT(dms_RPT),dms_PRCP_start_row+8)</f>
        <v>#REF!</v>
      </c>
      <c r="F45" s="482" t="s">
        <v>661</v>
      </c>
      <c r="G45" s="484" t="e">
        <f ca="1">INDEX(INDIRECT(dms_RPT),dms_CRCP_start_row+8)</f>
        <v>#REF!</v>
      </c>
      <c r="H45" s="482" t="s">
        <v>662</v>
      </c>
      <c r="I45" s="484" t="e">
        <f ca="1">INDEX(INDIRECT(dms_RPT),dms_FRCP_start_row+8)</f>
        <v>#REF!</v>
      </c>
      <c r="J45" s="1"/>
      <c r="K45" s="1"/>
      <c r="L45" s="1"/>
    </row>
    <row r="46" spans="2:22">
      <c r="B46" s="480" t="s">
        <v>663</v>
      </c>
      <c r="C46" s="481" t="s">
        <v>664</v>
      </c>
      <c r="D46" s="482" t="s">
        <v>665</v>
      </c>
      <c r="E46" s="484" t="e">
        <f ca="1">INDEX(INDIRECT(dms_RPT),dms_PRCP_start_row+9)</f>
        <v>#REF!</v>
      </c>
      <c r="F46" s="482" t="s">
        <v>666</v>
      </c>
      <c r="G46" s="484" t="e">
        <f ca="1">INDEX(INDIRECT(dms_RPT),dms_CRCP_start_row+9)</f>
        <v>#REF!</v>
      </c>
      <c r="H46" s="482" t="s">
        <v>667</v>
      </c>
      <c r="I46" s="484" t="e">
        <f ca="1">INDEX(INDIRECT(dms_RPT),dms_FRCP_start_row+9)</f>
        <v>#REF!</v>
      </c>
      <c r="J46" s="1"/>
      <c r="K46" s="1"/>
      <c r="L46" s="1"/>
    </row>
    <row r="47" spans="2:22">
      <c r="B47" s="480" t="s">
        <v>668</v>
      </c>
      <c r="C47" s="481" t="s">
        <v>669</v>
      </c>
      <c r="D47" s="482" t="s">
        <v>670</v>
      </c>
      <c r="E47" s="484" t="e">
        <f ca="1">INDEX(INDIRECT(dms_RPT),dms_PRCP_start_row+10)</f>
        <v>#REF!</v>
      </c>
      <c r="F47" s="482" t="s">
        <v>671</v>
      </c>
      <c r="G47" s="484" t="e">
        <f ca="1">INDEX(INDIRECT(dms_RPT),dms_CRCP_start_row+10)</f>
        <v>#REF!</v>
      </c>
      <c r="H47" s="482" t="s">
        <v>672</v>
      </c>
      <c r="I47" s="484" t="e">
        <f ca="1">INDEX(INDIRECT(dms_RPT),dms_FRCP_start_row+10)</f>
        <v>#REF!</v>
      </c>
      <c r="J47" s="1"/>
      <c r="K47" s="1"/>
      <c r="L47" s="1"/>
    </row>
    <row r="48" spans="2:22">
      <c r="B48" s="480" t="s">
        <v>673</v>
      </c>
      <c r="C48" s="481" t="s">
        <v>674</v>
      </c>
      <c r="D48" s="482" t="s">
        <v>675</v>
      </c>
      <c r="E48" s="484" t="e">
        <f ca="1">INDEX(INDIRECT(dms_RPT),dms_PRCP_start_row+11)</f>
        <v>#REF!</v>
      </c>
      <c r="F48" s="482" t="s">
        <v>676</v>
      </c>
      <c r="G48" s="484" t="e">
        <f ca="1">INDEX(INDIRECT(dms_RPT),dms_CRCP_start_row+11)</f>
        <v>#REF!</v>
      </c>
      <c r="H48" s="482" t="s">
        <v>677</v>
      </c>
      <c r="I48" s="484" t="e">
        <f ca="1">INDEX(INDIRECT(dms_RPT),dms_FRCP_start_row+11)</f>
        <v>#REF!</v>
      </c>
      <c r="J48" s="1"/>
      <c r="K48" s="1"/>
      <c r="L48" s="1"/>
    </row>
    <row r="49" spans="2:12">
      <c r="B49" s="480" t="s">
        <v>678</v>
      </c>
      <c r="C49" s="481" t="s">
        <v>679</v>
      </c>
      <c r="D49" s="482" t="s">
        <v>680</v>
      </c>
      <c r="E49" s="484" t="e">
        <f ca="1">INDEX(INDIRECT(dms_RPT),dms_PRCP_start_row+12)</f>
        <v>#REF!</v>
      </c>
      <c r="F49" s="482" t="s">
        <v>681</v>
      </c>
      <c r="G49" s="484" t="e">
        <f ca="1">INDEX(INDIRECT(dms_RPT),dms_CRCP_start_row+12)</f>
        <v>#REF!</v>
      </c>
      <c r="H49" s="482" t="s">
        <v>682</v>
      </c>
      <c r="I49" s="484" t="e">
        <f ca="1">INDEX(INDIRECT(dms_RPT),dms_FRCP_start_row+12)</f>
        <v>#REF!</v>
      </c>
      <c r="J49" s="1"/>
      <c r="K49" s="1"/>
      <c r="L49" s="1"/>
    </row>
    <row r="50" spans="2:12">
      <c r="B50" s="480" t="s">
        <v>683</v>
      </c>
      <c r="C50" s="481" t="s">
        <v>684</v>
      </c>
      <c r="D50" s="482" t="s">
        <v>685</v>
      </c>
      <c r="E50" s="484" t="e">
        <f ca="1">INDEX(INDIRECT(dms_RPT),dms_PRCP_start_row+13)</f>
        <v>#REF!</v>
      </c>
      <c r="F50" s="482" t="s">
        <v>686</v>
      </c>
      <c r="G50" s="484" t="e">
        <f ca="1">INDEX(INDIRECT(dms_RPT),dms_CRCP_start_row+13)</f>
        <v>#REF!</v>
      </c>
      <c r="H50" s="482" t="s">
        <v>687</v>
      </c>
      <c r="I50" s="484" t="e">
        <f ca="1">INDEX(INDIRECT(dms_RPT),dms_FRCP_start_row+13)</f>
        <v>#REF!</v>
      </c>
      <c r="J50" s="1"/>
      <c r="K50" s="1"/>
      <c r="L50" s="1"/>
    </row>
    <row r="51" spans="2:12">
      <c r="B51" s="480" t="s">
        <v>688</v>
      </c>
      <c r="C51" s="481" t="s">
        <v>689</v>
      </c>
      <c r="D51" s="482" t="s">
        <v>690</v>
      </c>
      <c r="E51" s="484" t="e">
        <f ca="1">INDEX(INDIRECT(dms_RPT),dms_PRCP_start_row+14)</f>
        <v>#REF!</v>
      </c>
      <c r="F51" s="482" t="s">
        <v>691</v>
      </c>
      <c r="G51" s="484" t="e">
        <f ca="1">INDEX(INDIRECT(dms_RPT),dms_CRCP_start_row+14)</f>
        <v>#REF!</v>
      </c>
      <c r="H51" s="482" t="s">
        <v>692</v>
      </c>
      <c r="I51" s="484" t="e">
        <f ca="1">INDEX(INDIRECT(dms_RPT),dms_FRCP_start_row+14)</f>
        <v>#REF!</v>
      </c>
      <c r="J51" s="1"/>
      <c r="K51" s="1"/>
      <c r="L51" s="1"/>
    </row>
    <row r="52" spans="2:12" ht="15.75" thickBot="1">
      <c r="B52" s="480" t="s">
        <v>693</v>
      </c>
      <c r="C52" s="481" t="s">
        <v>694</v>
      </c>
      <c r="D52" s="486" t="s">
        <v>695</v>
      </c>
      <c r="E52" s="487" t="e">
        <f ca="1">INDEX(INDIRECT(dms_RPT),dms_PRCP_start_row+15)</f>
        <v>#REF!</v>
      </c>
      <c r="F52" s="486" t="s">
        <v>696</v>
      </c>
      <c r="G52" s="487" t="e">
        <f ca="1">INDEX(INDIRECT(dms_RPT),dms_CRCP_start_row+15)</f>
        <v>#REF!</v>
      </c>
      <c r="H52" s="486" t="s">
        <v>697</v>
      </c>
      <c r="I52" s="487" t="e">
        <f ca="1">INDEX(INDIRECT(dms_RPT),dms_FRCP_start_row+15)</f>
        <v>#REF!</v>
      </c>
      <c r="J52" s="1"/>
      <c r="K52" s="1"/>
      <c r="L52" s="1"/>
    </row>
    <row r="53" spans="2:12">
      <c r="B53" s="480" t="s">
        <v>698</v>
      </c>
      <c r="C53" s="481" t="s">
        <v>699</v>
      </c>
      <c r="E53" s="1"/>
      <c r="H53" s="1"/>
      <c r="I53" s="1"/>
      <c r="J53" s="1"/>
      <c r="K53" s="1"/>
      <c r="L53" s="1"/>
    </row>
    <row r="54" spans="2:12" ht="15.75" thickBot="1">
      <c r="B54" s="480" t="s">
        <v>700</v>
      </c>
      <c r="C54" s="481" t="s">
        <v>701</v>
      </c>
      <c r="E54" s="1"/>
      <c r="H54" s="1"/>
      <c r="I54" s="1"/>
      <c r="J54" s="1"/>
      <c r="K54" s="1"/>
      <c r="L54" s="1"/>
    </row>
    <row r="55" spans="2:12">
      <c r="B55" s="480" t="s">
        <v>702</v>
      </c>
      <c r="C55" s="481" t="s">
        <v>703</v>
      </c>
      <c r="D55" s="488"/>
      <c r="E55" s="489" t="s">
        <v>704</v>
      </c>
      <c r="H55" s="1"/>
      <c r="I55" s="1"/>
      <c r="J55" s="1"/>
      <c r="K55" s="1"/>
      <c r="L55" s="1"/>
    </row>
    <row r="56" spans="2:12">
      <c r="B56" s="480" t="s">
        <v>705</v>
      </c>
      <c r="C56" s="481" t="s">
        <v>706</v>
      </c>
      <c r="D56" s="490" t="s">
        <v>707</v>
      </c>
      <c r="E56" s="491" t="str">
        <f ca="1">IFERROR(INDEX(INDIRECT(dms_RPT),dms_CRY_start_row),0)</f>
        <v>2024-25</v>
      </c>
      <c r="H56" s="1"/>
      <c r="I56" s="1"/>
      <c r="J56" s="1"/>
      <c r="K56" s="1"/>
      <c r="L56" s="1"/>
    </row>
    <row r="57" spans="2:12">
      <c r="B57" s="480" t="s">
        <v>708</v>
      </c>
      <c r="C57" s="481" t="s">
        <v>709</v>
      </c>
      <c r="D57" s="490" t="s">
        <v>710</v>
      </c>
      <c r="E57" s="491" t="str">
        <f ca="1">IFERROR(INDEX(INDIRECT(dms_RPT),dms_CRY_start_row+1),0)</f>
        <v>2025-26</v>
      </c>
      <c r="H57" s="1"/>
      <c r="I57" s="1"/>
      <c r="J57" s="1"/>
      <c r="K57" s="1"/>
      <c r="L57" s="1"/>
    </row>
    <row r="58" spans="2:12">
      <c r="B58" s="480" t="s">
        <v>711</v>
      </c>
      <c r="C58" s="481" t="s">
        <v>712</v>
      </c>
      <c r="D58" s="490" t="s">
        <v>713</v>
      </c>
      <c r="E58" s="491" t="str">
        <f ca="1">IFERROR(INDEX(INDIRECT(dms_RPT),dms_CRY_start_row+2),0)</f>
        <v>2026-27</v>
      </c>
      <c r="H58" s="1"/>
      <c r="I58" s="1"/>
      <c r="J58" s="1"/>
      <c r="K58" s="1"/>
      <c r="L58" s="1"/>
    </row>
    <row r="59" spans="2:12">
      <c r="B59" s="480" t="s">
        <v>714</v>
      </c>
      <c r="C59" s="481">
        <v>2010</v>
      </c>
      <c r="D59" s="490" t="s">
        <v>715</v>
      </c>
      <c r="E59" s="491" t="str">
        <f ca="1">IFERROR(INDEX(INDIRECT(dms_RPT),dms_CRY_start_row+3),0)</f>
        <v>2027-28</v>
      </c>
      <c r="H59" s="1"/>
      <c r="I59" s="1"/>
      <c r="J59" s="1"/>
      <c r="K59" s="1"/>
      <c r="L59" s="1"/>
    </row>
    <row r="60" spans="2:12">
      <c r="B60" s="480" t="s">
        <v>716</v>
      </c>
      <c r="C60" s="481">
        <v>2011</v>
      </c>
      <c r="D60" s="490" t="s">
        <v>717</v>
      </c>
      <c r="E60" s="491" t="str">
        <f ca="1">IFERROR(INDEX(INDIRECT(dms_RPT),dms_CRY_start_row+4),0)</f>
        <v>2028-29</v>
      </c>
      <c r="H60" s="1"/>
      <c r="I60" s="1"/>
      <c r="J60" s="1"/>
      <c r="K60" s="1"/>
      <c r="L60" s="1"/>
    </row>
    <row r="61" spans="2:12">
      <c r="B61" s="480" t="s">
        <v>718</v>
      </c>
      <c r="C61" s="481">
        <v>2012</v>
      </c>
      <c r="D61" s="490" t="s">
        <v>719</v>
      </c>
      <c r="E61" s="491" t="str">
        <f ca="1">IFERROR(INDEX(INDIRECT(dms_RPT),dms_CRY_start_row+5),0)</f>
        <v>2029-30</v>
      </c>
      <c r="H61" s="1"/>
      <c r="I61" s="1"/>
      <c r="J61" s="1"/>
      <c r="K61" s="1"/>
      <c r="L61" s="1"/>
    </row>
    <row r="62" spans="2:12">
      <c r="B62" s="480" t="s">
        <v>720</v>
      </c>
      <c r="C62" s="481">
        <v>2013</v>
      </c>
      <c r="D62" s="490" t="s">
        <v>721</v>
      </c>
      <c r="E62" s="491" t="str">
        <f ca="1">IFERROR(INDEX(INDIRECT(dms_RPT),dms_CRY_start_row+6),0)</f>
        <v>2030-31</v>
      </c>
      <c r="H62" s="1"/>
      <c r="I62" s="1"/>
      <c r="J62" s="1"/>
      <c r="K62" s="1"/>
      <c r="L62" s="1"/>
    </row>
    <row r="63" spans="2:12">
      <c r="B63" s="480" t="s">
        <v>722</v>
      </c>
      <c r="C63" s="481">
        <v>2014</v>
      </c>
      <c r="D63" s="490" t="s">
        <v>723</v>
      </c>
      <c r="E63" s="491" t="str">
        <f ca="1">IFERROR(INDEX(INDIRECT(dms_RPT),dms_CRY_start_row+7),0)</f>
        <v>2031-32</v>
      </c>
      <c r="H63" s="1"/>
      <c r="I63" s="1"/>
      <c r="J63" s="1"/>
      <c r="K63" s="1"/>
      <c r="L63" s="1"/>
    </row>
    <row r="64" spans="2:12">
      <c r="B64" s="480" t="s">
        <v>724</v>
      </c>
      <c r="C64" s="481">
        <v>2015</v>
      </c>
      <c r="D64" s="490" t="s">
        <v>725</v>
      </c>
      <c r="E64" s="491" t="str">
        <f ca="1">IFERROR(INDEX(INDIRECT(dms_RPT),dms_CRY_start_row+8),0)</f>
        <v>2032-33</v>
      </c>
      <c r="I64" s="492"/>
    </row>
    <row r="65" spans="2:9">
      <c r="B65" s="480" t="s">
        <v>726</v>
      </c>
      <c r="C65" s="481">
        <v>2016</v>
      </c>
      <c r="D65" s="490" t="s">
        <v>727</v>
      </c>
      <c r="E65" s="491" t="str">
        <f ca="1">IFERROR(INDEX(INDIRECT(dms_RPT),dms_CRY_start_row+9),0)</f>
        <v>2033-34</v>
      </c>
      <c r="I65" s="492"/>
    </row>
    <row r="66" spans="2:9">
      <c r="B66" s="480" t="s">
        <v>728</v>
      </c>
      <c r="C66" s="481">
        <v>2017</v>
      </c>
      <c r="D66" s="490" t="s">
        <v>729</v>
      </c>
      <c r="E66" s="491" t="str">
        <f ca="1">IFERROR(INDEX(INDIRECT(dms_RPT),dms_CRY_start_row+10),0)</f>
        <v>2034-35</v>
      </c>
    </row>
    <row r="67" spans="2:9">
      <c r="B67" s="480" t="s">
        <v>730</v>
      </c>
      <c r="C67" s="481">
        <v>2018</v>
      </c>
      <c r="D67" s="490" t="s">
        <v>731</v>
      </c>
      <c r="E67" s="491" t="str">
        <f ca="1">IFERROR(INDEX(INDIRECT(dms_RPT),dms_CRY_start_row+11),0)</f>
        <v>2035-36</v>
      </c>
    </row>
    <row r="68" spans="2:9">
      <c r="B68" s="480" t="s">
        <v>732</v>
      </c>
      <c r="C68" s="481">
        <v>2019</v>
      </c>
      <c r="D68" s="490" t="s">
        <v>733</v>
      </c>
      <c r="E68" s="491" t="str">
        <f ca="1">IFERROR(INDEX(INDIRECT(dms_RPT),dms_CRY_start_row+12),0)</f>
        <v>2036-37</v>
      </c>
    </row>
    <row r="69" spans="2:9">
      <c r="B69" s="480" t="s">
        <v>734</v>
      </c>
      <c r="C69" s="481">
        <v>2020</v>
      </c>
      <c r="D69" s="490" t="s">
        <v>735</v>
      </c>
      <c r="E69" s="491">
        <f ca="1">IFERROR(INDEX(INDIRECT(dms_RPT),dms_CRY_start_row+13),0)</f>
        <v>0</v>
      </c>
      <c r="H69" s="1"/>
      <c r="I69" s="1"/>
    </row>
    <row r="70" spans="2:9">
      <c r="B70" s="480" t="s">
        <v>36</v>
      </c>
      <c r="C70" s="481">
        <v>2021</v>
      </c>
      <c r="D70" s="490" t="s">
        <v>736</v>
      </c>
      <c r="E70" s="491">
        <f ca="1">IFERROR(INDEX(INDIRECT(dms_RPT),dms_CRY_start_row+14),0)</f>
        <v>0</v>
      </c>
      <c r="H70" s="1"/>
      <c r="I70" s="1"/>
    </row>
    <row r="71" spans="2:9" ht="15.75" thickBot="1">
      <c r="B71" s="480" t="s">
        <v>737</v>
      </c>
      <c r="C71" s="481">
        <v>2022</v>
      </c>
      <c r="D71" s="493" t="s">
        <v>738</v>
      </c>
      <c r="E71" s="494">
        <f ca="1">IFERROR(INDEX(INDIRECT(dms_RPT),dms_CRY_start_row+15),0)</f>
        <v>0</v>
      </c>
      <c r="H71" s="1"/>
      <c r="I71" s="1"/>
    </row>
    <row r="72" spans="2:9">
      <c r="B72" s="480" t="s">
        <v>37</v>
      </c>
      <c r="C72" s="481">
        <v>2023</v>
      </c>
      <c r="E72" s="1"/>
      <c r="H72" s="1"/>
      <c r="I72" s="1"/>
    </row>
    <row r="73" spans="2:9">
      <c r="B73" s="480" t="s">
        <v>739</v>
      </c>
      <c r="C73" s="481">
        <v>2024</v>
      </c>
      <c r="E73" s="1"/>
      <c r="H73" s="1"/>
      <c r="I73" s="1"/>
    </row>
    <row r="74" spans="2:9">
      <c r="B74" s="480" t="s">
        <v>740</v>
      </c>
      <c r="C74" s="481">
        <v>2025</v>
      </c>
      <c r="E74" s="1"/>
      <c r="H74" s="1"/>
      <c r="I74" s="1"/>
    </row>
    <row r="75" spans="2:9">
      <c r="B75" s="480" t="s">
        <v>741</v>
      </c>
      <c r="C75" s="481">
        <v>2026</v>
      </c>
      <c r="E75" s="1"/>
      <c r="H75" s="1"/>
      <c r="I75" s="1"/>
    </row>
    <row r="76" spans="2:9">
      <c r="B76" s="480" t="s">
        <v>742</v>
      </c>
      <c r="C76" s="481">
        <v>2027</v>
      </c>
      <c r="E76" s="1"/>
      <c r="H76" s="1"/>
      <c r="I76" s="1"/>
    </row>
    <row r="77" spans="2:9">
      <c r="B77" s="480" t="s">
        <v>743</v>
      </c>
      <c r="C77" s="481">
        <v>2028</v>
      </c>
      <c r="E77" s="1"/>
      <c r="H77" s="1"/>
      <c r="I77" s="1"/>
    </row>
    <row r="78" spans="2:9">
      <c r="B78" s="480" t="s">
        <v>744</v>
      </c>
      <c r="C78" s="481">
        <v>2029</v>
      </c>
      <c r="E78" s="1"/>
      <c r="H78" s="1"/>
      <c r="I78" s="1"/>
    </row>
    <row r="79" spans="2:9">
      <c r="B79" s="480" t="s">
        <v>745</v>
      </c>
      <c r="C79" s="481">
        <v>2030</v>
      </c>
      <c r="E79" s="1"/>
      <c r="H79" s="1"/>
      <c r="I79" s="1"/>
    </row>
    <row r="80" spans="2:9">
      <c r="B80" s="480" t="s">
        <v>746</v>
      </c>
      <c r="C80" s="481">
        <v>2031</v>
      </c>
      <c r="E80" s="1"/>
      <c r="H80" s="1"/>
      <c r="I80" s="1"/>
    </row>
    <row r="81" spans="2:22">
      <c r="B81" s="480" t="s">
        <v>747</v>
      </c>
      <c r="C81" s="481">
        <v>2032</v>
      </c>
      <c r="E81" s="1"/>
      <c r="H81" s="1"/>
      <c r="I81" s="1"/>
    </row>
    <row r="82" spans="2:22">
      <c r="B82" s="480" t="s">
        <v>748</v>
      </c>
      <c r="C82" s="481">
        <v>2033</v>
      </c>
      <c r="E82" s="1"/>
      <c r="H82" s="1"/>
      <c r="I82" s="1"/>
    </row>
    <row r="83" spans="2:22">
      <c r="B83" s="480" t="s">
        <v>749</v>
      </c>
      <c r="C83" s="481">
        <v>2034</v>
      </c>
      <c r="E83" s="1"/>
      <c r="H83" s="1"/>
      <c r="I83" s="1"/>
    </row>
    <row r="84" spans="2:22">
      <c r="B84" s="480" t="s">
        <v>750</v>
      </c>
      <c r="C84" s="481">
        <v>2035</v>
      </c>
      <c r="E84" s="1"/>
      <c r="H84" s="1"/>
      <c r="I84" s="1"/>
    </row>
    <row r="85" spans="2:22">
      <c r="B85" s="480" t="s">
        <v>751</v>
      </c>
      <c r="C85" s="481">
        <v>2036</v>
      </c>
      <c r="E85" s="1"/>
      <c r="H85" s="1"/>
      <c r="I85" s="1"/>
    </row>
    <row r="86" spans="2:22" ht="15.75" thickBot="1">
      <c r="B86" s="495" t="s">
        <v>752</v>
      </c>
      <c r="C86" s="496" t="s">
        <v>753</v>
      </c>
      <c r="E86" s="497"/>
    </row>
    <row r="87" spans="2:22">
      <c r="B87" s="131"/>
      <c r="C87" s="1"/>
      <c r="E87" s="470"/>
      <c r="O87" s="1"/>
      <c r="P87" s="1"/>
      <c r="Q87" s="1"/>
      <c r="R87" s="1"/>
      <c r="S87" s="1"/>
      <c r="T87" s="1"/>
      <c r="U87" s="1"/>
      <c r="V87" s="1"/>
    </row>
    <row r="88" spans="2:22">
      <c r="B88" s="1"/>
      <c r="C88" s="1"/>
      <c r="H88" s="1"/>
      <c r="I88" s="1"/>
      <c r="J88" s="1"/>
      <c r="K88" s="1"/>
      <c r="L88" s="1"/>
      <c r="O88" s="1"/>
      <c r="P88" s="1"/>
      <c r="Q88" s="1"/>
      <c r="R88" s="1"/>
      <c r="S88" s="1"/>
      <c r="T88" s="1"/>
      <c r="U88" s="1"/>
      <c r="V88" s="1"/>
    </row>
    <row r="89" spans="2:22">
      <c r="B89" s="1"/>
      <c r="C89" s="1"/>
      <c r="H89" s="1"/>
      <c r="I89" s="1"/>
      <c r="J89" s="1"/>
      <c r="K89" s="1"/>
      <c r="L89" s="1"/>
      <c r="O89" s="1"/>
      <c r="P89" s="1"/>
      <c r="Q89" s="1"/>
      <c r="R89" s="1"/>
      <c r="S89" s="1"/>
      <c r="T89" s="1"/>
      <c r="U89" s="1"/>
      <c r="V89" s="1"/>
    </row>
    <row r="90" spans="2:22">
      <c r="B90" s="1"/>
      <c r="C90" s="1"/>
      <c r="H90" s="1"/>
      <c r="I90" s="1"/>
      <c r="J90" s="1"/>
      <c r="K90" s="1"/>
      <c r="L90" s="1"/>
    </row>
  </sheetData>
  <mergeCells count="1">
    <mergeCell ref="B21:E21"/>
  </mergeCells>
  <conditionalFormatting sqref="Z7:AE15">
    <cfRule type="containsText" dxfId="14" priority="1" operator="containsText" text="YES">
      <formula>NOT(ISERROR(SEARCH("YES",Z7)))</formula>
    </cfRule>
  </conditionalFormatting>
  <conditionalFormatting sqref="AK7:AK15">
    <cfRule type="cellIs" dxfId="13" priority="2" operator="equal">
      <formula>"YES"</formula>
    </cfRule>
  </conditionalFormatting>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A746D-8D59-49F3-B24E-C79B3651F6F0}">
  <sheetPr codeName="Sheet29">
    <tabColor theme="1"/>
    <pageSetUpPr autoPageBreaks="0"/>
  </sheetPr>
  <dimension ref="A1:CL152"/>
  <sheetViews>
    <sheetView workbookViewId="0"/>
  </sheetViews>
  <sheetFormatPr defaultColWidth="9.140625" defaultRowHeight="15"/>
  <cols>
    <col min="1" max="1" width="24.140625" style="1" customWidth="1"/>
    <col min="2" max="2" width="35" style="21" customWidth="1"/>
    <col min="3" max="3" width="16.42578125" style="21" customWidth="1"/>
    <col min="4" max="4" width="25.85546875" style="21" customWidth="1"/>
    <col min="5" max="9" width="14.5703125" style="21" customWidth="1"/>
    <col min="10" max="11" width="14.5703125" style="1" customWidth="1"/>
    <col min="12" max="12" width="13.7109375" style="1" customWidth="1"/>
    <col min="13" max="16384" width="9.140625" style="21"/>
  </cols>
  <sheetData>
    <row r="1" spans="1:51" s="1" customFormat="1" ht="51" customHeight="1">
      <c r="B1" s="62" t="s">
        <v>754</v>
      </c>
      <c r="C1" s="63"/>
      <c r="D1" s="63"/>
      <c r="E1" s="63"/>
      <c r="F1" s="63"/>
      <c r="G1" s="63"/>
      <c r="H1" s="63"/>
      <c r="I1" s="63"/>
      <c r="J1" s="63"/>
      <c r="K1" s="63"/>
    </row>
    <row r="2" spans="1:51" s="1" customFormat="1" ht="24.75" customHeight="1"/>
    <row r="3" spans="1:51" ht="20.25">
      <c r="B3" s="498" t="s">
        <v>755</v>
      </c>
      <c r="C3" s="499" t="s">
        <v>756</v>
      </c>
      <c r="D3" s="500" t="s">
        <v>757</v>
      </c>
      <c r="E3" s="501"/>
      <c r="F3" s="501"/>
      <c r="G3" s="501"/>
      <c r="H3" s="501"/>
      <c r="I3" s="501"/>
      <c r="J3" s="501"/>
      <c r="K3" s="50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15.75" thickBot="1">
      <c r="B4" s="502"/>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s="1" customFormat="1">
      <c r="B5" s="503" t="s">
        <v>758</v>
      </c>
      <c r="C5" s="504"/>
      <c r="D5" s="505"/>
      <c r="E5" s="504"/>
      <c r="F5" s="504"/>
      <c r="G5" s="504"/>
      <c r="H5" s="504"/>
      <c r="I5" s="506"/>
    </row>
    <row r="6" spans="1:51" s="1" customFormat="1">
      <c r="B6" s="507" t="s">
        <v>759</v>
      </c>
      <c r="D6" s="21"/>
      <c r="E6" s="21"/>
      <c r="F6" s="21"/>
      <c r="G6" s="21"/>
      <c r="H6" s="21"/>
      <c r="I6" s="508"/>
    </row>
    <row r="7" spans="1:51" s="1" customFormat="1" ht="15.75" thickBot="1">
      <c r="B7" s="509" t="s">
        <v>760</v>
      </c>
      <c r="C7" s="54"/>
      <c r="D7" s="510"/>
      <c r="E7" s="510"/>
      <c r="F7" s="510"/>
      <c r="G7" s="510"/>
      <c r="H7" s="510"/>
      <c r="I7" s="511"/>
    </row>
    <row r="8" spans="1:51" s="1" customFormat="1" ht="15.75" thickBot="1">
      <c r="B8" s="512"/>
      <c r="C8" s="512"/>
      <c r="D8" s="512"/>
      <c r="E8" s="512"/>
      <c r="F8" s="512"/>
      <c r="G8" s="512"/>
      <c r="H8" s="512"/>
      <c r="I8" s="512"/>
    </row>
    <row r="9" spans="1:51" s="1" customFormat="1" ht="15.75">
      <c r="A9" s="513"/>
      <c r="B9" s="656" t="s">
        <v>761</v>
      </c>
      <c r="C9" s="657" t="str">
        <f>INDEX(dms_TradingNameFull_List,MATCH(dms_TradingName,dms_TradingName_List))</f>
        <v>Australian Transmission Co.</v>
      </c>
      <c r="D9" s="658"/>
      <c r="E9" s="659" t="s">
        <v>762</v>
      </c>
      <c r="F9" s="660"/>
      <c r="G9" s="660"/>
      <c r="H9" s="660"/>
      <c r="I9" s="661"/>
    </row>
    <row r="10" spans="1:51" s="1" customFormat="1" ht="15.75">
      <c r="B10" s="656" t="s">
        <v>763</v>
      </c>
      <c r="C10" s="657" t="str">
        <f>dms_TradingName</f>
        <v>Australian Transmission Co.</v>
      </c>
      <c r="D10" s="658"/>
      <c r="E10" s="659"/>
      <c r="F10" s="660"/>
      <c r="G10" s="660"/>
      <c r="H10" s="660"/>
      <c r="I10" s="661"/>
    </row>
    <row r="11" spans="1:51" s="1" customFormat="1" ht="15.75">
      <c r="A11" s="514" t="s">
        <v>764</v>
      </c>
      <c r="B11" s="662" t="s">
        <v>765</v>
      </c>
      <c r="C11" s="663" t="s">
        <v>592</v>
      </c>
      <c r="D11" s="664" t="s">
        <v>766</v>
      </c>
      <c r="E11" s="665"/>
      <c r="F11" s="666"/>
      <c r="G11" s="666"/>
      <c r="H11" s="666"/>
      <c r="I11" s="667"/>
    </row>
    <row r="12" spans="1:51" s="1" customFormat="1" ht="15.75">
      <c r="A12" s="2230" t="s">
        <v>767</v>
      </c>
      <c r="B12" s="656" t="s">
        <v>39</v>
      </c>
      <c r="C12" s="668" t="str">
        <f>dms_Selected_Source</f>
        <v>Reporting</v>
      </c>
      <c r="D12" s="659" t="s">
        <v>768</v>
      </c>
      <c r="E12" s="669"/>
      <c r="F12" s="660"/>
      <c r="G12" s="660"/>
      <c r="H12" s="660"/>
      <c r="I12" s="661"/>
    </row>
    <row r="13" spans="1:51" s="1" customFormat="1" ht="15.75">
      <c r="A13" s="2231"/>
      <c r="B13" s="656" t="s">
        <v>769</v>
      </c>
      <c r="C13" s="668" t="str">
        <f>dms_Selected_Quality</f>
        <v>Consolidated</v>
      </c>
      <c r="D13" s="659" t="s">
        <v>770</v>
      </c>
      <c r="E13" s="2233"/>
      <c r="F13" s="2233"/>
      <c r="G13" s="2233"/>
      <c r="H13" s="2233"/>
      <c r="I13" s="2234"/>
    </row>
    <row r="14" spans="1:51" s="1" customFormat="1" ht="15.75">
      <c r="A14" s="2231"/>
      <c r="B14" s="656" t="s">
        <v>771</v>
      </c>
      <c r="C14" s="668" t="str">
        <f>dms_Selected_Status</f>
        <v>Public</v>
      </c>
      <c r="D14" s="659" t="s">
        <v>772</v>
      </c>
      <c r="E14" s="670"/>
      <c r="F14" s="670"/>
      <c r="G14" s="670"/>
      <c r="H14" s="670"/>
      <c r="I14" s="671"/>
    </row>
    <row r="15" spans="1:51" s="1" customFormat="1" ht="39" customHeight="1">
      <c r="A15" s="2231"/>
      <c r="B15" s="672" t="s">
        <v>773</v>
      </c>
      <c r="C15" s="2235" t="str">
        <f>dms_Amendment_Text</f>
        <v>.</v>
      </c>
      <c r="D15" s="2235"/>
      <c r="E15" s="2235"/>
      <c r="F15" s="673" t="s">
        <v>774</v>
      </c>
      <c r="G15" s="670"/>
      <c r="H15" s="670"/>
      <c r="I15" s="671"/>
    </row>
    <row r="16" spans="1:51" s="1" customFormat="1" ht="15" customHeight="1" thickBot="1">
      <c r="A16" s="2232"/>
      <c r="B16" s="674" t="s">
        <v>775</v>
      </c>
      <c r="C16" s="675" t="str">
        <f>dms_Typed_Submission_Date</f>
        <v>dd/mm/yy</v>
      </c>
      <c r="D16" s="676" t="s">
        <v>776</v>
      </c>
      <c r="E16" s="677"/>
      <c r="F16" s="678"/>
      <c r="G16" s="678"/>
      <c r="H16" s="678"/>
      <c r="I16" s="679"/>
    </row>
    <row r="17" spans="1:11" s="1" customFormat="1" ht="15" customHeight="1" thickBot="1">
      <c r="B17" s="634"/>
      <c r="C17" s="634"/>
      <c r="D17" s="634"/>
      <c r="E17" s="634"/>
      <c r="F17" s="634"/>
      <c r="G17" s="634"/>
      <c r="H17" s="634"/>
      <c r="I17" s="634"/>
    </row>
    <row r="18" spans="1:11" s="1" customFormat="1" ht="16.5" thickBot="1">
      <c r="A18" s="514" t="s">
        <v>777</v>
      </c>
      <c r="B18" s="680" t="s">
        <v>778</v>
      </c>
      <c r="C18" s="681" t="s">
        <v>779</v>
      </c>
      <c r="D18" s="682"/>
      <c r="E18" s="682"/>
      <c r="F18" s="682"/>
      <c r="G18" s="682"/>
      <c r="H18" s="682"/>
      <c r="I18" s="683"/>
      <c r="J18" s="54"/>
      <c r="K18" s="54"/>
    </row>
    <row r="19" spans="1:11" s="1" customFormat="1">
      <c r="A19" s="2236" t="s">
        <v>780</v>
      </c>
      <c r="B19" s="684" t="s">
        <v>781</v>
      </c>
      <c r="C19" s="685" t="str">
        <f>dms_Selected_Quality</f>
        <v>Consolidated</v>
      </c>
      <c r="D19" s="686" t="s">
        <v>782</v>
      </c>
      <c r="E19" s="687" t="s">
        <v>783</v>
      </c>
      <c r="F19" s="688"/>
      <c r="G19" s="688"/>
      <c r="H19" s="688"/>
      <c r="I19" s="688"/>
      <c r="J19" s="515"/>
      <c r="K19" s="516"/>
    </row>
    <row r="20" spans="1:11" s="24" customFormat="1" ht="15.75">
      <c r="A20" s="2237"/>
      <c r="B20" s="689" t="s">
        <v>148</v>
      </c>
      <c r="C20" s="690" t="str">
        <f>INDEX(dms_Sector_List,MATCH(dms_TradingName,dms_TradingName_List))</f>
        <v>Electricity</v>
      </c>
      <c r="D20" s="691" t="s">
        <v>784</v>
      </c>
      <c r="E20" s="692" t="s">
        <v>785</v>
      </c>
      <c r="F20" s="693"/>
      <c r="G20" s="693"/>
      <c r="H20" s="693"/>
      <c r="I20" s="693"/>
      <c r="J20" s="517"/>
      <c r="K20" s="518"/>
    </row>
    <row r="21" spans="1:11" s="1" customFormat="1">
      <c r="A21" s="2237"/>
      <c r="B21" s="689" t="s">
        <v>149</v>
      </c>
      <c r="C21" s="694" t="str">
        <f>INDEX(dms_Segment_List,MATCH(dms_TradingName,dms_TradingName_List))</f>
        <v>Transmission</v>
      </c>
      <c r="D21" s="691" t="s">
        <v>786</v>
      </c>
      <c r="E21" s="692" t="s">
        <v>787</v>
      </c>
      <c r="F21" s="693"/>
      <c r="G21" s="693"/>
      <c r="H21" s="693"/>
      <c r="I21" s="693"/>
      <c r="J21" s="517"/>
      <c r="K21" s="518"/>
    </row>
    <row r="22" spans="1:11" s="1" customFormat="1" ht="15.75">
      <c r="A22" s="2237"/>
      <c r="B22" s="689" t="s">
        <v>788</v>
      </c>
      <c r="C22" s="690" t="str">
        <f>dms_RYE_result</f>
        <v>2025</v>
      </c>
      <c r="D22" s="691" t="s">
        <v>789</v>
      </c>
      <c r="E22" s="692" t="s">
        <v>790</v>
      </c>
      <c r="F22" s="693"/>
      <c r="G22" s="693"/>
      <c r="H22" s="693"/>
      <c r="I22" s="693"/>
      <c r="J22" s="517"/>
      <c r="K22" s="518"/>
    </row>
    <row r="23" spans="1:11" s="1" customFormat="1">
      <c r="A23" s="2237"/>
      <c r="B23" s="689" t="s">
        <v>791</v>
      </c>
      <c r="C23" s="694" t="str">
        <f>INDEX(dms_RPT_List,MATCH(dms_TradingName,dms_TradingName_List))</f>
        <v>Financial</v>
      </c>
      <c r="D23" s="691" t="s">
        <v>792</v>
      </c>
      <c r="E23" s="692" t="s">
        <v>793</v>
      </c>
      <c r="F23" s="693"/>
      <c r="G23" s="693"/>
      <c r="H23" s="693"/>
      <c r="I23" s="693"/>
      <c r="J23" s="517"/>
      <c r="K23" s="518"/>
    </row>
    <row r="24" spans="1:11">
      <c r="A24" s="2237"/>
      <c r="B24" s="689" t="s">
        <v>794</v>
      </c>
      <c r="C24" s="695" t="s">
        <v>386</v>
      </c>
      <c r="D24" s="691" t="s">
        <v>795</v>
      </c>
      <c r="E24" s="696" t="s">
        <v>796</v>
      </c>
      <c r="F24" s="697"/>
      <c r="G24" s="697"/>
      <c r="H24" s="697"/>
      <c r="I24" s="697"/>
      <c r="J24" s="519"/>
      <c r="K24" s="520"/>
    </row>
    <row r="25" spans="1:11" s="1" customFormat="1">
      <c r="A25" s="2237"/>
      <c r="B25" s="689" t="s">
        <v>797</v>
      </c>
      <c r="C25" s="694" t="s">
        <v>45</v>
      </c>
      <c r="D25" s="698" t="s">
        <v>798</v>
      </c>
      <c r="E25" s="699" t="s">
        <v>799</v>
      </c>
      <c r="F25" s="693"/>
      <c r="G25" s="693"/>
      <c r="H25" s="693"/>
      <c r="I25" s="693"/>
      <c r="J25" s="517"/>
      <c r="K25" s="518"/>
    </row>
    <row r="26" spans="1:11" s="1" customFormat="1" ht="15.75" customHeight="1" thickBot="1">
      <c r="A26" s="2238"/>
      <c r="B26" s="700" t="s">
        <v>800</v>
      </c>
      <c r="C26" s="701" t="str">
        <f>INDEX(dms_JurisdictionList,MATCH(dms_TradingName,dms_TradingName_List))</f>
        <v>-</v>
      </c>
      <c r="D26" s="702" t="s">
        <v>801</v>
      </c>
      <c r="E26" s="703" t="s">
        <v>802</v>
      </c>
      <c r="F26" s="704"/>
      <c r="G26" s="704"/>
      <c r="H26" s="704"/>
      <c r="I26" s="704"/>
      <c r="J26" s="522"/>
      <c r="K26" s="523"/>
    </row>
    <row r="27" spans="1:11" s="1" customFormat="1" ht="22.5" customHeight="1" thickBot="1">
      <c r="A27" s="2239" t="s">
        <v>803</v>
      </c>
      <c r="B27" s="705" t="s">
        <v>804</v>
      </c>
      <c r="C27" s="706"/>
      <c r="D27" s="706"/>
      <c r="E27" s="707"/>
      <c r="F27" s="708"/>
      <c r="G27" s="708"/>
      <c r="H27" s="708"/>
      <c r="I27" s="708"/>
      <c r="J27" s="524"/>
      <c r="K27" s="525"/>
    </row>
    <row r="28" spans="1:11" s="4" customFormat="1" ht="22.5" customHeight="1">
      <c r="A28" s="2240"/>
      <c r="B28" s="709" t="s">
        <v>805</v>
      </c>
      <c r="C28" s="710" t="str">
        <f>IFERROR(CRY,"NO")</f>
        <v>2024-25</v>
      </c>
      <c r="D28" s="711"/>
      <c r="E28" s="712"/>
      <c r="F28" s="712"/>
      <c r="G28" s="712"/>
      <c r="H28" s="712"/>
      <c r="I28" s="712"/>
      <c r="J28" s="526"/>
      <c r="K28" s="527"/>
    </row>
    <row r="29" spans="1:11" s="1" customFormat="1">
      <c r="A29" s="2240"/>
      <c r="B29" s="713" t="s">
        <v>806</v>
      </c>
      <c r="C29" s="695" t="str">
        <f>IFERROR(IF(dms_RPT="calendar",CRY-1,LEFT(CRY,4)),"CRY not present")</f>
        <v>2024</v>
      </c>
      <c r="D29" s="714" t="s">
        <v>807</v>
      </c>
      <c r="E29" s="715" t="s">
        <v>808</v>
      </c>
      <c r="F29" s="714"/>
      <c r="G29" s="714"/>
      <c r="H29" s="714"/>
      <c r="I29" s="714"/>
      <c r="J29" s="528"/>
      <c r="K29" s="529"/>
    </row>
    <row r="30" spans="1:11" s="1" customFormat="1">
      <c r="A30" s="2240"/>
      <c r="B30" s="716" t="s">
        <v>809</v>
      </c>
      <c r="C30" s="694" t="str">
        <f>INDEX(dms_RPTMonth_List,MATCH(dms_TradingName,dms_TradingName_List))</f>
        <v>June</v>
      </c>
      <c r="D30" s="698" t="s">
        <v>810</v>
      </c>
      <c r="E30" s="691" t="s">
        <v>811</v>
      </c>
      <c r="F30" s="698"/>
      <c r="G30" s="698"/>
      <c r="H30" s="698"/>
      <c r="I30" s="698"/>
      <c r="J30" s="530"/>
      <c r="K30" s="531"/>
    </row>
    <row r="31" spans="1:11" s="1" customFormat="1" ht="14.25" customHeight="1">
      <c r="A31" s="2240"/>
      <c r="B31" s="716" t="s">
        <v>812</v>
      </c>
      <c r="C31" s="717" t="str">
        <f>IF(dms_SingleYearModel="yes",CONCATENATE(dms_RPTMonth)&amp;" "&amp;VALUE((LEFT(CRY,2))&amp;RIGHT(CRY,2)),CONCATENATE(dms_RPTMonth)&amp;" "&amp;dms_DollarReal_year)</f>
        <v>June 2025</v>
      </c>
      <c r="D31" s="691" t="s">
        <v>813</v>
      </c>
      <c r="E31" s="691" t="s">
        <v>814</v>
      </c>
      <c r="F31" s="698"/>
      <c r="G31" s="698"/>
      <c r="H31" s="698"/>
      <c r="I31" s="698"/>
      <c r="J31" s="530"/>
      <c r="K31" s="531"/>
    </row>
    <row r="32" spans="1:11" s="1" customFormat="1" ht="24" customHeight="1" thickBot="1">
      <c r="A32" s="2241"/>
      <c r="B32" s="718" t="s">
        <v>815</v>
      </c>
      <c r="C32" s="719" t="str">
        <f>IF(dms_SingleYearModel="yes",CONCATENATE(dms_RPTMonth)&amp;" "&amp;VALUE((LEFT(CRY,2))&amp;RIGHT(CRY,2)),CONCATENATE(dms_RPTMonth)&amp;" "&amp;dms_Previous_DollarReal_year)</f>
        <v>June 2025</v>
      </c>
      <c r="D32" s="702" t="s">
        <v>816</v>
      </c>
      <c r="E32" s="702" t="s">
        <v>817</v>
      </c>
      <c r="F32" s="720"/>
      <c r="G32" s="720"/>
      <c r="H32" s="720"/>
      <c r="I32" s="720"/>
      <c r="J32" s="532"/>
      <c r="K32" s="533"/>
    </row>
    <row r="33" spans="1:90" s="1" customFormat="1" ht="24" customHeight="1" thickBot="1">
      <c r="B33" s="721" t="s">
        <v>818</v>
      </c>
      <c r="C33" s="722"/>
      <c r="D33" s="722"/>
      <c r="E33" s="722"/>
      <c r="F33" s="723"/>
      <c r="G33" s="723"/>
      <c r="H33" s="723"/>
      <c r="I33" s="723"/>
      <c r="J33" s="534"/>
      <c r="K33" s="535"/>
      <c r="AL33" s="2203"/>
      <c r="AM33" s="2203"/>
      <c r="AN33" s="2203"/>
      <c r="AO33" s="2203"/>
      <c r="AP33" s="2203"/>
      <c r="AQ33" s="2203"/>
      <c r="AR33" s="2203"/>
      <c r="AS33" s="2203"/>
      <c r="AT33" s="2203"/>
      <c r="AU33" s="2203"/>
      <c r="AV33" s="2203"/>
      <c r="AW33" s="2203"/>
      <c r="AX33" s="2203"/>
      <c r="AY33" s="2203"/>
      <c r="AZ33" s="2203"/>
      <c r="BA33" s="2203"/>
      <c r="BB33" s="2203"/>
      <c r="BC33" s="2203"/>
      <c r="BD33" s="2203"/>
      <c r="BE33" s="2203"/>
      <c r="BF33" s="2203"/>
      <c r="BG33" s="2203"/>
      <c r="BQ33" s="2203"/>
      <c r="BR33" s="2203"/>
      <c r="BS33" s="2203"/>
      <c r="BT33" s="2203"/>
      <c r="BU33" s="2203"/>
      <c r="BV33" s="2203"/>
      <c r="BW33" s="2203"/>
      <c r="BX33" s="2203"/>
      <c r="BY33" s="2203"/>
      <c r="BZ33" s="2203"/>
      <c r="CA33" s="2203"/>
      <c r="CB33" s="2203"/>
      <c r="CC33" s="2203"/>
      <c r="CD33" s="2203"/>
      <c r="CE33" s="2203"/>
      <c r="CF33" s="2203"/>
      <c r="CG33" s="2203"/>
      <c r="CH33" s="2203"/>
      <c r="CI33" s="2203"/>
      <c r="CJ33" s="2203"/>
      <c r="CK33" s="2203"/>
      <c r="CL33" s="2203"/>
    </row>
    <row r="34" spans="1:90" s="4" customFormat="1" ht="30.75" customHeight="1" thickBot="1">
      <c r="B34" s="724" t="s">
        <v>819</v>
      </c>
      <c r="C34" s="725" t="str">
        <f>INDEX(dms_FormControl_List,MATCH(dms_TradingName,dms_TradingName_List))</f>
        <v>Revenue cap</v>
      </c>
      <c r="D34" s="715" t="s">
        <v>820</v>
      </c>
      <c r="E34" s="726" t="s">
        <v>821</v>
      </c>
      <c r="F34" s="727"/>
      <c r="G34" s="727"/>
      <c r="H34" s="727"/>
      <c r="I34" s="727"/>
      <c r="J34" s="536"/>
      <c r="K34" s="537"/>
      <c r="AL34" s="2203"/>
      <c r="AM34" s="2203"/>
      <c r="AN34" s="2203"/>
      <c r="AO34" s="2203"/>
      <c r="AP34" s="2203"/>
      <c r="AQ34" s="2203"/>
      <c r="AR34" s="2203"/>
      <c r="AS34" s="2203"/>
      <c r="AT34" s="2203"/>
      <c r="AU34" s="2203"/>
      <c r="AV34" s="2203"/>
      <c r="AW34" s="2203"/>
      <c r="AX34" s="2203"/>
      <c r="AY34" s="2203"/>
      <c r="AZ34" s="2203"/>
      <c r="BA34" s="2203"/>
      <c r="BB34" s="2203"/>
      <c r="BC34" s="2203"/>
      <c r="BD34" s="2203"/>
      <c r="BE34" s="2203"/>
      <c r="BF34" s="2203"/>
      <c r="BG34" s="2203"/>
      <c r="BQ34" s="2203"/>
      <c r="BR34" s="2203"/>
      <c r="BS34" s="2203"/>
      <c r="BT34" s="2203"/>
      <c r="BU34" s="2203"/>
      <c r="BV34" s="2203"/>
      <c r="BW34" s="2203"/>
      <c r="BX34" s="2203"/>
      <c r="BY34" s="2203"/>
      <c r="BZ34" s="2203"/>
      <c r="CA34" s="2203"/>
      <c r="CB34" s="2203"/>
      <c r="CC34" s="2203"/>
      <c r="CD34" s="2203"/>
      <c r="CE34" s="2203"/>
      <c r="CF34" s="2203"/>
      <c r="CG34" s="2203"/>
      <c r="CH34" s="2203"/>
      <c r="CI34" s="2203"/>
      <c r="CJ34" s="2203"/>
      <c r="CK34" s="2203"/>
      <c r="CL34" s="2203"/>
    </row>
    <row r="35" spans="1:90" s="1" customFormat="1" ht="24" customHeight="1" thickBot="1">
      <c r="A35" s="2228" t="s">
        <v>822</v>
      </c>
      <c r="B35" s="728" t="s">
        <v>823</v>
      </c>
      <c r="C35" s="729"/>
      <c r="D35" s="707"/>
      <c r="E35" s="707"/>
      <c r="F35" s="708"/>
      <c r="G35" s="708"/>
      <c r="H35" s="708"/>
      <c r="I35" s="708"/>
      <c r="J35" s="524"/>
      <c r="K35" s="525"/>
      <c r="AL35" s="2203"/>
      <c r="AM35" s="2203"/>
      <c r="AN35" s="2203"/>
      <c r="AO35" s="2203"/>
      <c r="AP35" s="2203"/>
      <c r="AQ35" s="2203"/>
      <c r="AR35" s="2203"/>
      <c r="AS35" s="2203"/>
      <c r="AT35" s="2203"/>
      <c r="AU35" s="2203"/>
      <c r="AV35" s="2203"/>
      <c r="AW35" s="2203"/>
      <c r="AX35" s="2203"/>
      <c r="AY35" s="2203"/>
      <c r="AZ35" s="2203"/>
      <c r="BA35" s="2203"/>
      <c r="BB35" s="2203"/>
      <c r="BC35" s="2203"/>
      <c r="BD35" s="2203"/>
      <c r="BE35" s="2203"/>
      <c r="BF35" s="2203"/>
      <c r="BG35" s="2203"/>
      <c r="BQ35" s="2203"/>
      <c r="BR35" s="2203"/>
      <c r="BS35" s="2203"/>
      <c r="BT35" s="2203"/>
      <c r="BU35" s="2203"/>
      <c r="BV35" s="2203"/>
      <c r="BW35" s="2203"/>
      <c r="BX35" s="2203"/>
      <c r="BY35" s="2203"/>
      <c r="BZ35" s="2203"/>
      <c r="CA35" s="2203"/>
      <c r="CB35" s="2203"/>
      <c r="CC35" s="2203"/>
      <c r="CD35" s="2203"/>
      <c r="CE35" s="2203"/>
      <c r="CF35" s="2203"/>
      <c r="CG35" s="2203"/>
      <c r="CH35" s="2203"/>
      <c r="CI35" s="2203"/>
      <c r="CJ35" s="2203"/>
      <c r="CK35" s="2203"/>
      <c r="CL35" s="2203"/>
    </row>
    <row r="36" spans="1:90" s="1" customFormat="1" ht="15.75">
      <c r="A36" s="2229"/>
      <c r="B36" s="730" t="s">
        <v>824</v>
      </c>
      <c r="C36" s="731" t="e">
        <f>FRCP_y1</f>
        <v>#REF!</v>
      </c>
      <c r="D36" s="732" t="s">
        <v>1176</v>
      </c>
      <c r="E36" s="733"/>
      <c r="F36" s="733"/>
      <c r="G36" s="733"/>
      <c r="H36" s="733"/>
      <c r="I36" s="733"/>
      <c r="J36" s="538"/>
      <c r="K36" s="539"/>
    </row>
    <row r="37" spans="1:90" s="1" customFormat="1" ht="15.75">
      <c r="A37" s="2229"/>
      <c r="B37" s="734" t="s">
        <v>825</v>
      </c>
      <c r="C37" s="735" t="str">
        <f>IFERROR(CRY,0)</f>
        <v>2024-25</v>
      </c>
      <c r="D37" s="736"/>
      <c r="E37" s="737"/>
      <c r="F37" s="737"/>
      <c r="G37" s="737"/>
      <c r="H37" s="737"/>
      <c r="I37" s="737"/>
      <c r="J37" s="540"/>
      <c r="K37" s="541"/>
    </row>
    <row r="38" spans="1:90" s="1" customFormat="1" ht="15.75">
      <c r="A38" s="2229"/>
      <c r="B38" s="734" t="s">
        <v>826</v>
      </c>
      <c r="C38" s="735">
        <f ca="1">IFERROR(MATCH(CRY,INDIRECT(dms_RPT),0),0)</f>
        <v>38</v>
      </c>
      <c r="D38" s="736"/>
      <c r="E38" s="737"/>
      <c r="F38" s="737"/>
      <c r="G38" s="737"/>
      <c r="H38" s="737"/>
      <c r="I38" s="737"/>
      <c r="J38" s="540"/>
      <c r="K38" s="541"/>
    </row>
    <row r="39" spans="1:90" s="1" customFormat="1" ht="15.75">
      <c r="A39" s="2229"/>
      <c r="B39" s="738" t="s">
        <v>827</v>
      </c>
      <c r="C39" s="739" t="e">
        <f ca="1">MATCH(dms_start_year,INDIRECT(dms_RPT),0)</f>
        <v>#REF!</v>
      </c>
      <c r="D39" s="740" t="s">
        <v>1177</v>
      </c>
      <c r="E39" s="741"/>
      <c r="F39" s="741"/>
      <c r="G39" s="741"/>
      <c r="H39" s="741"/>
      <c r="I39" s="741"/>
      <c r="J39" s="542"/>
      <c r="K39" s="543"/>
    </row>
    <row r="40" spans="1:90" s="1" customFormat="1" ht="15.75">
      <c r="A40" s="2229"/>
      <c r="B40" s="742" t="s">
        <v>828</v>
      </c>
      <c r="C40" s="743" t="e">
        <f ca="1">dms_FRCP_start_row-dms_CRCPlength_Num</f>
        <v>#REF!</v>
      </c>
      <c r="D40" s="744" t="s">
        <v>1178</v>
      </c>
      <c r="E40" s="745"/>
      <c r="F40" s="745"/>
      <c r="G40" s="745"/>
      <c r="H40" s="745"/>
      <c r="I40" s="745"/>
      <c r="J40" s="544"/>
      <c r="K40" s="545"/>
    </row>
    <row r="41" spans="1:90" s="1" customFormat="1" ht="15.75">
      <c r="A41" s="2229"/>
      <c r="B41" s="742" t="s">
        <v>829</v>
      </c>
      <c r="C41" s="743" t="e">
        <f ca="1">dms_FRCP_start_row-dms_CRCPlength_Num-dms_PRCPlength_Num</f>
        <v>#REF!</v>
      </c>
      <c r="D41" s="744" t="s">
        <v>1179</v>
      </c>
      <c r="E41" s="745"/>
      <c r="F41" s="745"/>
      <c r="G41" s="745"/>
      <c r="H41" s="745"/>
      <c r="I41" s="745"/>
      <c r="J41" s="544"/>
      <c r="K41" s="545"/>
    </row>
    <row r="42" spans="1:90" s="1" customFormat="1" ht="15.75">
      <c r="A42" s="2229"/>
      <c r="B42" s="746" t="s">
        <v>830</v>
      </c>
      <c r="C42" s="747" t="e">
        <f ca="1">dms_FRCP_start_row+(dms_FRCPlength_Num-1)</f>
        <v>#REF!</v>
      </c>
      <c r="D42" s="748" t="s">
        <v>1180</v>
      </c>
      <c r="E42" s="749"/>
      <c r="F42" s="749"/>
      <c r="G42" s="749"/>
      <c r="H42" s="749"/>
      <c r="I42" s="749"/>
      <c r="J42" s="546"/>
      <c r="K42" s="547"/>
    </row>
    <row r="43" spans="1:90" s="1" customFormat="1" ht="15.75">
      <c r="A43" s="2229"/>
      <c r="B43" s="738" t="s">
        <v>831</v>
      </c>
      <c r="C43" s="750" t="e">
        <f ca="1">INDEX(INDIRECT(dms_RPT),dms_FRCP_start_row)</f>
        <v>#REF!</v>
      </c>
      <c r="D43" s="740" t="s">
        <v>832</v>
      </c>
      <c r="E43" s="741"/>
      <c r="F43" s="741"/>
      <c r="G43" s="741"/>
      <c r="H43" s="741"/>
      <c r="I43" s="741"/>
      <c r="J43" s="542"/>
      <c r="K43" s="543"/>
    </row>
    <row r="44" spans="1:90" s="1" customFormat="1" ht="15.75">
      <c r="A44" s="2229"/>
      <c r="B44" s="742" t="s">
        <v>833</v>
      </c>
      <c r="C44" s="743" t="e">
        <f ca="1">INDEX(INDIRECT(dms_RPT),dms_CRCP_start_row)</f>
        <v>#REF!</v>
      </c>
      <c r="D44" s="744" t="s">
        <v>834</v>
      </c>
      <c r="E44" s="745"/>
      <c r="F44" s="745"/>
      <c r="G44" s="745"/>
      <c r="H44" s="745"/>
      <c r="I44" s="745"/>
      <c r="J44" s="544"/>
      <c r="K44" s="545"/>
    </row>
    <row r="45" spans="1:90" s="1" customFormat="1" ht="15.75">
      <c r="A45" s="2229"/>
      <c r="B45" s="751" t="s">
        <v>835</v>
      </c>
      <c r="C45" s="752" t="e">
        <f ca="1">INDEX(INDIRECT(dms_RPT),dms_PRCP_start_row)</f>
        <v>#REF!</v>
      </c>
      <c r="D45" s="748" t="s">
        <v>836</v>
      </c>
      <c r="E45" s="749"/>
      <c r="F45" s="749"/>
      <c r="G45" s="749"/>
      <c r="H45" s="749"/>
      <c r="I45" s="749"/>
      <c r="J45" s="546"/>
      <c r="K45" s="547"/>
    </row>
    <row r="46" spans="1:90" s="1" customFormat="1" ht="15.75">
      <c r="A46" s="2229"/>
      <c r="B46" s="738" t="s">
        <v>837</v>
      </c>
      <c r="C46" s="750" t="e">
        <f ca="1">INDEX(INDIRECT(dms_RPT),dms_FRCP_start_row+dms_FRCPlength_Num-1)</f>
        <v>#REF!</v>
      </c>
      <c r="D46" s="744" t="s">
        <v>838</v>
      </c>
      <c r="E46" s="745"/>
      <c r="F46" s="745"/>
      <c r="G46" s="745"/>
      <c r="H46" s="745"/>
      <c r="I46" s="745"/>
      <c r="J46" s="544"/>
      <c r="K46" s="545"/>
    </row>
    <row r="47" spans="1:90" s="1" customFormat="1" ht="15.75">
      <c r="A47" s="2229"/>
      <c r="B47" s="742" t="s">
        <v>839</v>
      </c>
      <c r="C47" s="743" t="e">
        <f ca="1">INDEX(INDIRECT(dms_RPT),dms_CRCP_start_row+dms_CRCPlength_Num-1)</f>
        <v>#REF!</v>
      </c>
      <c r="D47" s="744" t="s">
        <v>840</v>
      </c>
      <c r="E47" s="745"/>
      <c r="F47" s="745"/>
      <c r="G47" s="745"/>
      <c r="H47" s="745"/>
      <c r="I47" s="745"/>
      <c r="J47" s="544"/>
      <c r="K47" s="545"/>
    </row>
    <row r="48" spans="1:90" s="1" customFormat="1" ht="15.75">
      <c r="A48" s="2229"/>
      <c r="B48" s="751" t="s">
        <v>841</v>
      </c>
      <c r="C48" s="752" t="e">
        <f ca="1">INDEX(INDIRECT(dms_RPT),dms_PRCP_start_row+dms_FRCPlength_Num-1)</f>
        <v>#REF!</v>
      </c>
      <c r="D48" s="748" t="s">
        <v>842</v>
      </c>
      <c r="E48" s="749"/>
      <c r="F48" s="749"/>
      <c r="G48" s="749"/>
      <c r="H48" s="749"/>
      <c r="I48" s="749"/>
      <c r="J48" s="546"/>
      <c r="K48" s="547"/>
    </row>
    <row r="49" spans="1:11" s="1" customFormat="1" ht="15.75">
      <c r="A49" s="2229"/>
      <c r="B49" s="738" t="s">
        <v>843</v>
      </c>
      <c r="C49" s="750" t="e">
        <f ca="1">INDEX(INDIRECT(dms_RPT),dms_RYE_start_row)</f>
        <v>#REF!</v>
      </c>
      <c r="D49" s="744" t="s">
        <v>844</v>
      </c>
      <c r="E49" s="745"/>
      <c r="F49" s="745"/>
      <c r="G49" s="745"/>
      <c r="H49" s="745"/>
      <c r="I49" s="745"/>
      <c r="J49" s="544"/>
      <c r="K49" s="545"/>
    </row>
    <row r="50" spans="1:11" s="1" customFormat="1" ht="15.75">
      <c r="A50" s="2229"/>
      <c r="B50" s="751" t="s">
        <v>845</v>
      </c>
      <c r="C50" s="753" t="e">
        <f>FRY</f>
        <v>#REF!</v>
      </c>
      <c r="D50" s="748" t="s">
        <v>1181</v>
      </c>
      <c r="E50" s="749"/>
      <c r="F50" s="749"/>
      <c r="G50" s="749"/>
      <c r="H50" s="749"/>
      <c r="I50" s="749"/>
      <c r="J50" s="546"/>
      <c r="K50" s="547"/>
    </row>
    <row r="51" spans="1:11" s="1" customFormat="1" ht="15.75">
      <c r="A51" s="2229"/>
      <c r="B51" s="734" t="s">
        <v>846</v>
      </c>
      <c r="C51" s="754" t="e">
        <f ca="1">LEFT(CRCP_final_year,2)&amp;RIGHT(CRCP_final_year,2)</f>
        <v>#REF!</v>
      </c>
      <c r="D51" s="755" t="s">
        <v>1182</v>
      </c>
      <c r="E51" s="756"/>
      <c r="F51" s="757"/>
      <c r="G51" s="757"/>
      <c r="H51" s="757"/>
      <c r="I51" s="757"/>
      <c r="J51" s="548"/>
      <c r="K51" s="549"/>
    </row>
    <row r="52" spans="1:11" s="1" customFormat="1" ht="15.75">
      <c r="A52" s="2229"/>
      <c r="B52" s="758" t="s">
        <v>847</v>
      </c>
      <c r="C52" s="759" t="e">
        <f ca="1">LEFT(PRCP_final_year,2)&amp;RIGHT(PRCP_final_year,2)</f>
        <v>#REF!</v>
      </c>
      <c r="D52" s="748" t="s">
        <v>1183</v>
      </c>
      <c r="E52" s="749"/>
      <c r="F52" s="749"/>
      <c r="G52" s="749"/>
      <c r="H52" s="749"/>
      <c r="I52" s="749"/>
      <c r="J52" s="546"/>
      <c r="K52" s="547"/>
    </row>
    <row r="53" spans="1:11" s="1" customFormat="1" ht="15.75">
      <c r="A53" s="2229"/>
      <c r="B53" s="760" t="s">
        <v>848</v>
      </c>
      <c r="C53" s="761" t="str">
        <f>IFERROR(LEFT(CRY,2)&amp;RIGHT(CRY,2),0)</f>
        <v>2025</v>
      </c>
      <c r="D53" s="740" t="s">
        <v>849</v>
      </c>
      <c r="E53" s="741"/>
      <c r="F53" s="745"/>
      <c r="G53" s="745"/>
      <c r="H53" s="745"/>
      <c r="I53" s="745"/>
      <c r="J53" s="544"/>
      <c r="K53" s="545"/>
    </row>
    <row r="54" spans="1:11" s="1" customFormat="1" ht="15.75">
      <c r="A54" s="2229"/>
      <c r="B54" s="742" t="s">
        <v>850</v>
      </c>
      <c r="C54" s="743">
        <f>IF(dms_Model_Span&gt;1,IF(dms_Model="RFM",(LEFT(dms_DollarReal_year,2)&amp;RIGHT(dms_DollarReal_year,2)),(LEFT(dms_Reset_final_year,2)&amp;RIGHT(dms_Reset_final_year,2))),0)</f>
        <v>0</v>
      </c>
      <c r="D54" s="744" t="s">
        <v>1184</v>
      </c>
      <c r="E54" s="745"/>
      <c r="F54" s="745"/>
      <c r="G54" s="745"/>
      <c r="H54" s="745"/>
      <c r="I54" s="745"/>
      <c r="J54" s="544"/>
      <c r="K54" s="545"/>
    </row>
    <row r="55" spans="1:11" s="1" customFormat="1" ht="15.75">
      <c r="A55" s="2229"/>
      <c r="B55" s="742" t="s">
        <v>851</v>
      </c>
      <c r="C55" s="743">
        <f>IF(dms_MultiYear_ResponseFlag="Yes",(LEFT(dms_Specified_FinalYear,2)&amp;RIGHT(dms_Specified_FinalYear,2)),0)</f>
        <v>0</v>
      </c>
      <c r="D55" s="744" t="s">
        <v>1185</v>
      </c>
      <c r="E55" s="745"/>
      <c r="F55" s="745"/>
      <c r="G55" s="745"/>
      <c r="H55" s="745"/>
      <c r="I55" s="745"/>
      <c r="J55" s="544"/>
      <c r="K55" s="545"/>
    </row>
    <row r="56" spans="1:11" s="1" customFormat="1" ht="15.75">
      <c r="A56" s="2229"/>
      <c r="B56" s="742" t="s">
        <v>852</v>
      </c>
      <c r="C56" s="743">
        <f>INDEX(dms_Model_Span_List,MATCH(dms_Model,dms_Model_List))</f>
        <v>1</v>
      </c>
      <c r="D56" s="744" t="s">
        <v>853</v>
      </c>
      <c r="E56" s="745"/>
      <c r="F56" s="745"/>
      <c r="G56" s="745"/>
      <c r="H56" s="745"/>
      <c r="I56" s="745"/>
      <c r="J56" s="544"/>
      <c r="K56" s="545"/>
    </row>
    <row r="57" spans="1:11" s="1" customFormat="1" ht="15.75">
      <c r="A57" s="2229"/>
      <c r="B57" s="751" t="s">
        <v>854</v>
      </c>
      <c r="C57" s="752" t="str">
        <f>IF(dms_MultiYear_ResponseFlag="yes",dms_Specified_RYE,(IF(dms_Model_Span&gt;1,dms_Reset_RYE,dms_CRY_RYE)))</f>
        <v>2025</v>
      </c>
      <c r="D57" s="748" t="s">
        <v>1186</v>
      </c>
      <c r="E57" s="749"/>
      <c r="F57" s="749"/>
      <c r="G57" s="749"/>
      <c r="H57" s="749"/>
      <c r="I57" s="749"/>
      <c r="J57" s="546"/>
      <c r="K57" s="547"/>
    </row>
    <row r="58" spans="1:11" s="1" customFormat="1" ht="15.75">
      <c r="A58" s="2229"/>
      <c r="B58" s="760" t="s">
        <v>855</v>
      </c>
      <c r="C58" s="761">
        <f>IF(dms_Reset_RYE&gt;0,CONCATENATE(FRCP_y1," to ",FRCP_final_year),0)</f>
        <v>0</v>
      </c>
      <c r="D58" s="744" t="s">
        <v>856</v>
      </c>
      <c r="E58" s="745"/>
      <c r="F58" s="762"/>
      <c r="G58" s="745"/>
      <c r="H58" s="745"/>
      <c r="I58" s="745"/>
      <c r="J58" s="544"/>
      <c r="K58" s="545"/>
    </row>
    <row r="59" spans="1:11" s="1" customFormat="1" ht="15.75">
      <c r="A59" s="2229"/>
      <c r="B59" s="742" t="s">
        <v>857</v>
      </c>
      <c r="C59" s="743">
        <f>IF(dms_Specified_RYE&gt;0,CONCATENATE(CRY," to ",dms_Specified_FinalYear),0)</f>
        <v>0</v>
      </c>
      <c r="D59" s="744" t="s">
        <v>858</v>
      </c>
      <c r="E59" s="745"/>
      <c r="F59" s="745"/>
      <c r="G59" s="745"/>
      <c r="H59" s="745"/>
      <c r="I59" s="745"/>
      <c r="J59" s="544"/>
      <c r="K59" s="545"/>
    </row>
    <row r="60" spans="1:11" s="1" customFormat="1" ht="16.5" thickBot="1">
      <c r="A60" s="2229"/>
      <c r="B60" s="763" t="s">
        <v>859</v>
      </c>
      <c r="C60" s="764" t="str">
        <f>IF(dms_MultiYear_Flag=1,dms_SpecifiedYear_Span,IF(dms_Model_Span&gt;1,dms_Reset_Span,CRY))</f>
        <v>2024-25</v>
      </c>
      <c r="D60" s="765" t="s">
        <v>1187</v>
      </c>
      <c r="E60" s="766"/>
      <c r="F60" s="766"/>
      <c r="G60" s="766"/>
      <c r="H60" s="766"/>
      <c r="I60" s="766"/>
      <c r="J60" s="550"/>
      <c r="K60" s="551"/>
    </row>
    <row r="61" spans="1:11" s="1" customFormat="1" ht="25.5" customHeight="1" thickBot="1">
      <c r="B61" s="728" t="s">
        <v>860</v>
      </c>
      <c r="C61" s="729"/>
      <c r="D61" s="722"/>
      <c r="E61" s="722"/>
      <c r="F61" s="723"/>
      <c r="G61" s="723"/>
      <c r="H61" s="723"/>
      <c r="I61" s="723"/>
      <c r="J61" s="534"/>
      <c r="K61" s="535"/>
    </row>
    <row r="62" spans="1:11" s="1" customFormat="1" ht="15.75">
      <c r="B62" s="767" t="s">
        <v>861</v>
      </c>
      <c r="C62" s="768" t="s">
        <v>779</v>
      </c>
      <c r="D62" s="769"/>
      <c r="E62" s="770"/>
      <c r="F62" s="771"/>
      <c r="G62" s="771"/>
      <c r="H62" s="771"/>
      <c r="I62" s="771"/>
      <c r="J62" s="552"/>
      <c r="K62" s="553"/>
    </row>
    <row r="63" spans="1:11" s="1" customFormat="1">
      <c r="B63" s="772"/>
      <c r="C63" s="773">
        <f>IF(dms_MultiYear_ResponseFlag="No",0,1)</f>
        <v>0</v>
      </c>
      <c r="D63" s="774" t="s">
        <v>862</v>
      </c>
      <c r="E63" s="775" t="s">
        <v>863</v>
      </c>
      <c r="F63" s="776"/>
      <c r="G63" s="776"/>
      <c r="H63" s="776"/>
      <c r="I63" s="776"/>
      <c r="J63" s="554"/>
      <c r="K63" s="555"/>
    </row>
    <row r="64" spans="1:11" s="1" customFormat="1" ht="45">
      <c r="B64" s="772"/>
      <c r="C64" s="777" t="str">
        <f>IF(dms_MultiYear_Flag=1,FRY,"not a Multiple year submission")</f>
        <v>not a Multiple year submission</v>
      </c>
      <c r="D64" s="774" t="s">
        <v>864</v>
      </c>
      <c r="E64" s="778" t="s">
        <v>865</v>
      </c>
      <c r="F64" s="776"/>
      <c r="G64" s="776"/>
      <c r="H64" s="776"/>
      <c r="I64" s="779"/>
      <c r="J64" s="556"/>
      <c r="K64" s="557"/>
    </row>
    <row r="65" spans="2:11" s="1" customFormat="1" ht="15.75" thickBot="1">
      <c r="B65" s="780" t="s">
        <v>866</v>
      </c>
      <c r="C65" s="781" t="str">
        <f>IFERROR(IF(dms_MultiYear_Flag=1,FRY,CRY),"not an ABC")</f>
        <v>2024-25</v>
      </c>
      <c r="D65" s="782" t="s">
        <v>867</v>
      </c>
      <c r="E65" s="782" t="s">
        <v>868</v>
      </c>
      <c r="F65" s="783"/>
      <c r="G65" s="783" t="s">
        <v>869</v>
      </c>
      <c r="H65" s="783"/>
      <c r="I65" s="783"/>
      <c r="J65" s="558"/>
      <c r="K65" s="559"/>
    </row>
    <row r="66" spans="2:11" s="1" customFormat="1" ht="22.5" customHeight="1" thickBot="1">
      <c r="B66" s="728" t="s">
        <v>870</v>
      </c>
      <c r="C66" s="729"/>
      <c r="D66" s="729"/>
      <c r="E66" s="729"/>
      <c r="F66" s="784"/>
      <c r="G66" s="784"/>
      <c r="H66" s="784"/>
      <c r="I66" s="784"/>
      <c r="J66" s="560"/>
      <c r="K66" s="561"/>
    </row>
    <row r="67" spans="2:11" s="1" customFormat="1" ht="15.75">
      <c r="B67" s="785" t="s">
        <v>871</v>
      </c>
      <c r="C67" s="786"/>
      <c r="D67" s="787"/>
      <c r="E67" s="788"/>
      <c r="F67" s="789"/>
      <c r="G67" s="789"/>
      <c r="H67" s="789"/>
      <c r="I67" s="789"/>
      <c r="J67" s="563"/>
      <c r="K67" s="564"/>
    </row>
    <row r="68" spans="2:11" s="1" customFormat="1" ht="15.75">
      <c r="B68" s="772" t="s">
        <v>872</v>
      </c>
      <c r="C68" s="790">
        <f>INDEX(dms_PRCPlength_List,MATCH(dms_TradingName,dms_TradingName_List))</f>
        <v>5</v>
      </c>
      <c r="D68" s="769" t="s">
        <v>873</v>
      </c>
      <c r="E68" s="791" t="s">
        <v>874</v>
      </c>
      <c r="F68" s="792"/>
      <c r="G68" s="792"/>
      <c r="H68" s="792"/>
      <c r="I68" s="792"/>
      <c r="J68" s="565"/>
      <c r="K68" s="566"/>
    </row>
    <row r="69" spans="2:11" s="1" customFormat="1">
      <c r="B69" s="772" t="s">
        <v>875</v>
      </c>
      <c r="C69" s="773">
        <f>INDEX(dms_CRCPlength_List,MATCH(dms_TradingName,dms_TradingName_List))</f>
        <v>5</v>
      </c>
      <c r="D69" s="793" t="s">
        <v>876</v>
      </c>
      <c r="E69" s="794" t="s">
        <v>877</v>
      </c>
      <c r="F69" s="789"/>
      <c r="G69" s="789"/>
      <c r="H69" s="789"/>
      <c r="I69" s="789"/>
      <c r="J69" s="562"/>
      <c r="K69" s="567"/>
    </row>
    <row r="70" spans="2:11" s="1" customFormat="1" ht="15.75">
      <c r="B70" s="795" t="s">
        <v>878</v>
      </c>
      <c r="C70" s="796">
        <f>INDEX(dms_FRCPlength_List,MATCH(dms_TradingName,dms_TradingName_List))</f>
        <v>5</v>
      </c>
      <c r="D70" s="797" t="s">
        <v>879</v>
      </c>
      <c r="E70" s="798" t="s">
        <v>880</v>
      </c>
      <c r="F70" s="799"/>
      <c r="G70" s="799"/>
      <c r="H70" s="799"/>
      <c r="I70" s="799"/>
      <c r="J70" s="568"/>
      <c r="K70" s="569"/>
    </row>
    <row r="71" spans="2:11" s="1" customFormat="1" ht="15.75">
      <c r="B71" s="800" t="s">
        <v>881</v>
      </c>
      <c r="C71" s="787"/>
      <c r="D71" s="787"/>
      <c r="E71" s="788"/>
      <c r="F71" s="789"/>
      <c r="G71" s="789"/>
      <c r="H71" s="789"/>
      <c r="I71" s="789"/>
      <c r="J71" s="563"/>
      <c r="K71" s="564"/>
    </row>
    <row r="72" spans="2:11" s="1" customFormat="1">
      <c r="B72" s="2226" t="s">
        <v>882</v>
      </c>
      <c r="C72" s="801">
        <f>IF(dms_Model="EB",1,0)</f>
        <v>0</v>
      </c>
      <c r="D72" s="787" t="s">
        <v>883</v>
      </c>
      <c r="E72" s="788"/>
      <c r="F72" s="789"/>
      <c r="G72" s="789"/>
      <c r="H72" s="789"/>
      <c r="I72" s="789"/>
      <c r="J72" s="563"/>
      <c r="K72" s="564"/>
    </row>
    <row r="73" spans="2:11" s="1" customFormat="1">
      <c r="B73" s="2226"/>
      <c r="C73" s="802">
        <f>IF(dms_Model="CA",1,0)</f>
        <v>0</v>
      </c>
      <c r="D73" s="803" t="s">
        <v>884</v>
      </c>
      <c r="E73" s="804" t="s">
        <v>885</v>
      </c>
      <c r="F73" s="805"/>
      <c r="G73" s="805"/>
      <c r="H73" s="805"/>
      <c r="I73" s="805"/>
      <c r="J73" s="570"/>
      <c r="K73" s="571"/>
    </row>
    <row r="74" spans="2:11" s="1" customFormat="1">
      <c r="B74" s="2227"/>
      <c r="C74" s="802">
        <f>IF(dms_Model="ARR",1,0)</f>
        <v>1</v>
      </c>
      <c r="D74" s="803" t="s">
        <v>886</v>
      </c>
      <c r="E74" s="804"/>
      <c r="F74" s="805"/>
      <c r="G74" s="805"/>
      <c r="H74" s="805"/>
      <c r="I74" s="805"/>
      <c r="J74" s="570"/>
      <c r="K74" s="571"/>
    </row>
    <row r="75" spans="2:11" s="1" customFormat="1">
      <c r="B75" s="806" t="s">
        <v>887</v>
      </c>
      <c r="C75" s="807" t="str">
        <f>IF(SUM(dms_SingleYear_Model)=1,"yes","no")</f>
        <v>yes</v>
      </c>
      <c r="D75" s="804" t="s">
        <v>888</v>
      </c>
      <c r="E75" s="804" t="s">
        <v>889</v>
      </c>
      <c r="F75" s="783"/>
      <c r="G75" s="783"/>
      <c r="H75" s="783"/>
      <c r="I75" s="805"/>
      <c r="J75" s="570"/>
      <c r="K75" s="571"/>
    </row>
    <row r="76" spans="2:11" s="1" customFormat="1" ht="15.75">
      <c r="B76" s="808" t="s">
        <v>890</v>
      </c>
      <c r="C76" s="809" t="str">
        <f>IF(AND(dms_SingleYearModel="yes",dms_MultiYear_Flag=0),CRY,0)</f>
        <v>2024-25</v>
      </c>
      <c r="D76" s="797" t="s">
        <v>891</v>
      </c>
      <c r="E76" s="798" t="s">
        <v>892</v>
      </c>
      <c r="F76" s="810"/>
      <c r="G76" s="810"/>
      <c r="H76" s="810"/>
      <c r="I76" s="810"/>
      <c r="J76" s="572"/>
      <c r="K76" s="573"/>
    </row>
    <row r="77" spans="2:11" s="1" customFormat="1" ht="15.75">
      <c r="B77" s="785" t="s">
        <v>893</v>
      </c>
      <c r="C77" s="781"/>
      <c r="D77" s="793"/>
      <c r="E77" s="794"/>
      <c r="F77" s="789"/>
      <c r="G77" s="789"/>
      <c r="H77" s="789"/>
      <c r="I77" s="789"/>
      <c r="J77" s="562"/>
      <c r="K77" s="567"/>
    </row>
    <row r="78" spans="2:11" s="1" customFormat="1">
      <c r="B78" s="772"/>
      <c r="C78" s="781"/>
      <c r="D78" s="793"/>
      <c r="E78" s="794"/>
      <c r="F78" s="789"/>
      <c r="G78" s="789"/>
      <c r="H78" s="789"/>
      <c r="I78" s="789"/>
      <c r="J78" s="562"/>
      <c r="K78" s="567"/>
    </row>
    <row r="79" spans="2:11" s="1" customFormat="1">
      <c r="B79" s="772" t="s">
        <v>894</v>
      </c>
      <c r="C79" s="781" t="str">
        <f>IF(dms_Model_Span&gt;1,"yes","no")</f>
        <v>no</v>
      </c>
      <c r="D79" s="793"/>
      <c r="E79" s="794"/>
      <c r="F79" s="789"/>
      <c r="G79" s="789"/>
      <c r="H79" s="789"/>
      <c r="I79" s="789"/>
      <c r="J79" s="562"/>
      <c r="K79" s="567"/>
    </row>
    <row r="80" spans="2:11" s="1" customFormat="1">
      <c r="B80" s="772" t="s">
        <v>895</v>
      </c>
      <c r="C80" s="811">
        <f>IF(dms_Model_Span&gt;1,dms_Reset_final_year,0)</f>
        <v>0</v>
      </c>
      <c r="D80" s="793" t="s">
        <v>896</v>
      </c>
      <c r="E80" s="794" t="s">
        <v>897</v>
      </c>
      <c r="F80" s="789"/>
      <c r="G80" s="789"/>
      <c r="H80" s="789"/>
      <c r="I80" s="789"/>
      <c r="J80" s="562"/>
      <c r="K80" s="567"/>
    </row>
    <row r="81" spans="2:12" s="1" customFormat="1">
      <c r="B81" s="772"/>
      <c r="C81" s="781"/>
      <c r="D81" s="793"/>
      <c r="E81" s="794"/>
      <c r="F81" s="789"/>
      <c r="G81" s="789"/>
      <c r="H81" s="789"/>
      <c r="I81" s="789"/>
      <c r="J81" s="562"/>
      <c r="K81" s="567"/>
    </row>
    <row r="82" spans="2:12" s="1" customFormat="1">
      <c r="B82" s="772" t="s">
        <v>898</v>
      </c>
      <c r="C82" s="781" t="str">
        <f>IF(dms_MultiYear_Flag=1,"yes","no")</f>
        <v>no</v>
      </c>
      <c r="D82" s="793" t="s">
        <v>899</v>
      </c>
      <c r="E82" s="794"/>
      <c r="F82" s="789"/>
      <c r="G82" s="789"/>
      <c r="H82" s="789"/>
      <c r="I82" s="789"/>
      <c r="J82" s="562"/>
      <c r="K82" s="567"/>
    </row>
    <row r="83" spans="2:12" s="1" customFormat="1">
      <c r="B83" s="795" t="s">
        <v>900</v>
      </c>
      <c r="C83" s="812">
        <f>IF(dms_MultiYear_Flag=1,C50,0)</f>
        <v>0</v>
      </c>
      <c r="D83" s="813"/>
      <c r="E83" s="814"/>
      <c r="F83" s="799"/>
      <c r="G83" s="799"/>
      <c r="H83" s="799"/>
      <c r="I83" s="799"/>
      <c r="J83" s="568"/>
      <c r="K83" s="569"/>
    </row>
    <row r="84" spans="2:12" s="1" customFormat="1" ht="15.75" thickBot="1">
      <c r="B84" s="772"/>
      <c r="C84" s="781"/>
      <c r="D84" s="793"/>
      <c r="E84" s="794"/>
      <c r="F84" s="789"/>
      <c r="G84" s="789"/>
      <c r="H84" s="789"/>
      <c r="I84" s="789"/>
      <c r="J84" s="562"/>
      <c r="K84" s="567"/>
    </row>
    <row r="85" spans="2:12" s="1" customFormat="1" ht="28.5" customHeight="1" thickBot="1">
      <c r="B85" s="728" t="s">
        <v>901</v>
      </c>
      <c r="C85" s="729"/>
      <c r="D85" s="729"/>
      <c r="E85" s="729"/>
      <c r="F85" s="784"/>
      <c r="G85" s="784"/>
      <c r="H85" s="784"/>
      <c r="I85" s="784"/>
      <c r="J85" s="560"/>
      <c r="K85" s="561"/>
    </row>
    <row r="86" spans="2:12" s="4" customFormat="1" ht="24.75" customHeight="1" thickBot="1">
      <c r="B86" s="815" t="s">
        <v>902</v>
      </c>
      <c r="C86" s="695" t="str">
        <f>IFERROR(IF(dms_Segment="Transmission",dms_Cal_Year_B4_CRY,CRY),"CRY not present")</f>
        <v>2024</v>
      </c>
      <c r="D86" s="715" t="s">
        <v>903</v>
      </c>
      <c r="E86" s="726" t="s">
        <v>904</v>
      </c>
      <c r="F86" s="727"/>
      <c r="G86" s="727"/>
      <c r="H86" s="727"/>
      <c r="I86" s="727"/>
      <c r="J86" s="536"/>
      <c r="K86" s="537"/>
    </row>
    <row r="87" spans="2:12" s="1" customFormat="1" ht="27" customHeight="1" thickBot="1">
      <c r="B87" s="728" t="s">
        <v>905</v>
      </c>
      <c r="C87" s="729"/>
      <c r="D87" s="729"/>
      <c r="E87" s="729"/>
      <c r="F87" s="784"/>
      <c r="G87" s="784"/>
      <c r="H87" s="784"/>
      <c r="I87" s="784"/>
      <c r="J87" s="560"/>
      <c r="K87" s="561"/>
    </row>
    <row r="88" spans="2:12" s="1" customFormat="1">
      <c r="B88" s="816" t="s">
        <v>906</v>
      </c>
      <c r="C88" s="817"/>
      <c r="D88" s="818"/>
      <c r="E88" s="699" t="s">
        <v>907</v>
      </c>
      <c r="F88" s="819"/>
      <c r="G88" s="819"/>
      <c r="H88" s="819"/>
      <c r="I88" s="819"/>
      <c r="J88" s="574"/>
      <c r="K88" s="575"/>
    </row>
    <row r="89" spans="2:12" s="1" customFormat="1">
      <c r="B89" s="816"/>
      <c r="C89" s="817" t="str">
        <f>IF(dms_Model&lt;&gt;"CA","not a CA","Is a CA")</f>
        <v>not a CA</v>
      </c>
      <c r="D89" s="818"/>
      <c r="E89" s="820" t="s">
        <v>908</v>
      </c>
      <c r="F89" s="819"/>
      <c r="G89" s="819"/>
      <c r="H89" s="819"/>
      <c r="I89" s="819"/>
      <c r="J89" s="574"/>
      <c r="K89" s="575"/>
    </row>
    <row r="90" spans="2:12" s="1" customFormat="1">
      <c r="B90" s="821" t="s">
        <v>909</v>
      </c>
      <c r="C90" s="817" t="str">
        <f>IFERROR(IF(INDEX(dms_060301_Avg_Duration_Sustained_Int_Values,1,1)&lt;&gt;"","yes","no"),"no")</f>
        <v>no</v>
      </c>
      <c r="D90" s="818" t="s">
        <v>910</v>
      </c>
      <c r="E90" s="822" t="s">
        <v>911</v>
      </c>
      <c r="F90" s="819"/>
      <c r="G90" s="819"/>
      <c r="H90" s="819"/>
      <c r="I90" s="819"/>
      <c r="J90" s="574"/>
      <c r="K90" s="575"/>
    </row>
    <row r="91" spans="2:12" s="1" customFormat="1" ht="15.75">
      <c r="B91" s="821"/>
      <c r="C91" s="823" t="str">
        <f>IF(AND(dms_Model="CA",(dms_060301_checkvalue="no")),"error - NR not present","no errors")</f>
        <v>no errors</v>
      </c>
      <c r="D91" s="818"/>
      <c r="E91" s="822" t="s">
        <v>912</v>
      </c>
      <c r="F91" s="819"/>
      <c r="G91" s="819"/>
      <c r="H91" s="819"/>
      <c r="I91" s="819"/>
      <c r="J91" s="574"/>
      <c r="K91" s="575"/>
    </row>
    <row r="92" spans="2:12" s="1" customFormat="1">
      <c r="B92" s="824" t="s">
        <v>913</v>
      </c>
      <c r="C92" s="817" t="str">
        <f>IFERROR(IF(dms_Model="CA",LOOKUP(2,1/(dms_060301_Avg_Duration_Sustained_Int_Values&lt;&gt;""),(ROW(dms_060301_Avg_Duration_Sustained_Int_Values))),"not a CA"),"6.3 not present")</f>
        <v>not a CA</v>
      </c>
      <c r="D92" s="818" t="s">
        <v>914</v>
      </c>
      <c r="E92" s="822" t="s">
        <v>915</v>
      </c>
      <c r="F92" s="819"/>
      <c r="G92" s="819"/>
      <c r="H92" s="819"/>
      <c r="I92" s="819"/>
      <c r="J92" s="574"/>
      <c r="K92" s="575"/>
    </row>
    <row r="93" spans="2:12" s="1" customFormat="1" ht="15.75">
      <c r="B93" s="825" t="s">
        <v>916</v>
      </c>
      <c r="C93" s="826" t="str">
        <f>IFERROR(IF(dms_Model="CA",(dms_060301_LastRow-15),"not a CA"),"error")</f>
        <v>not a CA</v>
      </c>
      <c r="D93" s="827" t="s">
        <v>917</v>
      </c>
      <c r="E93" s="828" t="s">
        <v>918</v>
      </c>
      <c r="F93" s="829"/>
      <c r="G93" s="829"/>
      <c r="H93" s="829"/>
      <c r="I93" s="829"/>
      <c r="J93" s="576"/>
      <c r="K93" s="577"/>
      <c r="L93" s="33"/>
    </row>
    <row r="94" spans="2:12" ht="15.75" thickBot="1">
      <c r="B94" s="830" t="s">
        <v>919</v>
      </c>
      <c r="C94" s="831">
        <f>INDEX(dms_663_List,MATCH(dms_TradingName,dms_TradingName_List))</f>
        <v>5</v>
      </c>
      <c r="D94" s="832" t="s">
        <v>920</v>
      </c>
      <c r="E94" s="822" t="s">
        <v>921</v>
      </c>
      <c r="F94" s="833"/>
      <c r="G94" s="833"/>
      <c r="H94" s="833"/>
      <c r="I94" s="833"/>
      <c r="J94" s="578"/>
      <c r="K94" s="579"/>
    </row>
    <row r="95" spans="2:12" s="1" customFormat="1" ht="21" customHeight="1" thickBot="1">
      <c r="B95" s="728" t="s">
        <v>922</v>
      </c>
      <c r="C95" s="729"/>
      <c r="D95" s="729"/>
      <c r="E95" s="729"/>
      <c r="F95" s="784"/>
      <c r="G95" s="784"/>
      <c r="H95" s="784"/>
      <c r="I95" s="784"/>
      <c r="J95" s="560"/>
      <c r="K95" s="561"/>
    </row>
    <row r="96" spans="2:12" ht="60">
      <c r="B96" s="816" t="s">
        <v>923</v>
      </c>
      <c r="C96" s="834" t="s">
        <v>1188</v>
      </c>
      <c r="D96" s="835"/>
      <c r="E96" s="836" t="s">
        <v>924</v>
      </c>
      <c r="F96" s="837"/>
      <c r="G96" s="837"/>
      <c r="H96" s="833"/>
      <c r="I96" s="833"/>
      <c r="J96" s="578"/>
      <c r="K96" s="579"/>
    </row>
    <row r="97" spans="2:12">
      <c r="B97" s="824" t="s">
        <v>925</v>
      </c>
      <c r="C97" s="834" t="str">
        <f>IFERROR(IF(dms_LeapYear,"yes"),"no")</f>
        <v>no</v>
      </c>
      <c r="D97" s="835"/>
      <c r="E97" s="838"/>
      <c r="F97" s="837"/>
      <c r="G97" s="837"/>
      <c r="H97" s="833"/>
      <c r="I97" s="833"/>
      <c r="J97" s="578"/>
      <c r="K97" s="579"/>
    </row>
    <row r="98" spans="2:12" ht="30">
      <c r="B98" s="839" t="s">
        <v>926</v>
      </c>
      <c r="C98" s="840" t="str">
        <f xml:space="preserve">
IFERROR(IF(MONTH(DATE(YEAR(dms_LeapYear),2,29))=2,"is a leap year","not a leap year"),
"dms_LeapYear not present")</f>
        <v>dms_LeapYear not present</v>
      </c>
      <c r="D98" s="832" t="s">
        <v>927</v>
      </c>
      <c r="E98" s="832" t="s">
        <v>928</v>
      </c>
      <c r="F98" s="833"/>
      <c r="G98" s="833"/>
      <c r="H98" s="833"/>
      <c r="I98" s="833"/>
      <c r="J98" s="578"/>
      <c r="K98" s="579"/>
    </row>
    <row r="99" spans="2:12">
      <c r="B99" s="839" t="s">
        <v>929</v>
      </c>
      <c r="C99" s="841">
        <f>IF(dms_LeapYear_Result="is a leap year",1827,1826)</f>
        <v>1826</v>
      </c>
      <c r="D99" s="832" t="s">
        <v>930</v>
      </c>
      <c r="E99" s="842" t="s">
        <v>931</v>
      </c>
      <c r="F99" s="833"/>
      <c r="G99" s="833"/>
      <c r="H99" s="693" t="s">
        <v>932</v>
      </c>
      <c r="I99" s="833"/>
      <c r="J99" s="578"/>
      <c r="K99" s="579"/>
    </row>
    <row r="100" spans="2:12">
      <c r="B100" s="839" t="s">
        <v>933</v>
      </c>
      <c r="C100" s="841">
        <f>IF(dms_LeapYear_Result="is a leap year",366,365)</f>
        <v>365</v>
      </c>
      <c r="D100" s="832" t="s">
        <v>934</v>
      </c>
      <c r="E100" s="842" t="s">
        <v>935</v>
      </c>
      <c r="F100" s="833"/>
      <c r="G100" s="833"/>
      <c r="H100" s="693" t="s">
        <v>936</v>
      </c>
      <c r="I100" s="833"/>
      <c r="J100" s="578"/>
      <c r="K100" s="579"/>
    </row>
    <row r="101" spans="2:12" ht="16.5" thickBot="1">
      <c r="B101" s="843" t="s">
        <v>937</v>
      </c>
      <c r="C101" s="844">
        <f>IF(dms_Model="ARR",dms_060701_ARR_MaxRows,IF(dms_Model="Reset",dms_060701_Reset_MaxRows,"not a relevant RIN type"))</f>
        <v>365</v>
      </c>
      <c r="D101" s="845" t="s">
        <v>938</v>
      </c>
      <c r="E101" s="846" t="s">
        <v>939</v>
      </c>
      <c r="F101" s="847"/>
      <c r="G101" s="847"/>
      <c r="H101" s="847"/>
      <c r="I101" s="847"/>
      <c r="J101" s="580"/>
      <c r="K101" s="581"/>
    </row>
    <row r="102" spans="2:12" ht="24" customHeight="1">
      <c r="B102" s="848" t="s">
        <v>940</v>
      </c>
      <c r="C102" s="849" t="str">
        <f>IF(dms_FifthFeeder_flag_NSP="NO","This NSP has only 4 feeder categories","This NSP has 5 feeder categories")</f>
        <v>This NSP has only 4 feeder categories</v>
      </c>
      <c r="D102" s="850"/>
      <c r="E102" s="851"/>
      <c r="F102" s="852"/>
      <c r="G102" s="852"/>
      <c r="H102" s="852"/>
      <c r="I102" s="852"/>
      <c r="J102" s="582"/>
      <c r="K102" s="583"/>
    </row>
    <row r="103" spans="2:12" ht="15.75">
      <c r="B103" s="824" t="s">
        <v>941</v>
      </c>
      <c r="C103" s="853">
        <f>IF(dms_FifthFeeder_flag_NSP="NO",10,12)</f>
        <v>10</v>
      </c>
      <c r="D103" s="832" t="s">
        <v>942</v>
      </c>
      <c r="E103" s="822" t="s">
        <v>943</v>
      </c>
      <c r="F103" s="833"/>
      <c r="G103" s="833"/>
      <c r="H103" s="833"/>
      <c r="I103" s="833"/>
      <c r="J103" s="578"/>
      <c r="K103" s="579"/>
    </row>
    <row r="104" spans="2:12">
      <c r="B104" s="825" t="s">
        <v>944</v>
      </c>
      <c r="C104" s="854">
        <f>IF(dms_Model="ARR",15,9)</f>
        <v>15</v>
      </c>
      <c r="D104" s="855" t="s">
        <v>945</v>
      </c>
      <c r="E104" s="856" t="s">
        <v>946</v>
      </c>
      <c r="F104" s="857"/>
      <c r="G104" s="857"/>
      <c r="H104" s="857"/>
      <c r="I104" s="857"/>
      <c r="J104" s="584"/>
      <c r="K104" s="585"/>
    </row>
    <row r="105" spans="2:12">
      <c r="B105" s="816" t="s">
        <v>947</v>
      </c>
      <c r="C105" s="858"/>
      <c r="D105" s="859"/>
      <c r="E105" s="699" t="s">
        <v>1189</v>
      </c>
      <c r="F105" s="833"/>
      <c r="G105" s="833"/>
      <c r="H105" s="833"/>
      <c r="I105" s="833"/>
      <c r="J105" s="578"/>
      <c r="K105" s="579"/>
    </row>
    <row r="106" spans="2:12">
      <c r="B106" s="824" t="s">
        <v>948</v>
      </c>
      <c r="C106" s="858" t="str">
        <f>IF(dms_SingleYearModel="yes",(CONCATENATE(IF(LEN(CRY)=4,"1-Jan-","1-Jul-"),LEFT(CRY,4))),(CONCATENATE(IF(LEN(PRCP_y4)=4,"1-Jan-","1-Jul-"),LEFT(PRCP_y4,4))))</f>
        <v>1-Jul-2024</v>
      </c>
      <c r="D106" s="832" t="s">
        <v>440</v>
      </c>
      <c r="E106" s="820" t="s">
        <v>949</v>
      </c>
      <c r="F106" s="833"/>
      <c r="G106" s="833"/>
      <c r="H106" s="833"/>
      <c r="I106" s="833"/>
      <c r="J106" s="578"/>
      <c r="K106" s="579"/>
    </row>
    <row r="107" spans="2:12" ht="15.75" thickBot="1">
      <c r="B107" s="860" t="s">
        <v>950</v>
      </c>
      <c r="C107" s="861">
        <f>DATEVALUE(dms_060701_StartDateTxt)</f>
        <v>45474</v>
      </c>
      <c r="D107" s="862" t="s">
        <v>951</v>
      </c>
      <c r="E107" s="863" t="s">
        <v>952</v>
      </c>
      <c r="F107" s="864"/>
      <c r="G107" s="864"/>
      <c r="H107" s="864"/>
      <c r="I107" s="864"/>
      <c r="J107" s="586"/>
      <c r="K107" s="587"/>
      <c r="L107" s="33"/>
    </row>
    <row r="108" spans="2:12" s="1" customFormat="1" ht="16.5" thickBot="1">
      <c r="B108" s="728" t="s">
        <v>953</v>
      </c>
      <c r="C108" s="729"/>
      <c r="D108" s="729"/>
      <c r="E108" s="729"/>
      <c r="F108" s="784"/>
      <c r="G108" s="784"/>
      <c r="H108" s="784"/>
      <c r="I108" s="784"/>
      <c r="J108" s="560"/>
      <c r="K108" s="561"/>
    </row>
    <row r="109" spans="2:12" ht="60">
      <c r="B109" s="865" t="s">
        <v>954</v>
      </c>
      <c r="C109" s="834" t="s">
        <v>955</v>
      </c>
      <c r="D109" s="699"/>
      <c r="E109" s="699" t="s">
        <v>1190</v>
      </c>
      <c r="F109" s="866"/>
      <c r="G109" s="866"/>
      <c r="H109" s="866"/>
      <c r="I109" s="866"/>
      <c r="J109" s="588"/>
      <c r="K109" s="589"/>
      <c r="L109" s="33"/>
    </row>
    <row r="110" spans="2:12">
      <c r="B110" s="816" t="s">
        <v>956</v>
      </c>
      <c r="C110" s="834" t="s">
        <v>756</v>
      </c>
      <c r="D110" s="867"/>
      <c r="E110" s="822" t="s">
        <v>957</v>
      </c>
      <c r="F110" s="833"/>
      <c r="G110" s="833"/>
      <c r="H110" s="833"/>
      <c r="I110" s="833"/>
      <c r="J110" s="578"/>
      <c r="K110" s="579"/>
      <c r="L110" s="33"/>
    </row>
    <row r="111" spans="2:12">
      <c r="B111" s="824" t="s">
        <v>958</v>
      </c>
      <c r="C111" s="858">
        <v>12</v>
      </c>
      <c r="D111" s="832" t="s">
        <v>959</v>
      </c>
      <c r="E111" s="822" t="s">
        <v>960</v>
      </c>
      <c r="F111" s="833"/>
      <c r="G111" s="833"/>
      <c r="H111" s="833"/>
      <c r="I111" s="833"/>
      <c r="J111" s="578"/>
      <c r="K111" s="579"/>
    </row>
    <row r="112" spans="2:12">
      <c r="B112" s="824" t="s">
        <v>961</v>
      </c>
      <c r="C112" s="868" t="s">
        <v>962</v>
      </c>
      <c r="D112" s="832" t="s">
        <v>963</v>
      </c>
      <c r="E112" s="842" t="s">
        <v>964</v>
      </c>
      <c r="F112" s="833"/>
      <c r="G112" s="833"/>
      <c r="H112" s="833"/>
      <c r="I112" s="833"/>
      <c r="J112" s="578"/>
      <c r="K112" s="579"/>
    </row>
    <row r="113" spans="2:11" ht="15.75" thickBot="1">
      <c r="B113" s="860" t="s">
        <v>965</v>
      </c>
      <c r="C113" s="869">
        <f>IFERROR(IF(dms_Model="ARR",(MAX(0,dms_0608_LastRow-dms_0608_OffsetRows)),"not an ARR"),"0")</f>
        <v>0</v>
      </c>
      <c r="D113" s="862" t="s">
        <v>966</v>
      </c>
      <c r="E113" s="870" t="s">
        <v>967</v>
      </c>
      <c r="F113" s="871"/>
      <c r="G113" s="864"/>
      <c r="H113" s="864"/>
      <c r="I113" s="864"/>
      <c r="J113" s="586"/>
      <c r="K113" s="587"/>
    </row>
    <row r="114" spans="2:11" s="1" customFormat="1" ht="16.5" thickBot="1">
      <c r="B114" s="728" t="s">
        <v>968</v>
      </c>
      <c r="C114" s="729"/>
      <c r="D114" s="729"/>
      <c r="E114" s="729"/>
      <c r="F114" s="784"/>
      <c r="G114" s="784"/>
      <c r="H114" s="784"/>
      <c r="I114" s="784"/>
      <c r="J114" s="560"/>
      <c r="K114" s="561"/>
    </row>
    <row r="115" spans="2:11" ht="15.75">
      <c r="B115" s="816" t="s">
        <v>969</v>
      </c>
      <c r="C115" s="853"/>
      <c r="D115" s="832"/>
      <c r="E115" s="822"/>
      <c r="F115" s="872"/>
      <c r="G115" s="833"/>
      <c r="H115" s="833"/>
      <c r="I115" s="833"/>
      <c r="J115" s="578"/>
      <c r="K115" s="579"/>
    </row>
    <row r="116" spans="2:11" ht="15.75">
      <c r="B116" s="824" t="s">
        <v>970</v>
      </c>
      <c r="C116" s="858" t="e">
        <f ca="1">LEFT(PRCP_y3,4)</f>
        <v>#REF!</v>
      </c>
      <c r="D116" s="832" t="s">
        <v>971</v>
      </c>
      <c r="E116" s="873" t="s">
        <v>972</v>
      </c>
      <c r="F116" s="833"/>
      <c r="G116" s="833"/>
      <c r="H116" s="833"/>
      <c r="I116" s="833"/>
      <c r="J116" s="578"/>
      <c r="K116" s="579"/>
    </row>
    <row r="117" spans="2:11" ht="16.5" thickBot="1">
      <c r="B117" s="874"/>
      <c r="C117" s="875"/>
      <c r="D117" s="876"/>
      <c r="E117" s="877"/>
      <c r="F117" s="878"/>
      <c r="G117" s="878"/>
      <c r="H117" s="878"/>
      <c r="I117" s="878"/>
      <c r="J117" s="590"/>
      <c r="K117" s="591"/>
    </row>
    <row r="118" spans="2:11" s="1" customFormat="1" ht="16.5" thickBot="1">
      <c r="B118" s="728" t="s">
        <v>973</v>
      </c>
      <c r="C118" s="729"/>
      <c r="D118" s="729"/>
      <c r="E118" s="729"/>
      <c r="F118" s="784"/>
      <c r="G118" s="784"/>
      <c r="H118" s="784"/>
      <c r="I118" s="784"/>
      <c r="J118" s="560"/>
      <c r="K118" s="561"/>
    </row>
    <row r="119" spans="2:11" s="1" customFormat="1" ht="14.25" customHeight="1">
      <c r="B119" s="879" t="s">
        <v>974</v>
      </c>
      <c r="C119" s="880" t="str">
        <f>INDEX(dms_DeterminationRef_List,MATCH(dms_TradingName,dms_TradingName_List))</f>
        <v>transmission determination</v>
      </c>
      <c r="D119" s="881" t="s">
        <v>975</v>
      </c>
      <c r="E119" s="882"/>
      <c r="F119" s="883"/>
      <c r="G119" s="883"/>
      <c r="H119" s="883"/>
      <c r="I119" s="883"/>
      <c r="J119" s="592"/>
      <c r="K119" s="593"/>
    </row>
    <row r="120" spans="2:11" s="1" customFormat="1" ht="14.25" customHeight="1">
      <c r="B120" s="884" t="s">
        <v>976</v>
      </c>
      <c r="C120" s="885" t="str">
        <f>INDEX(dms_Public_Lighting_List,MATCH(dms_TradingName,dms_TradingName_List))</f>
        <v>NO</v>
      </c>
      <c r="D120" s="886" t="s">
        <v>977</v>
      </c>
      <c r="E120" s="887" t="s">
        <v>978</v>
      </c>
      <c r="F120" s="888"/>
      <c r="G120" s="888"/>
      <c r="H120" s="888"/>
      <c r="I120" s="888"/>
      <c r="J120" s="594"/>
      <c r="K120" s="595"/>
    </row>
    <row r="121" spans="2:11" ht="15" customHeight="1">
      <c r="B121" s="889" t="s">
        <v>979</v>
      </c>
      <c r="C121" s="685" t="str">
        <f>INDEX(dms_CBD_flag,MATCH(dms_TradingName,dms_TradingName_List))</f>
        <v>NO</v>
      </c>
      <c r="D121" s="686" t="s">
        <v>980</v>
      </c>
      <c r="E121" s="686"/>
      <c r="F121" s="890"/>
      <c r="G121" s="890"/>
      <c r="H121" s="890"/>
      <c r="I121" s="890"/>
      <c r="J121" s="596"/>
      <c r="K121" s="597"/>
    </row>
    <row r="122" spans="2:11" ht="15" customHeight="1">
      <c r="B122" s="891" t="s">
        <v>981</v>
      </c>
      <c r="C122" s="694" t="str">
        <f>INDEX(dms_Urban_flag,MATCH(dms_TradingName,dms_TradingName_List))</f>
        <v>NO</v>
      </c>
      <c r="D122" s="691" t="s">
        <v>982</v>
      </c>
      <c r="E122" s="691"/>
      <c r="F122" s="698"/>
      <c r="G122" s="698"/>
      <c r="H122" s="698"/>
      <c r="I122" s="698"/>
      <c r="J122" s="521"/>
      <c r="K122" s="598"/>
    </row>
    <row r="123" spans="2:11" ht="15" customHeight="1">
      <c r="B123" s="891" t="s">
        <v>983</v>
      </c>
      <c r="C123" s="694" t="str">
        <f>INDEX(dms_ShortRural_flag,MATCH(dms_TradingName,dms_TradingName_List))</f>
        <v>NO</v>
      </c>
      <c r="D123" s="691" t="s">
        <v>984</v>
      </c>
      <c r="E123" s="691"/>
      <c r="F123" s="698"/>
      <c r="G123" s="698"/>
      <c r="H123" s="698"/>
      <c r="I123" s="698"/>
      <c r="J123" s="521"/>
      <c r="K123" s="598"/>
    </row>
    <row r="124" spans="2:11" ht="15" customHeight="1">
      <c r="B124" s="892" t="s">
        <v>985</v>
      </c>
      <c r="C124" s="893" t="str">
        <f>INDEX(dms_LongRural_flag,MATCH(dms_TradingName,dms_TradingName_List))</f>
        <v>NO</v>
      </c>
      <c r="D124" s="894" t="s">
        <v>986</v>
      </c>
      <c r="E124" s="894"/>
      <c r="F124" s="895"/>
      <c r="G124" s="895"/>
      <c r="H124" s="895"/>
      <c r="I124" s="895"/>
      <c r="J124" s="599"/>
      <c r="K124" s="600"/>
    </row>
    <row r="125" spans="2:11" ht="15.75" thickBot="1">
      <c r="B125" s="896" t="s">
        <v>987</v>
      </c>
      <c r="C125" s="897" t="str">
        <f>INDEX(dms_FeederType_5_flag,MATCH(dms_TradingName,dms_TradingName_List))</f>
        <v>NO</v>
      </c>
      <c r="D125" s="862" t="s">
        <v>988</v>
      </c>
      <c r="E125" s="870" t="s">
        <v>989</v>
      </c>
      <c r="F125" s="898"/>
      <c r="G125" s="898"/>
      <c r="H125" s="898"/>
      <c r="I125" s="898"/>
      <c r="J125" s="601"/>
      <c r="K125" s="602"/>
    </row>
    <row r="126" spans="2:11" ht="16.5" thickBot="1">
      <c r="B126" s="874"/>
      <c r="C126" s="875"/>
      <c r="D126" s="876"/>
      <c r="E126" s="877"/>
      <c r="F126" s="878"/>
      <c r="G126" s="878"/>
      <c r="H126" s="878"/>
      <c r="I126" s="878"/>
      <c r="J126" s="590"/>
      <c r="K126" s="591"/>
    </row>
    <row r="127" spans="2:11" s="1" customFormat="1" ht="16.5" thickBot="1">
      <c r="B127" s="899" t="s">
        <v>990</v>
      </c>
      <c r="C127" s="900"/>
      <c r="D127" s="900"/>
      <c r="E127" s="900"/>
      <c r="F127" s="901"/>
      <c r="G127" s="901"/>
      <c r="H127" s="901"/>
      <c r="I127" s="901"/>
      <c r="J127" s="603"/>
      <c r="K127" s="604"/>
    </row>
    <row r="128" spans="2:11" ht="15.75" thickBot="1">
      <c r="B128" s="902" t="s">
        <v>991</v>
      </c>
      <c r="C128" s="903" t="s">
        <v>546</v>
      </c>
      <c r="D128" s="904" t="s">
        <v>992</v>
      </c>
      <c r="E128" s="905" t="s">
        <v>993</v>
      </c>
      <c r="F128" s="906"/>
      <c r="G128" s="906"/>
      <c r="H128" s="906"/>
      <c r="I128" s="906"/>
      <c r="J128" s="605"/>
      <c r="K128" s="606"/>
    </row>
    <row r="129" spans="2:11" s="1" customFormat="1" ht="16.5" thickBot="1">
      <c r="B129" s="630"/>
      <c r="C129" s="630"/>
      <c r="D129" s="630"/>
      <c r="E129" s="630"/>
      <c r="F129" s="630"/>
      <c r="G129" s="630"/>
      <c r="H129" s="630"/>
      <c r="I129" s="630"/>
    </row>
    <row r="130" spans="2:11" s="1" customFormat="1" ht="16.5" thickBot="1">
      <c r="B130" s="899" t="s">
        <v>994</v>
      </c>
      <c r="C130" s="900"/>
      <c r="D130" s="900"/>
      <c r="E130" s="900"/>
      <c r="F130" s="901"/>
      <c r="G130" s="901"/>
      <c r="H130" s="901"/>
      <c r="I130" s="901"/>
      <c r="J130" s="603"/>
      <c r="K130" s="604"/>
    </row>
    <row r="131" spans="2:11">
      <c r="B131" s="907" t="s">
        <v>995</v>
      </c>
      <c r="C131" s="908" t="s">
        <v>546</v>
      </c>
      <c r="D131" s="691" t="s">
        <v>996</v>
      </c>
      <c r="E131" s="909"/>
      <c r="F131" s="697"/>
      <c r="G131" s="697"/>
      <c r="H131" s="697"/>
      <c r="I131" s="697"/>
      <c r="J131" s="519"/>
      <c r="K131" s="520"/>
    </row>
    <row r="132" spans="2:11" s="1" customFormat="1" ht="15.75">
      <c r="B132" s="630"/>
      <c r="C132" s="630"/>
      <c r="D132" s="630"/>
      <c r="E132" s="630"/>
      <c r="F132" s="630"/>
      <c r="G132" s="630"/>
      <c r="H132" s="630"/>
      <c r="I132" s="630"/>
    </row>
    <row r="133" spans="2:11" ht="16.5" thickBot="1">
      <c r="B133" s="874"/>
      <c r="C133" s="875"/>
      <c r="D133" s="876"/>
      <c r="E133" s="877"/>
      <c r="F133" s="878"/>
      <c r="G133" s="878"/>
      <c r="H133" s="878"/>
      <c r="I133" s="878"/>
      <c r="J133" s="590"/>
      <c r="K133" s="591"/>
    </row>
    <row r="134" spans="2:11" ht="16.5" thickBot="1">
      <c r="B134" s="910" t="s">
        <v>997</v>
      </c>
      <c r="C134" s="911"/>
      <c r="D134" s="911"/>
      <c r="E134" s="911"/>
      <c r="F134" s="912"/>
      <c r="G134" s="912"/>
      <c r="H134" s="912"/>
      <c r="I134" s="912"/>
      <c r="J134" s="607"/>
      <c r="K134" s="608"/>
    </row>
    <row r="135" spans="2:11" ht="15.75">
      <c r="B135" s="913" t="s">
        <v>998</v>
      </c>
      <c r="C135" s="908" t="s">
        <v>546</v>
      </c>
      <c r="D135" s="914" t="s">
        <v>999</v>
      </c>
      <c r="E135" s="915"/>
      <c r="F135" s="916"/>
      <c r="G135" s="916"/>
      <c r="H135" s="916"/>
      <c r="I135" s="916"/>
      <c r="J135" s="609"/>
      <c r="K135" s="610"/>
    </row>
    <row r="136" spans="2:11" ht="15.75">
      <c r="B136" s="917"/>
      <c r="C136" s="918" t="s">
        <v>1000</v>
      </c>
      <c r="D136" s="919" t="s">
        <v>1001</v>
      </c>
      <c r="E136" s="920"/>
      <c r="F136" s="921"/>
      <c r="G136" s="921"/>
      <c r="H136" s="921"/>
      <c r="I136" s="921"/>
      <c r="J136" s="611"/>
      <c r="K136" s="612"/>
    </row>
    <row r="137" spans="2:11" ht="15.75">
      <c r="B137" s="917"/>
      <c r="C137" s="922">
        <v>2013</v>
      </c>
      <c r="D137" s="923" t="s">
        <v>1002</v>
      </c>
      <c r="E137" s="924"/>
      <c r="F137" s="925"/>
      <c r="G137" s="925"/>
      <c r="H137" s="925"/>
      <c r="I137" s="925"/>
      <c r="J137" s="613"/>
      <c r="K137" s="614"/>
    </row>
    <row r="138" spans="2:11" ht="15.75">
      <c r="B138" s="917"/>
      <c r="C138" s="922">
        <v>2014</v>
      </c>
      <c r="D138" s="923" t="s">
        <v>1003</v>
      </c>
      <c r="E138" s="924"/>
      <c r="F138" s="925"/>
      <c r="G138" s="925"/>
      <c r="H138" s="925"/>
      <c r="I138" s="925"/>
      <c r="J138" s="613"/>
      <c r="K138" s="614"/>
    </row>
    <row r="139" spans="2:11" ht="15.75">
      <c r="B139" s="917"/>
      <c r="C139" s="922">
        <v>2015</v>
      </c>
      <c r="D139" s="923" t="s">
        <v>1004</v>
      </c>
      <c r="E139" s="924"/>
      <c r="F139" s="925"/>
      <c r="G139" s="925"/>
      <c r="H139" s="925"/>
      <c r="I139" s="925"/>
      <c r="J139" s="613"/>
      <c r="K139" s="614"/>
    </row>
    <row r="140" spans="2:11" ht="15.75">
      <c r="B140" s="917"/>
      <c r="C140" s="922">
        <v>2016</v>
      </c>
      <c r="D140" s="923" t="s">
        <v>1005</v>
      </c>
      <c r="E140" s="924"/>
      <c r="F140" s="925"/>
      <c r="G140" s="925"/>
      <c r="H140" s="925"/>
      <c r="I140" s="925"/>
      <c r="J140" s="613"/>
      <c r="K140" s="614"/>
    </row>
    <row r="141" spans="2:11" ht="15.75">
      <c r="B141" s="926"/>
      <c r="C141" s="927">
        <v>2017</v>
      </c>
      <c r="D141" s="928" t="s">
        <v>1006</v>
      </c>
      <c r="E141" s="929"/>
      <c r="F141" s="930"/>
      <c r="G141" s="930"/>
      <c r="H141" s="930"/>
      <c r="I141" s="930"/>
      <c r="J141" s="615"/>
      <c r="K141" s="616"/>
    </row>
    <row r="142" spans="2:11" ht="15.75">
      <c r="B142" s="926"/>
      <c r="C142" s="927">
        <v>2018</v>
      </c>
      <c r="D142" s="928" t="s">
        <v>1007</v>
      </c>
      <c r="E142" s="929"/>
      <c r="F142" s="930"/>
      <c r="G142" s="930"/>
      <c r="H142" s="930"/>
      <c r="I142" s="930"/>
      <c r="J142" s="615"/>
      <c r="K142" s="616"/>
    </row>
    <row r="143" spans="2:11" ht="15.75">
      <c r="B143" s="926"/>
      <c r="C143" s="927">
        <v>2019</v>
      </c>
      <c r="D143" s="928" t="s">
        <v>1008</v>
      </c>
      <c r="E143" s="929"/>
      <c r="F143" s="930"/>
      <c r="G143" s="930"/>
      <c r="H143" s="930"/>
      <c r="I143" s="930"/>
      <c r="J143" s="615"/>
      <c r="K143" s="616"/>
    </row>
    <row r="144" spans="2:11" ht="15.75">
      <c r="B144" s="926"/>
      <c r="C144" s="927">
        <v>2020</v>
      </c>
      <c r="D144" s="928" t="s">
        <v>1009</v>
      </c>
      <c r="E144" s="929"/>
      <c r="F144" s="930"/>
      <c r="G144" s="930"/>
      <c r="H144" s="930"/>
      <c r="I144" s="930"/>
      <c r="J144" s="615"/>
      <c r="K144" s="616"/>
    </row>
    <row r="145" spans="2:11" ht="16.5" thickBot="1">
      <c r="B145" s="931"/>
      <c r="C145" s="932">
        <v>2021</v>
      </c>
      <c r="D145" s="933" t="s">
        <v>1010</v>
      </c>
      <c r="E145" s="934"/>
      <c r="F145" s="935"/>
      <c r="G145" s="935"/>
      <c r="H145" s="935"/>
      <c r="I145" s="935"/>
      <c r="J145" s="617"/>
      <c r="K145" s="618"/>
    </row>
    <row r="146" spans="2:11">
      <c r="B146" s="1"/>
      <c r="C146" s="1"/>
    </row>
    <row r="147" spans="2:11">
      <c r="B147" s="1"/>
      <c r="C147" s="1"/>
    </row>
    <row r="148" spans="2:11">
      <c r="B148" s="1"/>
      <c r="C148" s="1"/>
      <c r="D148" s="1"/>
      <c r="E148" s="1"/>
      <c r="F148" s="1"/>
      <c r="G148" s="1"/>
      <c r="H148" s="1"/>
      <c r="I148" s="1"/>
    </row>
    <row r="149" spans="2:11">
      <c r="B149" s="1"/>
      <c r="C149" s="1"/>
      <c r="D149" s="1"/>
      <c r="E149" s="1"/>
      <c r="F149" s="1"/>
      <c r="G149" s="1"/>
      <c r="H149" s="1"/>
      <c r="I149" s="1"/>
    </row>
    <row r="150" spans="2:11">
      <c r="B150" s="1"/>
      <c r="C150" s="1"/>
      <c r="D150" s="1"/>
      <c r="E150" s="1"/>
      <c r="F150" s="1"/>
      <c r="G150" s="1"/>
      <c r="H150" s="1"/>
      <c r="I150" s="1"/>
    </row>
    <row r="151" spans="2:11">
      <c r="B151" s="1"/>
      <c r="C151" s="1"/>
      <c r="D151" s="1"/>
      <c r="E151" s="1"/>
      <c r="F151" s="1"/>
      <c r="G151" s="1"/>
      <c r="H151" s="1"/>
      <c r="I151" s="1"/>
    </row>
    <row r="152" spans="2:11">
      <c r="B152" s="1"/>
      <c r="C152" s="1"/>
      <c r="D152" s="1"/>
      <c r="E152" s="1"/>
      <c r="F152" s="1"/>
      <c r="G152" s="1"/>
      <c r="H152" s="1"/>
      <c r="I152" s="1"/>
    </row>
  </sheetData>
  <dataConsolidate/>
  <mergeCells count="13">
    <mergeCell ref="A12:A16"/>
    <mergeCell ref="E13:I13"/>
    <mergeCell ref="C15:E15"/>
    <mergeCell ref="A19:A26"/>
    <mergeCell ref="A27:A32"/>
    <mergeCell ref="B72:B74"/>
    <mergeCell ref="BQ33:CL33"/>
    <mergeCell ref="AL34:BG34"/>
    <mergeCell ref="BQ34:CL34"/>
    <mergeCell ref="A35:A60"/>
    <mergeCell ref="AL35:BG35"/>
    <mergeCell ref="BQ35:CL35"/>
    <mergeCell ref="AL33:BG33"/>
  </mergeCells>
  <conditionalFormatting sqref="B85">
    <cfRule type="expression" dxfId="12" priority="10">
      <formula>dms_Model="EB"</formula>
    </cfRule>
  </conditionalFormatting>
  <conditionalFormatting sqref="B87">
    <cfRule type="expression" dxfId="11" priority="11">
      <formula>dms_Model="CA"</formula>
    </cfRule>
  </conditionalFormatting>
  <conditionalFormatting sqref="B95">
    <cfRule type="expression" dxfId="10" priority="8">
      <formula>IF(OR(dms_Model="ARR",dms_Model="Reset"),"True")</formula>
    </cfRule>
  </conditionalFormatting>
  <conditionalFormatting sqref="B108">
    <cfRule type="expression" dxfId="9" priority="9">
      <formula>dms_Model="ARR"</formula>
    </cfRule>
  </conditionalFormatting>
  <conditionalFormatting sqref="B114">
    <cfRule type="expression" dxfId="8" priority="3">
      <formula>AND(dms_Model="Reset",dms_Segment="Transmission")</formula>
    </cfRule>
  </conditionalFormatting>
  <conditionalFormatting sqref="C24">
    <cfRule type="expression" dxfId="7" priority="13">
      <formula>SUM(dms_SingleYear_Model)&gt;0</formula>
    </cfRule>
  </conditionalFormatting>
  <conditionalFormatting sqref="C62">
    <cfRule type="cellIs" dxfId="6" priority="4" operator="equal">
      <formula>"YES"</formula>
    </cfRule>
  </conditionalFormatting>
  <conditionalFormatting sqref="C64">
    <cfRule type="expression" dxfId="5" priority="12">
      <formula>dms_MultiYear_Flag=1</formula>
    </cfRule>
  </conditionalFormatting>
  <conditionalFormatting sqref="C76">
    <cfRule type="cellIs" dxfId="4" priority="1" operator="greaterThan">
      <formula>0</formula>
    </cfRule>
  </conditionalFormatting>
  <conditionalFormatting sqref="C80 C83">
    <cfRule type="cellIs" dxfId="3" priority="2" operator="greaterThan">
      <formula>0</formula>
    </cfRule>
  </conditionalFormatting>
  <conditionalFormatting sqref="C93">
    <cfRule type="cellIs" dxfId="1" priority="7" operator="equal">
      <formula>"error"</formula>
    </cfRule>
  </conditionalFormatting>
  <conditionalFormatting sqref="C131 C135">
    <cfRule type="cellIs" dxfId="0" priority="5" operator="equal">
      <formula>"YES"</formula>
    </cfRule>
  </conditionalFormatting>
  <dataValidations count="9">
    <dataValidation type="list" allowBlank="1" showInputMessage="1" showErrorMessage="1" sqref="C12" xr:uid="{3BB48220-DF7A-48B9-9DA7-7E768CA16645}">
      <formula1>dms_SourceList</formula1>
    </dataValidation>
    <dataValidation type="list" allowBlank="1" showInputMessage="1" showErrorMessage="1" sqref="C18 C62" xr:uid="{5E9708DB-CEFD-4CE8-81CB-27861838A6C8}">
      <formula1>"Yes, No"</formula1>
    </dataValidation>
    <dataValidation type="list" allowBlank="1" showInputMessage="1" showErrorMessage="1" sqref="C25" xr:uid="{04EAD061-308F-40D3-BD19-492D94B5E884}">
      <formula1>"Public, Confidential"</formula1>
    </dataValidation>
    <dataValidation type="list" allowBlank="1" showInputMessage="1" showErrorMessage="1" sqref="C23" xr:uid="{D8C8B8DA-21E4-45F7-80F6-33CF7DA31468}">
      <formula1>"Financial, Calendar, Other"</formula1>
    </dataValidation>
    <dataValidation type="list" allowBlank="1" showInputMessage="1" showErrorMessage="1" sqref="C13" xr:uid="{1607FC3E-D1BE-4B09-B9EB-959EA4C4F715}">
      <formula1>dms_DataQuality_List</formula1>
    </dataValidation>
    <dataValidation type="list" allowBlank="1" showInputMessage="1" showErrorMessage="1" promptTitle="Model" prompt="Make sure corresponding Source type is correctly selected !!!_x000a__x000a_eg: ABC=Reporting, Reset=Regulatory proposal  etc" sqref="C11" xr:uid="{2D57183A-BCE4-45E4-9688-668933CDB7D2}">
      <formula1>dms_Model_List</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4" xr:uid="{A2723068-1777-463A-9644-77DC350A7580}"/>
    <dataValidation type="list" allowBlank="1" showInputMessage="1" showErrorMessage="1" sqref="C128 C135 C131" xr:uid="{9C0F6CAB-6E22-4CDE-9C95-18495FE3B274}">
      <formula1>"YES, NO"</formula1>
    </dataValidation>
    <dataValidation type="list" allowBlank="1" showInputMessage="1" showErrorMessage="1" sqref="C14" xr:uid="{470A5E52-045F-40A8-8D82-27331732A3F9}">
      <formula1>dms_Confid_status_List</formula1>
    </dataValidation>
  </dataValidations>
  <pageMargins left="0.25" right="0.25"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6" operator="containsText" id="{12CE55BF-8AF6-4389-867C-CD124255BE30}">
            <xm:f>NOT(ISERROR(SEARCH("error - NR not present",C91)))</xm:f>
            <xm:f>"error - NR not present"</xm:f>
            <x14:dxf>
              <font>
                <color rgb="FF9C0006"/>
              </font>
              <fill>
                <patternFill>
                  <bgColor rgb="FFFFC7CE"/>
                </patternFill>
              </fill>
            </x14:dxf>
          </x14:cfRule>
          <xm:sqref>C91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680</vt:i4>
      </vt:variant>
    </vt:vector>
  </HeadingPairs>
  <TitlesOfParts>
    <vt:vector size="712" baseType="lpstr">
      <vt:lpstr>CONTENTS</vt:lpstr>
      <vt:lpstr>Business &amp; other details</vt:lpstr>
      <vt:lpstr>Assurance requirements by table</vt:lpstr>
      <vt:lpstr>2.1 Expenditure summary</vt:lpstr>
      <vt:lpstr>2.2 Repex</vt:lpstr>
      <vt:lpstr>2.3c Material projects</vt:lpstr>
      <vt:lpstr>2.5 Connections</vt:lpstr>
      <vt:lpstr>2.6 Non-network</vt:lpstr>
      <vt:lpstr>2.7 Vegetation management</vt:lpstr>
      <vt:lpstr>2.8 Maintenance</vt:lpstr>
      <vt:lpstr>2.10 Overheads</vt:lpstr>
      <vt:lpstr>5.2 Asset Age Profile</vt:lpstr>
      <vt:lpstr>3.1 Revenue</vt:lpstr>
      <vt:lpstr>3.2.3 Provisions</vt:lpstr>
      <vt:lpstr>3.5 Physical assets</vt:lpstr>
      <vt:lpstr>3.6 Quality of services</vt:lpstr>
      <vt:lpstr>2.4 Hist Capex by Asset Class</vt:lpstr>
      <vt:lpstr>8.5 DISAGG Opex</vt:lpstr>
      <vt:lpstr>9.1 DISAGG Inc</vt:lpstr>
      <vt:lpstr> 9.2 RFS Inc</vt:lpstr>
      <vt:lpstr>7.6 PTS Price Redn</vt:lpstr>
      <vt:lpstr>7.7 Inf Rel Part Trans</vt:lpstr>
      <vt:lpstr>7.9 MIC</vt:lpstr>
      <vt:lpstr>7.5 Large projects</vt:lpstr>
      <vt:lpstr>8.6 Ind Asset Base Roll Fwd</vt:lpstr>
      <vt:lpstr>8.8 Revenue Requirements</vt:lpstr>
      <vt:lpstr>NSP additional information</vt:lpstr>
      <vt:lpstr>LOS - x &amp; y values</vt:lpstr>
      <vt:lpstr>AER CF</vt:lpstr>
      <vt:lpstr>AER NRs</vt:lpstr>
      <vt:lpstr>AER lookups</vt:lpstr>
      <vt:lpstr>AER ETL</vt:lpstr>
      <vt:lpstr>ARR</vt:lpstr>
      <vt:lpstr>ARR_Fmt2</vt:lpstr>
      <vt:lpstr>CA</vt:lpstr>
      <vt:lpstr>CA_Fmt2</vt:lpstr>
      <vt:lpstr>Calendar</vt:lpstr>
      <vt:lpstr>CESS</vt:lpstr>
      <vt:lpstr>CESS_Fmt2</vt:lpstr>
      <vt:lpstr>CPI</vt:lpstr>
      <vt:lpstr>CPI_Fmt2</vt:lpstr>
      <vt:lpstr>CRCP_final_year</vt:lpstr>
      <vt:lpstr>CRCP_start_year</vt:lpstr>
      <vt:lpstr>CRCP_y1</vt:lpstr>
      <vt:lpstr>CRCP_y10</vt:lpstr>
      <vt:lpstr>CRCP_y11</vt:lpstr>
      <vt:lpstr>CRCP_y12</vt:lpstr>
      <vt:lpstr>CRCP_y13</vt:lpstr>
      <vt:lpstr>CRCP_y14</vt:lpstr>
      <vt:lpstr>CRCP_y15</vt:lpstr>
      <vt:lpstr>CRCP_y16</vt:lpstr>
      <vt:lpstr>CRCP_y2</vt:lpstr>
      <vt:lpstr>CRCP_y3</vt:lpstr>
      <vt:lpstr>CRCP_y4</vt:lpstr>
      <vt:lpstr>CRCP_y5</vt:lpstr>
      <vt:lpstr>CRCP_y6</vt:lpstr>
      <vt:lpstr>CRCP_y7</vt:lpstr>
      <vt:lpstr>CRCP_y8</vt:lpstr>
      <vt:lpstr>CRCP_y9</vt:lpstr>
      <vt:lpstr>CRY</vt:lpstr>
      <vt:lpstr>dms_020101_DE_Values</vt:lpstr>
      <vt:lpstr>dms_020101_IE_Values</vt:lpstr>
      <vt:lpstr>dms_020101_Rows</vt:lpstr>
      <vt:lpstr>dms_020101_Values</vt:lpstr>
      <vt:lpstr>dms_020102_DE_Values</vt:lpstr>
      <vt:lpstr>dms_020102_IE_Values</vt:lpstr>
      <vt:lpstr>dms_020102_Rows</vt:lpstr>
      <vt:lpstr>dms_020102_Values</vt:lpstr>
      <vt:lpstr>dms_020201_01_Exp_Values</vt:lpstr>
      <vt:lpstr>dms_020201_01_Fail_Values</vt:lpstr>
      <vt:lpstr>dms_020201_01_Repl_Values</vt:lpstr>
      <vt:lpstr>dms_020303_01_UOM</vt:lpstr>
      <vt:lpstr>dms_020401_01_Rows</vt:lpstr>
      <vt:lpstr>dms_020401_01_Values</vt:lpstr>
      <vt:lpstr>dms_020401_02_Rows</vt:lpstr>
      <vt:lpstr>dms_020401_02_Values</vt:lpstr>
      <vt:lpstr>dms_020401_03_Rows</vt:lpstr>
      <vt:lpstr>dms_020401_03_Values</vt:lpstr>
      <vt:lpstr>dms_020401_04_Rows</vt:lpstr>
      <vt:lpstr>dms_020401_04_Values</vt:lpstr>
      <vt:lpstr>dms_020401_05_Rows</vt:lpstr>
      <vt:lpstr>dms_020401_05_Values</vt:lpstr>
      <vt:lpstr>dms_020401_06_Rows</vt:lpstr>
      <vt:lpstr>dms_020401_06_Values</vt:lpstr>
      <vt:lpstr>dms_020402_01_Rows</vt:lpstr>
      <vt:lpstr>dms_020402_01_Values</vt:lpstr>
      <vt:lpstr>dms_020402_02_Rows</vt:lpstr>
      <vt:lpstr>dms_020402_02_Values</vt:lpstr>
      <vt:lpstr>dms_020402_03_Rows</vt:lpstr>
      <vt:lpstr>dms_020402_03_Values</vt:lpstr>
      <vt:lpstr>dms_020402_04_Rows</vt:lpstr>
      <vt:lpstr>dms_020402_04_Values</vt:lpstr>
      <vt:lpstr>dms_020402_06_Rows</vt:lpstr>
      <vt:lpstr>dms_020402_06_Values</vt:lpstr>
      <vt:lpstr>dms_020501_01_UOM</vt:lpstr>
      <vt:lpstr>dms_020501_02_UOM</vt:lpstr>
      <vt:lpstr>dms_020501_03_UOM</vt:lpstr>
      <vt:lpstr>dms_020501_04_UOM</vt:lpstr>
      <vt:lpstr>dms_020502_01_Values</vt:lpstr>
      <vt:lpstr>dms_020502_02_Values</vt:lpstr>
      <vt:lpstr>dms_020502_03_Values</vt:lpstr>
      <vt:lpstr>dms_020502_04_Values</vt:lpstr>
      <vt:lpstr>dms_020502_Rows</vt:lpstr>
      <vt:lpstr>dms_020601_01_dev_opex_Rows</vt:lpstr>
      <vt:lpstr>dms_020601_01_dev_opex_Values</vt:lpstr>
      <vt:lpstr>dms_020601_01_non_opex_Rows</vt:lpstr>
      <vt:lpstr>dms_020601_01_non_opex_Values</vt:lpstr>
      <vt:lpstr>dms_020601_01_opex_Values</vt:lpstr>
      <vt:lpstr>dms_020601_01_rec_opex_Rows</vt:lpstr>
      <vt:lpstr>dms_020601_01_rec_opex_Values</vt:lpstr>
      <vt:lpstr>dms_020601_01_Rows</vt:lpstr>
      <vt:lpstr>dms_020601_02_capex_Values</vt:lpstr>
      <vt:lpstr>dms_020601_03_opex_Values</vt:lpstr>
      <vt:lpstr>dms_020601_03_Rows</vt:lpstr>
      <vt:lpstr>dms_020601_04_opex_Values</vt:lpstr>
      <vt:lpstr>dms_020601_04_Rows</vt:lpstr>
      <vt:lpstr>dms_020701_02_UOM</vt:lpstr>
      <vt:lpstr>dms_020702_01_Rows</vt:lpstr>
      <vt:lpstr>dms_020702_01_Values</vt:lpstr>
      <vt:lpstr>dms_020801_01_Values</vt:lpstr>
      <vt:lpstr>dms_020801_02_Values</vt:lpstr>
      <vt:lpstr>dms_020801_Rows</vt:lpstr>
      <vt:lpstr>dms_020801_UOM</vt:lpstr>
      <vt:lpstr>dms_020802_01_NRM_Values</vt:lpstr>
      <vt:lpstr>dms_020802_01_RM_Values</vt:lpstr>
      <vt:lpstr>dms_020802_01_Rows</vt:lpstr>
      <vt:lpstr>dms_021001_01_capex_Values</vt:lpstr>
      <vt:lpstr>dms_021001_01_opex_Values</vt:lpstr>
      <vt:lpstr>dms_021001_02_capex_Values</vt:lpstr>
      <vt:lpstr>dms_021001_02_opex_Values</vt:lpstr>
      <vt:lpstr>dms_021001_03_capex_Values</vt:lpstr>
      <vt:lpstr>dms_021001_03_opex_Values</vt:lpstr>
      <vt:lpstr>dms_021001_04_capex_Values</vt:lpstr>
      <vt:lpstr>dms_021001_04_opex_Values</vt:lpstr>
      <vt:lpstr>dms_021001_05_capex_Values</vt:lpstr>
      <vt:lpstr>dms_021001_05_opex_Values</vt:lpstr>
      <vt:lpstr>dms_021001_06_capex_Values</vt:lpstr>
      <vt:lpstr>dms_021001_06_opex_Values</vt:lpstr>
      <vt:lpstr>dms_021001_07_capex_Values</vt:lpstr>
      <vt:lpstr>dms_021001_07_opex_Values</vt:lpstr>
      <vt:lpstr>dms_021001_08_capex_Values</vt:lpstr>
      <vt:lpstr>dms_021001_08_opex_Values</vt:lpstr>
      <vt:lpstr>dms_021001_09_capex_Values</vt:lpstr>
      <vt:lpstr>dms_021001_09_opex_Values</vt:lpstr>
      <vt:lpstr>dms_021001_capex_Rows</vt:lpstr>
      <vt:lpstr>dms_021001_opex_Rows</vt:lpstr>
      <vt:lpstr>dms_021002_01_opex_Values</vt:lpstr>
      <vt:lpstr>dms_021002_02_opex_Values</vt:lpstr>
      <vt:lpstr>dms_021002_03_opex_Values</vt:lpstr>
      <vt:lpstr>dms_021002_04_opex_Values</vt:lpstr>
      <vt:lpstr>dms_021002_05_opex_Values</vt:lpstr>
      <vt:lpstr>dms_021002_06_opex_Values</vt:lpstr>
      <vt:lpstr>dms_021002_07_opex_Values</vt:lpstr>
      <vt:lpstr>dms_021002_08_opex_Values</vt:lpstr>
      <vt:lpstr>dms_021002_09_opex_Values</vt:lpstr>
      <vt:lpstr>dms_021002_opex_Rows</vt:lpstr>
      <vt:lpstr>dms_030103_01_Rows</vt:lpstr>
      <vt:lpstr>dms_030103_01_Values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dms_0306_Year</vt:lpstr>
      <vt:lpstr>dms_030601_01_Rows</vt:lpstr>
      <vt:lpstr>dms_030601_01_UOM</vt:lpstr>
      <vt:lpstr>dms_030601_01_Values</vt:lpstr>
      <vt:lpstr>dms_030601_02_Rows</vt:lpstr>
      <vt:lpstr>dms_030601_02_UOM</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dms_030605_UOM</vt:lpstr>
      <vt:lpstr>dms_03060703_UOM</vt:lpstr>
      <vt:lpstr>dms_030701_01_UOM</vt:lpstr>
      <vt:lpstr>dms_030702_01_UOM</vt:lpstr>
      <vt:lpstr>dms_030703_01_UOM</vt:lpstr>
      <vt:lpstr>dms_040102_01_UOM</vt:lpstr>
      <vt:lpstr>dms_040102_04_UOM</vt:lpstr>
      <vt:lpstr>dms_0502_Inst_Year</vt:lpstr>
      <vt:lpstr>dms_050201_01_Rows</vt:lpstr>
      <vt:lpstr>dms_050202_01_Values</vt:lpstr>
      <vt:lpstr>dms_060101_Rows</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dms_070501_Rows</vt:lpstr>
      <vt:lpstr>dms_070501_Values</vt:lpstr>
      <vt:lpstr>dms_070502_Rows</vt:lpstr>
      <vt:lpstr>dms_070502_Values</vt:lpstr>
      <vt:lpstr>dms_070601_01_Rows</vt:lpstr>
      <vt:lpstr>dms_070601_01_Values</vt:lpstr>
      <vt:lpstr>dms_070601_02_Rows</vt:lpstr>
      <vt:lpstr>dms_070601_02_Values</vt:lpstr>
      <vt:lpstr>dms_070701_01_Rows</vt:lpstr>
      <vt:lpstr>dms_070701_01_Values</vt:lpstr>
      <vt:lpstr>dms_070701_02_Rows</vt:lpstr>
      <vt:lpstr>dms_070701_02_Values</vt:lpstr>
      <vt:lpstr>dms_070701_02dot_Values</vt:lpstr>
      <vt:lpstr>dms_070701_02pp_Values</vt:lpstr>
      <vt:lpstr>dms_070701_02tos_Values</vt:lpstr>
      <vt:lpstr>dms_070701_dot_Values</vt:lpstr>
      <vt:lpstr>dms_070701_pp_Values</vt:lpstr>
      <vt:lpstr>dms_070701_tos_Values</vt:lpstr>
      <vt:lpstr>dms_070904_01_01_Values</vt:lpstr>
      <vt:lpstr>dms_070904_01_02_Values</vt:lpstr>
      <vt:lpstr>dms_070904_01_Rows</vt:lpstr>
      <vt:lpstr>dms_070904_02_01_Values</vt:lpstr>
      <vt:lpstr>dms_070904_02_02_Values</vt:lpstr>
      <vt:lpstr>dms_080501_01_alc_Values</vt:lpstr>
      <vt:lpstr>dms_080501_01_dir_Values</vt:lpstr>
      <vt:lpstr>dms_080501_02_alc_Values</vt:lpstr>
      <vt:lpstr>dms_080501_02_dir_Values</vt:lpstr>
      <vt:lpstr>dms_080501_03_alc_Values</vt:lpstr>
      <vt:lpstr>dms_080501_03_dir_Values</vt:lpstr>
      <vt:lpstr>dms_080501_04_alc_Values</vt:lpstr>
      <vt:lpstr>dms_080501_04_dir_Values</vt:lpstr>
      <vt:lpstr>dms_080501_05_alc_Values</vt:lpstr>
      <vt:lpstr>dms_080501_05_dir_Values</vt:lpstr>
      <vt:lpstr>dms_080501_alc_Rows</vt:lpstr>
      <vt:lpstr>dms_080501_dir_Rows</vt:lpstr>
      <vt:lpstr>dms_080502_06_alc_Values</vt:lpstr>
      <vt:lpstr>dms_080502_06_dir_Values</vt:lpstr>
      <vt:lpstr>dms_080502_07_alc_Values</vt:lpstr>
      <vt:lpstr>dms_080502_07_dir_Values</vt:lpstr>
      <vt:lpstr>dms_080502_alc_Rows</vt:lpstr>
      <vt:lpstr>dms_080502_dir_Rows</vt:lpstr>
      <vt:lpstr>dms_080601_01_Rows</vt:lpstr>
      <vt:lpstr>dms_080601_01_Values</vt:lpstr>
      <vt:lpstr>dms_080602_01_Rows</vt:lpstr>
      <vt:lpstr>dms_080602_01_Values</vt:lpstr>
      <vt:lpstr>dms_080602_02_Rows</vt:lpstr>
      <vt:lpstr>dms_080602_02_Values</vt:lpstr>
      <vt:lpstr>dms_080801_01_01_Rows</vt:lpstr>
      <vt:lpstr>dms_080801_01_01_Values</vt:lpstr>
      <vt:lpstr>dms_080801_01_02_Rows</vt:lpstr>
      <vt:lpstr>dms_080801_01_02_Values</vt:lpstr>
      <vt:lpstr>dms_080801_01_03_Rows</vt:lpstr>
      <vt:lpstr>dms_080801_01_03_Values</vt:lpstr>
      <vt:lpstr>dms_080801_02_Rows</vt:lpstr>
      <vt:lpstr>dms_080801_02_Values</vt:lpstr>
      <vt:lpstr>dms_080801_03_Rows</vt:lpstr>
      <vt:lpstr>dms_080801_03_Values</vt:lpstr>
      <vt:lpstr>dms_080801_04_Rows</vt:lpstr>
      <vt:lpstr>dms_080801_04_Values</vt:lpstr>
      <vt:lpstr>dms_080801_05_01_Rows</vt:lpstr>
      <vt:lpstr>dms_080801_05_01_Values</vt:lpstr>
      <vt:lpstr>dms_080801_05_02_Rows</vt:lpstr>
      <vt:lpstr>dms_080801_05_02_Values</vt:lpstr>
      <vt:lpstr>dms_080801_05_03_Rows</vt:lpstr>
      <vt:lpstr>dms_080801_05_03_Values</vt:lpstr>
      <vt:lpstr>dms_080801_06_01_Rows</vt:lpstr>
      <vt:lpstr>dms_080801_06_01_Values</vt:lpstr>
      <vt:lpstr>dms_080801_06_02_Rows</vt:lpstr>
      <vt:lpstr>dms_080801_06_02_Values</vt:lpstr>
      <vt:lpstr>dms_090101_01_oexp_Values</vt:lpstr>
      <vt:lpstr>dms_090101_01_orev_Values</vt:lpstr>
      <vt:lpstr>dms_090101_01_texp_Values</vt:lpstr>
      <vt:lpstr>dms_090101_01_trev_Values</vt:lpstr>
      <vt:lpstr>dms_090101_02_oexp_Values</vt:lpstr>
      <vt:lpstr>dms_090101_02_orev_Values</vt:lpstr>
      <vt:lpstr>dms_090101_02_texp_Values</vt:lpstr>
      <vt:lpstr>dms_090101_02_trev_Values</vt:lpstr>
      <vt:lpstr>dms_090101_03_oexp_Values</vt:lpstr>
      <vt:lpstr>dms_090101_03_orev_Values</vt:lpstr>
      <vt:lpstr>dms_090101_03_texp_Values</vt:lpstr>
      <vt:lpstr>dms_090101_03_trev_Values</vt:lpstr>
      <vt:lpstr>dms_090101_04_oexp_Values</vt:lpstr>
      <vt:lpstr>dms_090101_04_orev_Values</vt:lpstr>
      <vt:lpstr>dms_090101_04_texp_Values</vt:lpstr>
      <vt:lpstr>dms_090101_04_trev_Values</vt:lpstr>
      <vt:lpstr>dms_090101_05_oexp_Values</vt:lpstr>
      <vt:lpstr>dms_090101_05_orev_Values</vt:lpstr>
      <vt:lpstr>dms_090101_05_texp_Values</vt:lpstr>
      <vt:lpstr>dms_090101_05_trev_Values</vt:lpstr>
      <vt:lpstr>dms_090101_oexp_Rows</vt:lpstr>
      <vt:lpstr>dms_090101_orev_Rows</vt:lpstr>
      <vt:lpstr>dms_090101_texp_Rows</vt:lpstr>
      <vt:lpstr>dms_090101_trev_Rows</vt:lpstr>
      <vt:lpstr>dms_090102_01_oexp_Values</vt:lpstr>
      <vt:lpstr>dms_090102_01_orev_Values</vt:lpstr>
      <vt:lpstr>dms_090102_01_texp_Values</vt:lpstr>
      <vt:lpstr>dms_090102_01_trev_Values</vt:lpstr>
      <vt:lpstr>dms_090102_02_oexp_Values</vt:lpstr>
      <vt:lpstr>dms_090102_02_orev_Values</vt:lpstr>
      <vt:lpstr>dms_090102_02_texp_Values</vt:lpstr>
      <vt:lpstr>dms_090102_02_trev_Values</vt:lpstr>
      <vt:lpstr>dms_090102_oexp_Rows</vt:lpstr>
      <vt:lpstr>dms_090102_orev_Rows</vt:lpstr>
      <vt:lpstr>dms_090102_texp_Rows</vt:lpstr>
      <vt:lpstr>dms_090102_trev_Rows</vt:lpstr>
      <vt:lpstr>dms_663</vt:lpstr>
      <vt:lpstr>dms_663_List</vt:lpstr>
      <vt:lpstr>dms_ABN</vt:lpstr>
      <vt:lpstr>dms_ABN_List</vt:lpstr>
      <vt:lpstr>dms_Addr1</vt:lpstr>
      <vt:lpstr>dms_Addr1_List</vt:lpstr>
      <vt:lpstr>dms_Addr2</vt:lpstr>
      <vt:lpstr>dms_Addr2_List</vt:lpstr>
      <vt:lpstr>dms_AdjAllowedRev</vt:lpstr>
      <vt:lpstr>dms_Amendment_Text</vt:lpstr>
      <vt:lpstr>dms_AmendmentReason</vt:lpstr>
      <vt:lpstr>dms_ARR</vt:lpstr>
      <vt:lpstr>dms_Beg</vt:lpstr>
      <vt:lpstr>dms_CA</vt:lpstr>
      <vt:lpstr>dms_Cal_Year_B4_CRY</vt:lpstr>
      <vt:lpstr>dms_CBD_flag</vt:lpstr>
      <vt:lpstr>dms_CBD_flag_NSP</vt:lpstr>
      <vt:lpstr>dms_CF_3.6.1</vt:lpstr>
      <vt:lpstr>dms_CF_3.6.5</vt:lpstr>
      <vt:lpstr>dms_CF_3.6.6</vt:lpstr>
      <vt:lpstr>dms_CF_3.6.7.1</vt:lpstr>
      <vt:lpstr>dms_CF_3.6.7.2</vt:lpstr>
      <vt:lpstr>dms_CF_3.6.7.3</vt:lpstr>
      <vt:lpstr>dms_CF_3.6.7.4</vt:lpstr>
      <vt:lpstr>dms_CF_3.6.8</vt:lpstr>
      <vt:lpstr>dms_CF_4.1</vt:lpstr>
      <vt:lpstr>dms_CF_4.4.1</vt:lpstr>
      <vt:lpstr>dms_CF_6.6.1</vt:lpstr>
      <vt:lpstr>dms_CF_6.8</vt:lpstr>
      <vt:lpstr>dms_CF_7.12</vt:lpstr>
      <vt:lpstr>dms_CF_8.1_A</vt:lpstr>
      <vt:lpstr>dms_CF_8.1_B</vt:lpstr>
      <vt:lpstr>dms_CF_8.1_Neg</vt:lpstr>
      <vt:lpstr>dms_CF_MAIFI_flag</vt:lpstr>
      <vt:lpstr>dms_CF_TradingName</vt:lpstr>
      <vt:lpstr>dms_Classification</vt:lpstr>
      <vt:lpstr>dms_Confid_status_List</vt:lpstr>
      <vt:lpstr>dms_ContactEmail</vt:lpstr>
      <vt:lpstr>dms_ContactEmail2</vt:lpstr>
      <vt:lpstr>dms_ContactName1</vt:lpstr>
      <vt:lpstr>dms_ContactName2</vt:lpstr>
      <vt:lpstr>dms_ContactPh1</vt:lpstr>
      <vt:lpstr>dms_ContactPh2</vt:lpstr>
      <vt:lpstr>dms_CRCP_FinalYear_Result</vt:lpstr>
      <vt:lpstr>dms_CRCP_start_row</vt:lpstr>
      <vt:lpstr>dms_CRCPlength_List</vt:lpstr>
      <vt:lpstr>dms_CRCPlength_Num</vt:lpstr>
      <vt:lpstr>dms_CRY_RYE</vt:lpstr>
      <vt:lpstr>dms_CRY_start_row</vt:lpstr>
      <vt:lpstr>dms_DataQuality</vt:lpstr>
      <vt:lpstr>dms_DataQuality_List</vt:lpstr>
      <vt:lpstr>dms_Defined_Names_Used</vt:lpstr>
      <vt:lpstr>dms_DeterminationRef</vt:lpstr>
      <vt:lpstr>dms_DeterminationRef_List</vt:lpstr>
      <vt:lpstr>dms_DISCARD</vt:lpstr>
      <vt:lpstr>dms_DNSP_020301_ProjectTrigger</vt:lpstr>
      <vt:lpstr>dms_DNSP_020301_ProjectType</vt:lpstr>
      <vt:lpstr>dms_DNSP_020301_SubstationType</vt:lpstr>
      <vt:lpstr>dms_DNSP_020302_ProjectTrigger</vt:lpstr>
      <vt:lpstr>dms_DNSP_020302_ProjectType</vt:lpstr>
      <vt:lpstr>dms_dollar_nom_UOM</vt:lpstr>
      <vt:lpstr>dms_DollarReal</vt:lpstr>
      <vt:lpstr>dms_DollarReal_Prev</vt:lpstr>
      <vt:lpstr>dms_DollarReal_year</vt:lpstr>
      <vt:lpstr>dms_DQ_1</vt:lpstr>
      <vt:lpstr>dms_DQ_2</vt:lpstr>
      <vt:lpstr>dms_EB</vt:lpstr>
      <vt:lpstr>dms_EB_RAB_PIT</vt:lpstr>
      <vt:lpstr>dms_End</vt:lpstr>
      <vt:lpstr>dms_FeederName_1</vt:lpstr>
      <vt:lpstr>dms_FeederName_2</vt:lpstr>
      <vt:lpstr>dms_FeederName_3</vt:lpstr>
      <vt:lpstr>dms_FeederName_4</vt:lpstr>
      <vt:lpstr>dms_FeederName_5</vt:lpstr>
      <vt:lpstr>dms_FeederType_5_flag</vt:lpstr>
      <vt:lpstr>dms_FifthFeeder_flag_NSP</vt:lpstr>
      <vt:lpstr>dms_FormControl</vt:lpstr>
      <vt:lpstr>dms_FormControl_Choices</vt:lpstr>
      <vt:lpstr>dms_FormControl_List</vt:lpstr>
      <vt:lpstr>dms_FRCP_start_row</vt:lpstr>
      <vt:lpstr>dms_FRCP_y1</vt:lpstr>
      <vt:lpstr>dms_FRCPlength_List</vt:lpstr>
      <vt:lpstr>dms_FRCPlength_Num</vt:lpstr>
      <vt:lpstr>dms_Header_Span</vt:lpstr>
      <vt:lpstr>dms_Jurisdiction</vt:lpstr>
      <vt:lpstr>dms_JurisdictionList</vt:lpstr>
      <vt:lpstr>dms_LeapYear_Result</vt:lpstr>
      <vt:lpstr>dms_LongRural_flag</vt:lpstr>
      <vt:lpstr>dms_LongRural_flag_NSP</vt:lpstr>
      <vt:lpstr>dms_MAIFI_flag_List</vt:lpstr>
      <vt:lpstr>dms_Mid</vt:lpstr>
      <vt:lpstr>dms_Model</vt:lpstr>
      <vt:lpstr>dms_Model_List</vt:lpstr>
      <vt:lpstr>dms_Model_Name_Format1</vt:lpstr>
      <vt:lpstr>dms_Model_Span</vt:lpstr>
      <vt:lpstr>dms_Model_Span_List</vt:lpstr>
      <vt:lpstr>dms_Multi_RYE_flag</vt:lpstr>
      <vt:lpstr>dms_MultiYear_ABC_RIN</vt:lpstr>
      <vt:lpstr>dms_MultiYear_FinalYear_Result</vt:lpstr>
      <vt:lpstr>dms_MultiYear_Flag</vt:lpstr>
      <vt:lpstr>dms_MultiYear_ResponseFlag</vt:lpstr>
      <vt:lpstr>dms_N0205_AssetType</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dms_PRCP_start_row</vt:lpstr>
      <vt:lpstr>dms_PRCPlength_List</vt:lpstr>
      <vt:lpstr>dms_PRCPlength_Num</vt:lpstr>
      <vt:lpstr>dms_Previous_DollarReal_year</vt:lpstr>
      <vt:lpstr>dms_PState</vt:lpstr>
      <vt:lpstr>dms_PState_List</vt:lpstr>
      <vt:lpstr>dms_PSuburb</vt:lpstr>
      <vt:lpstr>dms_PSuburb_List</vt:lpstr>
      <vt:lpstr>dms_PTRM_RAB_PIT</vt:lpstr>
      <vt:lpstr>dms_PTRM_TAB_PIT</vt:lpstr>
      <vt:lpstr>dms_Public_Lighting</vt:lpstr>
      <vt:lpstr>dms_Public_Lighting_List</vt:lpstr>
      <vt:lpstr>dms_Reason_Interruption</vt:lpstr>
      <vt:lpstr>dms_Reset_final_year</vt:lpstr>
      <vt:lpstr>dms_Reset_RYE</vt:lpstr>
      <vt:lpstr>dms_Reset_Span</vt:lpstr>
      <vt:lpstr>dms_RevenueEarned</vt:lpstr>
      <vt:lpstr>dms_RPT</vt:lpstr>
      <vt:lpstr>dms_RPT_List</vt:lpstr>
      <vt:lpstr>dms_RPTMonth</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dms_RYE_result</vt:lpstr>
      <vt:lpstr>dms_RYE_start_row</vt:lpstr>
      <vt:lpstr>dms_S140101_UOM</vt:lpstr>
      <vt:lpstr>dms_S140102_UOM</vt:lpstr>
      <vt:lpstr>dms_S140201_UOM</vt:lpstr>
      <vt:lpstr>dms_Sector</vt:lpstr>
      <vt:lpstr>dms_Sector_List</vt:lpstr>
      <vt:lpstr>dms_Segment</vt:lpstr>
      <vt:lpstr>dms_Segment_List</vt:lpstr>
      <vt:lpstr>dms_Selected_Quality</vt:lpstr>
      <vt:lpstr>dms_Selected_Source</vt:lpstr>
      <vt:lpstr>dms_Selected_Status</vt:lpstr>
      <vt:lpstr>dms_SheetHeading1</vt:lpstr>
      <vt:lpstr>dms_SheetHeading2</vt:lpstr>
      <vt:lpstr>dms_SheetHeading3</vt:lpstr>
      <vt:lpstr>dms_ShortRural_flag</vt:lpstr>
      <vt:lpstr>dms_ShortRural_flag_NSP</vt:lpstr>
      <vt:lpstr>dms_SingleYear_FinalYear_Result</vt:lpstr>
      <vt:lpstr>dms_SingleYear_Model</vt:lpstr>
      <vt:lpstr>dms_SingleYearModel</vt:lpstr>
      <vt:lpstr>dms_Source</vt:lpstr>
      <vt:lpstr>dms_SourceList</vt:lpstr>
      <vt:lpstr>dms_Specified_FinalYear</vt:lpstr>
      <vt:lpstr>dms_Specified_RYE</vt:lpstr>
      <vt:lpstr>dms_SpecifiedYear_final_year</vt:lpstr>
      <vt:lpstr>dms_SpecifiedYear_Span</vt:lpstr>
      <vt:lpstr>dms_start_year</vt:lpstr>
      <vt:lpstr>dms_State</vt:lpstr>
      <vt:lpstr>dms_State_List</vt:lpstr>
      <vt:lpstr>dms_STPIS_Exclusion_List</vt:lpstr>
      <vt:lpstr>dms_SubmissionDate</vt:lpstr>
      <vt:lpstr>dms_Suburb</vt:lpstr>
      <vt:lpstr>dms_Suburb_List</vt:lpstr>
      <vt:lpstr>dms_TemplateNumber</vt:lpstr>
      <vt:lpstr>dms_TNSP_0203_ProjectTrigger</vt:lpstr>
      <vt:lpstr>dms_TNSP_0203_SubstationType</vt:lpstr>
      <vt:lpstr>dms_TNSP_020301_ProjectTrigger</vt:lpstr>
      <vt:lpstr>dms_TNSP_020301_ProjectType</vt:lpstr>
      <vt:lpstr>dms_TNSP_020302_ProjectType</vt:lpstr>
      <vt:lpstr>dms_Today</vt:lpstr>
      <vt:lpstr>dms_TradingName</vt:lpstr>
      <vt:lpstr>dms_TradingName_List</vt:lpstr>
      <vt:lpstr>dms_TradingNameFull</vt:lpstr>
      <vt:lpstr>dms_TradingNameFull_List</vt:lpstr>
      <vt:lpstr>dms_Typed_Submission_Date</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dms_y2</vt:lpstr>
      <vt:lpstr>dms_y3</vt:lpstr>
      <vt:lpstr>dms_y4</vt:lpstr>
      <vt:lpstr>dms_y5</vt:lpstr>
      <vt:lpstr>dms_y6</vt:lpstr>
      <vt:lpstr>dms_y7</vt:lpstr>
      <vt:lpstr>dms_y8</vt:lpstr>
      <vt:lpstr>dms_y9</vt:lpstr>
      <vt:lpstr>EB</vt:lpstr>
      <vt:lpstr>EB_Fmt2</vt:lpstr>
      <vt:lpstr>Financial</vt:lpstr>
      <vt:lpstr>FRCP_final_year</vt:lpstr>
      <vt:lpstr>FRCP_start_year</vt:lpstr>
      <vt:lpstr>FRCP_y10</vt:lpstr>
      <vt:lpstr>FRCP_y11</vt:lpstr>
      <vt:lpstr>FRCP_y12</vt:lpstr>
      <vt:lpstr>FRCP_y13</vt:lpstr>
      <vt:lpstr>FRCP_y14</vt:lpstr>
      <vt:lpstr>FRCP_y15</vt:lpstr>
      <vt:lpstr>FRCP_y16</vt:lpstr>
      <vt:lpstr>FRCP_y2</vt:lpstr>
      <vt:lpstr>FRCP_y3</vt:lpstr>
      <vt:lpstr>FRCP_y4</vt:lpstr>
      <vt:lpstr>FRCP_y5</vt:lpstr>
      <vt:lpstr>FRCP_y6</vt:lpstr>
      <vt:lpstr>FRCP_y7</vt:lpstr>
      <vt:lpstr>FRCP_y8</vt:lpstr>
      <vt:lpstr>FRCP_y9</vt:lpstr>
      <vt:lpstr>JurisdictionList</vt:lpstr>
      <vt:lpstr>PRCP_final_year</vt:lpstr>
      <vt:lpstr>PRCP_start_year</vt:lpstr>
      <vt:lpstr>PRCP_y1</vt:lpstr>
      <vt:lpstr>PRCP_y10</vt:lpstr>
      <vt:lpstr>PRCP_y11</vt:lpstr>
      <vt:lpstr>PRCP_y12</vt:lpstr>
      <vt:lpstr>PRCP_y13</vt:lpstr>
      <vt:lpstr>PRCP_y14</vt:lpstr>
      <vt:lpstr>PRCP_y15</vt:lpstr>
      <vt:lpstr>PRCP_y16</vt:lpstr>
      <vt:lpstr>PRCP_y2</vt:lpstr>
      <vt:lpstr>PRCP_y3</vt:lpstr>
      <vt:lpstr>PRCP_y4</vt:lpstr>
      <vt:lpstr>PRCP_y5</vt:lpstr>
      <vt:lpstr>PRCP_y6</vt:lpstr>
      <vt:lpstr>PRCP_y7</vt:lpstr>
      <vt:lpstr>PRCP_y8</vt:lpstr>
      <vt:lpstr>PRCP_y9</vt:lpstr>
      <vt:lpstr>Pricing</vt:lpstr>
      <vt:lpstr>Pricing_Fmt2</vt:lpstr>
      <vt:lpstr>'2.4 Hist Capex by Asset Class'!Print_Area</vt:lpstr>
      <vt:lpstr>PTRM</vt:lpstr>
      <vt:lpstr>PTRM_Fmt2</vt:lpstr>
      <vt:lpstr>Reset</vt:lpstr>
      <vt:lpstr>Reset_Fmt2</vt:lpstr>
      <vt:lpstr>RFM</vt:lpstr>
      <vt:lpstr>RFM_Fmt2</vt:lpstr>
      <vt:lpstr>Sector</vt:lpstr>
      <vt:lpstr>Segment</vt:lpstr>
      <vt:lpstr>WACC</vt:lpstr>
      <vt:lpstr>WACC_Fmt2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2025-01-31T01:24:45Z</dcterms:created>
  <dcterms:modified xsi:type="dcterms:W3CDTF">2025-01-31T03:30:49Z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2025-01-31T03:29:18Z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34037817-8eeb-4c66-ae80-0a09d3d602d6</vt:lpwstr>
  </property>
  <property fmtid="{D5CDD505-2E9C-101B-9397-08002B2CF9AE}" pid="8" name="MSIP_Label_d9d5a995-dfdf-4407-9a97-edbbc68c9f53_ContentBits">
    <vt:lpwstr>0</vt:lpwstr>
  </property>
</Properties>
</file>