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8_{AA5FE390-0170-4F6D-8488-13C60440C989}" xr6:coauthVersionLast="47" xr6:coauthVersionMax="47" xr10:uidLastSave="{00000000-0000-0000-0000-000000000000}"/>
  <bookViews>
    <workbookView xWindow="-120" yWindow="-120" windowWidth="29040" windowHeight="15840" xr2:uid="{BB4DAFDD-F5B6-4627-8625-37014651564E}"/>
  </bookViews>
  <sheets>
    <sheet name="Contents" sheetId="19" r:id="rId1"/>
    <sheet name="Business &amp; other details" sheetId="7" r:id="rId2"/>
    <sheet name="Assurance requirements by table" sheetId="86" r:id="rId3"/>
    <sheet name="8.1LM Income statement" sheetId="79" r:id="rId4"/>
    <sheet name="3.3LM Assets" sheetId="80" r:id="rId5"/>
    <sheet name="8.4LM Operating expenditure" sheetId="81" r:id="rId6"/>
    <sheet name="AER CF" sheetId="82" state="hidden" r:id="rId7"/>
    <sheet name="AER NRs" sheetId="83" state="hidden" r:id="rId8"/>
    <sheet name="AER lookups" sheetId="84" state="hidden" r:id="rId9"/>
    <sheet name="AER ETL" sheetId="85" state="hidden" r:id="rId10"/>
  </sheets>
  <definedNames>
    <definedName name="abba" localSheetId="9" hidden="1">{"Ownership",#N/A,FALSE,"Ownership";"Contents",#N/A,FALSE,"Contents"}</definedName>
    <definedName name="abba" localSheetId="8" hidden="1">{"Ownership",#N/A,FALSE,"Ownership";"Contents",#N/A,FALSE,"Contents"}</definedName>
    <definedName name="abba" localSheetId="7" hidden="1">{"Ownership",#N/A,FALSE,"Ownership";"Contents",#N/A,FALSE,"Contents"}</definedName>
    <definedName name="abba" hidden="1">{"Ownership",#N/A,FALSE,"Ownership";"Contents",#N/A,FALSE,"Contents"}</definedName>
    <definedName name="anscount" hidden="1">1</definedName>
    <definedName name="ARR">'AER lookups'!$C$32</definedName>
    <definedName name="ARR_Fmt2">'AER lookups'!$D$32</definedName>
    <definedName name="CA">'AER lookups'!$C$33</definedName>
    <definedName name="CA_Fmt2">'AER lookups'!$D$33</definedName>
    <definedName name="Calendar">'AER lookups'!$C$49:$C$109</definedName>
    <definedName name="CESS">'AER lookups'!$C$34</definedName>
    <definedName name="CESS_Fmt2">'AER lookups'!$D$34</definedName>
    <definedName name="CPI">'AER lookups'!$C$35</definedName>
    <definedName name="CPI_Fmt2">'AER lookups'!$D$35</definedName>
    <definedName name="CRCP_final_year" localSheetId="2">#REF!</definedName>
    <definedName name="CRCP_final_year">'AER ETL'!$C$48</definedName>
    <definedName name="CRCP_start_year">'AER ETL'!$C$45</definedName>
    <definedName name="CRCP_y1">'AER lookups'!$G$49</definedName>
    <definedName name="CRCP_y10">'AER lookups'!$G$58</definedName>
    <definedName name="CRCP_y11">'AER lookups'!$G$59</definedName>
    <definedName name="CRCP_y12">'AER lookups'!$G$60</definedName>
    <definedName name="CRCP_y13">'AER lookups'!$G$61</definedName>
    <definedName name="CRCP_y14">'AER lookups'!$G$62</definedName>
    <definedName name="CRCP_y15">'AER lookups'!$G$63</definedName>
    <definedName name="CRCP_y16">'AER lookups'!$G$64</definedName>
    <definedName name="CRCP_y17">'AER lookups'!$G$65</definedName>
    <definedName name="CRCP_y18">'AER lookups'!$G$66</definedName>
    <definedName name="CRCP_y19">'AER lookups'!$G$67</definedName>
    <definedName name="CRCP_y2">'AER lookups'!$G$50</definedName>
    <definedName name="CRCP_y20">'AER lookups'!$G$68</definedName>
    <definedName name="CRCP_y21">'AER lookups'!$G$69</definedName>
    <definedName name="CRCP_y22">'AER lookups'!$G$70</definedName>
    <definedName name="CRCP_y23">'AER lookups'!$G$71</definedName>
    <definedName name="CRCP_y24">'AER lookups'!$G$72</definedName>
    <definedName name="CRCP_y25">'AER lookups'!$G$73</definedName>
    <definedName name="CRCP_y3">'AER lookups'!$G$51</definedName>
    <definedName name="CRCP_y4">'AER lookups'!$G$52</definedName>
    <definedName name="CRCP_y5">'AER lookups'!$G$53</definedName>
    <definedName name="CRCP_y6">'AER lookups'!$G$54</definedName>
    <definedName name="CRCP_y7">'AER lookups'!$G$55</definedName>
    <definedName name="CRCP_y8">'AER lookups'!$G$56</definedName>
    <definedName name="CRCP_y9">'AER lookups'!$G$57</definedName>
    <definedName name="CRY" localSheetId="2">#REF!</definedName>
    <definedName name="CRY">'Business &amp; other details'!$Y$55</definedName>
    <definedName name="dms_020201_01_Rows">#REF!</definedName>
    <definedName name="dms_020201_02_Exp_Values">#REF!</definedName>
    <definedName name="dms_020201_02_Fail_Values">#REF!</definedName>
    <definedName name="dms_020201_02_Repl_Values">#REF!</definedName>
    <definedName name="dms_020201_02_Rows">#REF!</definedName>
    <definedName name="dms_020201_03_Exp_Values">#REF!</definedName>
    <definedName name="dms_020201_03_Fail_Values">#REF!</definedName>
    <definedName name="dms_020201_03_Repl_Values">#REF!</definedName>
    <definedName name="dms_020201_03_Rows">#REF!</definedName>
    <definedName name="dms_020201_04_Exp_Values">#REF!</definedName>
    <definedName name="dms_020201_04_Fail_Values">#REF!</definedName>
    <definedName name="dms_020201_04_Repl_Values">#REF!</definedName>
    <definedName name="dms_020201_04_Rows">#REF!</definedName>
    <definedName name="dms_020201_05_Exp_Values">#REF!</definedName>
    <definedName name="dms_020201_05_Fail_Values">#REF!</definedName>
    <definedName name="dms_020201_05_Repl_Values">#REF!</definedName>
    <definedName name="dms_020201_05_Rows">#REF!</definedName>
    <definedName name="dms_020201_06_Exp_Values">#REF!</definedName>
    <definedName name="dms_020201_06_Fail_Values">#REF!</definedName>
    <definedName name="dms_020201_06_Repl_Values">#REF!</definedName>
    <definedName name="dms_020201_06_Rows">#REF!</definedName>
    <definedName name="dms_020201_07_Exp_Values">#REF!</definedName>
    <definedName name="dms_020201_07_Fail_Values">#REF!</definedName>
    <definedName name="dms_020201_07_Repl_Values">#REF!</definedName>
    <definedName name="dms_020201_07_Rows">#REF!</definedName>
    <definedName name="dms_020201_08_Exp_Values">#REF!</definedName>
    <definedName name="dms_020201_08_Fail_Values">#REF!</definedName>
    <definedName name="dms_020201_08_Repl_Values">#REF!</definedName>
    <definedName name="dms_020201_08_Rows">#REF!</definedName>
    <definedName name="dms_020201_09_Exp_Values">#REF!</definedName>
    <definedName name="dms_020201_09_Fail_Values">#REF!</definedName>
    <definedName name="dms_020201_09_Repl_Values">#REF!</definedName>
    <definedName name="dms_020201_09_Rows">#REF!</definedName>
    <definedName name="dms_020202_01_Com_Values">#REF!</definedName>
    <definedName name="dms_020202_01_Fail_Values">#REF!</definedName>
    <definedName name="dms_020202_01_Repl_Values">#REF!</definedName>
    <definedName name="dms_020202_01_Rows">#REF!</definedName>
    <definedName name="dms_020202_02_Com_Values">#REF!</definedName>
    <definedName name="dms_020202_02_Fail_Values">#REF!</definedName>
    <definedName name="dms_020202_02_Repl_Values">#REF!</definedName>
    <definedName name="dms_020202_02_Rows">#REF!</definedName>
    <definedName name="dms_020301_Rows">#REF!</definedName>
    <definedName name="dms_020301_UOM">#REF!</definedName>
    <definedName name="dms_020301_Values">#REF!</definedName>
    <definedName name="dms_020303_01_UOM">'AER NRs'!$C$86:$C$92</definedName>
    <definedName name="dms_020501_01_Rows">#REF!</definedName>
    <definedName name="dms_020501_01_UOM">'AER NRs'!$D$86:$D$98</definedName>
    <definedName name="dms_020501_02_UOM">'AER NRs'!$E$86:$E$94</definedName>
    <definedName name="dms_020501_03_UOM">'AER NRs'!$F$86:$F$95</definedName>
    <definedName name="dms_020501_04_UOM">'AER NRs'!$G$86:$G$94</definedName>
    <definedName name="dms_020501_Values">#REF!</definedName>
    <definedName name="dms_020601_01_non_capex_Rows">#REF!</definedName>
    <definedName name="dms_020601_01_non_capex_Values">#REF!</definedName>
    <definedName name="dms_020601_01_rec_capex_Rows">#REF!</definedName>
    <definedName name="dms_020601_01_rec_capex_Values">#REF!</definedName>
    <definedName name="dms_020601_02_opex_Values">#REF!</definedName>
    <definedName name="dms_020601_02_Rows">#REF!</definedName>
    <definedName name="dms_020601_03_capex_Values">#REF!</definedName>
    <definedName name="dms_020601_05_capex_Rows">#REF!</definedName>
    <definedName name="dms_020601_05_capex_Values">#REF!</definedName>
    <definedName name="dms_020602_01_Rows">#REF!</definedName>
    <definedName name="dms_020602_01_Values">#REF!</definedName>
    <definedName name="dms_020603_01_Rows">#REF!</definedName>
    <definedName name="dms_020603_01_UOM" localSheetId="2">#REF!</definedName>
    <definedName name="dms_020603_01_UOM">'AER NRs'!$C$112:$C$116</definedName>
    <definedName name="dms_020603_01_Values">#REF!</definedName>
    <definedName name="dms_020603_02_Values">#REF!</definedName>
    <definedName name="dms_020603_03_Values">#REF!</definedName>
    <definedName name="dms_020603_04_Values">#REF!</definedName>
    <definedName name="dms_020603_05_Values">#REF!</definedName>
    <definedName name="dms_020701_01_Rows" localSheetId="2">#REF!</definedName>
    <definedName name="dms_020701_01_Rows">'AER NRs'!$J$86:$J$91</definedName>
    <definedName name="dms_020701_01_UOM" localSheetId="2">#REF!</definedName>
    <definedName name="dms_020701_01_UOM">'AER NRs'!$H$86:$H$91</definedName>
    <definedName name="dms_020701_01_Values">#REF!</definedName>
    <definedName name="dms_020701_02_UOM">'AER NRs'!$I$86:$I$91</definedName>
    <definedName name="dms_020701_02_Values">#REF!</definedName>
    <definedName name="dms_020701_03_Values">#REF!</definedName>
    <definedName name="dms_020701_04_Values">#REF!</definedName>
    <definedName name="dms_020701_05_Values">#REF!</definedName>
    <definedName name="dms_020701_06_Values">#REF!</definedName>
    <definedName name="dms_020701_07_Values">#REF!</definedName>
    <definedName name="dms_020701_08_Values">#REF!</definedName>
    <definedName name="dms_020701_09_Values">#REF!</definedName>
    <definedName name="dms_020701_10_Values">#REF!</definedName>
    <definedName name="dms_020701_11_Values">#REF!</definedName>
    <definedName name="dms_020701_12_Values">#REF!</definedName>
    <definedName name="dms_020702_02_Values">#REF!</definedName>
    <definedName name="dms_020702_03_Values">#REF!</definedName>
    <definedName name="dms_020702_04_Values">#REF!</definedName>
    <definedName name="dms_020702_05_Values">#REF!</definedName>
    <definedName name="dms_020702_06_Values">#REF!</definedName>
    <definedName name="dms_020702_07_Values">#REF!</definedName>
    <definedName name="dms_020702_08_Values">#REF!</definedName>
    <definedName name="dms_020702_09_Values">#REF!</definedName>
    <definedName name="dms_020702_10_Values">#REF!</definedName>
    <definedName name="dms_020702_11_Values">#REF!</definedName>
    <definedName name="dms_020702_12_Values">#REF!</definedName>
    <definedName name="dms_020703_Rows">#REF!</definedName>
    <definedName name="dms_020703_Values">#REF!</definedName>
    <definedName name="dms_020802_02_NRM_Values">#REF!</definedName>
    <definedName name="dms_020802_02_RM_Values">#REF!</definedName>
    <definedName name="dms_020802_02_Rows">#REF!</definedName>
    <definedName name="dms_020802_03_NRM_Values">#REF!</definedName>
    <definedName name="dms_020802_03_RM_Values">#REF!</definedName>
    <definedName name="dms_020802_03_Rows">#REF!</definedName>
    <definedName name="dms_020802_04_NRM_Values">#REF!</definedName>
    <definedName name="dms_020802_04_RM_Values">#REF!</definedName>
    <definedName name="dms_020802_04_Rows">#REF!</definedName>
    <definedName name="dms_020802_05_NRM_Values">#REF!</definedName>
    <definedName name="dms_020802_05_RM_Values">#REF!</definedName>
    <definedName name="dms_020802_05_Rows">#REF!</definedName>
    <definedName name="dms_021001_07_opex_Values">#REF!</definedName>
    <definedName name="dms_021001_08_opex_Values">#REF!</definedName>
    <definedName name="dms_021001_09_opex_Values">#REF!</definedName>
    <definedName name="dms_021002_01_capex_Values">#REF!</definedName>
    <definedName name="dms_021002_02_capex_Values">#REF!</definedName>
    <definedName name="dms_021002_03_capex_Values">#REF!</definedName>
    <definedName name="dms_021002_04_capex_Values">#REF!</definedName>
    <definedName name="dms_021002_05_capex_Values">#REF!</definedName>
    <definedName name="dms_021002_06_capex_Values">#REF!</definedName>
    <definedName name="dms_021002_07_capex_Values">#REF!</definedName>
    <definedName name="dms_021002_08_capex_Values">#REF!</definedName>
    <definedName name="dms_021002_09_capex_Values">#REF!</definedName>
    <definedName name="dms_021002_capex_Rows">#REF!</definedName>
    <definedName name="dms_021201_01_Contract_Values">#REF!</definedName>
    <definedName name="dms_021201_01_ContractNL_Values">#REF!</definedName>
    <definedName name="dms_021201_01_Labour_Values">#REF!</definedName>
    <definedName name="dms_021201_01_Material_Values">#REF!</definedName>
    <definedName name="dms_021201_01_Other_Values">#REF!</definedName>
    <definedName name="dms_021201_01_Rows">#REF!</definedName>
    <definedName name="dms_021201_01_RPCmargin_Values">#REF!</definedName>
    <definedName name="dms_021201_02_Contract_Values">#REF!</definedName>
    <definedName name="dms_021201_02_ContractNL_Values">#REF!</definedName>
    <definedName name="dms_021201_02_Labour_Values">#REF!</definedName>
    <definedName name="dms_021201_02_Material_Values">#REF!</definedName>
    <definedName name="dms_021201_02_Other_Values">#REF!</definedName>
    <definedName name="dms_021201_02_Rows">#REF!</definedName>
    <definedName name="dms_021201_02_RPCmargin_Values">#REF!</definedName>
    <definedName name="dms_021201_03_Contract_Values">#REF!</definedName>
    <definedName name="dms_021201_03_ContractNL_Values">#REF!</definedName>
    <definedName name="dms_021201_03_Labour_Values">#REF!</definedName>
    <definedName name="dms_021201_03_Material_Values">#REF!</definedName>
    <definedName name="dms_021201_03_Other_Values">#REF!</definedName>
    <definedName name="dms_021201_03_Rows">#REF!</definedName>
    <definedName name="dms_021201_03_RPCmargin_Values">#REF!</definedName>
    <definedName name="dms_021201_04_Contract_Values">#REF!</definedName>
    <definedName name="dms_021201_04_ContractNL_Values">#REF!</definedName>
    <definedName name="dms_021201_04_Labour_Values">#REF!</definedName>
    <definedName name="dms_021201_04_Material_Values">#REF!</definedName>
    <definedName name="dms_021201_04_Other_Values">#REF!</definedName>
    <definedName name="dms_021201_04_Rows">#REF!</definedName>
    <definedName name="dms_021201_04_RPCmargin_Values">#REF!</definedName>
    <definedName name="dms_021201_07_Contract_Values">#REF!</definedName>
    <definedName name="dms_021201_07_ContractNL_Values">#REF!</definedName>
    <definedName name="dms_021201_07_Labour_Values">#REF!</definedName>
    <definedName name="dms_021201_07_Material_Values">#REF!</definedName>
    <definedName name="dms_021201_07_Other_Values">#REF!</definedName>
    <definedName name="dms_021201_07_Rows">#REF!</definedName>
    <definedName name="dms_021201_09_Contract_Values">#REF!</definedName>
    <definedName name="dms_021201_09_ContractNL_Values">#REF!</definedName>
    <definedName name="dms_021201_09_Labour_Values">#REF!</definedName>
    <definedName name="dms_021201_09_Material_Values">#REF!</definedName>
    <definedName name="dms_021201_09_Other_Values">#REF!</definedName>
    <definedName name="dms_021201_09_Rows">#REF!</definedName>
    <definedName name="dms_021201_09_RPCmargin_Values">#REF!</definedName>
    <definedName name="dms_030102_01_Rows">#REF!</definedName>
    <definedName name="dms_030102_01_Values">#REF!</definedName>
    <definedName name="dms_030301_01_Rows">#REF!</definedName>
    <definedName name="dms_030301_01_Values">#REF!</definedName>
    <definedName name="dms_030302_01_Values">#REF!</definedName>
    <definedName name="dms_030302_02_Values">#REF!</definedName>
    <definedName name="dms_030302_03_Values">#REF!</definedName>
    <definedName name="dms_030302_04_Values">#REF!</definedName>
    <definedName name="dms_030302_05_Values">#REF!</definedName>
    <definedName name="dms_030302_06_Values">#REF!</definedName>
    <definedName name="dms_030302_Rows">#REF!</definedName>
    <definedName name="dms_030303G_01_Values">#REF!</definedName>
    <definedName name="dms_030303G_02_Values">#REF!</definedName>
    <definedName name="dms_030303G_03_Values">#REF!</definedName>
    <definedName name="dms_030303G_04_Values">#REF!</definedName>
    <definedName name="dms_030303G_05_Values">#REF!</definedName>
    <definedName name="dms_030303G_06_Values">#REF!</definedName>
    <definedName name="dms_030303G_Rows">#REF!</definedName>
    <definedName name="dms_030304_01_Rows">#REF!</definedName>
    <definedName name="dms_030304_01_Values">#REF!</definedName>
    <definedName name="dms_030304_02_Rows">#REF!</definedName>
    <definedName name="dms_030304_02_Values">#REF!</definedName>
    <definedName name="dms_030401_01_Rows">#REF!</definedName>
    <definedName name="dms_030401_01_Values">#REF!</definedName>
    <definedName name="dms_030402_01_Rows">#REF!</definedName>
    <definedName name="dms_030402_01_Values">#REF!</definedName>
    <definedName name="dms_030402_02_Rows">#REF!</definedName>
    <definedName name="dms_030402_02_Values">#REF!</definedName>
    <definedName name="dms_030403_01_Rows">#REF!</definedName>
    <definedName name="dms_030403_01_Values">#REF!</definedName>
    <definedName name="dms_030403_02_Rows">#REF!</definedName>
    <definedName name="dms_030403_02_Values">#REF!</definedName>
    <definedName name="dms_030403_05_Rows">#REF!</definedName>
    <definedName name="dms_030403_05_Values">#REF!</definedName>
    <definedName name="dms_030404_01_Rows">#REF!</definedName>
    <definedName name="dms_030404_01_Values">#REF!</definedName>
    <definedName name="dms_030501_05_Rows">#REF!</definedName>
    <definedName name="dms_030501_05_Values">#REF!</definedName>
    <definedName name="dms_030501_06_Rows">#REF!</definedName>
    <definedName name="dms_030501_06_Values">#REF!</definedName>
    <definedName name="dms_0306_Year">'AER ETL'!$C$87</definedName>
    <definedName name="dms_030601_01_UOM">'AER NRs'!$C$120:$C$123</definedName>
    <definedName name="dms_030601_02_UOM">'AER NRs'!$D$120:$D$123</definedName>
    <definedName name="dms_030605_UOM">'AER NRs'!$C$162:$C$175</definedName>
    <definedName name="dms_03060703_UOM">'AER NRs'!$D$162:$D$166</definedName>
    <definedName name="dms_030701_01_Rows">#REF!</definedName>
    <definedName name="dms_030701_01_UOM">'AER NRs'!$E$120:$E$122</definedName>
    <definedName name="dms_030701_01_Values">#REF!</definedName>
    <definedName name="dms_030702_01_Rows">#REF!</definedName>
    <definedName name="dms_030702_01_UOM">'AER NRs'!$F$120:$F$133</definedName>
    <definedName name="dms_030702_01_Values">#REF!</definedName>
    <definedName name="dms_030703_01_Rows">#REF!</definedName>
    <definedName name="dms_030703_01_UOM">'AER NRs'!$G$120</definedName>
    <definedName name="dms_030703_01_Values">#REF!</definedName>
    <definedName name="dms_040102_01_UOM">'AER NRs'!$K$86:$K$89</definedName>
    <definedName name="dms_040102_04_UOM">'AER NRs'!$L$86:$L$89</definedName>
    <definedName name="dms_0502_Inst_Year">'AER ETL'!$C$66</definedName>
    <definedName name="dms_050201_02_Rows">#REF!</definedName>
    <definedName name="dms_050201_03_Rows">#REF!</definedName>
    <definedName name="dms_050201_04_Rows">#REF!</definedName>
    <definedName name="dms_050201_05_Rows">#REF!</definedName>
    <definedName name="dms_050201_06_Rows">#REF!</definedName>
    <definedName name="dms_050201_07_Rows">#REF!</definedName>
    <definedName name="dms_050201_08_Rows">#REF!</definedName>
    <definedName name="dms_050201_09_Rows">#REF!</definedName>
    <definedName name="dms_050202_02_Values">#REF!</definedName>
    <definedName name="dms_050202_03_Values">#REF!</definedName>
    <definedName name="dms_050202_04_Values">#REF!</definedName>
    <definedName name="dms_050202_05_Values">#REF!</definedName>
    <definedName name="dms_050202_06_Values">#REF!</definedName>
    <definedName name="dms_050202_07_Values">#REF!</definedName>
    <definedName name="dms_050202_08_Values">#REF!</definedName>
    <definedName name="dms_050202_09_Values">#REF!</definedName>
    <definedName name="dms_050301_01_Rows">#REF!</definedName>
    <definedName name="dms_050301_01_Values">#REF!</definedName>
    <definedName name="dms_050301_02_Rows">#REF!</definedName>
    <definedName name="dms_050301_02_Values">#REF!</definedName>
    <definedName name="dms_050301_03_Rows">#REF!</definedName>
    <definedName name="dms_050301_03_Values">#REF!</definedName>
    <definedName name="dms_060101_Rows">'AER NRs'!$C$197</definedName>
    <definedName name="dms_060101_StartDateTxt">'AER NRs'!$E$197</definedName>
    <definedName name="dms_060101_StartDateVal">'AER ETL'!$C$108</definedName>
    <definedName name="dms_060102_Rows">'AER NRs'!$D$197</definedName>
    <definedName name="dms_0603_FeederList">'AER NRs'!$D$214:$H$214</definedName>
    <definedName name="dms_060301_Avg_Duration_Sustained_Int_Row">'AER NRs'!$D$193</definedName>
    <definedName name="dms_060301_checkvalue" localSheetId="2">#REF!</definedName>
    <definedName name="dms_060301_checkvalue">'AER ETL'!$C$91</definedName>
    <definedName name="dms_060301_CustNo_Affected_Row">'AER NRs'!$C$193</definedName>
    <definedName name="dms_060301_Effect_unplanned_SAIDI_Row">'AER NRs'!$E$193</definedName>
    <definedName name="dms_060301_Effect_unplanned_SAIFI_Row">'AER NRs'!$F$193</definedName>
    <definedName name="dms_060301_LastRow" localSheetId="2">#REF!</definedName>
    <definedName name="dms_060301_LastRow">'AER ETL'!$C$93</definedName>
    <definedName name="dms_060301_MaxRows">'AER ETL'!$C$94</definedName>
    <definedName name="dms_060701_ARR_MaxRows" localSheetId="2">#REF!</definedName>
    <definedName name="dms_060701_ARR_MaxRows">'AER ETL'!$C$101</definedName>
    <definedName name="dms_060701_Feeder_Header_Lvl4">'AER NRs'!$D$209:$O$209</definedName>
    <definedName name="dms_060701_MaxCols">'AER ETL'!$C$104</definedName>
    <definedName name="dms_060701_MaxRows">'AER ETL'!$C$102</definedName>
    <definedName name="dms_060701_OffsetRows">'AER ETL'!$C$105</definedName>
    <definedName name="dms_060701_Reset_MaxRows" localSheetId="2">#REF!</definedName>
    <definedName name="dms_060701_Reset_MaxRows">'AER ETL'!$C$100</definedName>
    <definedName name="dms_060701_Rows">'AER NRs'!$D$211:$O$211</definedName>
    <definedName name="dms_060701_StartDateTxt" localSheetId="2">#REF!</definedName>
    <definedName name="dms_060701_StartDateTxt">'AER ETL'!$C$107</definedName>
    <definedName name="dms_060701_StartDateVal">'AER ETL'!$C$108</definedName>
    <definedName name="dms_0608_LastRow" localSheetId="2">#REF!</definedName>
    <definedName name="dms_0608_LastRow">'AER ETL'!$C$114</definedName>
    <definedName name="dms_0608_OffsetRows" localSheetId="2">#REF!</definedName>
    <definedName name="dms_0608_OffsetRows">'AER ETL'!$C$113</definedName>
    <definedName name="dms_060801_01_Rows">'AER NRs'!$C$201</definedName>
    <definedName name="dms_060801_02_Rows">'AER NRs'!$D$201</definedName>
    <definedName name="dms_060801_03_Rows">'AER NRs'!$E$201</definedName>
    <definedName name="dms_060801_04_Rows">'AER NRs'!$F$201</definedName>
    <definedName name="dms_060801_MaxRows">'AER ETL'!$C$115</definedName>
    <definedName name="dms_060801_StartCell">#REF!</definedName>
    <definedName name="dms_070904_01_Rows">'AER NRs'!$D$204:$E$204</definedName>
    <definedName name="dms_070904_Start_Year">'AER ETL'!$C$118</definedName>
    <definedName name="dms_080701_01_Rows">#REF!</definedName>
    <definedName name="dms_080701_01_Values">#REF!</definedName>
    <definedName name="dms_080701_02_Rows">#REF!</definedName>
    <definedName name="dms_080701_02_taxinc_Rows">#REF!</definedName>
    <definedName name="dms_080701_02_taxinc_Values">#REF!</definedName>
    <definedName name="dms_080701_02_taxr_Rows">#REF!</definedName>
    <definedName name="dms_080701_02_taxr_Values">#REF!</definedName>
    <definedName name="dms_080701_02_Values">#REF!</definedName>
    <definedName name="dms_080701_03_Rows">#REF!</definedName>
    <definedName name="dms_080701_03_Values">#REF!</definedName>
    <definedName name="dms_080701_own_Rows">#REF!</definedName>
    <definedName name="dms_080701_own_Values">#REF!</definedName>
    <definedName name="dms_080702_01_Rows">#REF!</definedName>
    <definedName name="dms_080702_01_Values">#REF!</definedName>
    <definedName name="dms_663">'AER ETL'!$C$95</definedName>
    <definedName name="dms_663_List" localSheetId="2">#REF!</definedName>
    <definedName name="dms_663_List">'AER lookups'!$O$10:$O$27</definedName>
    <definedName name="dms_ABN_List" localSheetId="2">#REF!</definedName>
    <definedName name="dms_ABN_List">'AER lookups'!$D$10:$D$27</definedName>
    <definedName name="dms_Addr1_List">'AER lookups'!$P$10:$P$27</definedName>
    <definedName name="dms_Addr2_List">'AER lookups'!$Q$10:$Q$27</definedName>
    <definedName name="dms_AdjAllowedRev">#REF!</definedName>
    <definedName name="dms_Amendment_Text" localSheetId="2">#REF!</definedName>
    <definedName name="dms_Amendment_Text">'Business &amp; other details'!$Y$71</definedName>
    <definedName name="dms_AmendmentReason">'AER ETL'!$C$16</definedName>
    <definedName name="dms_ARR">'AER ETL'!$C$75</definedName>
    <definedName name="dms_Beg">'AER NRs'!$C$178</definedName>
    <definedName name="dms_CA">'AER ETL'!$C$74</definedName>
    <definedName name="dms_Cal_Year_B4_CRY" localSheetId="2">#REF!</definedName>
    <definedName name="dms_Cal_Year_B4_CRY">'AER ETL'!$C$30</definedName>
    <definedName name="dms_CBD_flag" localSheetId="2">#REF!</definedName>
    <definedName name="dms_CBD_flag">'AER lookups'!$Z$10:$Z$27</definedName>
    <definedName name="dms_CBD_flag_NSP">'AER ETL'!$C$123</definedName>
    <definedName name="dms_CF_3.6.1">'AER CF'!$F$7:$F$35</definedName>
    <definedName name="dms_CF_3.6.5">'AER CF'!$G$7:$G$35</definedName>
    <definedName name="dms_CF_3.6.6.1">'AER CF'!$H$7:$H$35</definedName>
    <definedName name="dms_CF_3.6.6.2">'AER CF'!$I$7:$I$35</definedName>
    <definedName name="dms_CF_3.6.6.3">'AER CF'!$J$7:$J$35</definedName>
    <definedName name="dms_CF_3.6.7.1">'AER CF'!$K$7:$K$35</definedName>
    <definedName name="dms_CF_3.6.7.2">'AER CF'!$L$7:$L$35</definedName>
    <definedName name="dms_CF_3.6.7.3">'AER CF'!$M$7:$M$35</definedName>
    <definedName name="dms_CF_3.6.7.4">'AER CF'!$N$7:$N$35</definedName>
    <definedName name="dms_CF_3.6.8">'AER CF'!$O$7:$O$35</definedName>
    <definedName name="dms_CF_4.1">'AER CF'!$P$7:$P$35</definedName>
    <definedName name="dms_CF_4.4.1">'AER CF'!$V$7:$V$35</definedName>
    <definedName name="dms_CF_6.8">'AER CF'!$Q$7:$Q$35</definedName>
    <definedName name="dms_CF_7.12">'AER CF'!$R$7:$R$35</definedName>
    <definedName name="dms_CF_8.1_A">'AER CF'!$S$7:$S$35</definedName>
    <definedName name="dms_CF_8.1_B">'AER CF'!$T$7:$T$35</definedName>
    <definedName name="dms_CF_8.1_Neg">'AER CF'!$U$7:$U$35</definedName>
    <definedName name="dms_CF_F10">'AER CF'!$Y$7:$Y$35</definedName>
    <definedName name="dms_CF_TradingName">'AER CF'!$B$7:$B$35</definedName>
    <definedName name="dms_Classification">'AER ETL'!$C$26</definedName>
    <definedName name="dms_Confid_status_List" localSheetId="2">#REF!</definedName>
    <definedName name="dms_Confid_status_List">'AER NRs'!$D$6:$D$8</definedName>
    <definedName name="dms_ContactEmail">'Business &amp; other details'!$Y$35</definedName>
    <definedName name="dms_ContactEmail2">'Business &amp; other details'!$BD$35</definedName>
    <definedName name="dms_ContactName1">'Business &amp; other details'!$Y$33</definedName>
    <definedName name="dms_ContactName2">'Business &amp; other details'!$BD$33</definedName>
    <definedName name="dms_ContactPh1">'Business &amp; other details'!$Y$34</definedName>
    <definedName name="dms_ContactPh2">'Business &amp; other details'!$BD$34</definedName>
    <definedName name="dms_CRCP_FinalYear_Result">'AER ETL'!$C$48</definedName>
    <definedName name="dms_CRCP_start_row" localSheetId="2">#REF!</definedName>
    <definedName name="dms_CRCP_start_row">'AER ETL'!$C$41</definedName>
    <definedName name="dms_CRCPlength_List" localSheetId="2">#REF!</definedName>
    <definedName name="dms_CRCPlength_List">'AER lookups'!$L$10:$L$27</definedName>
    <definedName name="dms_CRCPlength_Num" localSheetId="2">#REF!</definedName>
    <definedName name="dms_CRCPlength_Num">'AER ETL'!$C$70</definedName>
    <definedName name="dms_CRY_RYE" localSheetId="2">#REF!</definedName>
    <definedName name="dms_CRY_RYE">'AER ETL'!$C$54</definedName>
    <definedName name="dms_CRY_start_row" localSheetId="2">#REF!</definedName>
    <definedName name="dms_CRY_start_row">'AER ETL'!$C$39</definedName>
    <definedName name="dms_CRY_start_year">'AER ETL'!$C$38</definedName>
    <definedName name="dms_DataQuality">'AER ETL'!$C$20</definedName>
    <definedName name="dms_DataQuality_List" localSheetId="2">#REF!</definedName>
    <definedName name="dms_DataQuality_List">'AER NRs'!$C$6:$C$9</definedName>
    <definedName name="dms_Defined_Names_Used">'AER ETL'!$C$3</definedName>
    <definedName name="dms_DeterminationRef_List">#REF!</definedName>
    <definedName name="dms_DISCARD">'AER ETL'!$C$130</definedName>
    <definedName name="dms_DNSP_020301_ProjectTrigger">'AER NRs'!$E$34:$E$40</definedName>
    <definedName name="dms_DNSP_020301_ProjectType">'AER NRs'!$D$34:$D$37</definedName>
    <definedName name="dms_DNSP_020301_SubstationType">'AER NRs'!$C$34:$C$37</definedName>
    <definedName name="dms_DNSP_020302_ProjectTrigger">'AER NRs'!$G$34:$G$41</definedName>
    <definedName name="dms_DNSP_020302_ProjectType">'AER NRs'!$F$34:$F$46</definedName>
    <definedName name="dms_DollarReal">'AER ETL'!$C$32</definedName>
    <definedName name="dms_DollarReal_Prev">'AER ETL'!$C$33</definedName>
    <definedName name="dms_DollarReal_year" localSheetId="2">#REF!</definedName>
    <definedName name="dms_DollarReal_year">'AER ETL'!$C$52</definedName>
    <definedName name="dms_DQ_1">'AER ETL'!$C$14</definedName>
    <definedName name="dms_DQ_2">'AER ETL'!$C$15</definedName>
    <definedName name="dms_E020202_UOM">'AER NRs'!$E$162:$E$163</definedName>
    <definedName name="dms_E050201_UOM">'AER NRs'!$O$86:$O$88</definedName>
    <definedName name="dms_E050202_UOM">'AER NRs'!$P$86:$P$88</definedName>
    <definedName name="dms_EB">'AER ETL'!$C$73</definedName>
    <definedName name="dms_EB_RAB_PIT">'AER NRs'!$C$154:$C$159</definedName>
    <definedName name="dms_End">'AER NRs'!$E$178</definedName>
    <definedName name="dms_FeederName_1" localSheetId="2">#REF!</definedName>
    <definedName name="dms_FeederName_1">'AER lookups'!$AE$10:$AE$27</definedName>
    <definedName name="dms_FeederName_2" localSheetId="2">#REF!</definedName>
    <definedName name="dms_FeederName_2">'AER lookups'!$AF$10:$AF$27</definedName>
    <definedName name="dms_FeederName_3" localSheetId="2">#REF!</definedName>
    <definedName name="dms_FeederName_3">'AER lookups'!$AG$10:$AG$27</definedName>
    <definedName name="dms_FeederName_4" localSheetId="2">#REF!</definedName>
    <definedName name="dms_FeederName_4">'AER lookups'!$AH$10:$AH$27</definedName>
    <definedName name="dms_FeederName_5" localSheetId="2">#REF!</definedName>
    <definedName name="dms_FeederName_5">'AER lookups'!$AI$10:$AI$27</definedName>
    <definedName name="dms_FeederType_5_flag" localSheetId="2">#REF!</definedName>
    <definedName name="dms_FeederType_5_flag">'AER lookups'!$AD$10:$AD$27</definedName>
    <definedName name="dms_FifthFeeder_flag_NSP" localSheetId="2">#REF!</definedName>
    <definedName name="dms_FifthFeeder_flag_NSP">'AER ETL'!$C$127</definedName>
    <definedName name="dms_FormControl">'AER ETL'!$C$35</definedName>
    <definedName name="dms_FormControl_Choices">'AER NRs'!$D$14:$D$17</definedName>
    <definedName name="dms_FormControl_List" localSheetId="2">#REF!</definedName>
    <definedName name="dms_FormControl_List">'AER lookups'!$I$10:$I$27</definedName>
    <definedName name="dms_FRCP_start_row" localSheetId="2">#REF!</definedName>
    <definedName name="dms_FRCP_start_row">'AER ETL'!$C$40</definedName>
    <definedName name="dms_FRCP_y1">'AER lookups'!$H$49</definedName>
    <definedName name="dms_FRCPlength_List" localSheetId="2">#REF!</definedName>
    <definedName name="dms_FRCPlength_List">'AER lookups'!$M$10:$M$27</definedName>
    <definedName name="dms_FRCPlength_Num" localSheetId="2">#REF!</definedName>
    <definedName name="dms_FRCPlength_Num">'AER ETL'!$C$71</definedName>
    <definedName name="dms_Header_Span">'AER ETL'!$C$61</definedName>
    <definedName name="dms_Jurisdiction">'AER ETL'!$C$27</definedName>
    <definedName name="dms_JurisdictionList" localSheetId="2">#REF!</definedName>
    <definedName name="dms_JurisdictionList">'AER lookups'!$F$10:$F$27</definedName>
    <definedName name="dms_LeapYear_Result" localSheetId="2">#REF!</definedName>
    <definedName name="dms_LeapYear_Result">'AER ETL'!$C$99</definedName>
    <definedName name="dms_LongRural_flag" localSheetId="2">#REF!</definedName>
    <definedName name="dms_LongRural_flag">'AER lookups'!$AC$10:$AC$27</definedName>
    <definedName name="dms_LongRural_flag_NSP">'AER ETL'!$C$126</definedName>
    <definedName name="dms_MAIFI_Flag">'AER ETL'!$C$109</definedName>
    <definedName name="dms_MAIFI_flag_List">'AER lookups'!$AJ$10:$AJ$27</definedName>
    <definedName name="dms_Mid">'AER NRs'!$D$178</definedName>
    <definedName name="dms_Model" localSheetId="2">#REF!</definedName>
    <definedName name="dms_Model">'AER ETL'!$C$12</definedName>
    <definedName name="dms_Model_List" localSheetId="2">#REF!</definedName>
    <definedName name="dms_Model_List">'AER lookups'!$B$32:$B$44</definedName>
    <definedName name="dms_Model_Name_Format1">'AER lookups'!$C$32:$C$44</definedName>
    <definedName name="dms_Model_Span" localSheetId="2">#REF!</definedName>
    <definedName name="dms_Model_Span">'AER ETL'!$C$57</definedName>
    <definedName name="dms_Model_Span_List" localSheetId="2">#REF!</definedName>
    <definedName name="dms_Model_Span_List">'AER lookups'!$E$32:$E$44</definedName>
    <definedName name="dms_Multi_RYE_flag">'AER ETL'!$C$137</definedName>
    <definedName name="dms_MultiYear_ABC_RIN">'AER ETL'!$C$83</definedName>
    <definedName name="dms_MultiYear_FinalYear_Result">'AER ETL'!$C$81</definedName>
    <definedName name="dms_MultiYear_Flag" localSheetId="2">#REF!</definedName>
    <definedName name="dms_MultiYear_Flag">'AER ETL'!$C$64</definedName>
    <definedName name="dms_MultiYear_ResponseFlag" localSheetId="2">#REF!</definedName>
    <definedName name="dms_MultiYear_ResponseFlag">'AER ETL'!$C$63</definedName>
    <definedName name="dms_N0205_AssetType">'AER NRs'!$N$34:$N$44</definedName>
    <definedName name="dms_PAddr1_List">'AER lookups'!$U$10:$U$27</definedName>
    <definedName name="dms_PAddr2_List">'AER lookups'!$V$10:$V$27</definedName>
    <definedName name="dms_Partial">'AER ETL'!$C$133</definedName>
    <definedName name="dms_PostCode">'Business &amp; other details'!$AK$27</definedName>
    <definedName name="dms_PostCode_List">'AER lookups'!$T$10:$T$27</definedName>
    <definedName name="dms_PPostCode">'Business &amp; other details'!$BP$27</definedName>
    <definedName name="dms_PPostCode_List">'AER lookups'!$Y$10:$Y$27</definedName>
    <definedName name="dms_PRCP_start_row" localSheetId="2">#REF!</definedName>
    <definedName name="dms_PRCP_start_row">'AER ETL'!$C$42</definedName>
    <definedName name="dms_PRCPlength_List" localSheetId="2">#REF!</definedName>
    <definedName name="dms_PRCPlength_List">'AER lookups'!$N$10:$N$27</definedName>
    <definedName name="dms_PRCPlength_Num" localSheetId="2">#REF!</definedName>
    <definedName name="dms_PRCPlength_Num">'AER ETL'!$C$69</definedName>
    <definedName name="dms_Previous_DollarReal_year" localSheetId="2">#REF!</definedName>
    <definedName name="dms_Previous_DollarReal_year">'AER ETL'!$C$53</definedName>
    <definedName name="dms_PState_List">'AER lookups'!$X$10:$X$27</definedName>
    <definedName name="dms_PSuburb_List">'AER lookups'!$W$10:$W$27</definedName>
    <definedName name="dms_PTRM_RAB_PIT">'AER NRs'!$C$181:$C$185</definedName>
    <definedName name="dms_PTRM_TAB_PIT">'AER NRs'!$D$181:$D$184</definedName>
    <definedName name="dms_Public_Lighting">'AER ETL'!$C$122</definedName>
    <definedName name="dms_Public_Lighting_List" localSheetId="2">#REF!</definedName>
    <definedName name="dms_Public_Lighting_List">'AER lookups'!$AK$10:$AK$27</definedName>
    <definedName name="dms_Reason_Interruption">'AER NRs'!$I$34:$I$49</definedName>
    <definedName name="dms_Reset_final_year" localSheetId="2">#REF!</definedName>
    <definedName name="dms_Reset_final_year">'AER ETL'!$C$50</definedName>
    <definedName name="dms_Reset_RYE" localSheetId="2">#REF!</definedName>
    <definedName name="dms_Reset_RYE">'AER ETL'!$C$55</definedName>
    <definedName name="dms_Reset_Span" localSheetId="2">#REF!</definedName>
    <definedName name="dms_Reset_Span">'AER ETL'!$C$59</definedName>
    <definedName name="dms_RevenueEarned">#REF!</definedName>
    <definedName name="dms_RPT" localSheetId="2">#REF!</definedName>
    <definedName name="dms_RPT">'AER ETL'!$C$24</definedName>
    <definedName name="dms_RPT_List" localSheetId="2">#REF!</definedName>
    <definedName name="dms_RPT_List">'AER lookups'!$J$10:$J$27</definedName>
    <definedName name="dms_RPTMonth" localSheetId="2">#REF!</definedName>
    <definedName name="dms_RPTMonth">'AER ETL'!$C$31</definedName>
    <definedName name="dms_RPTMonth_List" localSheetId="2">#REF!</definedName>
    <definedName name="dms_RPTMonth_List">'AER lookups'!$K$10:$K$27</definedName>
    <definedName name="dms_RYE">'AER ETL'!$C$23</definedName>
    <definedName name="dms_RYE_01">'AER ETL'!$C$139</definedName>
    <definedName name="dms_RYE_02">'AER ETL'!$C$140</definedName>
    <definedName name="dms_RYE_03">'AER ETL'!$C$141</definedName>
    <definedName name="dms_RYE_04">'AER ETL'!$C$142</definedName>
    <definedName name="dms_RYE_05">'AER ETL'!$C$143</definedName>
    <definedName name="dms_RYE_06">'AER ETL'!$C$144</definedName>
    <definedName name="dms_RYE_07">'AER ETL'!$C$145</definedName>
    <definedName name="dms_RYE_08">'AER ETL'!$C$146</definedName>
    <definedName name="dms_RYE_09">'AER ETL'!$C$147</definedName>
    <definedName name="dms_RYE_result" localSheetId="2">#REF!</definedName>
    <definedName name="dms_RYE_result">'AER ETL'!$C$58</definedName>
    <definedName name="dms_RYE_start_row" localSheetId="2">#REF!</definedName>
    <definedName name="dms_RYE_start_row">'AER ETL'!$C$43</definedName>
    <definedName name="dms_S140101_UOM">'AER NRs'!$M$86:$M$89</definedName>
    <definedName name="dms_S140201_UOM">'AER NRs'!$N$86:$N$88</definedName>
    <definedName name="dms_Sector">'AER ETL'!$C$21</definedName>
    <definedName name="dms_Sector_List" localSheetId="2">#REF!</definedName>
    <definedName name="dms_Sector_List">'AER lookups'!$G$10:$G$27</definedName>
    <definedName name="dms_Segment" localSheetId="2">#REF!</definedName>
    <definedName name="dms_Segment">'AER ETL'!$C$22</definedName>
    <definedName name="dms_Segment_List" localSheetId="2">#REF!</definedName>
    <definedName name="dms_Segment_List">'AER lookups'!$H$10:$H$27</definedName>
    <definedName name="dms_Selected_Quality" localSheetId="2">#REF!</definedName>
    <definedName name="dms_Selected_Quality">'Business &amp; other details'!$Y$67</definedName>
    <definedName name="dms_Selected_Source" localSheetId="2">#REF!</definedName>
    <definedName name="dms_Selected_Source">'Business &amp; other details'!$Y$65</definedName>
    <definedName name="dms_Selected_Status" localSheetId="2">#REF!</definedName>
    <definedName name="dms_Selected_Status">'Business &amp; other details'!$Y$69</definedName>
    <definedName name="dms_SheetHeading1" localSheetId="2">#REF!</definedName>
    <definedName name="dms_SheetHeading1">'Business &amp; other details'!$I$1</definedName>
    <definedName name="dms_SheetHeading2" localSheetId="2">#REF!</definedName>
    <definedName name="dms_SheetHeading2">'Business &amp; other details'!$I$2</definedName>
    <definedName name="dms_SheetHeading3" localSheetId="2">#REF!</definedName>
    <definedName name="dms_SheetHeading3">'Business &amp; other details'!$I$3</definedName>
    <definedName name="dms_ShortRural_flag" localSheetId="2">#REF!</definedName>
    <definedName name="dms_ShortRural_flag">'AER lookups'!$AB$10:$AB$27</definedName>
    <definedName name="dms_ShortRural_flag_NSP">'AER ETL'!$C$125</definedName>
    <definedName name="dms_SingleYear_FinalYear_Result">'AER ETL'!$C$77</definedName>
    <definedName name="dms_SingleYear_Model" localSheetId="2">#REF!</definedName>
    <definedName name="dms_SingleYear_Model">'AER ETL'!$C$73:$C$75</definedName>
    <definedName name="dms_SingleYearModel" localSheetId="2">#REF!</definedName>
    <definedName name="dms_SingleYearModel">'AER ETL'!$C$76</definedName>
    <definedName name="dms_Source">'AER ETL'!$C$13</definedName>
    <definedName name="dms_SourceList" localSheetId="2">#REF!</definedName>
    <definedName name="dms_SourceList">'AER NRs'!$C$14:$C$29</definedName>
    <definedName name="dms_Specified_FinalYear" localSheetId="2">#REF!</definedName>
    <definedName name="dms_Specified_FinalYear">'AER ETL'!$C$65</definedName>
    <definedName name="dms_Specified_RYE" localSheetId="2">#REF!</definedName>
    <definedName name="dms_Specified_RYE">'AER ETL'!$C$56</definedName>
    <definedName name="dms_SpecifiedYear_final_year">'AER ETL'!$C$51</definedName>
    <definedName name="dms_SpecifiedYear_Span" localSheetId="2">#REF!</definedName>
    <definedName name="dms_SpecifiedYear_Span">'AER ETL'!$C$60</definedName>
    <definedName name="dms_start_year" localSheetId="2">#REF!</definedName>
    <definedName name="dms_start_year">'AER ETL'!$C$37</definedName>
    <definedName name="dms_State_List">'AER lookups'!$S$10:$S$27</definedName>
    <definedName name="dms_STPIS_Exclusion_List">'AER NRs'!$H$34:$H$43</definedName>
    <definedName name="dms_SubmissionDate">'AER ETL'!$C$17</definedName>
    <definedName name="dms_Suburb_List">'AER lookups'!$R$10:$R$27</definedName>
    <definedName name="dms_TemplateNumber">'AER lookups'!$C$3</definedName>
    <definedName name="dms_TNSP_0203_ProjectTrigger">'AER NRs'!$G$67:$G$74</definedName>
    <definedName name="dms_TNSP_0203_SubstationType">'AER NRs'!$C$67:$C$70</definedName>
    <definedName name="dms_TNSP_020301_ProjectTrigger">'AER NRs'!$E$67:$E$74</definedName>
    <definedName name="dms_TNSP_020301_ProjectType">'AER NRs'!$D$67:$D$70</definedName>
    <definedName name="dms_TNSP_020302_ProjectType">'AER NRs'!$F$67:$F$79</definedName>
    <definedName name="dms_TradingName" localSheetId="2">#REF!</definedName>
    <definedName name="dms_TradingName">'Business &amp; other details'!$Y$16</definedName>
    <definedName name="dms_TradingName_List" localSheetId="2">#REF!</definedName>
    <definedName name="dms_TradingName_List">'AER lookups'!$B$10:$B$27</definedName>
    <definedName name="dms_TradingNameFull">'AER ETL'!$C$9</definedName>
    <definedName name="dms_TradingNameFull_List" localSheetId="2">#REF!</definedName>
    <definedName name="dms_TradingNameFull_List">'AER lookups'!$C$10:$C$27</definedName>
    <definedName name="dms_Typed_Submission_Date" localSheetId="2">#REF!</definedName>
    <definedName name="dms_Typed_Submission_Date">'Business &amp; other details'!$Y$75</definedName>
    <definedName name="dms_UID_List">'AER lookups'!$E$10:$E$27</definedName>
    <definedName name="dms_Urban_flag" localSheetId="2">#REF!</definedName>
    <definedName name="dms_Urban_flag">'AER lookups'!$AA$10:$AA$27</definedName>
    <definedName name="dms_Urban_flag_NSP">'AER ETL'!$C$124</definedName>
    <definedName name="dms_Worksheet_List">'AER lookups'!$D$32:$D$44</definedName>
    <definedName name="DMS_Xfactor">'AER NRs'!$E$181</definedName>
    <definedName name="dms_y1">'AER lookups'!$E$84</definedName>
    <definedName name="dms_y10">'AER lookups'!$E$93</definedName>
    <definedName name="dms_y11">'AER lookups'!$E$94</definedName>
    <definedName name="dms_y12">'AER lookups'!$E$95</definedName>
    <definedName name="dms_y13">'AER lookups'!$E$96</definedName>
    <definedName name="dms_y14">'AER lookups'!$E$97</definedName>
    <definedName name="dms_y15">'AER lookups'!$E$98</definedName>
    <definedName name="dms_y16">'AER lookups'!$E$99</definedName>
    <definedName name="dms_y17">'AER lookups'!$E$100</definedName>
    <definedName name="dms_y18">'AER lookups'!$E$101</definedName>
    <definedName name="dms_y19">'AER lookups'!$E$102</definedName>
    <definedName name="dms_y2">'AER lookups'!$E$85</definedName>
    <definedName name="dms_y20">'AER lookups'!$E$103</definedName>
    <definedName name="dms_y21">'AER lookups'!$E$104</definedName>
    <definedName name="dms_y22">'AER lookups'!$E$105</definedName>
    <definedName name="dms_y23">'AER lookups'!$E$106</definedName>
    <definedName name="dms_y24">'AER lookups'!$E$107</definedName>
    <definedName name="dms_y25">'AER lookups'!$E$108</definedName>
    <definedName name="dms_y26">'AER lookups'!$E$109</definedName>
    <definedName name="dms_y3">'AER lookups'!$E$86</definedName>
    <definedName name="dms_y4">'AER lookups'!$E$87</definedName>
    <definedName name="dms_y5">'AER lookups'!$E$88</definedName>
    <definedName name="dms_y6">'AER lookups'!$E$89</definedName>
    <definedName name="dms_y7">'AER lookups'!$E$90</definedName>
    <definedName name="dms_y8">'AER lookups'!$E$91</definedName>
    <definedName name="dms_y9">'AER lookups'!$E$92</definedName>
    <definedName name="EB">'AER lookups'!$C$36</definedName>
    <definedName name="EB_Fmt2">'AER lookups'!$D$36</definedName>
    <definedName name="Financial">'AER lookups'!$B$49:$B$114</definedName>
    <definedName name="FRCP_final_year" localSheetId="2">#REF!</definedName>
    <definedName name="FRCP_final_year">'AER ETL'!$C$47</definedName>
    <definedName name="FRCP_start_year">'AER ETL'!$C$44</definedName>
    <definedName name="FRCP_y1" localSheetId="2">#REF!</definedName>
    <definedName name="FRCP_y1">'Business &amp; other details'!$Y$43</definedName>
    <definedName name="FRCP_y10">'AER lookups'!$I$58</definedName>
    <definedName name="FRCP_y11">'AER lookups'!$I$59</definedName>
    <definedName name="FRCP_y12">'AER lookups'!$I$60</definedName>
    <definedName name="FRCP_y13">'AER lookups'!$I$61</definedName>
    <definedName name="FRCP_y14">'AER lookups'!$I$62</definedName>
    <definedName name="FRCP_y15">'AER lookups'!$I$63</definedName>
    <definedName name="FRCP_y16">'AER lookups'!$I$64</definedName>
    <definedName name="FRCP_y17">'AER lookups'!$I$65</definedName>
    <definedName name="FRCP_y18">'AER lookups'!$I$66</definedName>
    <definedName name="FRCP_y19">'AER lookups'!$I$67</definedName>
    <definedName name="FRCP_y2">'AER lookups'!$I$50</definedName>
    <definedName name="FRCP_y20">'AER lookups'!$I$68</definedName>
    <definedName name="FRCP_y21">'AER lookups'!$I$69</definedName>
    <definedName name="FRCP_y22">'AER lookups'!$I$70</definedName>
    <definedName name="FRCP_y23">'AER lookups'!$I$71</definedName>
    <definedName name="FRCP_y24">'AER lookups'!$I$72</definedName>
    <definedName name="FRCP_y25">'AER lookups'!$I$73</definedName>
    <definedName name="FRCP_y3">'AER lookups'!$I$51</definedName>
    <definedName name="FRCP_y4">'AER lookups'!$I$52</definedName>
    <definedName name="FRCP_y5">'AER lookups'!$I$53</definedName>
    <definedName name="FRCP_y6">'AER lookups'!$I$54</definedName>
    <definedName name="FRCP_y7">'AER lookups'!$I$55</definedName>
    <definedName name="FRCP_y8">'AER lookups'!$I$56</definedName>
    <definedName name="FRCP_y9">'AER lookups'!$I$57</definedName>
    <definedName name="FRY" localSheetId="2">#REF!</definedName>
    <definedName name="FRY">'Business &amp; other details'!$Y$57</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'AER CF'!$C$7:$C$35</definedName>
    <definedName name="LAN" localSheetId="6" hidden="1">{"Ownership",#N/A,FALSE,"Ownership";"Contents",#N/A,FALSE,"Contents"}</definedName>
    <definedName name="LAN" localSheetId="9" hidden="1">{"Ownership",#N/A,FALSE,"Ownership";"Contents",#N/A,FALSE,"Contents"}</definedName>
    <definedName name="LAN" localSheetId="8" hidden="1">{"Ownership",#N/A,FALSE,"Ownership";"Contents",#N/A,FALSE,"Contents"}</definedName>
    <definedName name="LAN" localSheetId="7" hidden="1">{"Ownership",#N/A,FALSE,"Ownership";"Contents",#N/A,FALSE,"Contents"}</definedName>
    <definedName name="LAN">{"Ownership",#N/A,FALSE,"Ownership";"Contents",#N/A,FALSE,"Contents"}</definedName>
    <definedName name="MAIFI_flag">#REF!</definedName>
    <definedName name="PRCP_final_year" localSheetId="2">#REF!</definedName>
    <definedName name="PRCP_final_year">'AER ETL'!$C$49</definedName>
    <definedName name="PRCP_start_year">'AER ETL'!$C$46</definedName>
    <definedName name="PRCP_y1">'AER lookups'!$E$49</definedName>
    <definedName name="PRCP_y10">'AER lookups'!$E$58</definedName>
    <definedName name="PRCP_y11">'AER lookups'!$E$59</definedName>
    <definedName name="PRCP_y12">'AER lookups'!$E$60</definedName>
    <definedName name="PRCP_y13">'AER lookups'!$E$61</definedName>
    <definedName name="PRCP_y14">'AER lookups'!$E$62</definedName>
    <definedName name="PRCP_y15">'AER lookups'!$E$63</definedName>
    <definedName name="PRCP_y16">'AER lookups'!$E$64</definedName>
    <definedName name="PRCP_y17">'AER lookups'!$E$65</definedName>
    <definedName name="PRCP_y18">'AER lookups'!$E$66</definedName>
    <definedName name="PRCP_y19">'AER lookups'!$E$67</definedName>
    <definedName name="PRCP_y2">'AER lookups'!$E$50</definedName>
    <definedName name="PRCP_y20">'AER lookups'!$E$68</definedName>
    <definedName name="PRCP_y21">'AER lookups'!$E$69</definedName>
    <definedName name="PRCP_y22">'AER lookups'!$E$70</definedName>
    <definedName name="PRCP_y23">'AER lookups'!$E$71</definedName>
    <definedName name="PRCP_y24">'AER lookups'!$E$72</definedName>
    <definedName name="PRCP_y25">'AER lookups'!$E$73</definedName>
    <definedName name="PRCP_y3" localSheetId="2">#REF!</definedName>
    <definedName name="PRCP_y3">'AER lookups'!$E$51</definedName>
    <definedName name="PRCP_y4" localSheetId="2">#REF!</definedName>
    <definedName name="PRCP_y4">'AER lookups'!$E$52</definedName>
    <definedName name="PRCP_y5">'AER lookups'!$E$53</definedName>
    <definedName name="PRCP_y6">'AER lookups'!$E$54</definedName>
    <definedName name="PRCP_y7">'AER lookups'!$E$55</definedName>
    <definedName name="PRCP_y8">'AER lookups'!$E$56</definedName>
    <definedName name="PRCP_y9">'AER lookups'!$E$57</definedName>
    <definedName name="Pricing">'AER lookups'!$C$38</definedName>
    <definedName name="Pricing_Fmt2">'AER lookups'!$D$38</definedName>
    <definedName name="PTRM">'AER lookups'!$C$40</definedName>
    <definedName name="PTRM_Fmt2">'AER lookups'!$D$40</definedName>
    <definedName name="Reset">'AER lookups'!$C$41</definedName>
    <definedName name="Reset_Fmt2">'AER lookups'!$D$41</definedName>
    <definedName name="Reset_outputs">'AER lookups'!$C$42</definedName>
    <definedName name="RFM">'AER lookups'!$C$43</definedName>
    <definedName name="RFM_Fmt2">'AER lookups'!$D$43</definedName>
    <definedName name="Sector">'AER CF'!$D$7:$D$35</definedName>
    <definedName name="Segment">'AER CF'!$E$7:$E$35</definedName>
    <definedName name="teest" localSheetId="9" hidden="1">{"Ownership",#N/A,FALSE,"Ownership";"Contents",#N/A,FALSE,"Contents"}</definedName>
    <definedName name="teest" localSheetId="8" hidden="1">{"Ownership",#N/A,FALSE,"Ownership";"Contents",#N/A,FALSE,"Contents"}</definedName>
    <definedName name="teest" localSheetId="7" hidden="1">{"Ownership",#N/A,FALSE,"Ownership";"Contents",#N/A,FALSE,"Contents"}</definedName>
    <definedName name="teest" hidden="1">{"Ownership",#N/A,FALSE,"Ownership";"Contents",#N/A,FALSE,"Contents"}</definedName>
    <definedName name="test" localSheetId="9" hidden="1">{"Ownership",#N/A,FALSE,"Ownership";"Contents",#N/A,FALSE,"Contents"}</definedName>
    <definedName name="test" localSheetId="8" hidden="1">{"Ownership",#N/A,FALSE,"Ownership";"Contents",#N/A,FALSE,"Contents"}</definedName>
    <definedName name="test" localSheetId="7" hidden="1">{"Ownership",#N/A,FALSE,"Ownership";"Contents",#N/A,FALSE,"Contents"}</definedName>
    <definedName name="test" hidden="1">{"Ownership",#N/A,FALSE,"Ownership";"Contents",#N/A,FALSE,"Contents"}</definedName>
    <definedName name="WACC">'AER lookups'!$C$44</definedName>
    <definedName name="WACC_Fmt2">'AER lookups'!$D$44</definedName>
    <definedName name="wrn.App._.Custodians." localSheetId="9" hidden="1">{"Ownership",#N/A,FALSE,"Ownership";"Contents",#N/A,FALSE,"Contents"}</definedName>
    <definedName name="wrn.App._.Custodians." localSheetId="8" hidden="1">{"Ownership",#N/A,FALSE,"Ownership";"Contents",#N/A,FALSE,"Contents"}</definedName>
    <definedName name="wrn.App._.Custodians." localSheetId="7"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7" i="85" l="1"/>
  <c r="C104" i="85" s="1"/>
  <c r="C126" i="85"/>
  <c r="C125" i="85"/>
  <c r="C124" i="85"/>
  <c r="C123" i="85"/>
  <c r="C122" i="85"/>
  <c r="C115" i="85"/>
  <c r="C114" i="85"/>
  <c r="C112" i="85"/>
  <c r="C105" i="85"/>
  <c r="C99" i="85"/>
  <c r="C101" i="85" s="1"/>
  <c r="C98" i="85"/>
  <c r="C95" i="85"/>
  <c r="C94" i="85"/>
  <c r="C93" i="85"/>
  <c r="C91" i="85"/>
  <c r="C92" i="85" s="1"/>
  <c r="C90" i="85"/>
  <c r="C75" i="85"/>
  <c r="C74" i="85"/>
  <c r="C76" i="85" s="1"/>
  <c r="C73" i="85"/>
  <c r="C71" i="85"/>
  <c r="C70" i="85"/>
  <c r="C69" i="85"/>
  <c r="C65" i="85"/>
  <c r="C64" i="85"/>
  <c r="C84" i="85" s="1"/>
  <c r="C57" i="85"/>
  <c r="C80" i="85" s="1"/>
  <c r="C56" i="85"/>
  <c r="C60" i="85" s="1"/>
  <c r="C54" i="85"/>
  <c r="C38" i="85"/>
  <c r="C37" i="85"/>
  <c r="C35" i="85"/>
  <c r="C31" i="85"/>
  <c r="C29" i="85"/>
  <c r="C27" i="85"/>
  <c r="J25" i="85" a="1"/>
  <c r="J25" i="85" s="1"/>
  <c r="C24" i="85"/>
  <c r="C30" i="85" s="1"/>
  <c r="C22" i="85"/>
  <c r="C87" i="85" s="1"/>
  <c r="C21" i="85"/>
  <c r="C17" i="85"/>
  <c r="C16" i="85"/>
  <c r="E13" i="85"/>
  <c r="C11" i="85"/>
  <c r="C10" i="85"/>
  <c r="C9" i="85"/>
  <c r="AL10" i="84"/>
  <c r="AL11" i="84"/>
  <c r="AL12" i="84"/>
  <c r="AL13" i="84"/>
  <c r="AL14" i="84"/>
  <c r="AL15" i="84"/>
  <c r="AL16" i="84"/>
  <c r="AL17" i="84"/>
  <c r="AL18" i="84"/>
  <c r="AL19" i="84"/>
  <c r="AL20" i="84"/>
  <c r="AL21" i="84"/>
  <c r="AL22" i="84"/>
  <c r="AL23" i="84"/>
  <c r="AL24" i="84"/>
  <c r="AL25" i="84"/>
  <c r="AL26" i="84"/>
  <c r="AL27" i="84"/>
  <c r="D32" i="84"/>
  <c r="D33" i="84"/>
  <c r="D36" i="84"/>
  <c r="H49" i="84"/>
  <c r="H214" i="83"/>
  <c r="G214" i="83"/>
  <c r="F214" i="83"/>
  <c r="E214" i="83"/>
  <c r="D214" i="83"/>
  <c r="M209" i="83"/>
  <c r="L209" i="83"/>
  <c r="K209" i="83"/>
  <c r="J209" i="83"/>
  <c r="I209" i="83"/>
  <c r="H209" i="83"/>
  <c r="G209" i="83"/>
  <c r="F209" i="83"/>
  <c r="E209" i="83"/>
  <c r="D209" i="83"/>
  <c r="X35" i="82"/>
  <c r="W35" i="82"/>
  <c r="Q35" i="82"/>
  <c r="X34" i="82"/>
  <c r="W34" i="82"/>
  <c r="Q34" i="82"/>
  <c r="X33" i="82"/>
  <c r="W33" i="82"/>
  <c r="Q33" i="82"/>
  <c r="X32" i="82"/>
  <c r="W32" i="82"/>
  <c r="Q32" i="82"/>
  <c r="X31" i="82"/>
  <c r="W31" i="82"/>
  <c r="Q31" i="82"/>
  <c r="X29" i="82"/>
  <c r="W29" i="82"/>
  <c r="Q29" i="82"/>
  <c r="X28" i="82"/>
  <c r="W28" i="82"/>
  <c r="Q28" i="82"/>
  <c r="X27" i="82"/>
  <c r="W27" i="82"/>
  <c r="Q27" i="82"/>
  <c r="X26" i="82"/>
  <c r="W26" i="82"/>
  <c r="Q26" i="82"/>
  <c r="X24" i="82"/>
  <c r="W24" i="82"/>
  <c r="Q24" i="82"/>
  <c r="X23" i="82"/>
  <c r="W23" i="82"/>
  <c r="Q23" i="82"/>
  <c r="X22" i="82"/>
  <c r="W22" i="82"/>
  <c r="Q22" i="82"/>
  <c r="X21" i="82"/>
  <c r="W21" i="82"/>
  <c r="Q21" i="82"/>
  <c r="X20" i="82"/>
  <c r="W20" i="82"/>
  <c r="Q20" i="82"/>
  <c r="X19" i="82"/>
  <c r="W19" i="82"/>
  <c r="Q19" i="82"/>
  <c r="X18" i="82"/>
  <c r="W18" i="82"/>
  <c r="Q18" i="82"/>
  <c r="X17" i="82"/>
  <c r="W17" i="82"/>
  <c r="Q17" i="82"/>
  <c r="X16" i="82"/>
  <c r="W16" i="82"/>
  <c r="Q16" i="82"/>
  <c r="X15" i="82"/>
  <c r="W15" i="82"/>
  <c r="Q15" i="82"/>
  <c r="X14" i="82"/>
  <c r="W14" i="82"/>
  <c r="Q14" i="82"/>
  <c r="X13" i="82"/>
  <c r="W13" i="82"/>
  <c r="Q13" i="82"/>
  <c r="X12" i="82"/>
  <c r="W12" i="82"/>
  <c r="Q12" i="82"/>
  <c r="X11" i="82"/>
  <c r="W11" i="82"/>
  <c r="Q11" i="82"/>
  <c r="X10" i="82"/>
  <c r="W10" i="82"/>
  <c r="Q10" i="82"/>
  <c r="X9" i="82"/>
  <c r="W9" i="82"/>
  <c r="Q9" i="82"/>
  <c r="U5" i="82"/>
  <c r="J67" i="81"/>
  <c r="K67" i="81"/>
  <c r="L67" i="81"/>
  <c r="M67" i="81"/>
  <c r="N67" i="81"/>
  <c r="O67" i="81"/>
  <c r="O66" i="81"/>
  <c r="N66" i="81"/>
  <c r="M66" i="81"/>
  <c r="L66" i="81"/>
  <c r="K66" i="81"/>
  <c r="J66" i="81"/>
  <c r="J57" i="81"/>
  <c r="K57" i="81"/>
  <c r="L57" i="81"/>
  <c r="M57" i="81"/>
  <c r="N57" i="81"/>
  <c r="O57" i="81"/>
  <c r="J58" i="81"/>
  <c r="K58" i="81"/>
  <c r="L58" i="81"/>
  <c r="M58" i="81"/>
  <c r="N58" i="81"/>
  <c r="O58" i="81"/>
  <c r="J59" i="81"/>
  <c r="K59" i="81"/>
  <c r="L59" i="81"/>
  <c r="M59" i="81"/>
  <c r="N59" i="81"/>
  <c r="O59" i="81"/>
  <c r="K56" i="81"/>
  <c r="O56" i="81"/>
  <c r="N56" i="81"/>
  <c r="M56" i="81"/>
  <c r="L56" i="81"/>
  <c r="J56" i="81"/>
  <c r="O50" i="81"/>
  <c r="O49" i="81"/>
  <c r="N50" i="81"/>
  <c r="N49" i="81"/>
  <c r="M50" i="81"/>
  <c r="M49" i="81"/>
  <c r="L50" i="81"/>
  <c r="L49" i="81"/>
  <c r="K50" i="81"/>
  <c r="K49" i="81"/>
  <c r="J50" i="81"/>
  <c r="J49" i="81"/>
  <c r="M26" i="81"/>
  <c r="N26" i="81"/>
  <c r="P26" i="81"/>
  <c r="Q26" i="81"/>
  <c r="R26" i="81"/>
  <c r="T26" i="81"/>
  <c r="M31" i="81"/>
  <c r="N31" i="81"/>
  <c r="P31" i="81"/>
  <c r="Q31" i="81"/>
  <c r="R31" i="81"/>
  <c r="T31" i="81"/>
  <c r="M32" i="81"/>
  <c r="N32" i="81"/>
  <c r="P32" i="81"/>
  <c r="Q32" i="81"/>
  <c r="R32" i="81"/>
  <c r="T32" i="81"/>
  <c r="M33" i="81"/>
  <c r="N33" i="81"/>
  <c r="P33" i="81"/>
  <c r="Q33" i="81"/>
  <c r="R33" i="81"/>
  <c r="T33" i="81"/>
  <c r="M34" i="81"/>
  <c r="N34" i="81"/>
  <c r="P34" i="81"/>
  <c r="Q34" i="81"/>
  <c r="R34" i="81"/>
  <c r="T34" i="81"/>
  <c r="M35" i="81"/>
  <c r="N35" i="81"/>
  <c r="P35" i="81"/>
  <c r="Q35" i="81"/>
  <c r="R35" i="81"/>
  <c r="T35" i="81"/>
  <c r="M36" i="81"/>
  <c r="N36" i="81"/>
  <c r="P36" i="81"/>
  <c r="Q36" i="81"/>
  <c r="R36" i="81"/>
  <c r="T36" i="81"/>
  <c r="M37" i="81"/>
  <c r="N37" i="81"/>
  <c r="P37" i="81"/>
  <c r="Q37" i="81"/>
  <c r="R37" i="81"/>
  <c r="T37" i="81"/>
  <c r="M38" i="81"/>
  <c r="N38" i="81"/>
  <c r="P38" i="81"/>
  <c r="Q38" i="81"/>
  <c r="R38" i="81"/>
  <c r="T38" i="81"/>
  <c r="M39" i="81"/>
  <c r="N39" i="81"/>
  <c r="P39" i="81"/>
  <c r="Q39" i="81"/>
  <c r="R39" i="81"/>
  <c r="T39" i="81"/>
  <c r="M40" i="81"/>
  <c r="N40" i="81"/>
  <c r="P40" i="81"/>
  <c r="Q40" i="81"/>
  <c r="R40" i="81"/>
  <c r="T40" i="81"/>
  <c r="P30" i="81"/>
  <c r="N30" i="81"/>
  <c r="M30" i="81"/>
  <c r="T30" i="81"/>
  <c r="R30" i="81"/>
  <c r="Q30" i="81"/>
  <c r="S29" i="81"/>
  <c r="R29" i="81"/>
  <c r="Q29" i="81"/>
  <c r="O29" i="81"/>
  <c r="N29" i="81"/>
  <c r="M29" i="81"/>
  <c r="T17" i="81"/>
  <c r="T18" i="81"/>
  <c r="T19" i="81"/>
  <c r="T20" i="81"/>
  <c r="T21" i="81"/>
  <c r="T22" i="81"/>
  <c r="T23" i="81"/>
  <c r="T24" i="81"/>
  <c r="T25" i="81"/>
  <c r="T16" i="81"/>
  <c r="S15" i="81"/>
  <c r="R17" i="81"/>
  <c r="R16" i="81"/>
  <c r="R18" i="81"/>
  <c r="R19" i="81"/>
  <c r="R20" i="81"/>
  <c r="R21" i="81"/>
  <c r="R22" i="81"/>
  <c r="R23" i="81"/>
  <c r="R24" i="81"/>
  <c r="R25" i="81"/>
  <c r="R15" i="81"/>
  <c r="Q16" i="81"/>
  <c r="Q17" i="81"/>
  <c r="Q18" i="81"/>
  <c r="Q19" i="81"/>
  <c r="Q20" i="81"/>
  <c r="Q21" i="81"/>
  <c r="Q22" i="81"/>
  <c r="Q23" i="81"/>
  <c r="Q24" i="81"/>
  <c r="Q25" i="81"/>
  <c r="Q15" i="81"/>
  <c r="P17" i="81"/>
  <c r="P18" i="81"/>
  <c r="P19" i="81"/>
  <c r="P20" i="81"/>
  <c r="P21" i="81"/>
  <c r="P22" i="81"/>
  <c r="P23" i="81"/>
  <c r="P24" i="81"/>
  <c r="P25" i="81"/>
  <c r="P16" i="81"/>
  <c r="I23" i="80"/>
  <c r="I24" i="80"/>
  <c r="I25" i="80"/>
  <c r="I22" i="80"/>
  <c r="H23" i="80"/>
  <c r="H24" i="80"/>
  <c r="H25" i="80"/>
  <c r="H22" i="80"/>
  <c r="I14" i="80"/>
  <c r="I15" i="80"/>
  <c r="I16" i="80"/>
  <c r="I17" i="80"/>
  <c r="I18" i="80"/>
  <c r="I13" i="80"/>
  <c r="I12" i="80"/>
  <c r="H14" i="80"/>
  <c r="H15" i="80"/>
  <c r="H16" i="80"/>
  <c r="H17" i="80"/>
  <c r="H18" i="80"/>
  <c r="H13" i="80"/>
  <c r="H12" i="80"/>
  <c r="J13" i="79"/>
  <c r="J14" i="79"/>
  <c r="J15" i="79"/>
  <c r="J16" i="79"/>
  <c r="J17" i="79"/>
  <c r="J18" i="79"/>
  <c r="J12" i="79"/>
  <c r="I13" i="79"/>
  <c r="I14" i="79"/>
  <c r="I15" i="79"/>
  <c r="I16" i="79"/>
  <c r="I17" i="79"/>
  <c r="I18" i="79"/>
  <c r="I12" i="79"/>
  <c r="F19" i="79"/>
  <c r="M16" i="81"/>
  <c r="N16" i="81"/>
  <c r="M17" i="81"/>
  <c r="N17" i="81"/>
  <c r="M18" i="81"/>
  <c r="N18" i="81"/>
  <c r="M19" i="81"/>
  <c r="N19" i="81"/>
  <c r="M20" i="81"/>
  <c r="N20" i="81"/>
  <c r="M21" i="81"/>
  <c r="N21" i="81"/>
  <c r="M22" i="81"/>
  <c r="N22" i="81"/>
  <c r="M23" i="81"/>
  <c r="N23" i="81"/>
  <c r="M24" i="81"/>
  <c r="N24" i="81"/>
  <c r="M25" i="81"/>
  <c r="N25" i="81"/>
  <c r="M15" i="81"/>
  <c r="O15" i="81"/>
  <c r="N15" i="81"/>
  <c r="F26" i="80"/>
  <c r="F19" i="80"/>
  <c r="J44" i="79"/>
  <c r="I44" i="79"/>
  <c r="H44" i="79"/>
  <c r="J43" i="79"/>
  <c r="I43" i="79"/>
  <c r="H43" i="79"/>
  <c r="J42" i="79"/>
  <c r="I42" i="79"/>
  <c r="H42" i="79"/>
  <c r="J41" i="79"/>
  <c r="I41" i="79"/>
  <c r="H41" i="79"/>
  <c r="J40" i="79"/>
  <c r="I40" i="79"/>
  <c r="H40" i="79"/>
  <c r="J39" i="79"/>
  <c r="I39" i="79"/>
  <c r="H39" i="79"/>
  <c r="J30" i="79"/>
  <c r="I30" i="79"/>
  <c r="H30" i="79"/>
  <c r="J29" i="79"/>
  <c r="I29" i="79"/>
  <c r="H29" i="79"/>
  <c r="J28" i="79"/>
  <c r="I28" i="79"/>
  <c r="H28" i="79"/>
  <c r="J27" i="79"/>
  <c r="I27" i="79"/>
  <c r="H27" i="79"/>
  <c r="J26" i="79"/>
  <c r="I26" i="79"/>
  <c r="H26" i="79"/>
  <c r="J25" i="79"/>
  <c r="I25" i="79"/>
  <c r="H25" i="79"/>
  <c r="H13" i="79"/>
  <c r="H14" i="79"/>
  <c r="H15" i="79"/>
  <c r="H16" i="79"/>
  <c r="H17" i="79"/>
  <c r="H18" i="79"/>
  <c r="H12" i="79"/>
  <c r="H27" i="81"/>
  <c r="G27" i="81"/>
  <c r="F45" i="79"/>
  <c r="F24" i="79"/>
  <c r="F31" i="79" s="1" a="1"/>
  <c r="F31" i="79" s="1"/>
  <c r="C40" i="85"/>
  <c r="C100" i="85" l="1"/>
  <c r="C102" i="85" s="1"/>
  <c r="C103" i="85"/>
  <c r="C77" i="85"/>
  <c r="E25" i="85"/>
  <c r="C66" i="85"/>
  <c r="C83" i="85"/>
  <c r="F67" i="81"/>
  <c r="F66" i="81"/>
  <c r="F40" i="81"/>
  <c r="F39" i="81"/>
  <c r="F38" i="81"/>
  <c r="F37" i="81"/>
  <c r="F36" i="81"/>
  <c r="F35" i="81"/>
  <c r="F34" i="81"/>
  <c r="F33" i="81"/>
  <c r="F32" i="81"/>
  <c r="F31" i="81"/>
  <c r="F30" i="81"/>
  <c r="F29" i="81"/>
  <c r="F26" i="81"/>
  <c r="F25" i="81"/>
  <c r="F24" i="81"/>
  <c r="F23" i="81"/>
  <c r="F22" i="81"/>
  <c r="F21" i="81"/>
  <c r="F20" i="81"/>
  <c r="F19" i="81"/>
  <c r="F18" i="81"/>
  <c r="F17" i="81"/>
  <c r="F16" i="81"/>
  <c r="F15" i="81"/>
  <c r="F50" i="81"/>
  <c r="F49" i="81"/>
  <c r="F59" i="81"/>
  <c r="F58" i="81"/>
  <c r="F57" i="81"/>
  <c r="F56" i="81"/>
  <c r="F27" i="81" l="1"/>
  <c r="D1" i="81"/>
  <c r="D1" i="80"/>
  <c r="D1" i="79"/>
  <c r="Y57" i="7" l="1"/>
  <c r="C51" i="85" s="1"/>
  <c r="Y17" i="7" l="1"/>
  <c r="I3" i="7"/>
  <c r="D3" i="81" s="1"/>
  <c r="D2" i="81"/>
  <c r="B3" i="19"/>
  <c r="B2" i="19"/>
  <c r="D2" i="79" l="1"/>
  <c r="D2" i="80"/>
  <c r="D3" i="79"/>
  <c r="D3" i="80"/>
  <c r="BD26" i="7" l="1"/>
  <c r="BD27" i="7"/>
  <c r="BD25" i="7"/>
  <c r="BD24" i="7"/>
  <c r="Y27" i="7"/>
  <c r="Y26" i="7"/>
  <c r="Y18" i="7"/>
  <c r="Y25" i="7"/>
  <c r="Y24" i="7"/>
  <c r="C39" i="85"/>
  <c r="D216" i="83" l="1" a="1"/>
  <c r="D216" i="83" s="1"/>
  <c r="I53" i="84"/>
  <c r="E85" i="84"/>
  <c r="I66" i="84"/>
  <c r="I65" i="84"/>
  <c r="E99" i="84"/>
  <c r="I57" i="84"/>
  <c r="E97" i="84"/>
  <c r="I58" i="84"/>
  <c r="I55" i="84"/>
  <c r="E95" i="84"/>
  <c r="E88" i="84"/>
  <c r="E104" i="84"/>
  <c r="E91" i="84"/>
  <c r="I68" i="84"/>
  <c r="E101" i="84"/>
  <c r="I59" i="84"/>
  <c r="E107" i="84"/>
  <c r="I69" i="84"/>
  <c r="I62" i="84"/>
  <c r="E93" i="84"/>
  <c r="I73" i="84"/>
  <c r="E92" i="84"/>
  <c r="I49" i="84"/>
  <c r="I50" i="84"/>
  <c r="I70" i="84"/>
  <c r="E98" i="84"/>
  <c r="I60" i="84"/>
  <c r="E84" i="84"/>
  <c r="I64" i="84"/>
  <c r="E86" i="84"/>
  <c r="I71" i="84"/>
  <c r="I54" i="84"/>
  <c r="I51" i="84"/>
  <c r="I63" i="84"/>
  <c r="I56" i="84"/>
  <c r="E105" i="84"/>
  <c r="E89" i="84"/>
  <c r="I52" i="84"/>
  <c r="E90" i="84"/>
  <c r="E94" i="84"/>
  <c r="E109" i="84"/>
  <c r="E108" i="84"/>
  <c r="I72" i="84"/>
  <c r="E87" i="84"/>
  <c r="I67" i="84"/>
  <c r="I61" i="84"/>
  <c r="E106" i="84"/>
  <c r="E102" i="84"/>
  <c r="E96" i="84"/>
  <c r="E100" i="84"/>
  <c r="E103" i="84"/>
  <c r="C43" i="85" l="1"/>
  <c r="C42" i="85"/>
  <c r="C41" i="85"/>
  <c r="E50" i="84"/>
  <c r="E67" i="84"/>
  <c r="E58" i="84"/>
  <c r="E64" i="84"/>
  <c r="C47" i="85"/>
  <c r="C44" i="85"/>
  <c r="E54" i="84"/>
  <c r="C50" i="85"/>
  <c r="G62" i="84"/>
  <c r="G61" i="84"/>
  <c r="C61" i="85" l="1"/>
  <c r="C55" i="85"/>
  <c r="C81" i="85"/>
  <c r="AH45" i="7"/>
  <c r="BI43" i="7"/>
  <c r="BI45" i="7"/>
  <c r="AQ44" i="7"/>
  <c r="BI44" i="7"/>
  <c r="AQ43" i="7"/>
  <c r="AH43" i="7"/>
  <c r="Y44" i="7"/>
  <c r="AZ43" i="7"/>
  <c r="AZ45" i="7"/>
  <c r="AZ44" i="7"/>
  <c r="Y45" i="7"/>
  <c r="AH44" i="7"/>
  <c r="AQ45" i="7"/>
  <c r="G54" i="84"/>
  <c r="G52" i="84"/>
  <c r="G50" i="84"/>
  <c r="E69" i="84"/>
  <c r="G70" i="84"/>
  <c r="G53" i="84"/>
  <c r="E63" i="84"/>
  <c r="E71" i="84"/>
  <c r="E68" i="84"/>
  <c r="G71" i="84"/>
  <c r="G57" i="84"/>
  <c r="E56" i="84"/>
  <c r="E66" i="84"/>
  <c r="E49" i="84"/>
  <c r="E72" i="84"/>
  <c r="G49" i="84"/>
  <c r="G66" i="84"/>
  <c r="G65" i="84"/>
  <c r="E59" i="84"/>
  <c r="G59" i="84"/>
  <c r="G67" i="84"/>
  <c r="E60" i="84"/>
  <c r="E65" i="84"/>
  <c r="E70" i="84"/>
  <c r="E51" i="84"/>
  <c r="E53" i="84"/>
  <c r="C48" i="85"/>
  <c r="G73" i="84"/>
  <c r="C49" i="85"/>
  <c r="E55" i="84"/>
  <c r="E61" i="84"/>
  <c r="G63" i="84"/>
  <c r="G51" i="84"/>
  <c r="G56" i="84"/>
  <c r="G64" i="84"/>
  <c r="G68" i="84"/>
  <c r="G58" i="84"/>
  <c r="E62" i="84"/>
  <c r="G60" i="84"/>
  <c r="C45" i="85"/>
  <c r="E57" i="84"/>
  <c r="G69" i="84"/>
  <c r="C46" i="85"/>
  <c r="E52" i="84"/>
  <c r="G72" i="84"/>
  <c r="G55" i="84"/>
  <c r="E73" i="84"/>
  <c r="C118" i="85" l="1"/>
  <c r="C107" i="85"/>
  <c r="C52" i="85"/>
  <c r="C53" i="85"/>
  <c r="AH53" i="7"/>
  <c r="AZ48" i="7"/>
  <c r="AZ47" i="7"/>
  <c r="BI49" i="7"/>
  <c r="AQ49" i="7"/>
  <c r="AQ53" i="7"/>
  <c r="AZ49" i="7"/>
  <c r="AH47" i="7"/>
  <c r="AZ51" i="7"/>
  <c r="Y53" i="7"/>
  <c r="BI48" i="7"/>
  <c r="Y49" i="7"/>
  <c r="AQ52" i="7"/>
  <c r="Y47" i="7"/>
  <c r="AH48" i="7"/>
  <c r="BI53" i="7"/>
  <c r="BI47" i="7"/>
  <c r="BI52" i="7"/>
  <c r="AQ47" i="7"/>
  <c r="Y48" i="7"/>
  <c r="AZ52" i="7"/>
  <c r="AQ51" i="7"/>
  <c r="AH51" i="7"/>
  <c r="BI51" i="7"/>
  <c r="AQ48" i="7"/>
  <c r="Y51" i="7"/>
  <c r="AH49" i="7"/>
  <c r="AH52" i="7"/>
  <c r="AZ53" i="7"/>
  <c r="Y52" i="7"/>
  <c r="C32" i="85" l="1"/>
  <c r="C33" i="85"/>
  <c r="E197" i="83"/>
  <c r="C108" i="85"/>
  <c r="C59" i="85" l="1"/>
  <c r="C58" i="85"/>
  <c r="C23" i="8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<sst xmlns="http://schemas.openxmlformats.org/spreadsheetml/2006/main" count="2647" uniqueCount="1247">
  <si>
    <t>Australian Distribution Co.</t>
  </si>
  <si>
    <t>EB</t>
  </si>
  <si>
    <t>Consolidated</t>
  </si>
  <si>
    <t>Public</t>
  </si>
  <si>
    <t>Reporting</t>
  </si>
  <si>
    <t>2020-21</t>
  </si>
  <si>
    <t>2024-25</t>
  </si>
  <si>
    <t>BUSINESS &amp; OTHER DETAILS</t>
  </si>
  <si>
    <t>ENTITY DETAILS</t>
  </si>
  <si>
    <t>Short name</t>
  </si>
  <si>
    <t>Address 1</t>
  </si>
  <si>
    <t>Address 2</t>
  </si>
  <si>
    <t>Suburb</t>
  </si>
  <si>
    <t>State</t>
  </si>
  <si>
    <t>REGULATORY CONTROL PERIODS</t>
  </si>
  <si>
    <t>Source</t>
  </si>
  <si>
    <t>.</t>
  </si>
  <si>
    <t>Submission Date</t>
  </si>
  <si>
    <t>dd/mm/yy</t>
  </si>
  <si>
    <t>Confidential</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</si>
  <si>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</si>
  <si>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</si>
  <si>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</si>
  <si>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Address</t>
  </si>
  <si>
    <t>Postal Address</t>
  </si>
  <si>
    <t>Post code</t>
  </si>
  <si>
    <t>Business Name</t>
  </si>
  <si>
    <t>ACN/ABN</t>
  </si>
  <si>
    <t>`</t>
  </si>
  <si>
    <t>Contact Names</t>
  </si>
  <si>
    <t>Name</t>
  </si>
  <si>
    <t>Phone</t>
  </si>
  <si>
    <t>Email</t>
  </si>
  <si>
    <t>Forthcoming period</t>
  </si>
  <si>
    <t>Current period</t>
  </si>
  <si>
    <t>Previous period</t>
  </si>
  <si>
    <t>RESETS</t>
  </si>
  <si>
    <t>Final year</t>
  </si>
  <si>
    <t>Data Quality</t>
  </si>
  <si>
    <t>Confidentiality Status</t>
  </si>
  <si>
    <t>SUBMISSION DETAILS</t>
  </si>
  <si>
    <t>THIS FILE</t>
  </si>
  <si>
    <t>Business &amp; other details</t>
  </si>
  <si>
    <t>Amended</t>
  </si>
  <si>
    <t>Closing value</t>
  </si>
  <si>
    <t xml:space="preserve">Disposals </t>
  </si>
  <si>
    <t>Inflation addition</t>
  </si>
  <si>
    <t>Opening value</t>
  </si>
  <si>
    <t>CONTENTS</t>
  </si>
  <si>
    <t>EXPENDITURE</t>
  </si>
  <si>
    <t>Maintenance</t>
  </si>
  <si>
    <t>Network overheads</t>
  </si>
  <si>
    <t>Corporate overheads</t>
  </si>
  <si>
    <t>UNITS</t>
  </si>
  <si>
    <t>Other expenditure</t>
  </si>
  <si>
    <t>Distribution revenue (excluding DFA revenues)</t>
  </si>
  <si>
    <t>Maintenance expenditure</t>
  </si>
  <si>
    <t>Operating expenditure excluding maintenance expenditure</t>
  </si>
  <si>
    <t>In-house labour expenditure</t>
  </si>
  <si>
    <t>Labour expenditure outsourced to related parties</t>
  </si>
  <si>
    <t>Labour expenditure outsourced to unrelated parties</t>
  </si>
  <si>
    <t>Non-labour expenditure</t>
  </si>
  <si>
    <t>TEMPLATE DATE</t>
  </si>
  <si>
    <t>$</t>
  </si>
  <si>
    <t>Full name</t>
  </si>
  <si>
    <t>OPERATING EXPENDITURE</t>
  </si>
  <si>
    <t>OVERHEADS EXPENDITURE</t>
  </si>
  <si>
    <t xml:space="preserve">Non residential customers not on demand tariffs </t>
  </si>
  <si>
    <t xml:space="preserve">Non-residential low voltage demand tariff customers </t>
  </si>
  <si>
    <t xml:space="preserve">Non-residential high voltage demand tariff customers </t>
  </si>
  <si>
    <t xml:space="preserve">Residential customers </t>
  </si>
  <si>
    <t>Unmetered customers</t>
  </si>
  <si>
    <t>Other customers</t>
  </si>
  <si>
    <t xml:space="preserve">Gross capex </t>
  </si>
  <si>
    <t>Capex timing adjustment</t>
  </si>
  <si>
    <t>total expenditure</t>
  </si>
  <si>
    <t>total revenue</t>
  </si>
  <si>
    <t>Other revenue</t>
  </si>
  <si>
    <t>Jurisdictional scheme revenue</t>
  </si>
  <si>
    <t>Protected (SOCI)</t>
  </si>
  <si>
    <t>#25C6FF</t>
  </si>
  <si>
    <t>#FFCCCC</t>
  </si>
  <si>
    <t>12.5% Grey</t>
  </si>
  <si>
    <t>Amended Confidential</t>
  </si>
  <si>
    <t>#FFCCCC &amp; 
12.5% Grey</t>
  </si>
  <si>
    <t>REVENUE GROUPING BY CUSTOMER TYPE OR CLASS</t>
  </si>
  <si>
    <t>RELATED PARTY MARGINS</t>
  </si>
  <si>
    <t>Operating expenditure</t>
  </si>
  <si>
    <t>Labour / non-labour split</t>
  </si>
  <si>
    <t>Total revenue</t>
  </si>
  <si>
    <t>Asset base values</t>
  </si>
  <si>
    <t>Forecast straight line depreciation</t>
  </si>
  <si>
    <t>Capital contributions included in gross capex</t>
  </si>
  <si>
    <t>Actual tax depreciation</t>
  </si>
  <si>
    <t>Jurisdictional scheme payments</t>
  </si>
  <si>
    <t>TUOS expenditure</t>
  </si>
  <si>
    <t>Income statement</t>
  </si>
  <si>
    <t>TOTAL REVENUE</t>
  </si>
  <si>
    <t>Dual function asset revenue</t>
  </si>
  <si>
    <t>TUOS revenue</t>
  </si>
  <si>
    <t>Cross boundary revenue</t>
  </si>
  <si>
    <t>Other TUOS revenue</t>
  </si>
  <si>
    <t>Cross boundary expenditure</t>
  </si>
  <si>
    <t>Other TUOS expenditure</t>
  </si>
  <si>
    <t>ANNUAL INFORMATION ORDERS</t>
  </si>
  <si>
    <t>SUBMISSION type</t>
  </si>
  <si>
    <t>Standard Control Services -
 Legacy Meters</t>
  </si>
  <si>
    <t>INDICATIVE TOTAL ASSET BASE ROLL FORWARD (WITHIN PERIOD) - LEGACY METERS</t>
  </si>
  <si>
    <t>INDICATIVE TOTAL TAX ASSET BASE ROLL FORWARD (WITHIN PERIOD) - LEGACY METERS</t>
  </si>
  <si>
    <t>Routine Maintenance</t>
  </si>
  <si>
    <t>Non-routine maintenance</t>
  </si>
  <si>
    <t>SCS LEGACY METERING</t>
  </si>
  <si>
    <t>#</t>
  </si>
  <si>
    <t>≥0</t>
  </si>
  <si>
    <t>NULL</t>
  </si>
  <si>
    <t>Expenditure</t>
  </si>
  <si>
    <t>Text</t>
  </si>
  <si>
    <r>
      <rPr>
        <strike/>
        <sz val="10"/>
        <color theme="1"/>
        <rFont val="Calibri"/>
        <family val="2"/>
      </rPr>
      <t>NULL</t>
    </r>
    <r>
      <rPr>
        <sz val="10"/>
        <color theme="1"/>
        <rFont val="Calibri"/>
        <family val="2"/>
        <scheme val="minor"/>
      </rPr>
      <t xml:space="preserve"> if</t>
    </r>
  </si>
  <si>
    <t>DNSP defined</t>
  </si>
  <si>
    <t>Free text - categories specified must align with the categories used in the PTRM applying for the relevant year.</t>
  </si>
  <si>
    <t>Direct expenditure</t>
  </si>
  <si>
    <t>Indirect expenditure</t>
  </si>
  <si>
    <t>Standard Control Services - Legacy Meters</t>
  </si>
  <si>
    <t>Units</t>
  </si>
  <si>
    <t>Standard Control Services -  Legacy Meters</t>
  </si>
  <si>
    <t>&lt;DNSP specified&gt;</t>
  </si>
  <si>
    <t>Direct Expenditure</t>
  </si>
  <si>
    <t>Indirect Expenditure</t>
  </si>
  <si>
    <t>Total Expenditure</t>
  </si>
  <si>
    <t>Direct</t>
  </si>
  <si>
    <t>Indirect</t>
  </si>
  <si>
    <t>Annual Information Order</t>
  </si>
  <si>
    <t>AER CONDITIONAL FORMATTING</t>
  </si>
  <si>
    <t>CELLS FLAGED "Y" and greyed out will be greyed out in the worksheets.</t>
  </si>
  <si>
    <t>CONDITIONAL FORMATTING MAP</t>
  </si>
  <si>
    <t>=INDEX(dms_CF_3.6.1, MATCH(dms_TradingName,dms_CF_TradingName))="Y"</t>
  </si>
  <si>
    <t>=INDEX(dms_CF_3.6.5, MATCH(dms_TradingName,dms_CF_TradingName))="Y"</t>
  </si>
  <si>
    <t>=INDEX(dms_CF_3.6.6.1, MATCH(dms_TradingName,dms_CF_TradingName))="Y"</t>
  </si>
  <si>
    <t>=INDEX(dms_CF_3.6.6.2, MATCH(dms_TradingName,dms_CF_TradingName))="Y"</t>
  </si>
  <si>
    <t>=INDEX(dms_CF_3.6.6.3, MATCH(dms_TradingName,dms_CF_TradingName))="Y"</t>
  </si>
  <si>
    <t>=INDEX(dms_CF_3.6.7.1, MATCH(dms_TradingName,dms_CF_TradingName))="Y"</t>
  </si>
  <si>
    <t>=INDEX(dms_CF_3.6.7.2, MATCH(dms_TradingName,dms_CF_TradingName))="Y"</t>
  </si>
  <si>
    <t>=INDEX(dms_CF_3.6.7.3, MATCH(dms_TradingName,dms_CF_TradingName))="Y"</t>
  </si>
  <si>
    <t>=INDEX(dms_CF_3.6.7.4, MATCH(dms_TradingName,dms_CF_TradingName))="Y"</t>
  </si>
  <si>
    <t>=INDEX(dms_CF_3.6.8, MATCH(dms_TradingName,dms_CF_TradingName))="Y"</t>
  </si>
  <si>
    <t>=INDEX(dms_CF_4.1, MATCH(dms_TradingName,dms_CF_TradingName))="Y"</t>
  </si>
  <si>
    <t>=INDEX(dms_CF_6.8, MATCH(dms_TradingName,dms_CF_TradingName))="Y"</t>
  </si>
  <si>
    <t>=INDEX(dms_CF_7.12, MATCH(dms_TradingName,dms_CF_TradingName))="Y"</t>
  </si>
  <si>
    <t>=INDEX(dms_CF_8.1_A, MATCH(dms_TradingName,dms_CF_TradingName))="Y"</t>
  </si>
  <si>
    <t>=INDEX(dms_CF_8.1_B, MATCH(dms_TradingName,dms_CF_TradingName))="Y"</t>
  </si>
  <si>
    <t>=INDEX(dms_CF_4.4.1_Neg, MATCH(dms_TradingName,dms_CF_TradingName))="Y"</t>
  </si>
  <si>
    <t>=INDEX(dms_CF_F10, MATCH(dms_TradingName,dms_CF_TradingName))="Y"</t>
  </si>
  <si>
    <t>dms_CF_TradingName</t>
  </si>
  <si>
    <t>JurisdictionList</t>
  </si>
  <si>
    <t>Sector</t>
  </si>
  <si>
    <t>Segment</t>
  </si>
  <si>
    <t>dms_CF_3.6.1</t>
  </si>
  <si>
    <t>dms_CF_3.6.5</t>
  </si>
  <si>
    <t>dms_CF_3.6.6.1</t>
  </si>
  <si>
    <t>dms_CF_3.6.6.2</t>
  </si>
  <si>
    <t>dms_CF_3.6.6.3</t>
  </si>
  <si>
    <t>dms_CF_3.6.7.1</t>
  </si>
  <si>
    <t>dms_CF_3.6.7.2</t>
  </si>
  <si>
    <t>dms_CF_3.6.7.3</t>
  </si>
  <si>
    <t>dms_CF_3.6.7.4</t>
  </si>
  <si>
    <t>dms_CF_3.6.8</t>
  </si>
  <si>
    <t>dms_CF_4.1</t>
  </si>
  <si>
    <t>dms_CF_6.8 (set from dms_MAIFI_flag)</t>
  </si>
  <si>
    <t>dms_CF_7.12</t>
  </si>
  <si>
    <t>dms_CF_8.1_A  (and 8.4)</t>
  </si>
  <si>
    <t>dms_CF_8.1_B  (and 8.4)</t>
  </si>
  <si>
    <t>dms_CF_8.1_Neg  (and 8.4)</t>
  </si>
  <si>
    <t>dms_CF_4.4.1</t>
  </si>
  <si>
    <t>dms_CF_MAIFI_flag (set from dms_MAIFI_flag)</t>
  </si>
  <si>
    <t>9.5 TUOS (set from Jurisdiction)</t>
  </si>
  <si>
    <t>dms_CF_F10</t>
  </si>
  <si>
    <t>Amadeus</t>
  </si>
  <si>
    <t>NT</t>
  </si>
  <si>
    <t>Gas</t>
  </si>
  <si>
    <t>Transmission</t>
  </si>
  <si>
    <t>-</t>
  </si>
  <si>
    <t>APA GasNet</t>
  </si>
  <si>
    <t>Vic</t>
  </si>
  <si>
    <t>Ausgrid</t>
  </si>
  <si>
    <t>NSW</t>
  </si>
  <si>
    <t>Electricity</t>
  </si>
  <si>
    <t>Distribution</t>
  </si>
  <si>
    <t>Y</t>
  </si>
  <si>
    <t>N</t>
  </si>
  <si>
    <t>Ausgrid (Tx Assets)</t>
  </si>
  <si>
    <t>AusNet (D)</t>
  </si>
  <si>
    <t>AusNet (T)</t>
  </si>
  <si>
    <t>Australian Distribution Co. (Vic)</t>
  </si>
  <si>
    <t>CitiPower</t>
  </si>
  <si>
    <t>Directlink</t>
  </si>
  <si>
    <t>Qld</t>
  </si>
  <si>
    <t>ElectraNet</t>
  </si>
  <si>
    <t>SA</t>
  </si>
  <si>
    <t>Endeavour Energy</t>
  </si>
  <si>
    <t>Energex</t>
  </si>
  <si>
    <t>Ergon Energy</t>
  </si>
  <si>
    <t>Essential Energy</t>
  </si>
  <si>
    <t>Evoenergy Distribution</t>
  </si>
  <si>
    <t>ACT</t>
  </si>
  <si>
    <t>Evoenergy Distribution (Tx Assets)</t>
  </si>
  <si>
    <t>Jemena Electricity</t>
  </si>
  <si>
    <t>JGN</t>
  </si>
  <si>
    <t>Murraylink</t>
  </si>
  <si>
    <t>Power and Water</t>
  </si>
  <si>
    <t>Powercor Australia</t>
  </si>
  <si>
    <t>Powerlink</t>
  </si>
  <si>
    <t>Roma to Brisbane Pipeline</t>
  </si>
  <si>
    <t>SA Power Networks</t>
  </si>
  <si>
    <t>TasNetworks (D)</t>
  </si>
  <si>
    <t>Tas</t>
  </si>
  <si>
    <t>TasNetworks (T)</t>
  </si>
  <si>
    <t>TransGrid</t>
  </si>
  <si>
    <t>United Energy</t>
  </si>
  <si>
    <t>Worksheet 6.2 STPIS reliability</t>
  </si>
  <si>
    <t>Formula</t>
  </si>
  <si>
    <t>Applied to:</t>
  </si>
  <si>
    <t>=INDEX(dms_CBD_flag,MATCH(dms_TradingName,dms_TradingName_List))="NO"</t>
  </si>
  <si>
    <t>$D$11,$D$17,$D$23,$D$33,$D$39,$D$45,$D$55,$D$61,$D$67,$D$77,$D$83,$D$89</t>
  </si>
  <si>
    <t>=INDEX(dms_Urban_flag,MATCH(dms_TradingName,dms_TradingName_List))="NO"</t>
  </si>
  <si>
    <t>$D$12,$D$18,$D$24,$D$56,$D$62,$D$78,$D$68,$D$84</t>
  </si>
  <si>
    <t>=INDEX(dms_ShortRural_flag,MATCH(dms_TradingName,dms_TradingName_List))="NO"</t>
  </si>
  <si>
    <t>$D$13,$D$19,$D$25,$D$57,$D$63,$D$69,$D$79,$D$85</t>
  </si>
  <si>
    <t>=INDEX(dms_LongRural_flag,MATCH(dms_TradingName,dms_TradingName_List))="NO"</t>
  </si>
  <si>
    <t>$D$14,$D$20,$D$26,$D$58,$D$64,$D$65,$D$70,$D$71,$D$80,$D$86</t>
  </si>
  <si>
    <t>=INDEX(dms_FeederType_5_flag,MATCH(dms_TradingName,dms_TradingName_List))="NO"</t>
  </si>
  <si>
    <t>$D$87,$D$81,$D$71,$D$65,$D$59,$D$49,$D$43,$D$37,$D$21,$D$15</t>
  </si>
  <si>
    <t>=dms_MAIFI_Flag="No"</t>
  </si>
  <si>
    <t>$D$55:$D$72</t>
  </si>
  <si>
    <t>=(INDEX(dms_Model_Span,MATCH(dms_Model,dms_Model_List))&gt;1)</t>
  </si>
  <si>
    <t>=(INDEX(dms_Model_Span,MATCH(dms_Model,dms_Model_List))=1)</t>
  </si>
  <si>
    <t>STYLES IN USE</t>
  </si>
  <si>
    <t>HEADING ONE</t>
  </si>
  <si>
    <t>dms_1</t>
  </si>
  <si>
    <t>HEADING TWO</t>
  </si>
  <si>
    <t>dms_2</t>
  </si>
  <si>
    <t>HEADING THREE</t>
  </si>
  <si>
    <t>dms_3</t>
  </si>
  <si>
    <t>HEADING FOUR</t>
  </si>
  <si>
    <t>dms_4</t>
  </si>
  <si>
    <t>HEADING FIVE</t>
  </si>
  <si>
    <t>dms_5</t>
  </si>
  <si>
    <t>dms_NUM</t>
  </si>
  <si>
    <t>dms_NUM%</t>
  </si>
  <si>
    <t>dms_NUM3d</t>
  </si>
  <si>
    <t>Text description</t>
  </si>
  <si>
    <t>dms_Row_Locked</t>
  </si>
  <si>
    <t>dms_Row1</t>
  </si>
  <si>
    <t>dms_Row2</t>
  </si>
  <si>
    <t>Total</t>
  </si>
  <si>
    <t>dms_T1</t>
  </si>
  <si>
    <t>dms_T2</t>
  </si>
  <si>
    <t>EXPENSES</t>
  </si>
  <si>
    <t>dms_BH</t>
  </si>
  <si>
    <t>dms_BY1</t>
  </si>
  <si>
    <t>dms_BY2</t>
  </si>
  <si>
    <t>VOLUMES</t>
  </si>
  <si>
    <t>dms_GH</t>
  </si>
  <si>
    <t>dms_GY1</t>
  </si>
  <si>
    <t>dms_GY2</t>
  </si>
  <si>
    <t>AER NAMED RANGES</t>
  </si>
  <si>
    <t>DROP DOWN SELECTORS USED IN WORKBOOKS</t>
  </si>
  <si>
    <t>COVER SHEET</t>
  </si>
  <si>
    <t>dms_DataQuality_List</t>
  </si>
  <si>
    <t>dms_Confid_status_List</t>
  </si>
  <si>
    <t>-- select --</t>
  </si>
  <si>
    <t>Actual</t>
  </si>
  <si>
    <t>Estimate</t>
  </si>
  <si>
    <t>For all files either AER or business needs to be able to specify the type of submission</t>
  </si>
  <si>
    <t>For PTRM &amp; RFM templates we must provide a choice in case they change their form of control - otherwise it is drawn from the business specific lookup table above.</t>
  </si>
  <si>
    <t>dms_SourceList</t>
  </si>
  <si>
    <t>dms_FormControl_Choices</t>
  </si>
  <si>
    <t>Revenue cap</t>
  </si>
  <si>
    <t>After appeal</t>
  </si>
  <si>
    <t>Revenue yield</t>
  </si>
  <si>
    <t>Draft decision</t>
  </si>
  <si>
    <t>Tariff cap</t>
  </si>
  <si>
    <t>Final decision</t>
  </si>
  <si>
    <t>Weighted average price cap</t>
  </si>
  <si>
    <t>PTRM update 1</t>
  </si>
  <si>
    <t>PTRM update 2</t>
  </si>
  <si>
    <t>PTRM update 3</t>
  </si>
  <si>
    <t>PTRM update 4</t>
  </si>
  <si>
    <t>PTRM update 5</t>
  </si>
  <si>
    <t>PTRM update 6</t>
  </si>
  <si>
    <t>PTRM update 7</t>
  </si>
  <si>
    <t>Reallocated</t>
  </si>
  <si>
    <t>Recast</t>
  </si>
  <si>
    <t>Regulatory proposal</t>
  </si>
  <si>
    <t>Revised regulatory proposal</t>
  </si>
  <si>
    <t>This is used to create an image to insert on 6.3 STPIS sheet - not for dropdown lists.</t>
  </si>
  <si>
    <t>GAS</t>
  </si>
  <si>
    <t>CA &amp; RESET RINS 
DNSP</t>
  </si>
  <si>
    <t>dms_DNSP_020301_SubstationType</t>
  </si>
  <si>
    <t>dms_DNSP_020301_ProjectType</t>
  </si>
  <si>
    <t>dms_DNSP_020301_ProjectTrigger</t>
  </si>
  <si>
    <t>dms_DNSP_020302_ProjectType</t>
  </si>
  <si>
    <t>dms_DNSP_020302_ProjectTrigger</t>
  </si>
  <si>
    <t>dms_STPIS_Exclusion_List</t>
  </si>
  <si>
    <t>dms_Reason_Interruption</t>
  </si>
  <si>
    <t>dms_Reason_Interruption_Detailed</t>
  </si>
  <si>
    <t>Reason for interruption</t>
  </si>
  <si>
    <t>dms_N0205_AssetType</t>
  </si>
  <si>
    <t>Subtransmission substation</t>
  </si>
  <si>
    <t>New substation establishment</t>
  </si>
  <si>
    <t>Demand growth</t>
  </si>
  <si>
    <t>New line on new route - single circuit</t>
  </si>
  <si>
    <t>Weather</t>
  </si>
  <si>
    <t>Animal</t>
  </si>
  <si>
    <t>Animal impact</t>
  </si>
  <si>
    <t>Cast Iron</t>
  </si>
  <si>
    <t>Zone substation</t>
  </si>
  <si>
    <t>Substation upgrade - capacity</t>
  </si>
  <si>
    <t xml:space="preserve"> Voltage issues</t>
  </si>
  <si>
    <t>New line on new route - dual circuit</t>
  </si>
  <si>
    <t>Equipment failure</t>
  </si>
  <si>
    <t>Asset failure</t>
  </si>
  <si>
    <t>Animal nesting/burrowing, etc and other</t>
  </si>
  <si>
    <t>PVC</t>
  </si>
  <si>
    <t>Switching station</t>
  </si>
  <si>
    <t>Substation upgrade - voltage</t>
  </si>
  <si>
    <t xml:space="preserve"> Reactive power issue</t>
  </si>
  <si>
    <t>New line on new route - other</t>
  </si>
  <si>
    <t>Operational error</t>
  </si>
  <si>
    <t>Other</t>
  </si>
  <si>
    <t>Polyamide</t>
  </si>
  <si>
    <t xml:space="preserve"> Fault level issues</t>
  </si>
  <si>
    <t>Line rebuild over existing route - single circuit</t>
  </si>
  <si>
    <t>Vegetation</t>
  </si>
  <si>
    <t>Overloads</t>
  </si>
  <si>
    <t>LV</t>
  </si>
  <si>
    <t>High density polyethylene (80)</t>
  </si>
  <si>
    <t xml:space="preserve"> Safety</t>
  </si>
  <si>
    <t>Line rebuild over existing route - dual circuit</t>
  </si>
  <si>
    <t xml:space="preserve"> Net market benefit</t>
  </si>
  <si>
    <t>Animals</t>
  </si>
  <si>
    <t>Planned</t>
  </si>
  <si>
    <t>Distribution substation</t>
  </si>
  <si>
    <t>High density polyethylene (100)</t>
  </si>
  <si>
    <t xml:space="preserve"> Environment</t>
  </si>
  <si>
    <t>Reconductor - Single circuit</t>
  </si>
  <si>
    <t>Third party impacts</t>
  </si>
  <si>
    <t>Network business</t>
  </si>
  <si>
    <t>HV</t>
  </si>
  <si>
    <t>High density polyethylene (250)</t>
  </si>
  <si>
    <t xml:space="preserve"> Other</t>
  </si>
  <si>
    <t>Reconductor - Dual circuit</t>
  </si>
  <si>
    <t>Transmission failure</t>
  </si>
  <si>
    <t>Third party</t>
  </si>
  <si>
    <t>High density polyethylene (575)</t>
  </si>
  <si>
    <t>Reconductor - Other</t>
  </si>
  <si>
    <t>Load shedding</t>
  </si>
  <si>
    <t>Unknown</t>
  </si>
  <si>
    <t>Subtransmission</t>
  </si>
  <si>
    <t>Medium density polyethylene</t>
  </si>
  <si>
    <t>Line upgrade - raising/retensoring</t>
  </si>
  <si>
    <t>Inter-distributor connection failure</t>
  </si>
  <si>
    <t>insert description of 'other'</t>
  </si>
  <si>
    <t>Unprotected steel</t>
  </si>
  <si>
    <t>Line upgrade - voltage upgrade</t>
  </si>
  <si>
    <t>Network error</t>
  </si>
  <si>
    <t>Protected steel</t>
  </si>
  <si>
    <t>Line upgrade - capacity</t>
  </si>
  <si>
    <t>2 - STPIS Exclusion (3.3)(a)</t>
  </si>
  <si>
    <t>Switching and protection error</t>
  </si>
  <si>
    <t>String spare circuit</t>
  </si>
  <si>
    <t>3 - STPIS Exclusion (3.3)(a)</t>
  </si>
  <si>
    <t>Fire</t>
  </si>
  <si>
    <t>4 - STPIS Exclusion (3.3)(a)</t>
  </si>
  <si>
    <t>5 - STPIS Exclusion (3.3)(a)</t>
  </si>
  <si>
    <t>Dig-in</t>
  </si>
  <si>
    <t>6 - STPIS Exclusion (3.3)(a)</t>
  </si>
  <si>
    <t>Unauthorised access</t>
  </si>
  <si>
    <t>7 - STPIS Exclusion (3.3)(a)</t>
  </si>
  <si>
    <t>Vehicle impact</t>
  </si>
  <si>
    <t>Blow-in/Fall-in - NSP responsibility</t>
  </si>
  <si>
    <t>Grow-in - NSP responsibility</t>
  </si>
  <si>
    <t>Blow-in/Fall-in - Other responsible party</t>
  </si>
  <si>
    <t>Grow-in - Other responsible party</t>
  </si>
  <si>
    <t xml:space="preserve">CA &amp; RESET RINS 
TNSP </t>
  </si>
  <si>
    <t>dms_TNSP_0203_SubstationType</t>
  </si>
  <si>
    <t>dms_TNSP_020301_ProjectType</t>
  </si>
  <si>
    <t>dms_TNSP_020301_ProjectTrigger</t>
  </si>
  <si>
    <t>dms_TNSP_020302_ProjectType</t>
  </si>
  <si>
    <t>dms_TNSP_0203_ProjectTrigger</t>
  </si>
  <si>
    <t>Terminal station</t>
  </si>
  <si>
    <t>Capacity upgrade</t>
  </si>
  <si>
    <t>Transmission substation</t>
  </si>
  <si>
    <t>Voltage upgrade</t>
  </si>
  <si>
    <t>Net market benefit</t>
  </si>
  <si>
    <t>NAMED RANGES USED IN ETL PROCESS</t>
  </si>
  <si>
    <t>GAS ARR &amp; RESET</t>
  </si>
  <si>
    <t>CA &amp; RESET RINS 
DNSP ONLY</t>
  </si>
  <si>
    <t>dms_020303_01_UOM</t>
  </si>
  <si>
    <t>dms_020501_01_UOM</t>
  </si>
  <si>
    <t>dms_020501_02_UOM</t>
  </si>
  <si>
    <t>dms_020501_03_UOM</t>
  </si>
  <si>
    <t>dms_020501_04_UOM</t>
  </si>
  <si>
    <t>dms_020701_01_UOM</t>
  </si>
  <si>
    <t>dms_020701_02_UOM</t>
  </si>
  <si>
    <t>dms_020701_01_Rows</t>
  </si>
  <si>
    <t>dms_040102_01_UOM</t>
  </si>
  <si>
    <t>dms_040102_04_UOM</t>
  </si>
  <si>
    <t>dms_S140101_UOM</t>
  </si>
  <si>
    <t>dms_S140201_UOM</t>
  </si>
  <si>
    <t>dms_E050201_UOM</t>
  </si>
  <si>
    <t>dms_E050202_UOM</t>
  </si>
  <si>
    <t>Circuit line length in km</t>
  </si>
  <si>
    <t>0's</t>
  </si>
  <si>
    <t>km</t>
  </si>
  <si>
    <t>Route line length within zone</t>
  </si>
  <si>
    <t>days</t>
  </si>
  <si>
    <t>number</t>
  </si>
  <si>
    <t>number per km</t>
  </si>
  <si>
    <t>per metre per connection</t>
  </si>
  <si>
    <t>metres per connection</t>
  </si>
  <si>
    <t>Number of maintenance spans</t>
  </si>
  <si>
    <t>per service per connection</t>
  </si>
  <si>
    <t>number per connection</t>
  </si>
  <si>
    <t>MVA added</t>
  </si>
  <si>
    <t>Total length of maintenance spans</t>
  </si>
  <si>
    <t>$0s</t>
  </si>
  <si>
    <t>Length of vegetation corridors</t>
  </si>
  <si>
    <t>Number</t>
  </si>
  <si>
    <t>total spend $0s</t>
  </si>
  <si>
    <t>Average number of trees per maintenance span</t>
  </si>
  <si>
    <t>net circuit km added</t>
  </si>
  <si>
    <t>years</t>
  </si>
  <si>
    <t>Average frequency of cutting cycle</t>
  </si>
  <si>
    <t>CA &amp; RESET RINS 
TNSP ONLY</t>
  </si>
  <si>
    <t>metres</t>
  </si>
  <si>
    <t>CA &amp; RESET RINS 
DNSP &amp; TNSP</t>
  </si>
  <si>
    <t>dms_020603_01_UOM</t>
  </si>
  <si>
    <t>(per cent)</t>
  </si>
  <si>
    <r>
      <t xml:space="preserve">EB &amp; RESET RINS 
</t>
    </r>
    <r>
      <rPr>
        <sz val="26"/>
        <color rgb="FFFF0000"/>
        <rFont val="Calibri"/>
        <family val="2"/>
        <scheme val="minor"/>
      </rPr>
      <t>DNSP ONLY</t>
    </r>
  </si>
  <si>
    <t>dms_030601_01_UOM</t>
  </si>
  <si>
    <t>dms_030601_02_UOM</t>
  </si>
  <si>
    <t>dms_030701_01_UOM</t>
  </si>
  <si>
    <t>dms_030702_01_UOM</t>
  </si>
  <si>
    <t>dms_030703_01_UOM</t>
  </si>
  <si>
    <t>minutes/customer</t>
  </si>
  <si>
    <t>Customer / km</t>
  </si>
  <si>
    <t>%</t>
  </si>
  <si>
    <t>MWh/customer</t>
  </si>
  <si>
    <t>Number of spans</t>
  </si>
  <si>
    <t>interruptions/customer</t>
  </si>
  <si>
    <t>kVA / customer</t>
  </si>
  <si>
    <t>Years</t>
  </si>
  <si>
    <t>Trees</t>
  </si>
  <si>
    <t>Defects</t>
  </si>
  <si>
    <t>Spans</t>
  </si>
  <si>
    <t>WHEN INSERTING COVER SHEET INTO A TNSP FILE - APPLY THESE NAMED RANGES</t>
  </si>
  <si>
    <r>
      <t xml:space="preserve">EB &amp; RESET RINS 
</t>
    </r>
    <r>
      <rPr>
        <sz val="26"/>
        <color rgb="FFFF0000"/>
        <rFont val="Calibri"/>
        <family val="2"/>
        <scheme val="minor"/>
      </rPr>
      <t>TNSP ONLY</t>
    </r>
  </si>
  <si>
    <t>EB &amp; RESET RINS 
DNSP &amp; TNSP</t>
  </si>
  <si>
    <t>dms_EB_RAB_PIT</t>
  </si>
  <si>
    <t>Beginning of year</t>
  </si>
  <si>
    <t>End of year</t>
  </si>
  <si>
    <t>ARR 
DNSP ONLY</t>
  </si>
  <si>
    <t>dms_030605_UOM</t>
  </si>
  <si>
    <t>dms_03060703_UOM</t>
  </si>
  <si>
    <t>dms_E020202_UOM</t>
  </si>
  <si>
    <t>Spare</t>
  </si>
  <si>
    <t>Length of mains replaced</t>
  </si>
  <si>
    <t>Number of services replaced</t>
  </si>
  <si>
    <t/>
  </si>
  <si>
    <t>RFM</t>
  </si>
  <si>
    <t>dms_Beg</t>
  </si>
  <si>
    <t>dms_Mid</t>
  </si>
  <si>
    <t>dms_End</t>
  </si>
  <si>
    <t>Mid year</t>
  </si>
  <si>
    <t>End of Year</t>
  </si>
  <si>
    <t>PTRM</t>
  </si>
  <si>
    <t>dms_PTRM_RAB_PIT</t>
  </si>
  <si>
    <t>dms_PTRM_TAB_PIT</t>
  </si>
  <si>
    <t>DMS_Xfactor</t>
  </si>
  <si>
    <t>x factors</t>
  </si>
  <si>
    <t xml:space="preserve">STPIS &amp; MIC NAMED RANGES </t>
  </si>
  <si>
    <t>These "row descriptions" are the column headings in the various templates but become row descriptions in the ETL process</t>
  </si>
  <si>
    <t>Table 6.3 sustained interruptions - row descriptions</t>
  </si>
  <si>
    <t>dms_060301_CustNo_Affected_Row</t>
  </si>
  <si>
    <t>dms_060301_Avg_Duration_Sustained_Int_Row</t>
  </si>
  <si>
    <t>dms_060301_Effect_unplanned_SAIDI_Row</t>
  </si>
  <si>
    <t>dms_060301_Effect_unplanned_SAIFI_Row</t>
  </si>
  <si>
    <t>Number of customers affected by the interruption</t>
  </si>
  <si>
    <t>Average duration of sustained customer interruption</t>
  </si>
  <si>
    <t>Effect on unplanned SAIDI</t>
  </si>
  <si>
    <t>Effect on unplanned SAIFI</t>
  </si>
  <si>
    <t>Table 6.1 telephone answering - row descriptions and start date</t>
  </si>
  <si>
    <t>dms_060101_Rows</t>
  </si>
  <si>
    <t>dms_060102_Rows</t>
  </si>
  <si>
    <t>dms_060101_StartDateTxt</t>
  </si>
  <si>
    <t>Total number of calls 
(after removing excluded events)</t>
  </si>
  <si>
    <t xml:space="preserve">Number of calls answered within 30 seconds 
(after excluding excluded events) </t>
  </si>
  <si>
    <t>Table 6.8.1 - row descriptions</t>
  </si>
  <si>
    <t>dms_060801_01_Rows</t>
  </si>
  <si>
    <t>dms_060801_02_Rows</t>
  </si>
  <si>
    <t>dms_060801_03_Rows</t>
  </si>
  <si>
    <t>dms_060801_04_Rows</t>
  </si>
  <si>
    <t>Number of interruptions</t>
  </si>
  <si>
    <t>Duration of interruptions</t>
  </si>
  <si>
    <t>Total unplanned minutes off supply</t>
  </si>
  <si>
    <t>Effect on unplanned MAIFI</t>
  </si>
  <si>
    <t>Table 7.9.4 - market impact component - row descriptions</t>
  </si>
  <si>
    <t>dms_070904_01_Rows</t>
  </si>
  <si>
    <t>without exclusions</t>
  </si>
  <si>
    <t>with exclusions</t>
  </si>
  <si>
    <t>These headings (Lists) are determined from the INDEX/MATCH function on the NSP selected on the Business &amp; other details sheet</t>
  </si>
  <si>
    <t>Table 6.7.1 - daily performance data - unplanned - MAIFI  -- row descriptions and header named range values</t>
  </si>
  <si>
    <t>dms_060701_Feeder_Header_Lvl4</t>
  </si>
  <si>
    <t>Network</t>
  </si>
  <si>
    <t>dms_060701_Rows</t>
  </si>
  <si>
    <t>All events</t>
  </si>
  <si>
    <t>After removing excluded events</t>
  </si>
  <si>
    <t>the number of column headings changes from 10 to 12 depending on the number of feeder categories for the NSP</t>
  </si>
  <si>
    <t>dms_0603_FeederList</t>
  </si>
  <si>
    <t>Use these to add to specific worksheets in existing files</t>
  </si>
  <si>
    <t>ARRs 6.7 STPIS daily performance</t>
  </si>
  <si>
    <t>dms_060101_Values</t>
  </si>
  <si>
    <t>dms_060102_Values</t>
  </si>
  <si>
    <t>dms_060701_Values</t>
  </si>
  <si>
    <t>dms_LeapYear</t>
  </si>
  <si>
    <t>ARR's  6.8 STPIS exclusions</t>
  </si>
  <si>
    <t>dms_060801_Event_Date</t>
  </si>
  <si>
    <t>dms_060801_OutageID</t>
  </si>
  <si>
    <t>dms_060801_FeederID</t>
  </si>
  <si>
    <t>dms_060801_FeederClass</t>
  </si>
  <si>
    <t>dms_060801_CauseID</t>
  </si>
  <si>
    <t>dms_060801_01_Values</t>
  </si>
  <si>
    <t>dms_060801_02_Values</t>
  </si>
  <si>
    <t>dms_060801_03_Values</t>
  </si>
  <si>
    <t>dms_060801_Excl_Cat</t>
  </si>
  <si>
    <t>dms_060801_04_Values</t>
  </si>
  <si>
    <t>dms_060801_StartCell</t>
  </si>
  <si>
    <t>CA 6.3 sustained interruptions</t>
  </si>
  <si>
    <t>dms_060301_Event_Date</t>
  </si>
  <si>
    <t>dms_060301_Event_Time</t>
  </si>
  <si>
    <t>dms_060301_AssetID</t>
  </si>
  <si>
    <t>dms_060301_FeederClass</t>
  </si>
  <si>
    <t>dms_060301_Reason</t>
  </si>
  <si>
    <t>dms_060301_DetailedReason</t>
  </si>
  <si>
    <t>dms_060301_CustNo_Affected_Values</t>
  </si>
  <si>
    <t>dms_060301_Avg_Duration_Sustained_Int_Values</t>
  </si>
  <si>
    <t>dms_060301_Effect_unplanned_SAIDI_Values</t>
  </si>
  <si>
    <t>dms_060301_Effect_unplanned_SAIFI_Values</t>
  </si>
  <si>
    <t>dms_060301_MED</t>
  </si>
  <si>
    <t>PTRM input sheet</t>
  </si>
  <si>
    <t>DMS_50_01_01a</t>
  </si>
  <si>
    <t>DMS_50_01_01aa</t>
  </si>
  <si>
    <t>DMS_50_01_01b</t>
  </si>
  <si>
    <t>DMS_50_01_01bb</t>
  </si>
  <si>
    <t>DMS_50_01_01c</t>
  </si>
  <si>
    <t>DMS_50_01_01d</t>
  </si>
  <si>
    <t>DMS_50_01_01dd</t>
  </si>
  <si>
    <t>2050</t>
  </si>
  <si>
    <t>2049-50</t>
  </si>
  <si>
    <t>2049</t>
  </si>
  <si>
    <t>2048-49</t>
  </si>
  <si>
    <t>dms_y26</t>
  </si>
  <si>
    <t>2047-48</t>
  </si>
  <si>
    <t>dms_y25</t>
  </si>
  <si>
    <t>2046-47</t>
  </si>
  <si>
    <t>dms_y24</t>
  </si>
  <si>
    <t>2045-46</t>
  </si>
  <si>
    <t>dms_y23</t>
  </si>
  <si>
    <t>2044-45</t>
  </si>
  <si>
    <t>dms_y22</t>
  </si>
  <si>
    <t>2043-44</t>
  </si>
  <si>
    <t>dms_y21</t>
  </si>
  <si>
    <t>2042-43</t>
  </si>
  <si>
    <t>dms_y20</t>
  </si>
  <si>
    <t>2041-42</t>
  </si>
  <si>
    <t>dms_y19</t>
  </si>
  <si>
    <t>2040-41</t>
  </si>
  <si>
    <t>dms_y18</t>
  </si>
  <si>
    <t>2039-40</t>
  </si>
  <si>
    <t>dms_y17</t>
  </si>
  <si>
    <t>2038-39</t>
  </si>
  <si>
    <t>dms_y16</t>
  </si>
  <si>
    <t>2037-38</t>
  </si>
  <si>
    <t>dms_y15</t>
  </si>
  <si>
    <t>2036-37</t>
  </si>
  <si>
    <t>dms_y14</t>
  </si>
  <si>
    <t>2035-36</t>
  </si>
  <si>
    <t>dms_y13</t>
  </si>
  <si>
    <t>2034-35</t>
  </si>
  <si>
    <t>dms_y12</t>
  </si>
  <si>
    <t>2033-34</t>
  </si>
  <si>
    <t>dms_y11</t>
  </si>
  <si>
    <t>2032-33</t>
  </si>
  <si>
    <t>dms_y10</t>
  </si>
  <si>
    <t>2031-32</t>
  </si>
  <si>
    <t>dms_y9</t>
  </si>
  <si>
    <t>2030-31</t>
  </si>
  <si>
    <t>dms_y8</t>
  </si>
  <si>
    <t>2029-30</t>
  </si>
  <si>
    <t>dms_y7</t>
  </si>
  <si>
    <t>2028-29</t>
  </si>
  <si>
    <t>dms_y6</t>
  </si>
  <si>
    <t>2027-28</t>
  </si>
  <si>
    <t>dms_y5</t>
  </si>
  <si>
    <t>2026-27</t>
  </si>
  <si>
    <t>dms_y4</t>
  </si>
  <si>
    <t>2025-26</t>
  </si>
  <si>
    <t>dms_y3</t>
  </si>
  <si>
    <t>dms_y2</t>
  </si>
  <si>
    <t>2023-24</t>
  </si>
  <si>
    <t>dms_y1</t>
  </si>
  <si>
    <t>2022-23</t>
  </si>
  <si>
    <t>CRY - FRY</t>
  </si>
  <si>
    <t>2021-22</t>
  </si>
  <si>
    <t>2019-20</t>
  </si>
  <si>
    <t>2018-19</t>
  </si>
  <si>
    <t>2017-18</t>
  </si>
  <si>
    <t>2016-17</t>
  </si>
  <si>
    <t>2015-16</t>
  </si>
  <si>
    <t>2014-15</t>
  </si>
  <si>
    <t>2013-14</t>
  </si>
  <si>
    <t>2012-13</t>
  </si>
  <si>
    <t>FRCP_y25</t>
  </si>
  <si>
    <t>CRCP_y25</t>
  </si>
  <si>
    <t>PRCP_y25</t>
  </si>
  <si>
    <t>2011-12</t>
  </si>
  <si>
    <t>FRCP_y24</t>
  </si>
  <si>
    <t>CRCP_y24</t>
  </si>
  <si>
    <t>PRCP_y24</t>
  </si>
  <si>
    <t>2010-11</t>
  </si>
  <si>
    <t>FRCP_y23</t>
  </si>
  <si>
    <t>CRCP_y23</t>
  </si>
  <si>
    <t>PRCP_y23</t>
  </si>
  <si>
    <t>2009-10</t>
  </si>
  <si>
    <t>FRCP_y22</t>
  </si>
  <si>
    <t>CRCP_y22</t>
  </si>
  <si>
    <t>PRCP_y22</t>
  </si>
  <si>
    <t>2009</t>
  </si>
  <si>
    <t>2008-09</t>
  </si>
  <si>
    <t>FRCP_y21</t>
  </si>
  <si>
    <t>CRCP_y21</t>
  </si>
  <si>
    <t>PRCP_y21</t>
  </si>
  <si>
    <t>2008</t>
  </si>
  <si>
    <t>2007-08</t>
  </si>
  <si>
    <t>FRCP_y20</t>
  </si>
  <si>
    <t>CRCP_y20</t>
  </si>
  <si>
    <t>PRCP_y20</t>
  </si>
  <si>
    <t>2007</t>
  </si>
  <si>
    <t>2006-07</t>
  </si>
  <si>
    <t>FRCP_y19</t>
  </si>
  <si>
    <t>CRCP_y19</t>
  </si>
  <si>
    <t>PRCP_y19</t>
  </si>
  <si>
    <t>2006</t>
  </si>
  <si>
    <t>2005-06</t>
  </si>
  <si>
    <t>FRCP_y18</t>
  </si>
  <si>
    <t>CRCP_y18</t>
  </si>
  <si>
    <t>PRCP_y18</t>
  </si>
  <si>
    <t>2005</t>
  </si>
  <si>
    <t>2004-05</t>
  </si>
  <si>
    <t>FRCP_y17</t>
  </si>
  <si>
    <t>CRCP_y17</t>
  </si>
  <si>
    <t>PRCP_y17</t>
  </si>
  <si>
    <t>2004</t>
  </si>
  <si>
    <t>2003-04</t>
  </si>
  <si>
    <t>FRCP_y16</t>
  </si>
  <si>
    <t>CRCP_y16</t>
  </si>
  <si>
    <t>PRCP_y16</t>
  </si>
  <si>
    <t>2003</t>
  </si>
  <si>
    <t>2002-03</t>
  </si>
  <si>
    <t>FRCP_y15</t>
  </si>
  <si>
    <t>CRCP_y15</t>
  </si>
  <si>
    <t>PRCP_y15</t>
  </si>
  <si>
    <t>2002</t>
  </si>
  <si>
    <t>2001-02</t>
  </si>
  <si>
    <t>FRCP_y14</t>
  </si>
  <si>
    <t>CRCP_y14</t>
  </si>
  <si>
    <t>PRCP_y14</t>
  </si>
  <si>
    <t>2001</t>
  </si>
  <si>
    <t>2000-01</t>
  </si>
  <si>
    <t>FRCP_y13</t>
  </si>
  <si>
    <t>CRCP_y13</t>
  </si>
  <si>
    <t>PRCP_y13</t>
  </si>
  <si>
    <t>2000</t>
  </si>
  <si>
    <t>1999-00</t>
  </si>
  <si>
    <t>FRCP_y12</t>
  </si>
  <si>
    <t>CRCP_y12</t>
  </si>
  <si>
    <t>PRCP_y12</t>
  </si>
  <si>
    <t>1999</t>
  </si>
  <si>
    <t>1998-99</t>
  </si>
  <si>
    <t>FRCP_y11</t>
  </si>
  <si>
    <t>CRCP_y11</t>
  </si>
  <si>
    <t>PRCP_y11</t>
  </si>
  <si>
    <t>1998</t>
  </si>
  <si>
    <t>1997-98</t>
  </si>
  <si>
    <t>FRCP_y10</t>
  </si>
  <si>
    <t>CRCP_y10</t>
  </si>
  <si>
    <t>PRCP_y10</t>
  </si>
  <si>
    <t>1997</t>
  </si>
  <si>
    <t>1996-97</t>
  </si>
  <si>
    <t>FRCP_y9</t>
  </si>
  <si>
    <t>CRCP_y9</t>
  </si>
  <si>
    <t>PRCP_y9</t>
  </si>
  <si>
    <t>1996</t>
  </si>
  <si>
    <t>1995-96</t>
  </si>
  <si>
    <t>FRCP_y8</t>
  </si>
  <si>
    <t>CRCP_y8</t>
  </si>
  <si>
    <t>PRCP_y8</t>
  </si>
  <si>
    <t>1995</t>
  </si>
  <si>
    <t>1994-95</t>
  </si>
  <si>
    <t>FRCP_y7</t>
  </si>
  <si>
    <t>CRCP_y7</t>
  </si>
  <si>
    <t>PRCP_y7</t>
  </si>
  <si>
    <t>1994</t>
  </si>
  <si>
    <t>1993-94</t>
  </si>
  <si>
    <t>FRCP_y6</t>
  </si>
  <si>
    <t>CRCP_y6</t>
  </si>
  <si>
    <t>PRCP_y6</t>
  </si>
  <si>
    <t>1993</t>
  </si>
  <si>
    <t>1992-93</t>
  </si>
  <si>
    <t>FRCP_y5</t>
  </si>
  <si>
    <t>CRCP_y5</t>
  </si>
  <si>
    <t>PRCP_y5</t>
  </si>
  <si>
    <t>1992</t>
  </si>
  <si>
    <t>1991-92</t>
  </si>
  <si>
    <t>FRCP_y4</t>
  </si>
  <si>
    <t>CRCP_y4</t>
  </si>
  <si>
    <t>PRCP_y4</t>
  </si>
  <si>
    <t>1991</t>
  </si>
  <si>
    <t>1990-91</t>
  </si>
  <si>
    <t>FRCP_y3</t>
  </si>
  <si>
    <t>CRCP_y3</t>
  </si>
  <si>
    <t>PRCP_y3</t>
  </si>
  <si>
    <t>1990</t>
  </si>
  <si>
    <t>1989-90</t>
  </si>
  <si>
    <t>FRCP_y2</t>
  </si>
  <si>
    <t>CRCP_y2</t>
  </si>
  <si>
    <t>PRCP_y2</t>
  </si>
  <si>
    <t>1989</t>
  </si>
  <si>
    <t>1988-89</t>
  </si>
  <si>
    <t>CRCP_y1</t>
  </si>
  <si>
    <t>PRCP_y1</t>
  </si>
  <si>
    <t>1988</t>
  </si>
  <si>
    <t>1987-88</t>
  </si>
  <si>
    <t>FORTHCOMING</t>
  </si>
  <si>
    <t>CURRENT</t>
  </si>
  <si>
    <t>PREVIOUS</t>
  </si>
  <si>
    <t>Calendar</t>
  </si>
  <si>
    <t>Financial</t>
  </si>
  <si>
    <t>WEIGHTED AVERAGE COST OF CAPITAL</t>
  </si>
  <si>
    <t>Weighted Average Cost of Capital</t>
  </si>
  <si>
    <t>WACC</t>
  </si>
  <si>
    <t>ROLL FORWARD MODEL</t>
  </si>
  <si>
    <t>Roll Forward Model</t>
  </si>
  <si>
    <t>AER RESET DECISION OUTPUTS</t>
  </si>
  <si>
    <t>Reset Outputs</t>
  </si>
  <si>
    <t>Reset_outputs</t>
  </si>
  <si>
    <t>REGULATORY REPORTING STATEMENT</t>
  </si>
  <si>
    <t>Regulatory Reporting (Reset)</t>
  </si>
  <si>
    <t>Reset</t>
  </si>
  <si>
    <t>POST TAX REVENUE MODEL</t>
  </si>
  <si>
    <t>Post Tax Revenue Model</t>
  </si>
  <si>
    <t>PROFITABILITY</t>
  </si>
  <si>
    <t>Profitability</t>
  </si>
  <si>
    <t>PRICING PROPOSAL</t>
  </si>
  <si>
    <t>Pricing Proposal</t>
  </si>
  <si>
    <t>Pricing</t>
  </si>
  <si>
    <t>EFFICIENCY BENEFIT SHARING SCHEME</t>
  </si>
  <si>
    <t>Efficiency Benefit Sharing Scheme</t>
  </si>
  <si>
    <t>EBSS</t>
  </si>
  <si>
    <t>Economic Benchmarking</t>
  </si>
  <si>
    <t>CPI</t>
  </si>
  <si>
    <t>CAPITLAL EXPENDITURE SHARING SCHEMING</t>
  </si>
  <si>
    <t>Capitlal Expenditure</t>
  </si>
  <si>
    <t>CESS</t>
  </si>
  <si>
    <t>Category Analysis</t>
  </si>
  <si>
    <t>CA</t>
  </si>
  <si>
    <t>Annual Reporting</t>
  </si>
  <si>
    <t>ARR</t>
  </si>
  <si>
    <t>dms_Model_Span_List</t>
  </si>
  <si>
    <t>dms_Worksheet_List</t>
  </si>
  <si>
    <t>dms_Model_Name_Format1</t>
  </si>
  <si>
    <t xml:space="preserve">dms_Model_List </t>
  </si>
  <si>
    <t>The Reg Year Ending (dms_RYE) must be set to the last year of the regulatory period. For forecast data is is usually (FRCP_y5) for actual it is a single year (CRY). For historical actual data the RYE will need to be set manually in the business details sheet by setting the dms_Multiyear_flag to 1 and putting the correct value in 'dms_Specified_FinalYear. See cells C67:C68</t>
  </si>
  <si>
    <t>YES</t>
  </si>
  <si>
    <t>Long rural</t>
  </si>
  <si>
    <t>Short rural</t>
  </si>
  <si>
    <t>Urban</t>
  </si>
  <si>
    <t>CBD</t>
  </si>
  <si>
    <t>NO</t>
  </si>
  <si>
    <t>MOUNT WAVERLEY</t>
  </si>
  <si>
    <t>PO Box 449</t>
  </si>
  <si>
    <t>43-45 Centreway</t>
  </si>
  <si>
    <t>June</t>
  </si>
  <si>
    <t>EDDVIC500</t>
  </si>
  <si>
    <t>SYDNEY</t>
  </si>
  <si>
    <t>MOONAH</t>
  </si>
  <si>
    <t>PO Box 606</t>
  </si>
  <si>
    <t>LENAH VALLEY</t>
  </si>
  <si>
    <t>1-7 Maria Street</t>
  </si>
  <si>
    <t>Low density rural</t>
  </si>
  <si>
    <t>High density rural</t>
  </si>
  <si>
    <t>High density commercial</t>
  </si>
  <si>
    <t>Critical Infrastructure</t>
  </si>
  <si>
    <t>EDDTAS100</t>
  </si>
  <si>
    <t>ADELAIDE</t>
  </si>
  <si>
    <t>GPO Box 77</t>
  </si>
  <si>
    <t>KESWICK</t>
  </si>
  <si>
    <t>1 Anzac Highway</t>
  </si>
  <si>
    <t>EDDSTH100</t>
  </si>
  <si>
    <t>x</t>
  </si>
  <si>
    <t>QLD</t>
  </si>
  <si>
    <t>MELBOURNE</t>
  </si>
  <si>
    <t>Locked bag 14090</t>
  </si>
  <si>
    <t>40 Market Street</t>
  </si>
  <si>
    <t>EDDVIC400</t>
  </si>
  <si>
    <t>DARWIN</t>
  </si>
  <si>
    <t>GPO Box 1921</t>
  </si>
  <si>
    <t>EDDNTY100</t>
  </si>
  <si>
    <t>Power and Water Corporation</t>
  </si>
  <si>
    <t>PO Box 16182</t>
  </si>
  <si>
    <t>567 Collins Street</t>
  </si>
  <si>
    <t>Level 16</t>
  </si>
  <si>
    <t>EDDVIC300</t>
  </si>
  <si>
    <t>CANBERRA</t>
  </si>
  <si>
    <t>GPO BOX 366</t>
  </si>
  <si>
    <t>40 Bunda Street</t>
  </si>
  <si>
    <t>EDTACT100</t>
  </si>
  <si>
    <t>EDDACT100</t>
  </si>
  <si>
    <t>PORT MACQUARIE</t>
  </si>
  <si>
    <t>PO Box 5730</t>
  </si>
  <si>
    <t>8 Buller Street</t>
  </si>
  <si>
    <t>EDDNSW300</t>
  </si>
  <si>
    <t>FORTITUDE VALLEY</t>
  </si>
  <si>
    <t>Po Box 264</t>
  </si>
  <si>
    <t>TOWNSVILLE</t>
  </si>
  <si>
    <t>22 Walker Street</t>
  </si>
  <si>
    <t>EDDQLD200</t>
  </si>
  <si>
    <t>NEWSTEAD</t>
  </si>
  <si>
    <t>26 Reddacliff Street</t>
  </si>
  <si>
    <t>EDDQLD100</t>
  </si>
  <si>
    <t>SEVEN HILLS</t>
  </si>
  <si>
    <t>PO Box 811</t>
  </si>
  <si>
    <t>HUNTINGWOOD</t>
  </si>
  <si>
    <t>51 Huntingwood Drive</t>
  </si>
  <si>
    <t>EDDNSW200</t>
  </si>
  <si>
    <t>Locked Bag 14090</t>
  </si>
  <si>
    <t>EDDVIC200</t>
  </si>
  <si>
    <t>PO Box 123</t>
  </si>
  <si>
    <t>123 Straight Street</t>
  </si>
  <si>
    <t>UID_123</t>
  </si>
  <si>
    <t>Australian Distribution Co. (Victoria)</t>
  </si>
  <si>
    <t>MELBOURNE CITY MAIL CENTRE</t>
  </si>
  <si>
    <t>Locked Bag 14051</t>
  </si>
  <si>
    <t>SOUTHBANK</t>
  </si>
  <si>
    <t>2 Southbank Boulevard</t>
  </si>
  <si>
    <t>Level 32</t>
  </si>
  <si>
    <t>EDDVIC100</t>
  </si>
  <si>
    <t>AusNet Electricity Services Pty Ltd</t>
  </si>
  <si>
    <t>GPO Box 4009</t>
  </si>
  <si>
    <t>570 George St</t>
  </si>
  <si>
    <t>EDTNSW100</t>
  </si>
  <si>
    <t>78 508 211 731</t>
  </si>
  <si>
    <t>EDDNSW100</t>
  </si>
  <si>
    <t>dms_Public_Lighting_List</t>
  </si>
  <si>
    <t>dms_MAIFI_flag_List</t>
  </si>
  <si>
    <t>dms_FeederName_5</t>
  </si>
  <si>
    <t>dms_FeederName_4</t>
  </si>
  <si>
    <t>dms_FeederName_3</t>
  </si>
  <si>
    <t>dms_FeederName_2</t>
  </si>
  <si>
    <t>dms_FeederName_1</t>
  </si>
  <si>
    <t>dms_FeederType_5_flag</t>
  </si>
  <si>
    <t>dms_LongRural_flag</t>
  </si>
  <si>
    <t>dms_ShortRural_flag</t>
  </si>
  <si>
    <t>dms_Urban_flag</t>
  </si>
  <si>
    <t>dms_CBD_flag</t>
  </si>
  <si>
    <t>dms_PPostCode_List</t>
  </si>
  <si>
    <t>dms_PState_List</t>
  </si>
  <si>
    <t>dms_PSuburb_List</t>
  </si>
  <si>
    <t>dms_PAddr2_List</t>
  </si>
  <si>
    <t>dms_PAddr1_List</t>
  </si>
  <si>
    <t>dms_PostCode_List</t>
  </si>
  <si>
    <t>dms_State_List</t>
  </si>
  <si>
    <t>dms_Suburb_List</t>
  </si>
  <si>
    <t>dms_Addr2_List</t>
  </si>
  <si>
    <t>dms_Addr1_List</t>
  </si>
  <si>
    <t>dms_663_List</t>
  </si>
  <si>
    <t>dms_PRCPlength_List</t>
  </si>
  <si>
    <t>dms_FRCPlength_List</t>
  </si>
  <si>
    <t>dms_CRCPlength_List</t>
  </si>
  <si>
    <t>dms_RPTMonth_List</t>
  </si>
  <si>
    <t>dms_RPT_List</t>
  </si>
  <si>
    <t>dms_FormControl_List</t>
  </si>
  <si>
    <t>dms_Segment_List</t>
  </si>
  <si>
    <t>dms_Sector_List</t>
  </si>
  <si>
    <t>dms_JurisdictionList</t>
  </si>
  <si>
    <t>dms_UID_List</t>
  </si>
  <si>
    <t>dms_ABN_List</t>
  </si>
  <si>
    <t>dms_TradingNameFull_List</t>
  </si>
  <si>
    <t>dms_TradingName_List</t>
  </si>
  <si>
    <t>EXTRA</t>
  </si>
  <si>
    <t>long rural</t>
  </si>
  <si>
    <t>Feeder Names</t>
  </si>
  <si>
    <t>Feeder Types</t>
  </si>
  <si>
    <t>FOR ELECTRICITY BUSINESSES ONLY</t>
  </si>
  <si>
    <t>Template number</t>
  </si>
  <si>
    <t>AER LOOKUP TABLES</t>
  </si>
  <si>
    <t>AER ETL INFORMATION</t>
  </si>
  <si>
    <t>USES NAMED RANGES FLAG</t>
  </si>
  <si>
    <t>yes</t>
  </si>
  <si>
    <t>dms_Defined_Names_Used</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</si>
  <si>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</si>
  <si>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</si>
  <si>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</si>
  <si>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Full trading name</t>
  </si>
  <si>
    <t>dms_TradingNameFull</t>
  </si>
  <si>
    <t>Trading name</t>
  </si>
  <si>
    <t>Unique ID</t>
  </si>
  <si>
    <t>Selected here</t>
  </si>
  <si>
    <t>Model / RIN</t>
  </si>
  <si>
    <t>dms_Model</t>
  </si>
  <si>
    <r>
      <t xml:space="preserve">Read from </t>
    </r>
    <r>
      <rPr>
        <i/>
        <sz val="11"/>
        <color theme="1"/>
        <rFont val="Calibri"/>
        <family val="2"/>
        <scheme val="minor"/>
      </rPr>
      <t>Business &amp; other details</t>
    </r>
  </si>
  <si>
    <t>dms_Source</t>
  </si>
  <si>
    <t>Data quality</t>
  </si>
  <si>
    <t>For DB purposes this is always Consoldiated</t>
  </si>
  <si>
    <t>Data status</t>
  </si>
  <si>
    <t>For DB purposes this is always Public</t>
  </si>
  <si>
    <t>Amendment reason</t>
  </si>
  <si>
    <t>dms_AmendmentReason</t>
  </si>
  <si>
    <t>Submission date</t>
  </si>
  <si>
    <t>dms_SubmissionDate</t>
  </si>
  <si>
    <t>Redundant</t>
  </si>
  <si>
    <t>EBSS - First application of scheme in forthcoming period?</t>
  </si>
  <si>
    <t>No</t>
  </si>
  <si>
    <t>Pre-populated from lookup table</t>
  </si>
  <si>
    <t>Data ingestion data quality</t>
  </si>
  <si>
    <t>dms_DataQuality</t>
  </si>
  <si>
    <t>Always Consolidated</t>
  </si>
  <si>
    <t>dms_Sector</t>
  </si>
  <si>
    <t>=INDEX(dms_Sector_List,MATCH(dms_TradingName,dms_TradingName_List))</t>
  </si>
  <si>
    <t>dms_Segment</t>
  </si>
  <si>
    <t>=INDEX(dms_Segment_List,MATCH(dms_TradingName,dms_TradingName_List))</t>
  </si>
  <si>
    <t>Regulatory Year Ending</t>
  </si>
  <si>
    <t>dms_RYE</t>
  </si>
  <si>
    <t>=IF(dms_MultiYear_Flag=1,LEFT(dms_Specified_FinalYear,2)&amp;RIGHT(dms_Specified_FinalYear,2),dms_RYE_result)</t>
  </si>
  <si>
    <t>Reporting Period Type</t>
  </si>
  <si>
    <t>dms_RPT</t>
  </si>
  <si>
    <t>=INDEX(dms_RPT_List,MATCH(dms_TradingName,dms_TradingName_List))</t>
  </si>
  <si>
    <t>EB/CA Unit of Measure for Monetary Values</t>
  </si>
  <si>
    <t>dms_dollar_nom_UOM</t>
  </si>
  <si>
    <t>Security Classification</t>
  </si>
  <si>
    <t>dms_Classification</t>
  </si>
  <si>
    <t>Always Public</t>
  </si>
  <si>
    <t>Jurisdiction</t>
  </si>
  <si>
    <t>dms_Jurisdiction</t>
  </si>
  <si>
    <t>=INDEX(dms_JurisdictionList,MATCH(dms_TradingName,dms_TradingName_List))</t>
  </si>
  <si>
    <t>Relevant for PTRM, RFMs and Reset RINS</t>
  </si>
  <si>
    <t>$ REAL REFERENCES</t>
  </si>
  <si>
    <t xml:space="preserve">Does the named range CRY exist in this file? </t>
  </si>
  <si>
    <t>CRY-1  (last full calendar year before CRY)</t>
  </si>
  <si>
    <t>dms_Cal_Year_B4_CRY</t>
  </si>
  <si>
    <t>'=IF(dms_RPT="financial",VALUE(LEFT(dms_SingleYear_FinalYear_Result,4)),VALUE(LEFT(dms_SingleYear_FinalYear_Result,4)-1))</t>
  </si>
  <si>
    <t>Dollar $ real month</t>
  </si>
  <si>
    <t>dms_RPTMonth</t>
  </si>
  <si>
    <t>=INDEX(dms_RPTMonth_List,MATCH(dms_TradingName,dms_TradingName_List))</t>
  </si>
  <si>
    <t>Dollar $ real  (the last month before the FRCP_y1)</t>
  </si>
  <si>
    <t>dms_DollarReal</t>
  </si>
  <si>
    <t>=IF(dms_Model="RFM",dms_DollarReal_Prev, IF(dms_SingleYearModel="yes",CONCATENATE(dms_RPTMonth)&amp;" "&amp;VALUE((LEFT(dms_CRY_start_year,2)&amp;RIGHT(dms_CRY_start_year,2))),CONCATENATE(dms_RPTMonth)&amp;" "&amp;dms_DollarReal_year))</t>
  </si>
  <si>
    <t>Dollar $ real previous year (PRCP_y5)</t>
  </si>
  <si>
    <t>dms_DollarReal_Prev</t>
  </si>
  <si>
    <t>=IF(SUM(dms_SingleYear_Model)&gt;0,CONCATENATE(dms_RPTMonth)&amp;" "&amp;VALUE(((LEFT(CRY,2))&amp;RIGHT(CRY,2))-1),CONCATENATE(dms_RPTMonth)&amp;" "&amp;VALUE(((LEFT(dms_CRCP_FirstYear_Result,2)&amp;RIGHT(dms_CRCP_FirstYear_Result,2))))-1)</t>
  </si>
  <si>
    <t>PTRM/ RFMs</t>
  </si>
  <si>
    <t>Form of control</t>
  </si>
  <si>
    <t>dms_FormControl</t>
  </si>
  <si>
    <t>=INDEX(dms_FormControl_List,MATCH(dms_TradingName,dms_TradingName_List))</t>
  </si>
  <si>
    <t>All potential values for Regulatory Years or RYEs as calculated</t>
  </si>
  <si>
    <t>This block works out the various RYE's for ALL RIN types and MODELS</t>
  </si>
  <si>
    <t>dms_start_year</t>
  </si>
  <si>
    <t>=FRCP_y1</t>
  </si>
  <si>
    <r>
      <rPr>
        <b/>
        <sz val="11"/>
        <color theme="1"/>
        <rFont val="Calibri"/>
        <family val="2"/>
        <scheme val="minor"/>
      </rPr>
      <t>FRCP_y1</t>
    </r>
    <r>
      <rPr>
        <sz val="11"/>
        <color theme="1"/>
        <rFont val="Calibri"/>
        <family val="2"/>
        <scheme val="minor"/>
      </rPr>
      <t xml:space="preserve"> from cover sheet</t>
    </r>
  </si>
  <si>
    <t>dms_CRY_start_year</t>
  </si>
  <si>
    <t>=IFERROR(CRY,CRCP_y4)</t>
  </si>
  <si>
    <t>dms_CRY_start_row</t>
  </si>
  <si>
    <t>=IFERROR(MATCH(dms_CRY_start_year,INDIRECT(dms_RPT),0),0)</t>
  </si>
  <si>
    <t>dms_FRCP_start_row</t>
  </si>
  <si>
    <t>=MATCH(dms_start_year,INDIRECT(dms_RPT),0)</t>
  </si>
  <si>
    <r>
      <t xml:space="preserve">Uses </t>
    </r>
    <r>
      <rPr>
        <b/>
        <sz val="11"/>
        <color theme="1"/>
        <rFont val="Calibri"/>
        <family val="2"/>
        <scheme val="minor"/>
      </rPr>
      <t>FRCP_y1</t>
    </r>
    <r>
      <rPr>
        <sz val="11"/>
        <color theme="1"/>
        <rFont val="Calibri"/>
        <family val="2"/>
        <scheme val="minor"/>
      </rPr>
      <t xml:space="preserve"> as a start reference</t>
    </r>
  </si>
  <si>
    <t>dms_CRCP_start_row</t>
  </si>
  <si>
    <t>=dms_FRCP_start_row-dms_CRCPlength_Num</t>
  </si>
  <si>
    <r>
      <t xml:space="preserve">Uses the value in </t>
    </r>
    <r>
      <rPr>
        <b/>
        <sz val="11"/>
        <color theme="1"/>
        <rFont val="Calibri"/>
        <family val="2"/>
        <scheme val="minor"/>
      </rPr>
      <t>dms_CRCPlength_Num</t>
    </r>
  </si>
  <si>
    <t>dms_PRCP_start_row</t>
  </si>
  <si>
    <t>=dms_FRCP_start_row-dms_CRCPlength_Num-dms_PRCPlength_Num</t>
  </si>
  <si>
    <r>
      <t xml:space="preserve">Uses the value in </t>
    </r>
    <r>
      <rPr>
        <b/>
        <sz val="11"/>
        <color theme="1"/>
        <rFont val="Calibri"/>
        <family val="2"/>
        <scheme val="minor"/>
      </rPr>
      <t>dms_CRCPlength_Num</t>
    </r>
    <r>
      <rPr>
        <sz val="11"/>
        <color theme="1"/>
        <rFont val="Calibri"/>
        <family val="2"/>
        <scheme val="minor"/>
      </rPr>
      <t xml:space="preserve"> and </t>
    </r>
    <r>
      <rPr>
        <b/>
        <sz val="11"/>
        <color theme="1"/>
        <rFont val="Calibri"/>
        <family val="2"/>
        <scheme val="minor"/>
      </rPr>
      <t>dms_PRCPlength_Num</t>
    </r>
  </si>
  <si>
    <t>dms_RYE_start_row</t>
  </si>
  <si>
    <t>=dms_FRCP_start_row+(dms_FRCPlength_Num-1)</t>
  </si>
  <si>
    <r>
      <t xml:space="preserve">Uses the value in </t>
    </r>
    <r>
      <rPr>
        <b/>
        <sz val="11"/>
        <color theme="1"/>
        <rFont val="Calibri"/>
        <family val="2"/>
        <scheme val="minor"/>
      </rPr>
      <t>dms_FRCPlength_Num-1</t>
    </r>
  </si>
  <si>
    <t>FRCP_start_year</t>
  </si>
  <si>
    <t>=INDEX(INDIRECT(dms_RPT),dms_FRCP_start_row)</t>
  </si>
  <si>
    <t>Converts the FRCP start row to display the year</t>
  </si>
  <si>
    <t>CRCP_start_year</t>
  </si>
  <si>
    <t>=INDEX(INDIRECT(dms_RPT),dms_CRCP_start_row)</t>
  </si>
  <si>
    <t>Converts the CRCP start row to display the year</t>
  </si>
  <si>
    <t>PRCP_start_year</t>
  </si>
  <si>
    <t>=INDEX(INDIRECT(dms_RPT),dms_PRCP_start_row)</t>
  </si>
  <si>
    <t>Converts the PRCP start row to display the year</t>
  </si>
  <si>
    <t>FRCP_final_year</t>
  </si>
  <si>
    <t>=INDEX(INDIRECT(dms_RPT),dms_FRCP_start_row+dms_FRCPlength_Num-1)</t>
  </si>
  <si>
    <t>Finds the FRCP final year</t>
  </si>
  <si>
    <t>CRCP_final_year</t>
  </si>
  <si>
    <t>=INDEX(INDIRECT(dms_RPT),dms_CRCP_start_row+dms_CRCPlength_Num-1)</t>
  </si>
  <si>
    <t>Finds the CRCP final year</t>
  </si>
  <si>
    <t>PRCP_final_year</t>
  </si>
  <si>
    <t>=INDEX(INDIRECT(dms_RPT),dms_PRCP_start_row+dms_FRCPlength_Num-1)</t>
  </si>
  <si>
    <t>Finds the PRCP final year</t>
  </si>
  <si>
    <t>dms_Reset_final_year</t>
  </si>
  <si>
    <t>=INDEX(INDIRECT(dms_RPT),dms_RYE_start_row)</t>
  </si>
  <si>
    <t>For Resets and PTRM/RFMs (same as FRCP_final_year)</t>
  </si>
  <si>
    <t>dms_SpecifiedYear_final_year</t>
  </si>
  <si>
    <t>=FRY</t>
  </si>
  <si>
    <r>
      <rPr>
        <b/>
        <sz val="11"/>
        <color theme="1"/>
        <rFont val="Calibri"/>
        <family val="2"/>
        <scheme val="minor"/>
      </rPr>
      <t xml:space="preserve">FRY </t>
    </r>
    <r>
      <rPr>
        <sz val="11"/>
        <color theme="1"/>
        <rFont val="Calibri"/>
        <family val="2"/>
        <scheme val="minor"/>
      </rPr>
      <t>from cover sheet</t>
    </r>
  </si>
  <si>
    <t>dms_DollarReal_year</t>
  </si>
  <si>
    <t>=LEFT(CRCP_final_year,2)&amp;RIGHT(CRCP_final_year,2)</t>
  </si>
  <si>
    <r>
      <t xml:space="preserve">Uses the value in </t>
    </r>
    <r>
      <rPr>
        <b/>
        <sz val="11"/>
        <color theme="1"/>
        <rFont val="Calibri"/>
        <family val="2"/>
        <scheme val="minor"/>
      </rPr>
      <t>CRCP_final_year</t>
    </r>
  </si>
  <si>
    <t>dms_Previous_DollarReal_year</t>
  </si>
  <si>
    <t>=LEFT(PRCP_final_year,2)&amp;RIGHT(PRCP_final_year,2)</t>
  </si>
  <si>
    <r>
      <t>Uses the value in P</t>
    </r>
    <r>
      <rPr>
        <b/>
        <sz val="11"/>
        <color theme="1"/>
        <rFont val="Calibri"/>
        <family val="2"/>
        <scheme val="minor"/>
      </rPr>
      <t>RCP_final_year</t>
    </r>
  </si>
  <si>
    <t>dms_CRY_RYE</t>
  </si>
  <si>
    <t>=IFERROR(LEFT(CRY,2)&amp;RIGHT(CRY,2),0)</t>
  </si>
  <si>
    <t>For ABC single year RINS</t>
  </si>
  <si>
    <t>dms_Reset_RYE</t>
  </si>
  <si>
    <t>=IF(dms_Model_Span&gt;1,IF(dms_Model="RFM",(LEFT(dms_DollarReal_year,2)&amp;RIGHT(dms_DollarReal_year,2)),(LEFT(dms_Reset_final_year,2)&amp;RIGHT(dms_Reset_final_year,2))),0)</t>
  </si>
  <si>
    <r>
      <t xml:space="preserve">If model span &gt; 1 then uses </t>
    </r>
    <r>
      <rPr>
        <b/>
        <sz val="11"/>
        <color theme="1"/>
        <rFont val="Calibri"/>
        <family val="2"/>
        <scheme val="minor"/>
      </rPr>
      <t xml:space="preserve">dms_Reset_RYE </t>
    </r>
    <r>
      <rPr>
        <sz val="11"/>
        <color theme="1"/>
        <rFont val="Calibri"/>
        <family val="2"/>
        <scheme val="minor"/>
      </rPr>
      <t>otherwise it's a multi year ABC and uses</t>
    </r>
    <r>
      <rPr>
        <b/>
        <sz val="11"/>
        <color theme="1"/>
        <rFont val="Calibri"/>
        <family val="2"/>
        <scheme val="minor"/>
      </rPr>
      <t xml:space="preserve"> dms_Specified_RYE</t>
    </r>
  </si>
  <si>
    <t>dms_Specified_RYE</t>
  </si>
  <si>
    <t>=IF(dms_MultiYear_ResponseFlag="Yes",(LEFT(dms_Specified_FinalYear,2)&amp;RIGHT(dms_Specified_FinalYear,2)),0)</t>
  </si>
  <si>
    <r>
      <t xml:space="preserve">If multi year ABC - uses </t>
    </r>
    <r>
      <rPr>
        <b/>
        <sz val="11"/>
        <color theme="1"/>
        <rFont val="Calibri"/>
        <family val="2"/>
        <scheme val="minor"/>
      </rPr>
      <t>dms_Specified_FinalYear</t>
    </r>
  </si>
  <si>
    <t>dms_Model_Span</t>
  </si>
  <si>
    <t>=INDEX(dms_Model_Span_List,MATCH(dms_Model,dms_Model_List))</t>
  </si>
  <si>
    <t>A result of 5 is used to signify that it is more than 1 year span</t>
  </si>
  <si>
    <t>dms_RYE_result</t>
  </si>
  <si>
    <t>=IF(dms_MultiYear_ResponseFlag="yes",dms_Specified_RYE,(IF(dms_Model_Span&gt;1,dms_Reset_RYE,dms_CRY_RYE)))</t>
  </si>
  <si>
    <r>
      <t xml:space="preserve">Nested IF - feeds into </t>
    </r>
    <r>
      <rPr>
        <b/>
        <sz val="11"/>
        <color theme="1"/>
        <rFont val="Calibri"/>
        <family val="2"/>
        <scheme val="minor"/>
      </rPr>
      <t>dms_RYE</t>
    </r>
  </si>
  <si>
    <t>dms_Reset_Span</t>
  </si>
  <si>
    <t>=IF(dms_Reset_RYE&gt;0,CONCATENATE(FRCP_y1," to ",FRCP_final_year),0)</t>
  </si>
  <si>
    <t>Reset span of years as text</t>
  </si>
  <si>
    <t>dms_SpecifiedYear_Span</t>
  </si>
  <si>
    <t>=IF(dms_Specified_RYE&gt;0,CONCATENATE(CRY," to ",dms_Specified_FinalYear),0)</t>
  </si>
  <si>
    <t>Multi year ABC span of years as text</t>
  </si>
  <si>
    <t>dms_Header_Span</t>
  </si>
  <si>
    <t>=IF(dms_MultiYear_Flag=1,dms_SpecifiedYear_Span,IF(dms_Model_Span&gt;1,dms_Reset_Span,CRY))</t>
  </si>
  <si>
    <r>
      <t xml:space="preserve">NESTED IF - for </t>
    </r>
    <r>
      <rPr>
        <b/>
        <sz val="11"/>
        <color theme="1"/>
        <rFont val="Calibri"/>
        <family val="2"/>
        <scheme val="minor"/>
      </rPr>
      <t>Sheet Headers</t>
    </r>
  </si>
  <si>
    <t>ABC RINS THAT SPAN MULTIPLE YEARS</t>
  </si>
  <si>
    <t>This is a multi year ABC RIN?</t>
  </si>
  <si>
    <t>dms_MultiYear_Flag</t>
  </si>
  <si>
    <t>This is set from the answer provided above</t>
  </si>
  <si>
    <t>dms_Specified_FinalYear</t>
  </si>
  <si>
    <t>The result here is returned to dms_CRCP_FinalYear_Result if response to Q in C73 is "yes" and dms_MultiYear_Flag is set to 1</t>
  </si>
  <si>
    <t xml:space="preserve"> Start year for 5.2 in Multi year ABC RINS</t>
  </si>
  <si>
    <t>dms_0502_Inst_Year</t>
  </si>
  <si>
    <t>=IF(dms_MultiYear_Flag=1,FRY,CRY)</t>
  </si>
  <si>
    <t>For single year RINS this is CRY - multi year RINS need to start a the end of the span of years (ie. FRY)</t>
  </si>
  <si>
    <t>WHAT IS THE RYE?</t>
  </si>
  <si>
    <t>Reg Period Lengths</t>
  </si>
  <si>
    <t>PRCP length in years</t>
  </si>
  <si>
    <t>dms_PRCPlength_Num</t>
  </si>
  <si>
    <t>=INDEX(dms_PRCPlength_List,MATCH(dms_TradingName,dms_TradingName_List))</t>
  </si>
  <si>
    <t>CRCP length in years</t>
  </si>
  <si>
    <t>dms_CRCPlength_Num</t>
  </si>
  <si>
    <t>=INDEX(dms_CRCPlength_List,MATCH(dms_TradingName,dms_TradingName_List))</t>
  </si>
  <si>
    <t>FRCP length in years</t>
  </si>
  <si>
    <t>dms_FRCPlength_Num</t>
  </si>
  <si>
    <t>=INDEX(dms_FRCPlength_List,MATCH(dms_TradingName,dms_TradingName_List))</t>
  </si>
  <si>
    <t>Single year RIN?</t>
  </si>
  <si>
    <t>Single Year ABC RIN ?</t>
  </si>
  <si>
    <t>dms_EB</t>
  </si>
  <si>
    <t>dms_CA</t>
  </si>
  <si>
    <t>=dms_SingleYear_Model</t>
  </si>
  <si>
    <t>dms_ARR</t>
  </si>
  <si>
    <t>Is this a single Year ABC RIN?</t>
  </si>
  <si>
    <t>dms_SingleYearModel</t>
  </si>
  <si>
    <t>=IF(SUM(dms_SingleYear_Model)=1,"yes","no")</t>
  </si>
  <si>
    <t>Single Year Final Year Result</t>
  </si>
  <si>
    <t>dms_SingleYear_FinalYear_Result</t>
  </si>
  <si>
    <t>=IFERROR(IF(SUM(dms_SingleYear_Model)&lt;&gt;0,(INDIRECT(dms_SingleYear_FinalYear_Ref)),"not a single year RIN"),"CRY not present")</t>
  </si>
  <si>
    <t>Multi year RIN?</t>
  </si>
  <si>
    <t>Multi Year Reset/Model?</t>
  </si>
  <si>
    <t>Final year result for Reset/Model</t>
  </si>
  <si>
    <t>dms_MultiYear_FinalYear_Result</t>
  </si>
  <si>
    <t>dms_CRCP_FinalYear_Result</t>
  </si>
  <si>
    <t>Multi Year ABC RIN?</t>
  </si>
  <si>
    <t>dms_MultiYear_ABC_RIN</t>
  </si>
  <si>
    <t>Final year result for ABC multi year</t>
  </si>
  <si>
    <t>EB RINS</t>
  </si>
  <si>
    <t>Calendar Year for table 3.6 data</t>
  </si>
  <si>
    <t>dms_0306_Year</t>
  </si>
  <si>
    <t>=IF(dms_Segment="Transmission",dms_Cal_Year_B4_CRY,CRY)</t>
  </si>
  <si>
    <t>CA RINS</t>
  </si>
  <si>
    <t>Find how many rows in tables 6.3 sustained interruptions?</t>
  </si>
  <si>
    <t>dms_060301_MaxRows only returns a valid value when cover sheet is attached to a CA file</t>
  </si>
  <si>
    <t>=IF(dms_Model&lt;&gt;"CA","not a CA","Is a CA")</t>
  </si>
  <si>
    <t>dms_060301_Avg_Duration_Sustained_Int_Values present?</t>
  </si>
  <si>
    <t>dms_060301_checkvalue</t>
  </si>
  <si>
    <t>=IFERROR(IF(INDEX(dms_060301_Avg_Duration_Sustained_Int_Values,1,1)&lt;&gt;"","yes","no"),"no")</t>
  </si>
  <si>
    <t>=IF(AND(dms_Model="CA",(dms_060301_checkvalue="no")),"error - NR not present","no errors")</t>
  </si>
  <si>
    <t>Table 6.3.1 - last row reference</t>
  </si>
  <si>
    <t>dms_060301_LastRow</t>
  </si>
  <si>
    <t>=IFERROR(IF(dms_Model="CA",LOOKUP(2,1/(dms_060301_Avg_Duration_Sustained_Int_Values&lt;&gt;""),(ROW(dms_060301_Avg_Duration_Sustained_Int_Values))),"not a CA"),"6.3 not present")</t>
  </si>
  <si>
    <t>Table 6.3.1 - max number rows</t>
  </si>
  <si>
    <t>dms_060301_MaxRows</t>
  </si>
  <si>
    <t>=IFERROR(IF(dms_Model="CA",(dms_060301_LastRow-15),"not a CA"),"error")</t>
  </si>
  <si>
    <t>Table 6.6.3 - Public lighting repair - no. business days</t>
  </si>
  <si>
    <t>dms_663</t>
  </si>
  <si>
    <t>=INDEX(dms_663_List,MATCH(dms_TradingName,dms_TradingName_List))</t>
  </si>
  <si>
    <t>ARR or RESET RINS</t>
  </si>
  <si>
    <t>How many rows in tables 6.1 or 6.7?  (leap year?)</t>
  </si>
  <si>
    <r>
      <t xml:space="preserve">insert </t>
    </r>
    <r>
      <rPr>
        <i/>
        <u/>
        <sz val="10"/>
        <color theme="0" tint="-0.499984740745262"/>
        <rFont val="Arial"/>
        <family val="2"/>
      </rPr>
      <t>dms_LeapYear</t>
    </r>
    <r>
      <rPr>
        <i/>
        <sz val="10"/>
        <color theme="0" tint="-0.499984740745262"/>
        <rFont val="Arial"/>
        <family val="2"/>
      </rPr>
      <t xml:space="preserve"> NR if required</t>
    </r>
  </si>
  <si>
    <t>'dms_LeapYear is used to determine dms_060701_Max_Rows BUT it is only found on worksheet 6.1 or 6.7 and the date value in the cell is used to determine whether it is a leap year</t>
  </si>
  <si>
    <t>Is dms_LeapYear named range present?</t>
  </si>
  <si>
    <t>Table 6.7.1 - includes a leap year?</t>
  </si>
  <si>
    <t>dms_LeapYear_Result</t>
  </si>
  <si>
    <t>=IFERROR(IF(MONTH(DATE(YEAR(dms_LeapYear),2,29))=2,"is a leap year","not a leap year"),"dms_LeapYear not present")</t>
  </si>
  <si>
    <t>MaxRows if Reset and leap year</t>
  </si>
  <si>
    <t>dms_060701_Reset_MaxRows</t>
  </si>
  <si>
    <t>=IF(dms_LeapYear_Result="is a leap year",1827,1826)</t>
  </si>
  <si>
    <t>number of days present in Reset RIN table</t>
  </si>
  <si>
    <t>MaxRows if ARR and leap year</t>
  </si>
  <si>
    <t>dms_060701_ARR_MaxRows</t>
  </si>
  <si>
    <t>=IF(dms_LeapYear_Result="is a leap year",366,365)</t>
  </si>
  <si>
    <t>number of days present in ARR RIN table</t>
  </si>
  <si>
    <t>Table 6.7.1 - Max Rows (leap year/ non leap year)</t>
  </si>
  <si>
    <t>dms_060701_MaxRows</t>
  </si>
  <si>
    <t>=IF(dms_Model="ARR",dms_060701_ARR_MaxRows,IF(dms_Model="Reset",dms_060701_Reset_MaxRows,"not a relevant RIN type"))</t>
  </si>
  <si>
    <t>How many columns in 6.7?   (4 or 5 feeder categories)</t>
  </si>
  <si>
    <t>Table 6.7.1 - Last column (# of feeder categories &gt; 4)</t>
  </si>
  <si>
    <t>dms_060701_MaxCols</t>
  </si>
  <si>
    <t>=IF(dms_FifthFeeder_flag_NSP="NO",8,10)</t>
  </si>
  <si>
    <t>Table 6.7.1 - Number of offset rows</t>
  </si>
  <si>
    <t>dms_060701_OffsetRows</t>
  </si>
  <si>
    <t>=IF(dms_Model="ARR",15,9)</t>
  </si>
  <si>
    <t>Start date for telephone answering in 6.1 or 6.7?</t>
  </si>
  <si>
    <r>
      <t>Using</t>
    </r>
    <r>
      <rPr>
        <i/>
        <sz val="10"/>
        <color theme="4" tint="-0.499984740745262"/>
        <rFont val="Arial"/>
        <family val="2"/>
      </rPr>
      <t xml:space="preserve"> 060101</t>
    </r>
    <r>
      <rPr>
        <sz val="10"/>
        <color theme="4" tint="-0.499984740745262"/>
        <rFont val="Arial"/>
        <family val="2"/>
      </rPr>
      <t xml:space="preserve"> as naming standard not 060701 for start dates</t>
    </r>
  </si>
  <si>
    <t>Table 6.1.1 and 6.7.1 - Start Date as Text</t>
  </si>
  <si>
    <t>=IF(SUM(dms_SingleYear_Model)&gt;1,(CONCATENATE(IF(LEN(CRY)=4,"1-Jan-","1-Jul-"),LEFT(CRY,4))),(CONCATENATE(IF(LEN(CRCP_y4)=4,"1-Jan-","1-Jul-"),LEFT(CRCP_y4,4))))</t>
  </si>
  <si>
    <t>Table 6.1.1 and 6.7.1 - Start Date as Date Value</t>
  </si>
  <si>
    <t>dms_060101_StartDateVal</t>
  </si>
  <si>
    <t>=DATEVALUE(dms_060701_StartDateTxt)</t>
  </si>
  <si>
    <t>Does the NSP report MAIFI or MAIFIe</t>
  </si>
  <si>
    <t>dms_MAIFI_Flag</t>
  </si>
  <si>
    <t>ARRs</t>
  </si>
  <si>
    <t>How many rows in table 6.8?</t>
  </si>
  <si>
    <t>insert dms_060801_StartCell NR if required</t>
  </si>
  <si>
    <r>
      <t xml:space="preserve">dms_060801_StartCell </t>
    </r>
    <r>
      <rPr>
        <i/>
        <sz val="10"/>
        <color theme="0" tint="-0.499984740745262"/>
        <rFont val="Arial"/>
        <family val="2"/>
      </rPr>
      <t>is only found on worksheet 6.8 and is used to determine the starting date for the date range</t>
    </r>
  </si>
  <si>
    <t>Is dms_060801_StartCell named range present?</t>
  </si>
  <si>
    <t>Must be present for ARRs</t>
  </si>
  <si>
    <t>=IFERROR(IF((ROW(dms_060801_StartCell)-1)=1,"yes","yes"),"no")</t>
  </si>
  <si>
    <t>Table 6.8 - Number of offset rows</t>
  </si>
  <si>
    <t>dms_0608_OffsetRows</t>
  </si>
  <si>
    <t>=IFERROR(IF(dms_Model="ARR",(ROW(dms_060801_StartCell)-1),"not an ARR"),"6.8 error")</t>
  </si>
  <si>
    <t>Table 6.8 - Last row</t>
  </si>
  <si>
    <t>dms_0608_LastRow</t>
  </si>
  <si>
    <t>=IFERROR(IF(dms_060801_StartCell&lt;&gt;"",IF(dms_Model="ARR",(LOOKUP(2,1/(dms_060801_01_Values&lt;&gt;""),(ROW(dms_060801_01_Values)))),"not an ARR"),0),"0")</t>
  </si>
  <si>
    <t>Table 6.8 - MaxRows</t>
  </si>
  <si>
    <t>dms_060801_MaxRows</t>
  </si>
  <si>
    <t>=IFERROR(IF(dms_Model="ARR",(MAX(0,dms_0608_LastRow-dms_0608_OffsetRows)),"not an ARR"),"0")</t>
  </si>
  <si>
    <t>TNSP RESET RINS</t>
  </si>
  <si>
    <t>Table 7.9.4 only appears in TNSPs Reset RIN</t>
  </si>
  <si>
    <t>Table 7.9.4 - first year</t>
  </si>
  <si>
    <t>dms_070904_Start_Year</t>
  </si>
  <si>
    <t>=LEFT(PRCP_y3,4)</t>
  </si>
  <si>
    <t>MISC</t>
  </si>
  <si>
    <t>Distribution Determination Reference</t>
  </si>
  <si>
    <t>dms_DeterminationRef</t>
  </si>
  <si>
    <t>Public lighting NSP?</t>
  </si>
  <si>
    <t>dms_Public_Lighting</t>
  </si>
  <si>
    <t>=INDEX(dms_Public_Lighting_List,MATCH(dms_TradingName,dms_TradingName_List))</t>
  </si>
  <si>
    <t>CBD Feeder for this business</t>
  </si>
  <si>
    <t>dms_CBD_flag_NSP</t>
  </si>
  <si>
    <t>Urban Feeder for this business</t>
  </si>
  <si>
    <t>dms_Urban_flag_NSP</t>
  </si>
  <si>
    <t>Short rural Feeder for this business</t>
  </si>
  <si>
    <t>dms_ShortRural_flag_NSP</t>
  </si>
  <si>
    <t>Long rural Feeder for this business</t>
  </si>
  <si>
    <t>dms_LongRural_flag_NSP</t>
  </si>
  <si>
    <t>Fifth Feeder Category (eg. TasNetworks (D))</t>
  </si>
  <si>
    <t>dms_FifthFeeder_flag_NSP</t>
  </si>
  <si>
    <t>=INDEX(dms_FeederType_5_flag,MATCH(dms_TradingName,dms_TradingName_List))</t>
  </si>
  <si>
    <t>DISCARD FILES</t>
  </si>
  <si>
    <t>discard this record?</t>
  </si>
  <si>
    <t>dms_DISCARD</t>
  </si>
  <si>
    <t>If record is to be discarded from DB set this flag to YES</t>
  </si>
  <si>
    <t>SUBSET FILES</t>
  </si>
  <si>
    <t>Is this Submission File a Subset File</t>
  </si>
  <si>
    <t>dms_Partial</t>
  </si>
  <si>
    <t>REGULATORY YEARS FOR MULTI RYE SUBMISSIONS</t>
  </si>
  <si>
    <t>Multiple RYE flag</t>
  </si>
  <si>
    <t>dms_Multi_RYE_flag</t>
  </si>
  <si>
    <t>Manually specify RYE</t>
  </si>
  <si>
    <t>Named ranges to apply</t>
  </si>
  <si>
    <t>dms_RYE_01</t>
  </si>
  <si>
    <t>dms_RYE_02</t>
  </si>
  <si>
    <t>dms_RYE_03</t>
  </si>
  <si>
    <t>dms_RYE_04</t>
  </si>
  <si>
    <t>dms_RYE_05</t>
  </si>
  <si>
    <t>dms_RYE_06</t>
  </si>
  <si>
    <t>dms_RYE_07</t>
  </si>
  <si>
    <t>dms_RYE_08</t>
  </si>
  <si>
    <t>dms_RYE_09</t>
  </si>
  <si>
    <t>DC11 - SCS Legacy Meters | Revenue</t>
  </si>
  <si>
    <t>8.1.1.1LM - REVENUE</t>
  </si>
  <si>
    <t>8.1.1.2LM - EXPENDITURE</t>
  </si>
  <si>
    <t>3.1.2LM - REVENUE GROUPING BY CUSTOMER TYPE OR CLASS</t>
  </si>
  <si>
    <t>Disaggregated revenue</t>
  </si>
  <si>
    <t>DC11 - SCS Legacy Meters | Asset base values</t>
  </si>
  <si>
    <t>3.3.1LM - REGULATORY ASSET BASE VALUES</t>
  </si>
  <si>
    <t>DC11 - SCS Legacy Meters | Operating expenditure</t>
  </si>
  <si>
    <t>8.4.1LM - OPERATING &amp; MAINTENANCE EXPENDITURE - BY PURPOSE</t>
  </si>
  <si>
    <t>8.4.2LM - OPERATING &amp; MAINTENANCE EXPENDITURE - BY PURPOSE - MARGINS ONLY</t>
  </si>
  <si>
    <t>3.3LM ASSETS</t>
  </si>
  <si>
    <t>Related party margins</t>
  </si>
  <si>
    <t>2.10.1LM - NETWORK OVERHEADS EXPENDITURE</t>
  </si>
  <si>
    <t>2.10.2LM - CORPORATE OVERHEADS EXPENDITURE</t>
  </si>
  <si>
    <t>2.8.2LM - COST METRICS FOR ROUTINE AND NON-ROUTINE MAINTENANCE</t>
  </si>
  <si>
    <t>2.11.3LM - LABOUR / NON-LABOUR EXPENDITURE SPLIT - STANDARD CONTROL SERVICES</t>
  </si>
  <si>
    <t>8.4LM OPERATING EXPENDITURE</t>
  </si>
  <si>
    <t>8.1LM INCOME STATEMENT</t>
  </si>
  <si>
    <t>ANNUAL INFORMATION ORDER</t>
  </si>
  <si>
    <t>January 2025</t>
  </si>
  <si>
    <t>Reporting year</t>
  </si>
  <si>
    <t>Amended data: 
Amendment Reason</t>
  </si>
  <si>
    <t>8.1LM Income statement</t>
  </si>
  <si>
    <t>3.3LM Assets</t>
  </si>
  <si>
    <t>8.4LM Operating expenditure</t>
  </si>
  <si>
    <t>ASA805</t>
  </si>
  <si>
    <t>ASRE2405</t>
  </si>
  <si>
    <t>ASSURANCE REQUIREMENTS</t>
  </si>
  <si>
    <t>The information provided in response to the annual information order is subject to the assurance requirements set out in section 6 of the Order.</t>
  </si>
  <si>
    <t>This worksheet provides a summary list of the relevant assurance standard for each table on each worksheet in this data submission workbook.</t>
  </si>
  <si>
    <t>Worksheet</t>
  </si>
  <si>
    <t>Table</t>
  </si>
  <si>
    <t>Table disaggregation (if needed)</t>
  </si>
  <si>
    <t>Assurance standard</t>
  </si>
  <si>
    <t>Sub table</t>
  </si>
  <si>
    <t xml:space="preserve">Column heading </t>
  </si>
  <si>
    <t xml:space="preserve">Actual information </t>
  </si>
  <si>
    <t>Estimated information</t>
  </si>
  <si>
    <t>Assurance requirements by table</t>
  </si>
  <si>
    <t>Australian Transmission Co.</t>
  </si>
  <si>
    <t>REPORTING STATEMENT: 2024-25</t>
  </si>
  <si>
    <t>transmission determination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</si>
</sst>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164" formatCode="_(&quot;$&quot;* #,##0.00_);_(&quot;$&quot;* \(#,##0.00\);_(&quot;$&quot;* &quot;-&quot;??_);_(@_)"/>
    <numFmt numFmtId="165" formatCode="_(* #,##0.00_);_(* \(#,##0.00\);_(* &quot;-&quot;??_);_(@_)"/>
    <numFmt numFmtId="166" formatCode="_(* #,##0_);_(* \(#,##0\);_(* &quot;-&quot;_);_(@_)"/>
    <numFmt numFmtId="167" formatCode="##\ ###\ ###\ ###\ ##0"/>
    <numFmt numFmtId="168" formatCode="_-* #,##0_-;[Red]\(#,##0\)_-;_-* &quot;-&quot;??_-;_-@_-"/>
    <numFmt numFmtId="169" formatCode="_-* #,##0_-;\-* #,##0_-;_-* &quot;-&quot;??_-;_-@_-"/>
    <numFmt numFmtId="170" formatCode="0#\ ####\ ####"/>
    <numFmt numFmtId="171" formatCode="_-* #,##0_-;[Red]\-* #,##0_-;_-* &quot;-&quot;_-;_-@_-"/>
    <numFmt numFmtId="172" formatCode="#,##0.000_ ;[Red]\-#,##0.000\ "/>
    <numFmt numFmtId="173" formatCode="#,##0.00000"/>
    <numFmt numFmtId="174" formatCode="#,##0.0000"/>
    <numFmt numFmtId="175" formatCode="0000"/>
    <numFmt numFmtId="176" formatCode="mmmm\ yyyy"/>
  </numFmts>
  <fonts count="15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theme="1"/>
      <name val="Arial"/>
      <family val="2"/>
    </font>
    <font>
      <sz val="11"/>
      <color theme="1"/>
      <name val="Arial"/>
      <family val="2"/>
    </font>
    <font>
      <b/>
      <sz val="11"/>
      <name val="Calibri"/>
      <family val="2"/>
      <scheme val="minor"/>
    </font>
    <font>
      <b/>
      <sz val="11"/>
      <color rgb="FFFF0000"/>
      <name val="Arial"/>
      <family val="2"/>
    </font>
    <font>
      <sz val="11"/>
      <name val="Calibri"/>
      <family val="2"/>
      <scheme val="minor"/>
    </font>
    <font>
      <sz val="9"/>
      <name val="Arial"/>
      <family val="2"/>
    </font>
    <font>
      <sz val="10"/>
      <color rgb="FF000000"/>
      <name val="Arial"/>
      <family val="2"/>
    </font>
    <font>
      <b/>
      <sz val="16"/>
      <color theme="0"/>
      <name val="Arial"/>
      <family val="2"/>
    </font>
    <font>
      <b/>
      <sz val="12"/>
      <color theme="0"/>
      <name val="Arial"/>
      <family val="2"/>
    </font>
    <font>
      <sz val="11"/>
      <color rgb="FFFF0000"/>
      <name val="Arial"/>
      <family val="2"/>
    </font>
    <font>
      <sz val="14"/>
      <color theme="1"/>
      <name val="Arial"/>
      <family val="2"/>
    </font>
    <font>
      <b/>
      <sz val="12"/>
      <name val="Arial"/>
      <family val="2"/>
    </font>
    <font>
      <b/>
      <sz val="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theme="0"/>
      <name val="Arial"/>
      <family val="2"/>
    </font>
    <font>
      <b/>
      <sz val="14"/>
      <name val="Arial"/>
      <family val="2"/>
    </font>
    <font>
      <sz val="12"/>
      <name val="Arial"/>
      <family val="2"/>
    </font>
    <font>
      <sz val="12"/>
      <color rgb="FFFF0000"/>
      <name val="Arial"/>
      <family val="2"/>
    </font>
    <font>
      <b/>
      <sz val="11"/>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b/>
      <sz val="18"/>
      <color theme="0"/>
      <name val="Arial"/>
      <family val="2"/>
    </font>
    <font>
      <b/>
      <sz val="20"/>
      <color theme="0"/>
      <name val="Arial"/>
      <family val="2"/>
    </font>
    <font>
      <sz val="11"/>
      <color theme="0"/>
      <name val="Arial"/>
      <family val="2"/>
    </font>
    <font>
      <b/>
      <sz val="11"/>
      <color theme="4" tint="-0.499984740745262"/>
      <name val="Arial"/>
      <family val="2"/>
    </font>
    <font>
      <b/>
      <sz val="12"/>
      <color theme="4" tint="-0.499984740745262"/>
      <name val="Arial"/>
      <family val="2"/>
    </font>
    <font>
      <b/>
      <sz val="14"/>
      <color theme="4" tint="-0.499984740745262"/>
      <name val="Arial"/>
      <family val="2"/>
    </font>
    <font>
      <i/>
      <sz val="11"/>
      <color theme="1"/>
      <name val="Calibri"/>
      <family val="2"/>
      <scheme val="minor"/>
    </font>
    <font>
      <b/>
      <sz val="14"/>
      <color theme="0"/>
      <name val="Calibri"/>
      <family val="2"/>
      <scheme val="minor"/>
    </font>
    <font>
      <b/>
      <sz val="16"/>
      <color indexed="9"/>
      <name val="Arial"/>
      <family val="2"/>
    </font>
    <font>
      <b/>
      <sz val="12"/>
      <color theme="0"/>
      <name val="Calibri"/>
      <family val="2"/>
      <scheme val="minor"/>
    </font>
    <font>
      <b/>
      <sz val="16"/>
      <color rgb="FFFFFFFF"/>
      <name val="Arial"/>
      <family val="2"/>
    </font>
    <font>
      <sz val="11"/>
      <name val="Calibri"/>
      <family val="2"/>
    </font>
    <font>
      <sz val="11"/>
      <color indexed="18"/>
      <name val="Calibri"/>
      <family val="2"/>
      <scheme val="minor"/>
    </font>
    <font>
      <u/>
      <sz val="10"/>
      <color indexed="12"/>
      <name val="Arial"/>
      <family val="2"/>
    </font>
    <font>
      <sz val="12"/>
      <color indexed="18"/>
      <name val="Calibri"/>
      <family val="2"/>
      <scheme val="minor"/>
    </font>
    <font>
      <sz val="12"/>
      <color theme="0"/>
      <name val="Calibri"/>
      <family val="2"/>
      <scheme val="minor"/>
    </font>
    <font>
      <b/>
      <sz val="16"/>
      <color indexed="9"/>
      <name val="Calibri"/>
      <family val="2"/>
      <scheme val="minor"/>
    </font>
    <font>
      <b/>
      <sz val="14"/>
      <color theme="1"/>
      <name val="Calibri"/>
      <family val="2"/>
      <scheme val="minor"/>
    </font>
    <font>
      <b/>
      <sz val="9"/>
      <name val="Arial"/>
      <family val="2"/>
    </font>
    <font>
      <b/>
      <sz val="11"/>
      <name val="Calibri"/>
      <family val="2"/>
    </font>
    <font>
      <b/>
      <sz val="9"/>
      <color theme="1"/>
      <name val="Calibri"/>
      <family val="2"/>
      <scheme val="minor"/>
    </font>
    <font>
      <u/>
      <sz val="11"/>
      <color theme="11"/>
      <name val="Calibri"/>
      <family val="2"/>
      <scheme val="minor"/>
    </font>
    <font>
      <b/>
      <sz val="10"/>
      <color indexed="8"/>
      <name val="Calibri"/>
      <family val="2"/>
    </font>
    <font>
      <sz val="9"/>
      <name val="Calibri"/>
      <family val="2"/>
    </font>
    <font>
      <b/>
      <sz val="10"/>
      <color indexed="9"/>
      <name val="Calibri"/>
      <family val="2"/>
      <scheme val="minor"/>
    </font>
    <font>
      <b/>
      <sz val="24"/>
      <color indexed="9"/>
      <name val="Calibri"/>
      <family val="2"/>
      <scheme val="minor"/>
    </font>
    <font>
      <b/>
      <sz val="8"/>
      <color rgb="FFFFFFFF"/>
      <name val="Calibri"/>
      <family val="2"/>
      <scheme val="minor"/>
    </font>
    <font>
      <sz val="9"/>
      <color theme="1"/>
      <name val="Calibri"/>
      <family val="2"/>
      <scheme val="minor"/>
    </font>
    <font>
      <b/>
      <sz val="9"/>
      <color theme="0"/>
      <name val="Arial"/>
      <family val="2"/>
    </font>
    <font>
      <sz val="9"/>
      <name val="Calibri"/>
      <family val="2"/>
      <scheme val="minor"/>
    </font>
    <font>
      <sz val="12"/>
      <color theme="1"/>
      <name val="Calibri"/>
      <family val="2"/>
      <scheme val="minor"/>
    </font>
    <font>
      <b/>
      <sz val="28"/>
      <color theme="1"/>
      <name val="Calibri"/>
      <family val="2"/>
      <scheme val="minor"/>
    </font>
    <font>
      <sz val="20"/>
      <name val="Calibri"/>
      <family val="2"/>
    </font>
    <font>
      <b/>
      <sz val="14"/>
      <color theme="3" tint="0.59996337778862885"/>
      <name val="Calibri"/>
      <family val="2"/>
      <scheme val="minor"/>
    </font>
    <font>
      <sz val="9"/>
      <color theme="0" tint="-0.34998626667073579"/>
      <name val="Calibri"/>
      <family val="2"/>
      <scheme val="minor"/>
    </font>
    <font>
      <b/>
      <i/>
      <sz val="10"/>
      <color indexed="8"/>
      <name val="Calibri"/>
      <family val="2"/>
    </font>
    <font>
      <sz val="11"/>
      <color rgb="FF000000"/>
      <name val="Calibri"/>
      <family val="2"/>
    </font>
    <font>
      <sz val="10"/>
      <color theme="1"/>
      <name val="Verdana"/>
      <family val="2"/>
    </font>
    <font>
      <sz val="11"/>
      <color rgb="FF000000"/>
      <name val="Calibri"/>
      <family val="2"/>
    </font>
    <font>
      <sz val="10"/>
      <color theme="1"/>
      <name val="Calibri"/>
      <family val="2"/>
    </font>
    <font>
      <strike/>
      <sz val="10"/>
      <color theme="1"/>
      <name val="Calibri"/>
      <family val="2"/>
      <scheme val="minor"/>
    </font>
    <font>
      <sz val="8"/>
      <color theme="1"/>
      <name val="Calibri"/>
      <family val="2"/>
      <scheme val="minor"/>
    </font>
    <font>
      <strike/>
      <sz val="10"/>
      <color theme="1"/>
      <name val="Calibri"/>
      <family val="2"/>
    </font>
    <font>
      <sz val="10"/>
      <color theme="1"/>
      <name val="Calibri"/>
      <family val="2"/>
      <scheme val="minor"/>
    </font>
    <font>
      <sz val="8"/>
      <name val="Calibri Light"/>
      <family val="2"/>
    </font>
    <font>
      <b/>
      <sz val="10"/>
      <color theme="1"/>
      <name val="Calibri"/>
      <family val="2"/>
      <scheme val="minor"/>
    </font>
    <font>
      <b/>
      <sz val="11"/>
      <color theme="3" tint="0.39994506668294322"/>
      <name val="Calibri"/>
      <family val="2"/>
      <scheme val="minor"/>
    </font>
    <font>
      <b/>
      <sz val="11"/>
      <color indexed="8"/>
      <name val="Calibri"/>
      <family val="2"/>
    </font>
    <font>
      <b/>
      <sz val="36"/>
      <color theme="0"/>
      <name val="Calibri"/>
      <family val="2"/>
      <scheme val="minor"/>
    </font>
    <font>
      <b/>
      <sz val="11"/>
      <color theme="1" tint="0.34998626667073579"/>
      <name val="Calibri"/>
      <family val="2"/>
      <scheme val="minor"/>
    </font>
    <font>
      <sz val="11"/>
      <color theme="1" tint="0.34998626667073579"/>
      <name val="Calibri"/>
      <family val="2"/>
      <scheme val="minor"/>
    </font>
    <font>
      <sz val="10"/>
      <color theme="1" tint="0.34998626667073579"/>
      <name val="Arial"/>
      <family val="2"/>
    </font>
    <font>
      <b/>
      <sz val="10"/>
      <name val="Arial"/>
      <family val="2"/>
    </font>
    <font>
      <sz val="11"/>
      <name val="Arial"/>
      <family val="2"/>
    </font>
    <font>
      <sz val="10"/>
      <color theme="1"/>
      <name val="Arial"/>
      <family val="2"/>
    </font>
    <font>
      <b/>
      <sz val="10"/>
      <color indexed="8"/>
      <name val="Arial"/>
      <family val="2"/>
    </font>
    <font>
      <sz val="22"/>
      <color theme="0"/>
      <name val="Calibri"/>
      <family val="2"/>
      <scheme val="minor"/>
    </font>
    <font>
      <sz val="26"/>
      <color theme="0"/>
      <name val="Calibri"/>
      <family val="2"/>
      <scheme val="minor"/>
    </font>
    <font>
      <sz val="22"/>
      <color theme="1"/>
      <name val="Calibri"/>
      <family val="2"/>
      <scheme val="minor"/>
    </font>
    <font>
      <i/>
      <sz val="11"/>
      <color theme="1"/>
      <name val="Arial"/>
      <family val="2"/>
    </font>
    <font>
      <sz val="26"/>
      <name val="Calibri"/>
      <family val="2"/>
      <scheme val="minor"/>
    </font>
    <font>
      <sz val="24"/>
      <color theme="0"/>
      <name val="Calibri"/>
      <family val="2"/>
      <scheme val="minor"/>
    </font>
    <font>
      <sz val="11"/>
      <color theme="1"/>
      <name val="Calibri"/>
      <family val="2"/>
    </font>
    <font>
      <b/>
      <sz val="22"/>
      <color theme="1"/>
      <name val="Calibri"/>
      <family val="2"/>
      <scheme val="minor"/>
    </font>
    <font>
      <sz val="26"/>
      <color rgb="FFFF0000"/>
      <name val="Calibri"/>
      <family val="2"/>
      <scheme val="minor"/>
    </font>
    <font>
      <b/>
      <sz val="11"/>
      <color theme="3" tint="0.39997558519241921"/>
      <name val="Calibri"/>
      <family val="2"/>
      <scheme val="minor"/>
    </font>
    <font>
      <sz val="10"/>
      <color theme="4"/>
      <name val="Arial"/>
      <family val="2"/>
    </font>
    <font>
      <b/>
      <sz val="11"/>
      <color theme="4"/>
      <name val="Arial"/>
      <family val="2"/>
    </font>
    <font>
      <b/>
      <i/>
      <sz val="10"/>
      <name val="Arial"/>
      <family val="2"/>
    </font>
    <font>
      <i/>
      <sz val="10"/>
      <name val="Arial"/>
      <family val="2"/>
    </font>
    <font>
      <sz val="10"/>
      <color theme="0" tint="-0.499984740745262"/>
      <name val="Arial"/>
      <family val="2"/>
    </font>
    <font>
      <b/>
      <i/>
      <sz val="12"/>
      <name val="Arial"/>
      <family val="2"/>
    </font>
    <font>
      <b/>
      <i/>
      <sz val="11"/>
      <color theme="1"/>
      <name val="Calibri"/>
      <family val="2"/>
      <scheme val="minor"/>
    </font>
    <font>
      <sz val="10"/>
      <color rgb="FF222222"/>
      <name val="Var(--code-font-family)"/>
    </font>
    <font>
      <b/>
      <sz val="11"/>
      <name val="Arial"/>
      <family val="2"/>
    </font>
    <font>
      <sz val="11"/>
      <color theme="8" tint="-0.249977111117893"/>
      <name val="Arial"/>
      <family val="2"/>
    </font>
    <font>
      <sz val="11"/>
      <color theme="4" tint="-0.249977111117893"/>
      <name val="Calibri"/>
      <family val="2"/>
      <scheme val="minor"/>
    </font>
    <font>
      <sz val="10"/>
      <color rgb="FF7030A0"/>
      <name val="Arial"/>
      <family val="2"/>
    </font>
    <font>
      <sz val="10"/>
      <color rgb="FFFF0000"/>
      <name val="Arial"/>
      <family val="2"/>
    </font>
    <font>
      <b/>
      <sz val="12"/>
      <color theme="1"/>
      <name val="Calibri"/>
      <family val="2"/>
      <scheme val="minor"/>
    </font>
    <font>
      <sz val="16"/>
      <color rgb="FFFF0000"/>
      <name val="Arial"/>
      <family val="2"/>
    </font>
    <font>
      <sz val="14"/>
      <color rgb="FFFF0000"/>
      <name val="Arial"/>
      <family val="2"/>
    </font>
    <font>
      <sz val="10"/>
      <color theme="5" tint="-0.249977111117893"/>
      <name val="Arial"/>
      <family val="2"/>
    </font>
    <font>
      <b/>
      <sz val="10"/>
      <color rgb="FFFF0000"/>
      <name val="Arial"/>
      <family val="2"/>
    </font>
    <font>
      <b/>
      <sz val="10"/>
      <color theme="1" tint="0.14999847407452621"/>
      <name val="Arial"/>
      <family val="2"/>
    </font>
    <font>
      <sz val="10"/>
      <color theme="4" tint="0.59999389629810485"/>
      <name val="Arial"/>
      <family val="2"/>
    </font>
    <font>
      <b/>
      <sz val="14"/>
      <color rgb="FFFF0000"/>
      <name val="Arial"/>
      <family val="2"/>
    </font>
    <font>
      <sz val="10"/>
      <color theme="4" tint="-0.499984740745262"/>
      <name val="Arial"/>
      <family val="2"/>
    </font>
    <font>
      <b/>
      <sz val="11"/>
      <color rgb="FF000000"/>
      <name val="Arial"/>
      <family val="2"/>
    </font>
    <font>
      <sz val="11"/>
      <color rgb="FF000000"/>
      <name val="Arial"/>
      <family val="2"/>
    </font>
    <font>
      <sz val="10"/>
      <color theme="1" tint="0.34998626667073579"/>
      <name val="Calibri"/>
      <family val="2"/>
      <scheme val="minor"/>
    </font>
    <font>
      <b/>
      <sz val="10"/>
      <color theme="1"/>
      <name val="Arial"/>
      <family val="2"/>
    </font>
    <font>
      <i/>
      <sz val="10"/>
      <color theme="4" tint="-0.249977111117893"/>
      <name val="Arial"/>
      <family val="2"/>
    </font>
    <font>
      <sz val="10"/>
      <color theme="4" tint="-0.249977111117893"/>
      <name val="Arial"/>
      <family val="2"/>
    </font>
    <font>
      <i/>
      <sz val="10"/>
      <color theme="0" tint="-0.499984740745262"/>
      <name val="Arial"/>
      <family val="2"/>
    </font>
    <font>
      <i/>
      <u/>
      <sz val="10"/>
      <color theme="0" tint="-0.499984740745262"/>
      <name val="Arial"/>
      <family val="2"/>
    </font>
    <font>
      <i/>
      <sz val="10"/>
      <color theme="4" tint="-0.499984740745262"/>
      <name val="Arial"/>
      <family val="2"/>
    </font>
    <font>
      <b/>
      <sz val="10"/>
      <color theme="0" tint="-0.499984740745262"/>
      <name val="Arial"/>
      <family val="2"/>
    </font>
    <font>
      <sz val="11"/>
      <color theme="5" tint="-0.249977111117893"/>
      <name val="Arial"/>
      <family val="2"/>
    </font>
    <font>
      <b/>
      <sz val="10"/>
      <color rgb="FF808080"/>
      <name val="Arial"/>
      <family val="2"/>
    </font>
    <font>
      <sz val="10"/>
      <color rgb="FF808080"/>
      <name val="Arial"/>
      <family val="2"/>
    </font>
    <font>
      <u/>
      <sz val="11"/>
      <color theme="10"/>
      <name val="Calibri"/>
      <family val="2"/>
      <scheme val="minor"/>
    </font>
    <font>
      <b/>
      <sz val="20"/>
      <color indexed="9"/>
      <name val="Calibri"/>
      <family val="2"/>
      <scheme val="minor"/>
    </font>
    <font>
      <b/>
      <sz val="16"/>
      <name val="Calibri"/>
      <family val="2"/>
      <scheme val="minor"/>
    </font>
    <font>
      <b/>
      <sz val="11"/>
      <color theme="3" tint="0.59996337778862885"/>
      <name val="Calibri"/>
      <family val="2"/>
      <scheme val="minor"/>
    </font>
    <font>
      <u/>
      <sz val="12"/>
      <color theme="10"/>
      <name val="Calibri"/>
      <family val="2"/>
      <scheme val="minor"/>
    </font>
    <font>
      <sz val="8"/>
      <name val="Calibri"/>
      <family val="2"/>
      <scheme val="minor"/>
    </font>
    <font>
      <b/>
      <sz val="14"/>
      <color indexed="9"/>
      <name val="Calibri"/>
      <family val="2"/>
      <scheme val="minor"/>
    </font>
    <font>
      <b/>
      <sz val="16"/>
      <color theme="0"/>
      <name val="Calibri"/>
      <family val="2"/>
      <scheme val="minor"/>
    </font>
    <font>
      <b/>
      <sz val="10"/>
      <color theme="0"/>
      <name val="Calibri"/>
      <family val="2"/>
      <scheme val="minor"/>
    </font>
  </fonts>
  <fills count="11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1"/>
        <bgColor indexed="64"/>
      </patternFill>
    </fill>
    <fill>
      <patternFill patternType="solid">
        <fgColor rgb="FFFFFFCC"/>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0" tint="-0.499984740745262"/>
        <bgColor indexed="64"/>
      </patternFill>
    </fill>
    <fill>
      <patternFill patternType="solid">
        <fgColor rgb="FF80808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rgb="FF000000"/>
      </patternFill>
    </fill>
    <fill>
      <patternFill patternType="solid">
        <fgColor rgb="FFFFCCCC"/>
        <bgColor indexed="64"/>
      </patternFill>
    </fill>
    <fill>
      <patternFill patternType="gray125">
        <fgColor theme="3" tint="0.39991454817346722"/>
        <bgColor rgb="FFFFFFCC"/>
      </patternFill>
    </fill>
    <fill>
      <patternFill patternType="solid">
        <fgColor indexed="8"/>
        <bgColor indexed="64"/>
      </patternFill>
    </fill>
    <fill>
      <patternFill patternType="solid">
        <fgColor theme="9" tint="0.39997558519241921"/>
        <bgColor indexed="64"/>
      </patternFill>
    </fill>
    <fill>
      <patternFill patternType="solid">
        <fgColor rgb="FFDBD6BF"/>
        <bgColor indexed="64"/>
      </patternFill>
    </fill>
    <fill>
      <patternFill patternType="solid">
        <fgColor theme="0"/>
        <bgColor rgb="FF000000"/>
      </patternFill>
    </fill>
    <fill>
      <patternFill patternType="solid">
        <fgColor rgb="FFE2E2E2"/>
        <bgColor indexed="64"/>
      </patternFill>
    </fill>
    <fill>
      <patternFill patternType="solid">
        <fgColor rgb="FFF2F2F2"/>
        <bgColor indexed="64"/>
      </patternFill>
    </fill>
    <fill>
      <patternFill patternType="solid">
        <fgColor rgb="FFFFFFE1"/>
        <bgColor rgb="FF000000"/>
      </patternFill>
    </fill>
    <fill>
      <patternFill patternType="solid">
        <fgColor rgb="FFFFFFE1"/>
        <bgColor indexed="64"/>
      </patternFill>
    </fill>
    <fill>
      <patternFill patternType="solid">
        <fgColor rgb="FF2E3F51"/>
        <bgColor indexed="64"/>
      </patternFill>
    </fill>
    <fill>
      <patternFill patternType="solid">
        <fgColor rgb="FF25C6FF"/>
        <bgColor indexed="64"/>
      </patternFill>
    </fill>
    <fill>
      <patternFill patternType="gray125">
        <fgColor theme="3"/>
        <bgColor rgb="FFFFFFCC"/>
      </patternFill>
    </fill>
    <fill>
      <patternFill patternType="gray125">
        <fgColor theme="3"/>
        <bgColor rgb="FFFFCCCC"/>
      </patternFill>
    </fill>
    <fill>
      <patternFill patternType="gray125">
        <fgColor theme="3" tint="0.39991454817346722"/>
        <bgColor rgb="FFFFCCCC"/>
      </patternFill>
    </fill>
    <fill>
      <patternFill patternType="solid">
        <fgColor rgb="FFFFFFFF"/>
        <bgColor auto="1"/>
      </patternFill>
    </fill>
    <fill>
      <patternFill patternType="solid">
        <fgColor rgb="FFE2EEE9"/>
        <bgColor indexed="64"/>
      </patternFill>
    </fill>
    <fill>
      <patternFill patternType="solid">
        <fgColor theme="0" tint="-0.14999847407452621"/>
        <bgColor rgb="FF000000"/>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0" tint="-4.9989318521683403E-2"/>
        <bgColor rgb="FFFFFFCC"/>
      </patternFill>
    </fill>
    <fill>
      <patternFill patternType="solid">
        <fgColor theme="3"/>
        <bgColor indexed="64"/>
      </patternFill>
    </fill>
    <fill>
      <patternFill patternType="solid">
        <fgColor theme="7" tint="0.59999389629810485"/>
        <bgColor indexed="64"/>
      </patternFill>
    </fill>
    <fill>
      <patternFill patternType="solid">
        <fgColor theme="2" tint="-0.49998474074526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5" tint="0.59999389629810485"/>
        <bgColor theme="4" tint="0.79998168889431442"/>
      </patternFill>
    </fill>
    <fill>
      <patternFill patternType="solid">
        <fgColor rgb="FFFFFF99"/>
        <bgColor indexed="64"/>
      </patternFill>
    </fill>
    <fill>
      <patternFill patternType="solid">
        <fgColor theme="4" tint="0.39997558519241921"/>
        <bgColor theme="4" tint="0.79998168889431442"/>
      </patternFill>
    </fill>
    <fill>
      <patternFill patternType="solid">
        <fgColor theme="6" tint="0.39997558519241921"/>
        <bgColor indexed="64"/>
      </patternFill>
    </fill>
    <fill>
      <patternFill patternType="solid">
        <fgColor theme="6" tint="0.39997558519241921"/>
        <bgColor theme="4" tint="0.79998168889431442"/>
      </patternFill>
    </fill>
    <fill>
      <patternFill patternType="solid">
        <fgColor theme="0" tint="-0.249977111117893"/>
        <bgColor theme="4" tint="0.79998168889431442"/>
      </patternFill>
    </fill>
    <fill>
      <patternFill patternType="solid">
        <fgColor theme="9" tint="0.39997558519241921"/>
        <bgColor theme="4" tint="0.79998168889431442"/>
      </patternFill>
    </fill>
    <fill>
      <patternFill patternType="solid">
        <fgColor rgb="FFBFBFBF"/>
        <bgColor rgb="FF000000"/>
      </patternFill>
    </fill>
    <fill>
      <patternFill patternType="solid">
        <fgColor rgb="FFD9D9D9"/>
        <bgColor rgb="FF000000"/>
      </patternFill>
    </fill>
    <fill>
      <patternFill patternType="solid">
        <fgColor rgb="FFEEECE1"/>
        <bgColor rgb="FF000000"/>
      </patternFill>
    </fill>
    <fill>
      <patternFill patternType="solid">
        <fgColor rgb="FFFFFFCC"/>
        <bgColor rgb="FF000000"/>
      </patternFill>
    </fill>
    <fill>
      <patternFill patternType="solid">
        <fgColor theme="0" tint="-0.14996795556505021"/>
        <bgColor indexed="64"/>
      </patternFill>
    </fill>
    <fill>
      <patternFill patternType="solid">
        <fgColor theme="4" tint="0.59999389629810485"/>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5"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4"/>
        <bgColor indexed="64"/>
      </patternFill>
    </fill>
    <fill>
      <patternFill patternType="solid">
        <fgColor rgb="FFFF0000"/>
        <bgColor indexed="64"/>
      </patternFill>
    </fill>
    <fill>
      <patternFill patternType="solid">
        <fgColor theme="7"/>
        <bgColor indexed="64"/>
      </patternFill>
    </fill>
    <fill>
      <patternFill patternType="solid">
        <fgColor theme="7"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FFFFFF"/>
        <bgColor rgb="FF000000"/>
      </patternFill>
    </fill>
    <fill>
      <patternFill patternType="solid">
        <fgColor rgb="FFFABF8F"/>
        <bgColor rgb="FF000000"/>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0" tint="-0.14999847407452621"/>
        <bgColor theme="4" tint="0.79998168889431442"/>
      </patternFill>
    </fill>
    <fill>
      <patternFill patternType="solid">
        <fgColor theme="4"/>
        <bgColor theme="4"/>
      </patternFill>
    </fill>
    <fill>
      <patternFill patternType="solid">
        <fgColor theme="2" tint="-0.749992370372631"/>
        <bgColor indexed="64"/>
      </patternFill>
    </fill>
    <fill>
      <patternFill patternType="solid">
        <fgColor theme="8" tint="0.59999389629810485"/>
        <bgColor indexed="64"/>
      </patternFill>
    </fill>
    <fill>
      <patternFill patternType="solid">
        <fgColor theme="9" tint="0.39997558519241921"/>
        <bgColor rgb="FF000000"/>
      </patternFill>
    </fill>
    <fill>
      <patternFill patternType="solid">
        <fgColor rgb="FFB8CCE4"/>
        <bgColor rgb="FF000000"/>
      </patternFill>
    </fill>
    <fill>
      <patternFill patternType="solid">
        <fgColor theme="9" tint="0.79998168889431442"/>
        <bgColor indexed="64"/>
      </patternFill>
    </fill>
    <fill>
      <patternFill patternType="solid">
        <fgColor rgb="FFFFFFE1"/>
        <bgColor rgb="FFFFFFCC"/>
      </patternFill>
    </fill>
    <fill>
      <patternFill patternType="solid">
        <fgColor rgb="FF11473A"/>
        <bgColor indexed="64"/>
      </patternFill>
    </fill>
    <fill>
      <patternFill patternType="solid">
        <fgColor rgb="FF303F51"/>
        <bgColor indexed="64"/>
      </patternFill>
    </fill>
  </fills>
  <borders count="28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medium">
        <color indexed="64"/>
      </left>
      <right style="thin">
        <color indexed="64"/>
      </right>
      <top style="medium">
        <color indexed="64"/>
      </top>
      <bottom style="thin">
        <color rgb="FFA6A6A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tint="-0.24994659260841701"/>
      </right>
      <top/>
      <bottom style="thin">
        <color theme="0" tint="-0.24994659260841701"/>
      </bottom>
      <diagonal/>
    </border>
    <border>
      <left style="thin">
        <color indexed="64"/>
      </left>
      <right style="thin">
        <color indexed="64"/>
      </right>
      <top style="thin">
        <color indexed="64"/>
      </top>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style="thin">
        <color indexed="64"/>
      </right>
      <top style="thin">
        <color theme="0" tint="-0.24994659260841701"/>
      </top>
      <bottom style="thin">
        <color indexed="64"/>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left>
      <right/>
      <top style="thin">
        <color theme="0"/>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34998626667073579"/>
      </top>
      <bottom style="thin">
        <color theme="0" tint="-0.14996795556505021"/>
      </bottom>
      <diagonal/>
    </border>
    <border>
      <left style="thin">
        <color theme="0" tint="-0.14996795556505021"/>
      </left>
      <right style="thin">
        <color theme="0" tint="-0.14996795556505021"/>
      </right>
      <top style="thin">
        <color theme="0" tint="-0.34998626667073579"/>
      </top>
      <bottom/>
      <diagonal/>
    </border>
    <border>
      <left style="thin">
        <color theme="0" tint="-0.14996795556505021"/>
      </left>
      <right style="thin">
        <color theme="0" tint="-0.34998626667073579"/>
      </right>
      <top style="thin">
        <color theme="0" tint="-0.34998626667073579"/>
      </top>
      <bottom/>
      <diagonal/>
    </border>
    <border>
      <left style="thin">
        <color theme="0" tint="-0.34998626667073579"/>
      </left>
      <right style="thin">
        <color theme="0" tint="-0.14996795556505021"/>
      </right>
      <top style="thin">
        <color theme="0" tint="-0.34998626667073579"/>
      </top>
      <bottom style="thin">
        <color theme="0" tint="-0.14996795556505021"/>
      </bottom>
      <diagonal/>
    </border>
    <border>
      <left style="thin">
        <color theme="0" tint="-0.14996795556505021"/>
      </left>
      <right style="thin">
        <color theme="0" tint="-0.34998626667073579"/>
      </right>
      <top style="thin">
        <color theme="0" tint="-0.34998626667073579"/>
      </top>
      <bottom style="thin">
        <color theme="0" tint="-0.14996795556505021"/>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14996795556505021"/>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34998626667073579"/>
      </right>
      <top style="thin">
        <color theme="0" tint="-0.14996795556505021"/>
      </top>
      <bottom style="thin">
        <color theme="0" tint="-0.14996795556505021"/>
      </bottom>
      <diagonal/>
    </border>
    <border>
      <left style="thin">
        <color theme="0" tint="-0.34998626667073579"/>
      </left>
      <right/>
      <top style="thin">
        <color theme="0" tint="-0.14996795556505021"/>
      </top>
      <bottom/>
      <diagonal/>
    </border>
    <border>
      <left/>
      <right/>
      <top style="thin">
        <color theme="0" tint="-0.14996795556505021"/>
      </top>
      <bottom/>
      <diagonal/>
    </border>
    <border>
      <left/>
      <right style="thin">
        <color theme="0" tint="-0.34998626667073579"/>
      </right>
      <top style="thin">
        <color theme="0" tint="-0.14996795556505021"/>
      </top>
      <bottom/>
      <diagonal/>
    </border>
    <border>
      <left/>
      <right/>
      <top style="thin">
        <color indexed="64"/>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diagonal/>
    </border>
    <border>
      <left style="thin">
        <color indexed="64"/>
      </left>
      <right style="thin">
        <color theme="0" tint="-0.24994659260841701"/>
      </right>
      <top style="thin">
        <color theme="0" tint="-0.24994659260841701"/>
      </top>
      <bottom/>
      <diagonal/>
    </border>
    <border>
      <left style="thin">
        <color theme="0" tint="-0.14996795556505021"/>
      </left>
      <right style="thin">
        <color theme="0" tint="-0.14996795556505021"/>
      </right>
      <top style="thin">
        <color theme="0" tint="-0.14996795556505021"/>
      </top>
      <bottom/>
      <diagonal/>
    </border>
    <border>
      <left style="thin">
        <color theme="0" tint="-0.34998626667073579"/>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34998626667073579"/>
      </right>
      <top style="thin">
        <color theme="0" tint="-0.14993743705557422"/>
      </top>
      <bottom style="thin">
        <color theme="0" tint="-0.14993743705557422"/>
      </bottom>
      <diagonal/>
    </border>
    <border>
      <left style="thin">
        <color theme="0" tint="-0.34998626667073579"/>
      </left>
      <right style="thin">
        <color theme="0" tint="-0.14996795556505021"/>
      </right>
      <top style="thin">
        <color theme="0" tint="-0.14996795556505021"/>
      </top>
      <bottom style="thin">
        <color theme="0" tint="-0.34998626667073579"/>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style="thin">
        <color theme="0" tint="-0.34998626667073579"/>
      </right>
      <top style="thin">
        <color theme="0" tint="-0.14996795556505021"/>
      </top>
      <bottom style="thin">
        <color theme="0" tint="-0.34998626667073579"/>
      </bottom>
      <diagonal/>
    </border>
    <border>
      <left style="thin">
        <color theme="0" tint="-0.34998626667073579"/>
      </left>
      <right style="thin">
        <color theme="0" tint="-0.14996795556505021"/>
      </right>
      <top style="thin">
        <color theme="0" tint="-0.14996795556505021"/>
      </top>
      <bottom/>
      <diagonal/>
    </border>
    <border>
      <left style="thin">
        <color theme="0" tint="-0.14996795556505021"/>
      </left>
      <right style="thin">
        <color theme="0" tint="-0.34998626667073579"/>
      </right>
      <top style="thin">
        <color theme="0" tint="-0.14996795556505021"/>
      </top>
      <bottom/>
      <diagonal/>
    </border>
    <border>
      <left style="thin">
        <color theme="0" tint="-0.34998626667073579"/>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34998626667073579"/>
      </right>
      <top style="thin">
        <color theme="0" tint="-0.14996795556505021"/>
      </top>
      <bottom style="thin">
        <color theme="0" tint="-0.14996795556505021"/>
      </bottom>
      <diagonal/>
    </border>
    <border>
      <left style="thin">
        <color theme="0" tint="-0.34998626667073579"/>
      </left>
      <right style="thin">
        <color theme="0" tint="-0.14993743705557422"/>
      </right>
      <top style="thin">
        <color theme="0" tint="-0.14993743705557422"/>
      </top>
      <bottom style="thin">
        <color theme="0" tint="-0.34998626667073579"/>
      </bottom>
      <diagonal/>
    </border>
    <border>
      <left style="thin">
        <color theme="0" tint="-0.14993743705557422"/>
      </left>
      <right style="thin">
        <color theme="0" tint="-0.14993743705557422"/>
      </right>
      <top style="thin">
        <color theme="0" tint="-0.14993743705557422"/>
      </top>
      <bottom style="thin">
        <color theme="0" tint="-0.34998626667073579"/>
      </bottom>
      <diagonal/>
    </border>
    <border>
      <left style="thin">
        <color theme="0" tint="-0.14993743705557422"/>
      </left>
      <right style="thin">
        <color theme="0" tint="-0.34998626667073579"/>
      </right>
      <top style="thin">
        <color theme="0" tint="-0.14993743705557422"/>
      </top>
      <bottom style="thin">
        <color theme="0" tint="-0.34998626667073579"/>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theme="0" tint="-0.24994659260841701"/>
      </left>
      <right/>
      <top style="medium">
        <color indexed="64"/>
      </top>
      <bottom/>
      <diagonal/>
    </border>
    <border>
      <left style="medium">
        <color indexed="64"/>
      </left>
      <right/>
      <top style="medium">
        <color theme="0" tint="-0.14999847407452621"/>
      </top>
      <bottom/>
      <diagonal/>
    </border>
    <border>
      <left style="medium">
        <color indexed="64"/>
      </left>
      <right style="medium">
        <color indexed="64"/>
      </right>
      <top style="thin">
        <color theme="4" tint="0.39997558519241921"/>
      </top>
      <bottom/>
      <diagonal/>
    </border>
    <border>
      <left style="medium">
        <color indexed="64"/>
      </left>
      <right/>
      <top style="thin">
        <color theme="0"/>
      </top>
      <bottom/>
      <diagonal/>
    </border>
    <border>
      <left style="thin">
        <color theme="0" tint="-0.24994659260841701"/>
      </left>
      <right/>
      <top style="thin">
        <color theme="0"/>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medium">
        <color indexed="64"/>
      </left>
      <right style="medium">
        <color indexed="64"/>
      </right>
      <top style="thin">
        <color theme="0" tint="-0.24994659260841701"/>
      </top>
      <bottom/>
      <diagonal/>
    </border>
    <border>
      <left style="medium">
        <color indexed="64"/>
      </left>
      <right/>
      <top style="thin">
        <color theme="0" tint="-0.24994659260841701"/>
      </top>
      <bottom/>
      <diagonal/>
    </border>
    <border>
      <left style="medium">
        <color indexed="64"/>
      </left>
      <right/>
      <top style="thin">
        <color theme="0" tint="-0.34998626667073579"/>
      </top>
      <bottom/>
      <diagonal/>
    </border>
    <border>
      <left style="thin">
        <color theme="0" tint="-0.24994659260841701"/>
      </left>
      <right/>
      <top style="thin">
        <color theme="0" tint="-0.14999847407452621"/>
      </top>
      <bottom/>
      <diagonal/>
    </border>
    <border>
      <left style="medium">
        <color indexed="64"/>
      </left>
      <right/>
      <top style="thin">
        <color theme="0" tint="-0.14999847407452621"/>
      </top>
      <bottom/>
      <diagonal/>
    </border>
    <border>
      <left style="medium">
        <color indexed="64"/>
      </left>
      <right/>
      <top style="thin">
        <color theme="0" tint="-0.24994659260841701"/>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auto="1"/>
      </top>
      <bottom style="medium">
        <color indexed="64"/>
      </bottom>
      <diagonal/>
    </border>
    <border>
      <left style="medium">
        <color auto="1"/>
      </left>
      <right style="thin">
        <color theme="0" tint="-0.24994659260841701"/>
      </right>
      <top style="medium">
        <color auto="1"/>
      </top>
      <bottom style="thin">
        <color indexed="64"/>
      </bottom>
      <diagonal/>
    </border>
    <border>
      <left style="medium">
        <color auto="1"/>
      </left>
      <right/>
      <top style="medium">
        <color auto="1"/>
      </top>
      <bottom style="thin">
        <color theme="0" tint="-0.24994659260841701"/>
      </bottom>
      <diagonal/>
    </border>
    <border>
      <left style="medium">
        <color auto="1"/>
      </left>
      <right style="thin">
        <color auto="1"/>
      </right>
      <top/>
      <bottom style="thin">
        <color theme="0" tint="-0.24994659260841701"/>
      </bottom>
      <diagonal/>
    </border>
    <border>
      <left style="medium">
        <color auto="1"/>
      </left>
      <right style="medium">
        <color indexed="64"/>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indexed="64"/>
      </right>
      <top style="medium">
        <color auto="1"/>
      </top>
      <bottom style="thin">
        <color theme="0" tint="-0.24994659260841701"/>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right style="medium">
        <color indexed="64"/>
      </right>
      <top style="medium">
        <color indexed="64"/>
      </top>
      <bottom style="medium">
        <color indexed="64"/>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right style="medium">
        <color indexed="64"/>
      </right>
      <top style="medium">
        <color auto="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indexed="64"/>
      </bottom>
      <diagonal/>
    </border>
    <border>
      <left style="medium">
        <color indexed="64"/>
      </left>
      <right style="medium">
        <color indexed="64"/>
      </right>
      <top/>
      <bottom/>
      <diagonal/>
    </border>
    <border>
      <left/>
      <right style="medium">
        <color auto="1"/>
      </right>
      <top style="thin">
        <color theme="0" tint="-0.24994659260841701"/>
      </top>
      <bottom style="thin">
        <color theme="0" tint="-0.24994659260841701"/>
      </bottom>
      <diagonal/>
    </border>
    <border>
      <left style="thin">
        <color theme="0" tint="-0.24994659260841701"/>
      </left>
      <right style="medium">
        <color indexed="64"/>
      </right>
      <top style="thin">
        <color indexed="64"/>
      </top>
      <bottom style="thin">
        <color theme="0" tint="-0.24994659260841701"/>
      </bottom>
      <diagonal/>
    </border>
    <border>
      <left style="medium">
        <color indexed="64"/>
      </left>
      <right style="medium">
        <color auto="1"/>
      </right>
      <top/>
      <bottom style="thin">
        <color auto="1"/>
      </bottom>
      <diagonal/>
    </border>
    <border>
      <left/>
      <right style="medium">
        <color indexed="64"/>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indexed="64"/>
      </top>
      <bottom/>
      <diagonal/>
    </border>
    <border>
      <left/>
      <right style="medium">
        <color indexed="64"/>
      </right>
      <top style="thin">
        <color indexed="64"/>
      </top>
      <bottom style="thin">
        <color theme="0" tint="-0.24994659260841701"/>
      </bottom>
      <diagonal/>
    </border>
    <border>
      <left style="thin">
        <color theme="0" tint="-0.24994659260841701"/>
      </left>
      <right style="medium">
        <color indexed="64"/>
      </right>
      <top/>
      <bottom style="thin">
        <color indexed="64"/>
      </bottom>
      <diagonal/>
    </border>
    <border>
      <left/>
      <right style="medium">
        <color indexed="64"/>
      </right>
      <top/>
      <bottom style="thin">
        <color indexed="64"/>
      </bottom>
      <diagonal/>
    </border>
    <border>
      <left style="thin">
        <color theme="0" tint="-0.24994659260841701"/>
      </left>
      <right style="medium">
        <color indexed="64"/>
      </right>
      <top/>
      <bottom style="thin">
        <color theme="0" tint="-0.24994659260841701"/>
      </bottom>
      <diagonal/>
    </border>
    <border>
      <left style="medium">
        <color auto="1"/>
      </left>
      <right style="medium">
        <color indexed="64"/>
      </right>
      <top style="thin">
        <color auto="1"/>
      </top>
      <bottom style="thin">
        <color auto="1"/>
      </bottom>
      <diagonal/>
    </border>
    <border>
      <left/>
      <right style="medium">
        <color indexed="64"/>
      </right>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rgb="FFBFBFBF"/>
      </right>
      <top style="medium">
        <color indexed="64"/>
      </top>
      <bottom style="medium">
        <color auto="1"/>
      </bottom>
      <diagonal/>
    </border>
    <border>
      <left style="thin">
        <color rgb="FFBFBFBF"/>
      </left>
      <right style="thin">
        <color rgb="FFBFBFBF"/>
      </right>
      <top style="medium">
        <color indexed="64"/>
      </top>
      <bottom style="medium">
        <color auto="1"/>
      </bottom>
      <diagonal/>
    </border>
    <border>
      <left style="thin">
        <color rgb="FFBFBFBF"/>
      </left>
      <right style="medium">
        <color indexed="64"/>
      </right>
      <top style="medium">
        <color indexed="64"/>
      </top>
      <bottom style="medium">
        <color indexed="64"/>
      </bottom>
      <diagonal/>
    </border>
    <border>
      <left style="thin">
        <color rgb="FFBFBFBF"/>
      </left>
      <right style="thin">
        <color rgb="FFBFBFBF"/>
      </right>
      <top style="medium">
        <color indexed="64"/>
      </top>
      <bottom/>
      <diagonal/>
    </border>
    <border>
      <left style="dotted">
        <color rgb="FFFF0000"/>
      </left>
      <right style="medium">
        <color indexed="64"/>
      </right>
      <top style="dotted">
        <color rgb="FFFF0000"/>
      </top>
      <bottom/>
      <diagonal/>
    </border>
    <border>
      <left style="medium">
        <color indexed="64"/>
      </left>
      <right style="thin">
        <color indexed="64"/>
      </right>
      <top style="dotted">
        <color rgb="FFFF0000"/>
      </top>
      <bottom style="medium">
        <color indexed="64"/>
      </bottom>
      <diagonal/>
    </border>
    <border>
      <left style="thin">
        <color rgb="FFBFBFBF"/>
      </left>
      <right style="thin">
        <color indexed="64"/>
      </right>
      <top style="dotted">
        <color rgb="FFFF0000"/>
      </top>
      <bottom style="medium">
        <color auto="1"/>
      </bottom>
      <diagonal/>
    </border>
    <border>
      <left style="thin">
        <color rgb="FFBFBFBF"/>
      </left>
      <right style="dotted">
        <color rgb="FFFF0000"/>
      </right>
      <top style="dotted">
        <color rgb="FFFF0000"/>
      </top>
      <bottom style="medium">
        <color indexed="64"/>
      </bottom>
      <diagonal/>
    </border>
    <border>
      <left style="dotted">
        <color rgb="FFFF0000"/>
      </left>
      <right style="medium">
        <color indexed="64"/>
      </right>
      <top/>
      <bottom/>
      <diagonal/>
    </border>
    <border>
      <left style="thin">
        <color theme="0" tint="-0.24994659260841701"/>
      </left>
      <right style="dotted">
        <color rgb="FFFF0000"/>
      </right>
      <top/>
      <bottom style="thin">
        <color theme="0" tint="-0.24994659260841701"/>
      </bottom>
      <diagonal/>
    </border>
    <border>
      <left style="thin">
        <color theme="0" tint="-0.24994659260841701"/>
      </left>
      <right style="dotted">
        <color rgb="FFFF0000"/>
      </right>
      <top style="thin">
        <color theme="0" tint="-0.24994659260841701"/>
      </top>
      <bottom style="thin">
        <color theme="0" tint="-0.24994659260841701"/>
      </bottom>
      <diagonal/>
    </border>
    <border>
      <left style="thin">
        <color theme="0" tint="-0.24994659260841701"/>
      </left>
      <right style="dotted">
        <color rgb="FFFF0000"/>
      </right>
      <top style="thin">
        <color theme="0" tint="-0.24994659260841701"/>
      </top>
      <bottom style="medium">
        <color indexed="64"/>
      </bottom>
      <diagonal/>
    </border>
    <border>
      <left style="dotted">
        <color rgb="FFFF0000"/>
      </left>
      <right/>
      <top/>
      <bottom/>
      <diagonal/>
    </border>
    <border>
      <left/>
      <right style="dotted">
        <color rgb="FFFF0000"/>
      </right>
      <top/>
      <bottom/>
      <diagonal/>
    </border>
    <border>
      <left style="medium">
        <color rgb="FFFF0000"/>
      </left>
      <right style="thin">
        <color theme="0" tint="-0.24994659260841701"/>
      </right>
      <top style="medium">
        <color rgb="FFFF0000"/>
      </top>
      <bottom style="medium">
        <color rgb="FFFF0000"/>
      </bottom>
      <diagonal/>
    </border>
    <border>
      <left style="thin">
        <color theme="0" tint="-0.24994659260841701"/>
      </left>
      <right style="thin">
        <color theme="0" tint="-0.24994659260841701"/>
      </right>
      <top style="medium">
        <color rgb="FFFF0000"/>
      </top>
      <bottom style="medium">
        <color rgb="FFFF0000"/>
      </bottom>
      <diagonal/>
    </border>
    <border>
      <left style="thin">
        <color theme="0" tint="-0.24994659260841701"/>
      </left>
      <right style="medium">
        <color rgb="FFFF0000"/>
      </right>
      <top style="medium">
        <color rgb="FFFF0000"/>
      </top>
      <bottom style="medium">
        <color rgb="FFFF0000"/>
      </bottom>
      <diagonal/>
    </border>
    <border>
      <left style="dotted">
        <color rgb="FFFF0000"/>
      </left>
      <right style="medium">
        <color rgb="FFFF0000"/>
      </right>
      <top/>
      <bottom/>
      <diagonal/>
    </border>
    <border>
      <left style="medium">
        <color rgb="FFFF0000"/>
      </left>
      <right style="thin">
        <color theme="0" tint="-0.24994659260841701"/>
      </right>
      <top/>
      <bottom style="thin">
        <color theme="0" tint="-0.24994659260841701"/>
      </bottom>
      <diagonal/>
    </border>
    <border>
      <left style="thin">
        <color theme="0" tint="-0.24994659260841701"/>
      </left>
      <right style="medium">
        <color rgb="FFFF0000"/>
      </right>
      <top/>
      <bottom style="thin">
        <color theme="0" tint="-0.24994659260841701"/>
      </bottom>
      <diagonal/>
    </border>
    <border>
      <left style="medium">
        <color rgb="FFFF0000"/>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FF0000"/>
      </right>
      <top style="thin">
        <color theme="0" tint="-0.24994659260841701"/>
      </top>
      <bottom style="thin">
        <color theme="0" tint="-0.24994659260841701"/>
      </bottom>
      <diagonal/>
    </border>
    <border>
      <left style="dotted">
        <color rgb="FFFF0000"/>
      </left>
      <right style="medium">
        <color rgb="FFFF0000"/>
      </right>
      <top/>
      <bottom style="dotted">
        <color rgb="FFFF0000"/>
      </bottom>
      <diagonal/>
    </border>
    <border>
      <left style="medium">
        <color rgb="FFFF0000"/>
      </left>
      <right style="thin">
        <color theme="0" tint="-0.24994659260841701"/>
      </right>
      <top style="thin">
        <color theme="0" tint="-0.24994659260841701"/>
      </top>
      <bottom style="dotted">
        <color rgb="FFFF0000"/>
      </bottom>
      <diagonal/>
    </border>
    <border>
      <left style="thin">
        <color theme="0" tint="-0.24994659260841701"/>
      </left>
      <right style="thin">
        <color theme="0" tint="-0.24994659260841701"/>
      </right>
      <top style="thin">
        <color theme="0" tint="-0.24994659260841701"/>
      </top>
      <bottom style="dotted">
        <color rgb="FFFF0000"/>
      </bottom>
      <diagonal/>
    </border>
    <border>
      <left style="thin">
        <color theme="0" tint="-0.24994659260841701"/>
      </left>
      <right style="medium">
        <color rgb="FFFF0000"/>
      </right>
      <top style="thin">
        <color theme="0" tint="-0.24994659260841701"/>
      </top>
      <bottom style="dotted">
        <color rgb="FFFF0000"/>
      </bottom>
      <diagonal/>
    </border>
    <border>
      <left/>
      <right style="dotted">
        <color rgb="FFFF0000"/>
      </right>
      <top/>
      <bottom style="dotted">
        <color rgb="FFFF0000"/>
      </bottom>
      <diagonal/>
    </border>
    <border>
      <left style="medium">
        <color indexed="64"/>
      </left>
      <right style="thin">
        <color indexed="64"/>
      </right>
      <top style="medium">
        <color indexed="64"/>
      </top>
      <bottom/>
      <diagonal/>
    </border>
    <border>
      <left style="thin">
        <color rgb="FFBFBFBF"/>
      </left>
      <right style="thin">
        <color indexed="64"/>
      </right>
      <top style="medium">
        <color indexed="64"/>
      </top>
      <bottom/>
      <diagonal/>
    </border>
    <border>
      <left style="thin">
        <color rgb="FFBFBFBF"/>
      </left>
      <right style="medium">
        <color indexed="64"/>
      </right>
      <top style="medium">
        <color indexed="64"/>
      </top>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medium">
        <color indexed="64"/>
      </right>
      <top style="medium">
        <color indexed="64"/>
      </top>
      <bottom/>
      <diagonal/>
    </border>
    <border>
      <left/>
      <right style="thin">
        <color indexed="64"/>
      </right>
      <top/>
      <bottom style="medium">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theme="0" tint="-0.24994659260841701"/>
      </right>
      <top style="medium">
        <color indexed="64"/>
      </top>
      <bottom style="medium">
        <color indexed="64"/>
      </bottom>
      <diagonal/>
    </border>
    <border>
      <left/>
      <right/>
      <top style="thin">
        <color theme="0" tint="-0.2499465926084170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top/>
      <bottom style="thin">
        <color theme="0" tint="-0.24994659260841701"/>
      </bottom>
      <diagonal/>
    </border>
    <border>
      <left/>
      <right/>
      <top style="medium">
        <color indexed="64"/>
      </top>
      <bottom style="thin">
        <color theme="0" tint="-0.24994659260841701"/>
      </bottom>
      <diagonal/>
    </border>
    <border>
      <left style="medium">
        <color indexed="64"/>
      </left>
      <right/>
      <top style="thin">
        <color theme="4" tint="0.39997558519241921"/>
      </top>
      <bottom/>
      <diagonal/>
    </border>
    <border>
      <left/>
      <right/>
      <top style="thin">
        <color theme="4" tint="0.39997558519241921"/>
      </top>
      <bottom/>
      <diagonal/>
    </border>
    <border>
      <left style="medium">
        <color indexed="64"/>
      </left>
      <right/>
      <top style="thin">
        <color theme="4"/>
      </top>
      <bottom/>
      <diagonal/>
    </border>
    <border>
      <left style="thin">
        <color theme="0" tint="-0.24994659260841701"/>
      </left>
      <right/>
      <top/>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indexed="64"/>
      </right>
      <top/>
      <bottom style="thin">
        <color indexed="64"/>
      </bottom>
      <diagonal/>
    </border>
    <border>
      <left/>
      <right style="thin">
        <color theme="0" tint="-0.24994659260841701"/>
      </right>
      <top style="thin">
        <color theme="0" tint="-0.24994659260841701"/>
      </top>
      <bottom style="medium">
        <color indexed="64"/>
      </bottom>
      <diagonal/>
    </border>
    <border>
      <left/>
      <right style="medium">
        <color auto="1"/>
      </right>
      <top style="thin">
        <color theme="0" tint="-0.24994659260841701"/>
      </top>
      <bottom style="medium">
        <color auto="1"/>
      </bottom>
      <diagonal/>
    </border>
    <border>
      <left style="thin">
        <color indexed="64"/>
      </left>
      <right style="thin">
        <color rgb="FFBFBFBF"/>
      </right>
      <top style="medium">
        <color indexed="64"/>
      </top>
      <bottom style="medium">
        <color indexed="64"/>
      </bottom>
      <diagonal/>
    </border>
    <border>
      <left style="medium">
        <color indexed="64"/>
      </left>
      <right style="thin">
        <color rgb="FFBFBFBF"/>
      </right>
      <top/>
      <bottom style="mediumDashed">
        <color indexed="64"/>
      </bottom>
      <diagonal/>
    </border>
    <border>
      <left style="thin">
        <color rgb="FFBFBFBF"/>
      </left>
      <right style="thin">
        <color rgb="FFBFBFBF"/>
      </right>
      <top/>
      <bottom style="mediumDashed">
        <color indexed="64"/>
      </bottom>
      <diagonal/>
    </border>
    <border>
      <left style="thin">
        <color rgb="FFBFBFBF"/>
      </left>
      <right style="medium">
        <color indexed="64"/>
      </right>
      <top/>
      <bottom style="mediumDashed">
        <color indexed="64"/>
      </bottom>
      <diagonal/>
    </border>
    <border>
      <left/>
      <right style="medium">
        <color indexed="64"/>
      </right>
      <top style="thin">
        <color indexed="64"/>
      </top>
      <bottom/>
      <diagonal/>
    </border>
    <border>
      <left style="medium">
        <color indexed="64"/>
      </left>
      <right style="thin">
        <color rgb="FFBFBFBF"/>
      </right>
      <top style="medium">
        <color indexed="64"/>
      </top>
      <bottom style="mediumDashed">
        <color indexed="64"/>
      </bottom>
      <diagonal/>
    </border>
    <border>
      <left style="thin">
        <color rgb="FFBFBFBF"/>
      </left>
      <right style="thin">
        <color rgb="FFBFBFBF"/>
      </right>
      <top style="medium">
        <color indexed="64"/>
      </top>
      <bottom style="mediumDashed">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style="medium">
        <color indexed="64"/>
      </left>
      <right/>
      <top style="thin">
        <color indexed="64"/>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indexed="64"/>
      </bottom>
      <diagonal/>
    </border>
    <border>
      <left/>
      <right/>
      <top style="thin">
        <color theme="0" tint="-0.24994659260841701"/>
      </top>
      <bottom style="thin">
        <color indexed="64"/>
      </bottom>
      <diagonal/>
    </border>
    <border>
      <left style="medium">
        <color indexed="64"/>
      </left>
      <right/>
      <top style="thin">
        <color indexed="64"/>
      </top>
      <bottom/>
      <diagonal/>
    </border>
    <border>
      <left/>
      <right style="medium">
        <color indexed="64"/>
      </right>
      <top style="thin">
        <color theme="0" tint="-0.24994659260841701"/>
      </top>
      <bottom/>
      <diagonal/>
    </border>
    <border>
      <left style="medium">
        <color indexed="64"/>
      </left>
      <right/>
      <top/>
      <bottom style="thin">
        <color indexed="64"/>
      </bottom>
      <diagonal/>
    </border>
    <border>
      <left style="thin">
        <color theme="0" tint="-0.24994659260841701"/>
      </left>
      <right style="thin">
        <color theme="0" tint="-0.24994659260841701"/>
      </right>
      <top/>
      <bottom/>
      <diagonal/>
    </border>
    <border>
      <left style="thin">
        <color theme="0" tint="-0.24994659260841701"/>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style="thin">
        <color theme="0" tint="-0.24994659260841701"/>
      </right>
      <top/>
      <bottom style="thin">
        <color indexed="64"/>
      </bottom>
      <diagonal/>
    </border>
    <border>
      <left style="thin">
        <color rgb="FFBFBFBF"/>
      </left>
      <right style="medium">
        <color indexed="64"/>
      </right>
      <top style="medium">
        <color indexed="64"/>
      </top>
      <bottom style="mediumDashed">
        <color indexed="64"/>
      </bottom>
      <diagonal/>
    </border>
    <border>
      <left style="medium">
        <color indexed="64"/>
      </left>
      <right style="thin">
        <color theme="0" tint="-0.24994659260841701"/>
      </right>
      <top style="thin">
        <color theme="0" tint="-0.24994659260841701"/>
      </top>
      <bottom style="thin">
        <color indexed="64"/>
      </bottom>
      <diagonal/>
    </border>
    <border>
      <left style="medium">
        <color indexed="64"/>
      </left>
      <right style="thin">
        <color theme="0" tint="-0.24994659260841701"/>
      </right>
      <top/>
      <bottom/>
      <diagonal/>
    </border>
    <border>
      <left style="thin">
        <color theme="0" tint="-0.24994659260841701"/>
      </left>
      <right style="thin">
        <color theme="0" tint="-0.24994659260841701"/>
      </right>
      <top/>
      <bottom style="thin">
        <color indexed="64"/>
      </bottom>
      <diagonal/>
    </border>
    <border>
      <left style="thin">
        <color theme="0" tint="-0.24994659260841701"/>
      </left>
      <right/>
      <top/>
      <bottom style="thin">
        <color indexed="64"/>
      </bottom>
      <diagonal/>
    </border>
    <border>
      <left style="medium">
        <color indexed="64"/>
      </left>
      <right style="thin">
        <color theme="0" tint="-0.24994659260841701"/>
      </right>
      <top/>
      <bottom style="mediumDashed">
        <color theme="0" tint="-0.34998626667073579"/>
      </bottom>
      <diagonal/>
    </border>
    <border>
      <left style="thin">
        <color theme="0" tint="-0.24994659260841701"/>
      </left>
      <right style="thin">
        <color theme="0" tint="-0.24994659260841701"/>
      </right>
      <top/>
      <bottom style="mediumDashed">
        <color theme="0" tint="-0.34998626667073579"/>
      </bottom>
      <diagonal/>
    </border>
    <border>
      <left style="thin">
        <color theme="0" tint="-0.24994659260841701"/>
      </left>
      <right/>
      <top/>
      <bottom style="mediumDashed">
        <color theme="0" tint="-0.34998626667073579"/>
      </bottom>
      <diagonal/>
    </border>
    <border>
      <left/>
      <right/>
      <top/>
      <bottom style="mediumDashed">
        <color theme="0" tint="-0.34998626667073579"/>
      </bottom>
      <diagonal/>
    </border>
    <border>
      <left/>
      <right style="medium">
        <color indexed="64"/>
      </right>
      <top/>
      <bottom style="mediumDashed">
        <color theme="0" tint="-0.34998626667073579"/>
      </bottom>
      <diagonal/>
    </border>
    <border>
      <left style="medium">
        <color indexed="64"/>
      </left>
      <right style="thin">
        <color theme="0" tint="-0.24994659260841701"/>
      </right>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style="medium">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thin">
        <color theme="0" tint="-0.24994659260841701"/>
      </right>
      <top/>
      <bottom style="medium">
        <color indexed="64"/>
      </bottom>
      <diagonal/>
    </border>
    <border>
      <left style="medium">
        <color indexed="64"/>
      </left>
      <right style="thin">
        <color theme="0" tint="-0.24994659260841701"/>
      </right>
      <top style="mediumDashed">
        <color indexed="64"/>
      </top>
      <bottom style="thin">
        <color indexed="64"/>
      </bottom>
      <diagonal/>
    </border>
    <border>
      <left style="thin">
        <color theme="0" tint="-0.24994659260841701"/>
      </left>
      <right style="thin">
        <color theme="0" tint="-0.24994659260841701"/>
      </right>
      <top style="mediumDashed">
        <color indexed="64"/>
      </top>
      <bottom style="thin">
        <color indexed="64"/>
      </bottom>
      <diagonal/>
    </border>
    <border>
      <left style="thin">
        <color theme="0" tint="-0.24994659260841701"/>
      </left>
      <right/>
      <top style="mediumDashed">
        <color indexed="64"/>
      </top>
      <bottom style="thin">
        <color indexed="64"/>
      </bottom>
      <diagonal/>
    </border>
    <border>
      <left/>
      <right/>
      <top style="mediumDashed">
        <color indexed="64"/>
      </top>
      <bottom style="thin">
        <color indexed="64"/>
      </bottom>
      <diagonal/>
    </border>
    <border>
      <left/>
      <right style="medium">
        <color indexed="64"/>
      </right>
      <top style="mediumDashed">
        <color indexed="64"/>
      </top>
      <bottom style="thin">
        <color indexed="64"/>
      </bottom>
      <diagonal/>
    </border>
    <border>
      <left style="medium">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style="medium">
        <color indexed="64"/>
      </left>
      <right style="thin">
        <color theme="0" tint="-0.24994659260841701"/>
      </right>
      <top style="thin">
        <color theme="0" tint="-0.24994659260841701"/>
      </top>
      <bottom style="hair">
        <color indexed="64"/>
      </bottom>
      <diagonal/>
    </border>
    <border>
      <left style="thin">
        <color theme="0" tint="-0.24994659260841701"/>
      </left>
      <right style="thin">
        <color theme="0" tint="-0.24994659260841701"/>
      </right>
      <top style="thin">
        <color theme="0" tint="-0.24994659260841701"/>
      </top>
      <bottom style="hair">
        <color indexed="64"/>
      </bottom>
      <diagonal/>
    </border>
    <border>
      <left style="thin">
        <color theme="0" tint="-0.24994659260841701"/>
      </left>
      <right style="medium">
        <color indexed="64"/>
      </right>
      <top style="thin">
        <color theme="0" tint="-0.24994659260841701"/>
      </top>
      <bottom style="hair">
        <color indexed="64"/>
      </bottom>
      <diagonal/>
    </border>
    <border>
      <left style="thin">
        <color theme="0" tint="-0.24994659260841701"/>
      </left>
      <right style="medium">
        <color indexed="64"/>
      </right>
      <top/>
      <bottom style="medium">
        <color indexed="64"/>
      </bottom>
      <diagonal/>
    </border>
    <border>
      <left style="thin">
        <color theme="0" tint="-0.24994659260841701"/>
      </left>
      <right/>
      <top style="medium">
        <color indexed="64"/>
      </top>
      <bottom style="medium">
        <color indexed="64"/>
      </bottom>
      <diagonal/>
    </border>
    <border>
      <left style="medium">
        <color indexed="64"/>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medium">
        <color indexed="64"/>
      </right>
      <top/>
      <bottom style="thin">
        <color rgb="FFBFBFBF"/>
      </bottom>
      <diagonal/>
    </border>
    <border>
      <left style="medium">
        <color indexed="64"/>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medium">
        <color indexed="64"/>
      </right>
      <top style="thin">
        <color rgb="FFBFBFBF"/>
      </top>
      <bottom style="thin">
        <color rgb="FFBFBFBF"/>
      </bottom>
      <diagonal/>
    </border>
    <border>
      <left style="medium">
        <color indexed="64"/>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BFBFBF"/>
      </left>
      <right style="medium">
        <color indexed="64"/>
      </right>
      <top style="thin">
        <color rgb="FFBFBFBF"/>
      </top>
      <bottom/>
      <diagonal/>
    </border>
    <border>
      <left style="medium">
        <color indexed="64"/>
      </left>
      <right style="thin">
        <color rgb="FFBFBFBF"/>
      </right>
      <top style="thin">
        <color rgb="FFBFBFBF"/>
      </top>
      <bottom style="medium">
        <color auto="1"/>
      </bottom>
      <diagonal/>
    </border>
    <border>
      <left style="thin">
        <color rgb="FFBFBFBF"/>
      </left>
      <right style="thin">
        <color rgb="FFBFBFBF"/>
      </right>
      <top style="thin">
        <color rgb="FFBFBFBF"/>
      </top>
      <bottom style="medium">
        <color indexed="64"/>
      </bottom>
      <diagonal/>
    </border>
    <border>
      <left style="thin">
        <color rgb="FFBFBFBF"/>
      </left>
      <right style="medium">
        <color indexed="64"/>
      </right>
      <top style="thin">
        <color rgb="FFBFBFBF"/>
      </top>
      <bottom style="medium">
        <color indexed="64"/>
      </bottom>
      <diagonal/>
    </border>
    <border>
      <left style="thin">
        <color indexed="64"/>
      </left>
      <right/>
      <top style="thin">
        <color indexed="64"/>
      </top>
      <bottom style="thin">
        <color indexed="64"/>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auto="1"/>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style="thin">
        <color auto="1"/>
      </right>
      <top style="thin">
        <color theme="0" tint="-0.14996795556505021"/>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00">
    <xf numFmtId="0" fontId="0" fillId="0" borderId="0"/>
    <xf numFmtId="169" fontId="63" fillId="49" borderId="9" applyBorder="0">
      <alignment horizontal="right" vertical="center"/>
      <protection locked="0"/>
    </xf>
    <xf numFmtId="166" fontId="28" fillId="55" borderId="37">
      <alignment horizontal="centerContinuous" vertical="center" wrapText="1"/>
    </xf>
    <xf numFmtId="0" fontId="11" fillId="11" borderId="0">
      <alignment vertical="center"/>
    </xf>
    <xf numFmtId="0" fontId="73" fillId="50" borderId="0">
      <alignment vertical="center"/>
    </xf>
    <xf numFmtId="0" fontId="60" fillId="0" borderId="15" applyProtection="0"/>
    <xf numFmtId="0" fontId="74" fillId="0" borderId="0">
      <alignment vertical="center"/>
    </xf>
    <xf numFmtId="168" fontId="8" fillId="53" borderId="20" applyBorder="0">
      <alignment horizontal="right"/>
      <protection locked="0"/>
    </xf>
    <xf numFmtId="49" fontId="52" fillId="54" borderId="0">
      <alignment horizontal="left" vertical="center" wrapText="1"/>
      <protection locked="0"/>
    </xf>
    <xf numFmtId="0" fontId="17" fillId="0" borderId="0" applyNumberFormat="0" applyFill="0" applyBorder="0" applyAlignment="0" applyProtection="0"/>
    <xf numFmtId="0" fontId="18" fillId="0" borderId="21" applyNumberFormat="0" applyFill="0" applyAlignment="0" applyProtection="0"/>
    <xf numFmtId="0" fontId="19" fillId="0" borderId="22" applyNumberFormat="0" applyFill="0" applyAlignment="0" applyProtection="0"/>
    <xf numFmtId="0" fontId="20" fillId="0" borderId="23" applyNumberFormat="0" applyFill="0" applyAlignment="0" applyProtection="0"/>
    <xf numFmtId="0" fontId="20" fillId="0" borderId="0" applyNumberFormat="0" applyFill="0" applyBorder="0" applyAlignment="0" applyProtection="0"/>
    <xf numFmtId="0" fontId="21" fillId="13" borderId="0" applyNumberFormat="0" applyBorder="0" applyAlignment="0" applyProtection="0"/>
    <xf numFmtId="0" fontId="22" fillId="14" borderId="0" applyNumberFormat="0" applyBorder="0" applyAlignment="0" applyProtection="0"/>
    <xf numFmtId="0" fontId="23" fillId="15" borderId="0" applyNumberFormat="0" applyBorder="0" applyAlignment="0" applyProtection="0"/>
    <xf numFmtId="0" fontId="24" fillId="16" borderId="24" applyNumberFormat="0" applyAlignment="0" applyProtection="0"/>
    <xf numFmtId="0" fontId="25" fillId="17" borderId="25" applyNumberFormat="0" applyAlignment="0" applyProtection="0"/>
    <xf numFmtId="0" fontId="26" fillId="17" borderId="24" applyNumberFormat="0" applyAlignment="0" applyProtection="0"/>
    <xf numFmtId="0" fontId="27" fillId="0" borderId="26" applyNumberFormat="0" applyFill="0" applyAlignment="0" applyProtection="0"/>
    <xf numFmtId="0" fontId="28" fillId="18" borderId="27" applyNumberFormat="0" applyAlignment="0" applyProtection="0"/>
    <xf numFmtId="0" fontId="29" fillId="0" borderId="0" applyNumberFormat="0" applyFill="0" applyBorder="0" applyAlignment="0" applyProtection="0"/>
    <xf numFmtId="0" fontId="1" fillId="19" borderId="28" applyNumberFormat="0" applyFont="0" applyAlignment="0" applyProtection="0"/>
    <xf numFmtId="0" fontId="30" fillId="0" borderId="0" applyNumberFormat="0" applyFill="0" applyBorder="0" applyAlignment="0" applyProtection="0"/>
    <xf numFmtId="0" fontId="2" fillId="0" borderId="29" applyNumberFormat="0" applyFill="0" applyAlignment="0" applyProtection="0"/>
    <xf numFmtId="0" fontId="3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31" fillId="43" borderId="0" applyNumberFormat="0" applyBorder="0" applyAlignment="0" applyProtection="0"/>
    <xf numFmtId="0" fontId="52" fillId="0" borderId="13">
      <alignment horizontal="left" vertical="center" wrapText="1" indent="1"/>
    </xf>
    <xf numFmtId="49" fontId="11" fillId="6" borderId="0">
      <alignment vertical="center"/>
    </xf>
    <xf numFmtId="0" fontId="51" fillId="12" borderId="0">
      <alignment horizontal="left" vertical="center"/>
      <protection locked="0"/>
    </xf>
    <xf numFmtId="171" fontId="8" fillId="58" borderId="11" applyNumberFormat="0" applyFont="0" applyBorder="0" applyAlignment="0" applyProtection="0">
      <alignment horizontal="right"/>
      <protection locked="0"/>
    </xf>
    <xf numFmtId="0" fontId="54" fillId="0" borderId="0" applyNumberFormat="0" applyFill="0" applyBorder="0" applyAlignment="0" applyProtection="0">
      <alignment vertical="top"/>
      <protection locked="0"/>
    </xf>
    <xf numFmtId="0" fontId="51" fillId="12" borderId="0" applyAlignment="0">
      <alignment horizontal="left" vertical="center"/>
    </xf>
    <xf numFmtId="49" fontId="6" fillId="52" borderId="0">
      <alignment horizontal="centerContinuous" vertical="center" wrapText="1"/>
    </xf>
    <xf numFmtId="0" fontId="11" fillId="6" borderId="0">
      <alignment vertical="center"/>
    </xf>
    <xf numFmtId="0" fontId="11" fillId="11" borderId="0">
      <alignment vertical="center"/>
    </xf>
    <xf numFmtId="0" fontId="50" fillId="6" borderId="0">
      <alignment vertical="center"/>
      <protection locked="0"/>
    </xf>
    <xf numFmtId="0" fontId="49" fillId="11" borderId="0">
      <alignment horizontal="left" vertical="center"/>
      <protection locked="0"/>
    </xf>
    <xf numFmtId="0" fontId="62" fillId="0" borderId="0" applyNumberFormat="0" applyFill="0" applyBorder="0" applyAlignment="0" applyProtection="0"/>
    <xf numFmtId="0" fontId="75" fillId="60" borderId="0">
      <alignment horizontal="right" indent="1" shrinkToFit="1"/>
    </xf>
    <xf numFmtId="0" fontId="72" fillId="0" borderId="0"/>
    <xf numFmtId="0" fontId="10" fillId="0" borderId="0"/>
    <xf numFmtId="0" fontId="77" fillId="0" borderId="0"/>
    <xf numFmtId="0" fontId="78" fillId="0" borderId="0"/>
    <xf numFmtId="164" fontId="1" fillId="0" borderId="0" applyFont="0" applyFill="0" applyBorder="0" applyAlignment="0" applyProtection="0"/>
    <xf numFmtId="0" fontId="1" fillId="0" borderId="0"/>
    <xf numFmtId="0" fontId="79" fillId="0" borderId="0"/>
    <xf numFmtId="164" fontId="1" fillId="0" borderId="0" applyFont="0" applyFill="0" applyBorder="0" applyAlignment="0" applyProtection="0"/>
    <xf numFmtId="0" fontId="77" fillId="0" borderId="0"/>
    <xf numFmtId="0" fontId="3" fillId="0" borderId="0"/>
    <xf numFmtId="165" fontId="3" fillId="0" borderId="0" applyFont="0" applyFill="0" applyBorder="0" applyAlignment="0" applyProtection="0"/>
    <xf numFmtId="0" fontId="10" fillId="0" borderId="0"/>
    <xf numFmtId="165" fontId="77" fillId="0" borderId="0" applyFont="0" applyFill="0" applyBorder="0" applyAlignment="0" applyProtection="0"/>
    <xf numFmtId="0" fontId="1" fillId="45" borderId="34" applyProtection="0"/>
    <xf numFmtId="0" fontId="87" fillId="46" borderId="12" applyProtection="0"/>
    <xf numFmtId="0" fontId="12" fillId="6" borderId="106">
      <alignment vertical="center"/>
    </xf>
    <xf numFmtId="0" fontId="12" fillId="12" borderId="106" applyBorder="0">
      <alignment vertical="center"/>
    </xf>
    <xf numFmtId="0" fontId="93" fillId="80" borderId="106" applyBorder="0" applyProtection="0">
      <alignment vertical="center"/>
    </xf>
    <xf numFmtId="0" fontId="16" fillId="81" borderId="107" applyBorder="0">
      <alignment vertical="center"/>
    </xf>
    <xf numFmtId="0" fontId="16" fillId="82" borderId="107" applyBorder="0">
      <alignment horizontal="left" vertical="center"/>
    </xf>
    <xf numFmtId="168" fontId="8" fillId="83" borderId="20" applyBorder="0">
      <alignment horizontal="right"/>
      <protection locked="0"/>
    </xf>
    <xf numFmtId="10" fontId="8" fillId="83" borderId="20" applyBorder="0">
      <alignment horizontal="right"/>
      <protection locked="0"/>
    </xf>
    <xf numFmtId="172" fontId="3" fillId="7" borderId="0">
      <protection locked="0"/>
    </xf>
    <xf numFmtId="0" fontId="3" fillId="0" borderId="13">
      <alignment horizontal="left" vertical="center" wrapText="1" indent="1"/>
    </xf>
    <xf numFmtId="49" fontId="3" fillId="7" borderId="12" applyAlignment="0">
      <alignment horizontal="left" vertical="center" wrapText="1"/>
      <protection locked="0"/>
    </xf>
    <xf numFmtId="49" fontId="3" fillId="74" borderId="12" applyAlignment="0" applyProtection="0">
      <alignment horizontal="left" vertical="center" wrapText="1"/>
      <protection locked="0"/>
    </xf>
    <xf numFmtId="169" fontId="96" fillId="84" borderId="9" applyBorder="0">
      <alignment horizontal="right" vertical="center"/>
    </xf>
    <xf numFmtId="169" fontId="96" fillId="63" borderId="108">
      <alignment horizontal="right" vertical="center"/>
    </xf>
    <xf numFmtId="0" fontId="60" fillId="9" borderId="109">
      <alignment horizontal="centerContinuous" vertical="center" wrapText="1"/>
    </xf>
    <xf numFmtId="0" fontId="60" fillId="9" borderId="111">
      <alignment horizontal="right" vertical="center" wrapText="1" indent="1"/>
    </xf>
    <xf numFmtId="0" fontId="60" fillId="85" borderId="111">
      <alignment horizontal="right" vertical="center" wrapText="1" indent="1"/>
    </xf>
    <xf numFmtId="49" fontId="60" fillId="76" borderId="112" applyBorder="0">
      <alignment horizontal="centerContinuous" vertical="center" wrapText="1"/>
    </xf>
    <xf numFmtId="0" fontId="60" fillId="86" borderId="4" applyBorder="0">
      <alignment horizontal="right" vertical="center" wrapText="1" indent="1"/>
    </xf>
    <xf numFmtId="0" fontId="60" fillId="87" borderId="4" applyBorder="0">
      <alignment horizontal="right" vertical="center" wrapText="1" indent="1"/>
    </xf>
    <xf numFmtId="0" fontId="142" fillId="0" borderId="0" applyNumberFormat="0" applyFill="0" applyBorder="0" applyAlignment="0" applyProtection="0"/>
    <xf numFmtId="0" fontId="49" fillId="11" borderId="0">
      <alignment horizontal="left" vertical="center"/>
      <protection locked="0"/>
    </xf>
    <xf numFmtId="0" fontId="73" fillId="0" borderId="0">
      <alignment vertical="center"/>
    </xf>
  </cellStyleXfs>
  <cellXfs count="1292">
    <xf numFmtId="0" fontId="0" fillId="0" borderId="0" xfId="0"/>
    <xf numFmtId="0" fontId="0" fillId="0" borderId="0" xfId="0" quotePrefix="1"/>
    <xf numFmtId="0" fontId="11" fillId="11" borderId="0" xfId="3">
      <alignment vertical="center"/>
    </xf>
    <xf numFmtId="49" fontId="11" fillId="6" borderId="0" xfId="51">
      <alignment vertical="center"/>
    </xf>
    <xf numFmtId="0" fontId="11" fillId="3" borderId="0" xfId="3" applyFill="1">
      <alignment vertical="center"/>
    </xf>
    <xf numFmtId="0" fontId="0" fillId="3" borderId="0" xfId="0" applyFill="1"/>
    <xf numFmtId="0" fontId="0" fillId="8" borderId="0" xfId="0" applyFill="1"/>
    <xf numFmtId="0" fontId="0" fillId="8" borderId="0" xfId="0" applyFill="1" applyBorder="1"/>
    <xf numFmtId="0" fontId="5" fillId="8" borderId="0" xfId="0" applyFont="1" applyFill="1"/>
    <xf numFmtId="0" fontId="36" fillId="8" borderId="0" xfId="0" applyFont="1" applyFill="1" applyAlignment="1"/>
    <xf numFmtId="0" fontId="5" fillId="8" borderId="0" xfId="0" applyFont="1" applyFill="1" applyBorder="1"/>
    <xf numFmtId="0" fontId="36" fillId="8" borderId="0" xfId="0" applyFont="1" applyFill="1" applyBorder="1" applyAlignment="1">
      <alignment wrapText="1"/>
    </xf>
    <xf numFmtId="0" fontId="36" fillId="8" borderId="0" xfId="0" applyFont="1" applyFill="1" applyAlignment="1">
      <alignment wrapText="1"/>
    </xf>
    <xf numFmtId="0" fontId="5" fillId="8" borderId="0" xfId="0" applyFont="1" applyFill="1" applyAlignment="1">
      <alignment horizontal="left"/>
    </xf>
    <xf numFmtId="0" fontId="36" fillId="8" borderId="0" xfId="0" applyFont="1" applyFill="1" applyAlignment="1">
      <alignment horizontal="right"/>
    </xf>
    <xf numFmtId="49" fontId="11" fillId="6" borderId="0" xfId="51" applyFont="1">
      <alignment vertical="center"/>
    </xf>
    <xf numFmtId="0" fontId="11" fillId="11" borderId="0" xfId="3" applyFont="1">
      <alignment vertical="center"/>
    </xf>
    <xf numFmtId="0" fontId="36" fillId="8" borderId="0" xfId="0" applyFont="1" applyFill="1" applyBorder="1" applyAlignment="1"/>
    <xf numFmtId="0" fontId="32" fillId="8" borderId="0" xfId="0" applyFont="1" applyFill="1" applyAlignment="1">
      <alignment horizontal="right"/>
    </xf>
    <xf numFmtId="0" fontId="5" fillId="8" borderId="0" xfId="0" applyFont="1" applyFill="1" applyAlignment="1">
      <alignment vertical="center"/>
    </xf>
    <xf numFmtId="0" fontId="5" fillId="8" borderId="0" xfId="0" applyFont="1" applyFill="1" applyBorder="1" applyAlignment="1">
      <alignment vertical="center"/>
    </xf>
    <xf numFmtId="0" fontId="36" fillId="8" borderId="0" xfId="0" applyFont="1" applyFill="1" applyBorder="1" applyAlignment="1">
      <alignment horizontal="right"/>
    </xf>
    <xf numFmtId="0" fontId="14" fillId="8" borderId="0" xfId="0" applyFont="1" applyFill="1" applyAlignment="1">
      <alignment vertical="center"/>
    </xf>
    <xf numFmtId="0" fontId="14" fillId="8" borderId="0" xfId="0" applyFont="1" applyFill="1" applyBorder="1" applyAlignment="1">
      <alignment vertical="center"/>
    </xf>
    <xf numFmtId="0" fontId="40" fillId="8" borderId="0" xfId="0" applyFont="1" applyFill="1" applyBorder="1"/>
    <xf numFmtId="0" fontId="40" fillId="8" borderId="0" xfId="0" applyFont="1" applyFill="1"/>
    <xf numFmtId="0" fontId="34" fillId="3" borderId="0" xfId="3" applyFont="1" applyFill="1" applyAlignment="1">
      <alignment horizontal="justify" vertical="center" wrapText="1"/>
    </xf>
    <xf numFmtId="0" fontId="5" fillId="8" borderId="0" xfId="0" applyFont="1" applyFill="1" applyAlignment="1">
      <alignment vertical="top"/>
    </xf>
    <xf numFmtId="0" fontId="5" fillId="8" borderId="0" xfId="0" applyFont="1" applyFill="1" applyBorder="1" applyAlignment="1">
      <alignment vertical="top"/>
    </xf>
    <xf numFmtId="0" fontId="40" fillId="8" borderId="0" xfId="0" applyFont="1" applyFill="1" applyBorder="1" applyAlignment="1">
      <alignment vertical="top"/>
    </xf>
    <xf numFmtId="0" fontId="12" fillId="8" borderId="0" xfId="0" applyFont="1" applyFill="1" applyBorder="1" applyAlignment="1">
      <alignment vertical="top"/>
    </xf>
    <xf numFmtId="0" fontId="40" fillId="8" borderId="0" xfId="0" applyFont="1" applyFill="1" applyAlignment="1">
      <alignment vertical="top"/>
    </xf>
    <xf numFmtId="0" fontId="38" fillId="8" borderId="0" xfId="0" applyFont="1" applyFill="1" applyAlignment="1">
      <alignment vertical="top" wrapText="1"/>
    </xf>
    <xf numFmtId="0" fontId="37" fillId="8" borderId="0" xfId="0" applyFont="1" applyFill="1" applyAlignment="1">
      <alignment vertical="top"/>
    </xf>
    <xf numFmtId="0" fontId="37" fillId="8" borderId="0" xfId="0" applyFont="1" applyFill="1" applyAlignment="1"/>
    <xf numFmtId="0" fontId="5" fillId="3" borderId="0" xfId="0" applyFont="1" applyFill="1" applyBorder="1" applyAlignment="1">
      <alignment vertical="top"/>
    </xf>
    <xf numFmtId="0" fontId="40" fillId="3" borderId="0" xfId="0" applyFont="1" applyFill="1" applyBorder="1" applyAlignment="1">
      <alignment vertical="top"/>
    </xf>
    <xf numFmtId="0" fontId="37" fillId="8" borderId="0" xfId="0" applyFont="1" applyFill="1" applyAlignment="1">
      <alignment horizontal="center" vertical="top"/>
    </xf>
    <xf numFmtId="0" fontId="38" fillId="8" borderId="0" xfId="0" applyFont="1" applyFill="1" applyBorder="1" applyAlignment="1">
      <alignment horizontal="left"/>
    </xf>
    <xf numFmtId="49" fontId="11" fillId="6" borderId="0" xfId="51" applyFill="1" applyAlignment="1">
      <alignment vertical="center"/>
    </xf>
    <xf numFmtId="0" fontId="11" fillId="5" borderId="0" xfId="3" applyFill="1">
      <alignment vertical="center"/>
    </xf>
    <xf numFmtId="0" fontId="33" fillId="5" borderId="0" xfId="3" applyFont="1" applyFill="1">
      <alignment vertical="center"/>
    </xf>
    <xf numFmtId="0" fontId="11" fillId="5" borderId="0" xfId="3" applyFont="1" applyFill="1">
      <alignment vertical="center"/>
    </xf>
    <xf numFmtId="0" fontId="13" fillId="8" borderId="0" xfId="0" applyFont="1" applyFill="1" applyBorder="1" applyAlignment="1">
      <alignment vertical="top"/>
    </xf>
    <xf numFmtId="0" fontId="13" fillId="8" borderId="0" xfId="0" applyFont="1" applyFill="1" applyAlignment="1">
      <alignment vertical="top"/>
    </xf>
    <xf numFmtId="0" fontId="43" fillId="8" borderId="0" xfId="0" applyFont="1" applyFill="1" applyBorder="1" applyAlignment="1">
      <alignment vertical="top"/>
    </xf>
    <xf numFmtId="0" fontId="37" fillId="8" borderId="0" xfId="0" applyFont="1" applyFill="1" applyAlignment="1">
      <alignment horizontal="centerContinuous" vertical="top"/>
    </xf>
    <xf numFmtId="0" fontId="4" fillId="8" borderId="0" xfId="0" applyFont="1" applyFill="1" applyAlignment="1">
      <alignment horizontal="center" vertical="top"/>
    </xf>
    <xf numFmtId="0" fontId="36" fillId="8" borderId="0" xfId="0" applyFont="1" applyFill="1" applyBorder="1" applyAlignment="1">
      <alignment vertical="top"/>
    </xf>
    <xf numFmtId="0" fontId="7" fillId="8" borderId="0" xfId="0" applyFont="1" applyFill="1" applyBorder="1" applyAlignment="1">
      <alignment vertical="top"/>
    </xf>
    <xf numFmtId="0" fontId="7" fillId="8" borderId="0" xfId="0" applyFont="1" applyFill="1" applyAlignment="1">
      <alignment vertical="top"/>
    </xf>
    <xf numFmtId="0" fontId="44" fillId="8" borderId="0" xfId="0" applyFont="1" applyFill="1" applyAlignment="1">
      <alignment horizontal="center" vertical="top"/>
    </xf>
    <xf numFmtId="0" fontId="45" fillId="8" borderId="0" xfId="0" applyFont="1" applyFill="1" applyAlignment="1">
      <alignment horizontal="center" vertical="top"/>
    </xf>
    <xf numFmtId="0" fontId="44" fillId="8" borderId="0" xfId="0" applyFont="1" applyFill="1" applyBorder="1" applyAlignment="1">
      <alignment vertical="top"/>
    </xf>
    <xf numFmtId="0" fontId="44" fillId="8" borderId="0" xfId="0" applyFont="1" applyFill="1" applyAlignment="1">
      <alignment vertical="top"/>
    </xf>
    <xf numFmtId="0" fontId="44" fillId="8" borderId="0" xfId="0" applyFont="1" applyFill="1" applyAlignment="1">
      <alignment horizontal="left" vertical="top"/>
    </xf>
    <xf numFmtId="0" fontId="46" fillId="8" borderId="0" xfId="0" applyFont="1" applyFill="1" applyBorder="1" applyAlignment="1">
      <alignment vertical="top"/>
    </xf>
    <xf numFmtId="0" fontId="38" fillId="8" borderId="0" xfId="0" applyFont="1" applyFill="1" applyBorder="1" applyAlignment="1"/>
    <xf numFmtId="0" fontId="42" fillId="6" borderId="0" xfId="51" applyNumberFormat="1" applyFont="1">
      <alignment vertical="center"/>
    </xf>
    <xf numFmtId="49" fontId="42" fillId="6" borderId="0" xfId="51" applyFont="1">
      <alignment vertical="center"/>
    </xf>
    <xf numFmtId="0" fontId="42" fillId="6" borderId="0" xfId="51" applyNumberFormat="1" applyFont="1" applyAlignment="1">
      <alignment horizontal="left" vertical="center"/>
    </xf>
    <xf numFmtId="0" fontId="38" fillId="8" borderId="0" xfId="0" applyFont="1" applyFill="1" applyBorder="1" applyAlignment="1">
      <alignment horizontal="right" vertical="center"/>
    </xf>
    <xf numFmtId="0" fontId="38" fillId="8" borderId="0" xfId="0" applyFont="1" applyFill="1" applyAlignment="1">
      <alignment horizontal="right" vertical="center"/>
    </xf>
    <xf numFmtId="0" fontId="0" fillId="3" borderId="0" xfId="0" applyFill="1" applyAlignment="1">
      <alignment horizontal="right" indent="1"/>
    </xf>
    <xf numFmtId="0" fontId="0" fillId="3" borderId="0" xfId="0" applyFont="1" applyFill="1" applyAlignment="1">
      <alignment horizontal="right" indent="1"/>
    </xf>
    <xf numFmtId="0" fontId="49" fillId="6" borderId="0" xfId="0" applyFont="1" applyFill="1" applyBorder="1" applyAlignment="1">
      <alignment horizontal="left" vertical="center" wrapText="1"/>
    </xf>
    <xf numFmtId="0" fontId="0" fillId="6" borderId="0" xfId="0" applyFill="1" applyBorder="1"/>
    <xf numFmtId="0" fontId="31" fillId="3" borderId="0" xfId="0" applyFont="1" applyFill="1" applyAlignment="1">
      <alignment horizontal="right" indent="1"/>
    </xf>
    <xf numFmtId="0" fontId="51" fillId="12" borderId="0" xfId="52">
      <alignment horizontal="left" vertical="center"/>
      <protection locked="0"/>
    </xf>
    <xf numFmtId="0" fontId="31" fillId="3" borderId="0" xfId="0" applyFont="1" applyFill="1"/>
    <xf numFmtId="0" fontId="48" fillId="3" borderId="0" xfId="0" applyFont="1" applyFill="1" applyAlignment="1">
      <alignment vertical="center"/>
    </xf>
    <xf numFmtId="168" fontId="8" fillId="53" borderId="12" xfId="7" applyBorder="1">
      <alignment horizontal="right"/>
      <protection locked="0"/>
    </xf>
    <xf numFmtId="0" fontId="11" fillId="6" borderId="0" xfId="57">
      <alignment vertical="center"/>
    </xf>
    <xf numFmtId="0" fontId="11" fillId="11" borderId="0" xfId="58">
      <alignment vertical="center"/>
    </xf>
    <xf numFmtId="0" fontId="2" fillId="0" borderId="0" xfId="0" applyFont="1"/>
    <xf numFmtId="0" fontId="57" fillId="47" borderId="0" xfId="0" applyFont="1" applyFill="1" applyAlignment="1">
      <alignment vertical="center"/>
    </xf>
    <xf numFmtId="0" fontId="57" fillId="47" borderId="0" xfId="0" applyFont="1" applyFill="1" applyAlignment="1">
      <alignment horizontal="left" vertical="center"/>
    </xf>
    <xf numFmtId="0" fontId="65" fillId="47" borderId="0" xfId="0" applyFont="1" applyFill="1" applyAlignment="1">
      <alignment vertical="center"/>
    </xf>
    <xf numFmtId="0" fontId="65" fillId="47" borderId="0" xfId="0" applyFont="1" applyFill="1" applyAlignment="1">
      <alignment horizontal="left" vertical="center"/>
    </xf>
    <xf numFmtId="0" fontId="66" fillId="47" borderId="0" xfId="0" applyFont="1" applyFill="1" applyAlignment="1">
      <alignment vertical="center"/>
    </xf>
    <xf numFmtId="0" fontId="67" fillId="12" borderId="0" xfId="55" applyFont="1" applyAlignment="1">
      <alignment horizontal="left" vertical="center"/>
    </xf>
    <xf numFmtId="0" fontId="0" fillId="0" borderId="0" xfId="0" applyAlignment="1">
      <alignment vertical="center"/>
    </xf>
    <xf numFmtId="0" fontId="58" fillId="48" borderId="0" xfId="0" applyFont="1" applyFill="1" applyAlignment="1">
      <alignment vertical="center"/>
    </xf>
    <xf numFmtId="0" fontId="68" fillId="0" borderId="12" xfId="0" applyFont="1" applyBorder="1" applyAlignment="1">
      <alignment horizontal="center"/>
    </xf>
    <xf numFmtId="0" fontId="69" fillId="56" borderId="34" xfId="0" applyFont="1" applyFill="1" applyBorder="1" applyAlignment="1">
      <alignment vertical="center"/>
    </xf>
    <xf numFmtId="0" fontId="70" fillId="56" borderId="34" xfId="0" applyFont="1" applyFill="1" applyBorder="1" applyAlignment="1">
      <alignment horizontal="left" vertical="center" indent="1"/>
    </xf>
    <xf numFmtId="0" fontId="59" fillId="45" borderId="34" xfId="0" applyFont="1" applyFill="1" applyBorder="1" applyAlignment="1">
      <alignment vertical="center"/>
    </xf>
    <xf numFmtId="0" fontId="70" fillId="45" borderId="34" xfId="0" applyFont="1" applyFill="1" applyBorder="1" applyAlignment="1">
      <alignment horizontal="left" vertical="center" indent="1"/>
    </xf>
    <xf numFmtId="0" fontId="59" fillId="57" borderId="34" xfId="0" applyFont="1" applyFill="1" applyBorder="1" applyAlignment="1">
      <alignment vertical="center"/>
    </xf>
    <xf numFmtId="0" fontId="70" fillId="46" borderId="34" xfId="0" applyFont="1" applyFill="1" applyBorder="1" applyAlignment="1">
      <alignment horizontal="left" vertical="center" indent="1"/>
    </xf>
    <xf numFmtId="0" fontId="59" fillId="58" borderId="34" xfId="0" applyFont="1" applyFill="1" applyBorder="1" applyAlignment="1">
      <alignment vertical="center"/>
    </xf>
    <xf numFmtId="0" fontId="70" fillId="59" borderId="34" xfId="0" applyFont="1" applyFill="1" applyBorder="1" applyAlignment="1">
      <alignment horizontal="left" vertical="center" wrapText="1" indent="1"/>
    </xf>
    <xf numFmtId="168" fontId="8" fillId="53" borderId="39" xfId="7" applyBorder="1">
      <alignment horizontal="right"/>
      <protection locked="0"/>
    </xf>
    <xf numFmtId="168" fontId="8" fillId="53" borderId="32" xfId="7" applyBorder="1">
      <alignment horizontal="right"/>
      <protection locked="0"/>
    </xf>
    <xf numFmtId="168" fontId="8" fillId="53" borderId="36" xfId="7" applyBorder="1">
      <alignment horizontal="right"/>
      <protection locked="0"/>
    </xf>
    <xf numFmtId="168" fontId="8" fillId="53" borderId="35" xfId="7" applyBorder="1">
      <alignment horizontal="right"/>
      <protection locked="0"/>
    </xf>
    <xf numFmtId="0" fontId="68" fillId="0" borderId="36" xfId="0" applyFont="1" applyBorder="1" applyAlignment="1">
      <alignment horizontal="center"/>
    </xf>
    <xf numFmtId="49" fontId="52" fillId="54" borderId="38" xfId="8" applyBorder="1" applyAlignment="1">
      <protection locked="0"/>
    </xf>
    <xf numFmtId="49" fontId="52" fillId="54" borderId="33" xfId="8" applyBorder="1">
      <alignment horizontal="left" vertical="center" wrapText="1"/>
      <protection locked="0"/>
    </xf>
    <xf numFmtId="0" fontId="0" fillId="3" borderId="38" xfId="0" applyFill="1" applyBorder="1"/>
    <xf numFmtId="0" fontId="0" fillId="3" borderId="33" xfId="0" applyFill="1" applyBorder="1"/>
    <xf numFmtId="168" fontId="8" fillId="53" borderId="42" xfId="7" applyBorder="1">
      <alignment horizontal="right"/>
      <protection locked="0"/>
    </xf>
    <xf numFmtId="168" fontId="8" fillId="53" borderId="43" xfId="7" applyBorder="1">
      <alignment horizontal="right"/>
      <protection locked="0"/>
    </xf>
    <xf numFmtId="168" fontId="8" fillId="53" borderId="44" xfId="7" applyBorder="1">
      <alignment horizontal="right"/>
      <protection locked="0"/>
    </xf>
    <xf numFmtId="0" fontId="47" fillId="3" borderId="33" xfId="0" applyFont="1" applyFill="1" applyBorder="1" applyAlignment="1">
      <alignment horizontal="left" indent="2"/>
    </xf>
    <xf numFmtId="166" fontId="28" fillId="55" borderId="31" xfId="2" applyNumberFormat="1" applyBorder="1" applyAlignment="1">
      <alignment horizontal="centerContinuous" vertical="center" wrapText="1"/>
    </xf>
    <xf numFmtId="166" fontId="28" fillId="55" borderId="14" xfId="2" applyNumberFormat="1" applyBorder="1" applyAlignment="1">
      <alignment horizontal="centerContinuous" vertical="center" wrapText="1"/>
    </xf>
    <xf numFmtId="166" fontId="28" fillId="55" borderId="45" xfId="2" applyNumberFormat="1" applyBorder="1" applyAlignment="1">
      <alignment horizontal="centerContinuous" vertical="center" wrapText="1"/>
    </xf>
    <xf numFmtId="166" fontId="28" fillId="55" borderId="46" xfId="2" applyNumberFormat="1" applyBorder="1" applyAlignment="1">
      <alignment horizontal="centerContinuous" vertical="center" wrapText="1"/>
    </xf>
    <xf numFmtId="49" fontId="6" fillId="51" borderId="14" xfId="56" applyFont="1" applyFill="1" applyBorder="1" applyAlignment="1">
      <alignment horizontal="centerContinuous" vertical="center" wrapText="1"/>
    </xf>
    <xf numFmtId="49" fontId="6" fillId="51" borderId="31" xfId="56" applyFont="1" applyFill="1" applyBorder="1" applyAlignment="1">
      <alignment horizontal="centerContinuous" vertical="center" wrapText="1"/>
    </xf>
    <xf numFmtId="0" fontId="9" fillId="3" borderId="41" xfId="0" applyFont="1" applyFill="1" applyBorder="1" applyAlignment="1">
      <alignment horizontal="center" vertical="center" wrapText="1"/>
    </xf>
    <xf numFmtId="0" fontId="9" fillId="3" borderId="19" xfId="0" applyFont="1" applyFill="1" applyBorder="1" applyAlignment="1">
      <alignment horizontal="center" vertical="center" wrapText="1"/>
    </xf>
    <xf numFmtId="168" fontId="8" fillId="62" borderId="18" xfId="7" applyFill="1" applyBorder="1">
      <alignment horizontal="right"/>
      <protection locked="0"/>
    </xf>
    <xf numFmtId="0" fontId="70" fillId="59" borderId="34" xfId="0" applyFont="1" applyFill="1" applyBorder="1" applyAlignment="1">
      <alignment horizontal="left" vertical="center" indent="1"/>
    </xf>
    <xf numFmtId="169" fontId="88" fillId="63" borderId="69" xfId="1" applyFont="1" applyFill="1" applyBorder="1" applyProtection="1">
      <alignment horizontal="right" vertical="center"/>
    </xf>
    <xf numFmtId="0" fontId="0" fillId="0" borderId="78" xfId="0" applyBorder="1" applyAlignment="1">
      <alignment horizontal="center" vertical="center"/>
    </xf>
    <xf numFmtId="0" fontId="0" fillId="0" borderId="19" xfId="0" applyFont="1" applyBorder="1" applyAlignment="1">
      <alignment horizontal="center"/>
    </xf>
    <xf numFmtId="0" fontId="0" fillId="0" borderId="16" xfId="0" applyFont="1" applyBorder="1" applyAlignment="1">
      <alignment horizontal="center"/>
    </xf>
    <xf numFmtId="0" fontId="0" fillId="0" borderId="41" xfId="0" applyFont="1" applyBorder="1" applyAlignment="1">
      <alignment horizontal="center"/>
    </xf>
    <xf numFmtId="0" fontId="0" fillId="3" borderId="76" xfId="0" applyFill="1" applyBorder="1" applyAlignment="1">
      <alignment horizontal="center" vertical="center"/>
    </xf>
    <xf numFmtId="169" fontId="63" fillId="63" borderId="36" xfId="1" applyFill="1" applyBorder="1">
      <alignment horizontal="right" vertical="center"/>
      <protection locked="0"/>
    </xf>
    <xf numFmtId="169" fontId="63" fillId="63" borderId="69" xfId="1" applyFill="1" applyBorder="1">
      <alignment horizontal="right" vertical="center"/>
      <protection locked="0"/>
    </xf>
    <xf numFmtId="169" fontId="76" fillId="63" borderId="69" xfId="1" applyFont="1" applyFill="1" applyBorder="1">
      <alignment horizontal="right" vertical="center"/>
      <protection locked="0"/>
    </xf>
    <xf numFmtId="0" fontId="0" fillId="3" borderId="38" xfId="0" applyFont="1" applyFill="1" applyBorder="1" applyAlignment="1">
      <alignment vertical="center"/>
    </xf>
    <xf numFmtId="168" fontId="8" fillId="53" borderId="71" xfId="7" applyBorder="1">
      <alignment horizontal="right"/>
      <protection locked="0"/>
    </xf>
    <xf numFmtId="0" fontId="68" fillId="0" borderId="70" xfId="0" applyFont="1" applyBorder="1" applyAlignment="1">
      <alignment horizontal="center"/>
    </xf>
    <xf numFmtId="0" fontId="0" fillId="3" borderId="72" xfId="0" applyFill="1" applyBorder="1"/>
    <xf numFmtId="168" fontId="8" fillId="64" borderId="48" xfId="7" applyFill="1" applyBorder="1">
      <alignment horizontal="right"/>
      <protection locked="0"/>
    </xf>
    <xf numFmtId="0" fontId="0" fillId="3" borderId="0" xfId="0" applyFill="1"/>
    <xf numFmtId="168" fontId="8" fillId="64" borderId="49" xfId="7" applyFill="1" applyBorder="1">
      <alignment horizontal="right"/>
      <protection locked="0"/>
    </xf>
    <xf numFmtId="168" fontId="8" fillId="64" borderId="47" xfId="7" applyFill="1" applyBorder="1">
      <alignment horizontal="right"/>
      <protection locked="0"/>
    </xf>
    <xf numFmtId="0" fontId="0" fillId="0" borderId="65" xfId="0" applyBorder="1" applyAlignment="1">
      <alignment horizontal="center" vertical="center"/>
    </xf>
    <xf numFmtId="169" fontId="63" fillId="63" borderId="69" xfId="1" applyFill="1" applyBorder="1" applyProtection="1">
      <alignment horizontal="right" vertical="center"/>
    </xf>
    <xf numFmtId="0" fontId="0" fillId="0" borderId="77" xfId="0" applyBorder="1" applyAlignment="1">
      <alignment horizontal="center" vertical="center"/>
    </xf>
    <xf numFmtId="0" fontId="0" fillId="3" borderId="73" xfId="0" applyFill="1" applyBorder="1"/>
    <xf numFmtId="169" fontId="76" fillId="63" borderId="69" xfId="1" applyFont="1" applyFill="1" applyBorder="1" applyProtection="1">
      <alignment horizontal="right" vertical="center"/>
    </xf>
    <xf numFmtId="0" fontId="0" fillId="3" borderId="40" xfId="0" applyFont="1" applyFill="1" applyBorder="1" applyAlignment="1">
      <alignment vertical="center"/>
    </xf>
    <xf numFmtId="0" fontId="70" fillId="56" borderId="34" xfId="0" applyFont="1" applyFill="1" applyBorder="1" applyAlignment="1">
      <alignment horizontal="left" vertical="center" indent="1"/>
    </xf>
    <xf numFmtId="0" fontId="70" fillId="45" borderId="34" xfId="0" applyFont="1" applyFill="1" applyBorder="1" applyAlignment="1">
      <alignment horizontal="left" vertical="center" indent="1"/>
    </xf>
    <xf numFmtId="0" fontId="70" fillId="46" borderId="34" xfId="0" applyFont="1" applyFill="1" applyBorder="1" applyAlignment="1">
      <alignment horizontal="left" vertical="center" indent="1"/>
    </xf>
    <xf numFmtId="0" fontId="0" fillId="61" borderId="74" xfId="0" applyFill="1" applyBorder="1" applyAlignment="1">
      <alignment horizontal="center" vertical="center"/>
    </xf>
    <xf numFmtId="0" fontId="0" fillId="61" borderId="75" xfId="0" applyFill="1" applyBorder="1" applyAlignment="1">
      <alignment horizontal="center" vertical="center"/>
    </xf>
    <xf numFmtId="0" fontId="0" fillId="61" borderId="76" xfId="0" applyFill="1" applyBorder="1" applyAlignment="1">
      <alignment horizontal="center" vertical="center"/>
    </xf>
    <xf numFmtId="0" fontId="0" fillId="61" borderId="85" xfId="0" applyFill="1" applyBorder="1" applyAlignment="1">
      <alignment horizontal="center" vertical="center"/>
    </xf>
    <xf numFmtId="0" fontId="0" fillId="61" borderId="86" xfId="0" applyFill="1" applyBorder="1" applyAlignment="1">
      <alignment horizontal="center" vertical="center"/>
    </xf>
    <xf numFmtId="0" fontId="0" fillId="61" borderId="87" xfId="0" applyFill="1" applyBorder="1" applyAlignment="1">
      <alignment horizontal="center" vertical="center"/>
    </xf>
    <xf numFmtId="0" fontId="0" fillId="3" borderId="75" xfId="0" applyFill="1" applyBorder="1" applyAlignment="1">
      <alignment horizontal="center" vertical="center"/>
    </xf>
    <xf numFmtId="0" fontId="0" fillId="3" borderId="74" xfId="0" applyFill="1" applyBorder="1" applyAlignment="1">
      <alignment horizontal="center" vertical="center"/>
    </xf>
    <xf numFmtId="0" fontId="0" fillId="0" borderId="54" xfId="0" applyBorder="1" applyAlignment="1">
      <alignment horizontal="center" vertical="center"/>
    </xf>
    <xf numFmtId="0" fontId="0" fillId="0" borderId="79" xfId="0" applyBorder="1" applyAlignment="1">
      <alignment horizontal="center" vertical="center"/>
    </xf>
    <xf numFmtId="0" fontId="0" fillId="0" borderId="0" xfId="0"/>
    <xf numFmtId="0" fontId="86" fillId="3" borderId="0" xfId="0" applyFont="1" applyFill="1" applyBorder="1" applyAlignment="1">
      <alignment horizontal="center"/>
    </xf>
    <xf numFmtId="0" fontId="59" fillId="45" borderId="34" xfId="0" applyFont="1" applyFill="1" applyBorder="1" applyAlignment="1">
      <alignment vertical="center"/>
    </xf>
    <xf numFmtId="0" fontId="59" fillId="57" borderId="34" xfId="0" applyFont="1" applyFill="1" applyBorder="1" applyAlignment="1">
      <alignment vertical="center"/>
    </xf>
    <xf numFmtId="0" fontId="80" fillId="0" borderId="53" xfId="0" applyFont="1" applyBorder="1" applyAlignment="1">
      <alignment horizontal="center" vertical="center"/>
    </xf>
    <xf numFmtId="0" fontId="80" fillId="3" borderId="50" xfId="0" applyFont="1" applyFill="1" applyBorder="1" applyAlignment="1">
      <alignment horizontal="center" vertical="center"/>
    </xf>
    <xf numFmtId="0" fontId="81" fillId="3" borderId="54" xfId="0" applyFont="1" applyFill="1" applyBorder="1" applyAlignment="1">
      <alignment horizontal="center" vertical="center" textRotation="90" wrapText="1"/>
    </xf>
    <xf numFmtId="0" fontId="0" fillId="61" borderId="64" xfId="0" applyFill="1" applyBorder="1" applyAlignment="1">
      <alignment horizontal="center" vertical="center"/>
    </xf>
    <xf numFmtId="0" fontId="0" fillId="61" borderId="34" xfId="0" applyFill="1" applyBorder="1" applyAlignment="1">
      <alignment horizontal="center" vertical="center"/>
    </xf>
    <xf numFmtId="0" fontId="0" fillId="61" borderId="65" xfId="0" applyFill="1" applyBorder="1" applyAlignment="1">
      <alignment horizontal="center" vertical="center"/>
    </xf>
    <xf numFmtId="0" fontId="0" fillId="61" borderId="53" xfId="0" applyFill="1" applyBorder="1" applyAlignment="1">
      <alignment horizontal="center" vertical="center"/>
    </xf>
    <xf numFmtId="0" fontId="0" fillId="61" borderId="50" xfId="0" applyFill="1" applyBorder="1" applyAlignment="1">
      <alignment horizontal="center" vertical="center"/>
    </xf>
    <xf numFmtId="0" fontId="0" fillId="3" borderId="54" xfId="0" applyFill="1" applyBorder="1" applyAlignment="1">
      <alignment horizontal="center" vertical="center"/>
    </xf>
    <xf numFmtId="0" fontId="0" fillId="61" borderId="77" xfId="0" applyFill="1" applyBorder="1" applyAlignment="1">
      <alignment horizontal="center" vertical="center"/>
    </xf>
    <xf numFmtId="0" fontId="0" fillId="61" borderId="78" xfId="0" applyFill="1" applyBorder="1" applyAlignment="1">
      <alignment horizontal="center" vertical="center"/>
    </xf>
    <xf numFmtId="0" fontId="0" fillId="61" borderId="79" xfId="0" applyFill="1" applyBorder="1" applyAlignment="1">
      <alignment horizontal="center" vertical="center"/>
    </xf>
    <xf numFmtId="0" fontId="80" fillId="0" borderId="57" xfId="0" applyFont="1" applyBorder="1" applyAlignment="1">
      <alignment horizontal="center" vertical="center"/>
    </xf>
    <xf numFmtId="0" fontId="80" fillId="3" borderId="51" xfId="0" applyFont="1" applyFill="1" applyBorder="1" applyAlignment="1">
      <alignment horizontal="center" vertical="center"/>
    </xf>
    <xf numFmtId="0" fontId="0" fillId="3" borderId="34" xfId="0" applyFill="1" applyBorder="1"/>
    <xf numFmtId="0" fontId="0" fillId="3" borderId="78" xfId="0" applyFill="1" applyBorder="1"/>
    <xf numFmtId="0" fontId="80" fillId="3" borderId="52" xfId="0" applyFont="1" applyFill="1" applyBorder="1" applyAlignment="1">
      <alignment horizontal="center" vertical="center" textRotation="90"/>
    </xf>
    <xf numFmtId="0" fontId="0" fillId="61" borderId="73" xfId="0" applyFill="1" applyBorder="1" applyAlignment="1">
      <alignment horizontal="center" vertical="center"/>
    </xf>
    <xf numFmtId="0" fontId="0" fillId="61" borderId="80" xfId="0" applyFill="1" applyBorder="1" applyAlignment="1">
      <alignment horizontal="center" vertical="center"/>
    </xf>
    <xf numFmtId="0" fontId="0" fillId="61" borderId="81" xfId="0" applyFill="1" applyBorder="1" applyAlignment="1">
      <alignment horizontal="center" vertical="center"/>
    </xf>
    <xf numFmtId="0" fontId="83" fillId="3" borderId="51" xfId="0" applyFont="1" applyFill="1" applyBorder="1" applyAlignment="1">
      <alignment horizontal="center" vertical="center" textRotation="90"/>
    </xf>
    <xf numFmtId="0" fontId="66" fillId="47" borderId="0" xfId="0" applyFont="1" applyFill="1" applyAlignment="1">
      <alignment vertical="center"/>
    </xf>
    <xf numFmtId="0" fontId="89" fillId="66" borderId="0" xfId="0" applyFont="1" applyFill="1" applyAlignment="1">
      <alignment vertical="center"/>
    </xf>
    <xf numFmtId="0" fontId="0" fillId="66" borderId="0" xfId="0" applyFill="1"/>
    <xf numFmtId="0" fontId="90" fillId="67" borderId="4" xfId="0" applyFont="1" applyFill="1" applyBorder="1" applyAlignment="1">
      <alignment horizontal="center" vertical="top"/>
    </xf>
    <xf numFmtId="0" fontId="90" fillId="67" borderId="5" xfId="0" applyFont="1" applyFill="1" applyBorder="1" applyAlignment="1">
      <alignment horizontal="center" vertical="top"/>
    </xf>
    <xf numFmtId="0" fontId="91" fillId="67" borderId="5" xfId="0" quotePrefix="1" applyFont="1" applyFill="1" applyBorder="1" applyAlignment="1">
      <alignment horizontal="left" vertical="top"/>
    </xf>
    <xf numFmtId="0" fontId="91" fillId="67" borderId="5" xfId="0" applyFont="1" applyFill="1" applyBorder="1" applyAlignment="1">
      <alignment horizontal="left" vertical="top"/>
    </xf>
    <xf numFmtId="49" fontId="91" fillId="67" borderId="5" xfId="0" quotePrefix="1" applyNumberFormat="1" applyFont="1" applyFill="1" applyBorder="1" applyAlignment="1">
      <alignment horizontal="left" vertical="top"/>
    </xf>
    <xf numFmtId="0" fontId="91" fillId="67" borderId="6" xfId="0" applyFont="1" applyFill="1" applyBorder="1" applyAlignment="1">
      <alignment horizontal="left" vertical="top"/>
    </xf>
    <xf numFmtId="0" fontId="92" fillId="0" borderId="0" xfId="0" applyFont="1" applyAlignment="1">
      <alignment horizontal="left"/>
    </xf>
    <xf numFmtId="0" fontId="91" fillId="0" borderId="0" xfId="0" applyFont="1"/>
    <xf numFmtId="0" fontId="6" fillId="68" borderId="1" xfId="0" applyFont="1" applyFill="1" applyBorder="1" applyAlignment="1">
      <alignment horizontal="right" vertical="top" wrapText="1"/>
    </xf>
    <xf numFmtId="0" fontId="93" fillId="68" borderId="1" xfId="0" applyFont="1" applyFill="1" applyBorder="1" applyAlignment="1">
      <alignment horizontal="right" vertical="top" wrapText="1"/>
    </xf>
    <xf numFmtId="0" fontId="93" fillId="68" borderId="88" xfId="0" applyFont="1" applyFill="1" applyBorder="1" applyAlignment="1">
      <alignment horizontal="right" vertical="top" wrapText="1"/>
    </xf>
    <xf numFmtId="0" fontId="6" fillId="69" borderId="2" xfId="0" applyFont="1" applyFill="1" applyBorder="1" applyAlignment="1">
      <alignment horizontal="right" vertical="top" wrapText="1"/>
    </xf>
    <xf numFmtId="0" fontId="6" fillId="70" borderId="2" xfId="0" applyFont="1" applyFill="1" applyBorder="1" applyAlignment="1">
      <alignment horizontal="right" vertical="top" wrapText="1"/>
    </xf>
    <xf numFmtId="0" fontId="93" fillId="10" borderId="2" xfId="0" applyFont="1" applyFill="1" applyBorder="1" applyAlignment="1">
      <alignment horizontal="right" vertical="top" wrapText="1"/>
    </xf>
    <xf numFmtId="0" fontId="93" fillId="68" borderId="2" xfId="0" applyFont="1" applyFill="1" applyBorder="1" applyAlignment="1">
      <alignment horizontal="right" vertical="top" wrapText="1"/>
    </xf>
    <xf numFmtId="0" fontId="93" fillId="71" borderId="2" xfId="0" applyFont="1" applyFill="1" applyBorder="1" applyAlignment="1">
      <alignment horizontal="right" vertical="top" wrapText="1"/>
    </xf>
    <xf numFmtId="0" fontId="93" fillId="71" borderId="1" xfId="0" applyFont="1" applyFill="1" applyBorder="1" applyAlignment="1">
      <alignment horizontal="right" vertical="top" wrapText="1"/>
    </xf>
    <xf numFmtId="0" fontId="93" fillId="72" borderId="89" xfId="0" applyFont="1" applyFill="1" applyBorder="1" applyAlignment="1">
      <alignment horizontal="right" vertical="top" wrapText="1"/>
    </xf>
    <xf numFmtId="0" fontId="0" fillId="0" borderId="0" xfId="0" applyAlignment="1">
      <alignment horizontal="right" vertical="top" wrapText="1"/>
    </xf>
    <xf numFmtId="0" fontId="94" fillId="73" borderId="1" xfId="0" applyFont="1" applyFill="1" applyBorder="1" applyAlignment="1">
      <alignment vertical="top"/>
    </xf>
    <xf numFmtId="0" fontId="3" fillId="73" borderId="90" xfId="0" applyFont="1" applyFill="1" applyBorder="1" applyAlignment="1">
      <alignment vertical="top"/>
    </xf>
    <xf numFmtId="0" fontId="91" fillId="74" borderId="1" xfId="0" applyFont="1" applyFill="1" applyBorder="1" applyAlignment="1">
      <alignment horizontal="center"/>
    </xf>
    <xf numFmtId="0" fontId="91" fillId="74" borderId="90" xfId="0" applyFont="1" applyFill="1" applyBorder="1" applyAlignment="1">
      <alignment horizontal="center"/>
    </xf>
    <xf numFmtId="0" fontId="91" fillId="74" borderId="91" xfId="0" applyFont="1" applyFill="1" applyBorder="1" applyAlignment="1">
      <alignment horizontal="center"/>
    </xf>
    <xf numFmtId="0" fontId="91" fillId="74" borderId="2" xfId="0" applyFont="1" applyFill="1" applyBorder="1" applyAlignment="1">
      <alignment horizontal="center"/>
    </xf>
    <xf numFmtId="0" fontId="91" fillId="74" borderId="92" xfId="0" applyFont="1" applyFill="1" applyBorder="1" applyAlignment="1">
      <alignment horizontal="center"/>
    </xf>
    <xf numFmtId="0" fontId="94" fillId="72" borderId="93" xfId="0" applyFont="1" applyFill="1" applyBorder="1" applyAlignment="1">
      <alignment vertical="top"/>
    </xf>
    <xf numFmtId="0" fontId="3" fillId="73" borderId="94" xfId="0" applyFont="1" applyFill="1" applyBorder="1" applyAlignment="1">
      <alignment vertical="top"/>
    </xf>
    <xf numFmtId="0" fontId="91" fillId="74" borderId="93" xfId="0" applyFont="1" applyFill="1" applyBorder="1" applyAlignment="1">
      <alignment horizontal="center"/>
    </xf>
    <xf numFmtId="0" fontId="91" fillId="74" borderId="94" xfId="0" applyFont="1" applyFill="1" applyBorder="1" applyAlignment="1">
      <alignment horizontal="center"/>
    </xf>
    <xf numFmtId="0" fontId="91" fillId="74" borderId="95" xfId="0" applyFont="1" applyFill="1" applyBorder="1" applyAlignment="1">
      <alignment horizontal="center"/>
    </xf>
    <xf numFmtId="0" fontId="91" fillId="74" borderId="96" xfId="0" applyFont="1" applyFill="1" applyBorder="1" applyAlignment="1">
      <alignment horizontal="center"/>
    </xf>
    <xf numFmtId="0" fontId="91" fillId="74" borderId="97" xfId="0" applyFont="1" applyFill="1" applyBorder="1" applyAlignment="1">
      <alignment horizontal="center"/>
    </xf>
    <xf numFmtId="0" fontId="5" fillId="9" borderId="98" xfId="0" applyFont="1" applyFill="1" applyBorder="1" applyAlignment="1">
      <alignment vertical="top"/>
    </xf>
    <xf numFmtId="0" fontId="3" fillId="75" borderId="95" xfId="0" applyFont="1" applyFill="1" applyBorder="1" applyAlignment="1">
      <alignment vertical="top"/>
    </xf>
    <xf numFmtId="0" fontId="91" fillId="74" borderId="98" xfId="0" applyFont="1" applyFill="1" applyBorder="1" applyAlignment="1">
      <alignment horizontal="center"/>
    </xf>
    <xf numFmtId="0" fontId="5" fillId="9" borderId="99" xfId="0" applyFont="1" applyFill="1" applyBorder="1" applyAlignment="1">
      <alignment vertical="top"/>
    </xf>
    <xf numFmtId="0" fontId="95" fillId="75" borderId="95" xfId="0" applyFont="1" applyFill="1" applyBorder="1" applyAlignment="1">
      <alignment vertical="top"/>
    </xf>
    <xf numFmtId="0" fontId="5" fillId="76" borderId="99" xfId="0" applyFont="1" applyFill="1" applyBorder="1" applyAlignment="1">
      <alignment vertical="top"/>
    </xf>
    <xf numFmtId="0" fontId="3" fillId="77" borderId="95" xfId="0" applyFont="1" applyFill="1" applyBorder="1" applyAlignment="1">
      <alignment vertical="top"/>
    </xf>
    <xf numFmtId="0" fontId="5" fillId="2" borderId="99" xfId="0" applyFont="1" applyFill="1" applyBorder="1" applyAlignment="1">
      <alignment vertical="top"/>
    </xf>
    <xf numFmtId="0" fontId="95" fillId="78" borderId="95" xfId="0" applyFont="1" applyFill="1" applyBorder="1" applyAlignment="1">
      <alignment vertical="top"/>
    </xf>
    <xf numFmtId="0" fontId="5" fillId="2" borderId="98" xfId="0" applyFont="1" applyFill="1" applyBorder="1" applyAlignment="1">
      <alignment vertical="top"/>
    </xf>
    <xf numFmtId="0" fontId="5" fillId="76" borderId="98" xfId="0" applyFont="1" applyFill="1" applyBorder="1" applyAlignment="1">
      <alignment vertical="top"/>
    </xf>
    <xf numFmtId="0" fontId="3" fillId="76" borderId="95" xfId="0" applyFont="1" applyFill="1" applyBorder="1" applyAlignment="1">
      <alignment vertical="top"/>
    </xf>
    <xf numFmtId="0" fontId="3" fillId="9" borderId="95" xfId="0" applyFont="1" applyFill="1" applyBorder="1" applyAlignment="1">
      <alignment vertical="top"/>
    </xf>
    <xf numFmtId="0" fontId="94" fillId="48" borderId="99" xfId="0" applyFont="1" applyFill="1" applyBorder="1" applyAlignment="1">
      <alignment vertical="top"/>
    </xf>
    <xf numFmtId="0" fontId="3" fillId="79" borderId="100" xfId="0" applyFont="1" applyFill="1" applyBorder="1" applyAlignment="1">
      <alignment vertical="top"/>
    </xf>
    <xf numFmtId="0" fontId="94" fillId="72" borderId="99" xfId="0" applyFont="1" applyFill="1" applyBorder="1" applyAlignment="1">
      <alignment vertical="top"/>
    </xf>
    <xf numFmtId="0" fontId="3" fillId="73" borderId="100" xfId="0" applyFont="1" applyFill="1" applyBorder="1" applyAlignment="1">
      <alignment vertical="top"/>
    </xf>
    <xf numFmtId="0" fontId="91" fillId="74" borderId="101" xfId="0" applyFont="1" applyFill="1" applyBorder="1" applyAlignment="1">
      <alignment horizontal="center"/>
    </xf>
    <xf numFmtId="0" fontId="91" fillId="74" borderId="100" xfId="0" applyFont="1" applyFill="1" applyBorder="1" applyAlignment="1">
      <alignment horizontal="center"/>
    </xf>
    <xf numFmtId="0" fontId="5" fillId="9" borderId="101" xfId="0" applyFont="1" applyFill="1" applyBorder="1" applyAlignment="1">
      <alignment vertical="top"/>
    </xf>
    <xf numFmtId="0" fontId="3" fillId="9" borderId="100" xfId="0" applyFont="1" applyFill="1" applyBorder="1" applyAlignment="1">
      <alignment vertical="top"/>
    </xf>
    <xf numFmtId="0" fontId="3" fillId="75" borderId="100" xfId="0" applyFont="1" applyFill="1" applyBorder="1" applyAlignment="1">
      <alignment vertical="top"/>
    </xf>
    <xf numFmtId="0" fontId="5" fillId="9" borderId="102" xfId="0" applyFont="1" applyFill="1" applyBorder="1" applyAlignment="1">
      <alignment vertical="top"/>
    </xf>
    <xf numFmtId="0" fontId="3" fillId="9" borderId="103" xfId="0" applyFont="1" applyFill="1" applyBorder="1" applyAlignment="1">
      <alignment vertical="top"/>
    </xf>
    <xf numFmtId="0" fontId="91" fillId="74" borderId="102" xfId="0" applyFont="1" applyFill="1" applyBorder="1" applyAlignment="1">
      <alignment horizontal="center"/>
    </xf>
    <xf numFmtId="0" fontId="91" fillId="74" borderId="103" xfId="0" applyFont="1" applyFill="1" applyBorder="1" applyAlignment="1">
      <alignment horizontal="center"/>
    </xf>
    <xf numFmtId="0" fontId="91" fillId="74" borderId="104" xfId="0" applyFont="1" applyFill="1" applyBorder="1" applyAlignment="1">
      <alignment horizontal="center"/>
    </xf>
    <xf numFmtId="0" fontId="91" fillId="74" borderId="105" xfId="0" applyFont="1" applyFill="1" applyBorder="1" applyAlignment="1">
      <alignment horizontal="center"/>
    </xf>
    <xf numFmtId="0" fontId="1" fillId="45" borderId="34" xfId="76"/>
    <xf numFmtId="0" fontId="87" fillId="46" borderId="12" xfId="77"/>
    <xf numFmtId="0" fontId="93" fillId="0" borderId="0" xfId="0" applyFont="1"/>
    <xf numFmtId="0" fontId="3" fillId="0" borderId="0" xfId="0" quotePrefix="1" applyFont="1"/>
    <xf numFmtId="0" fontId="3" fillId="0" borderId="0" xfId="0" applyFont="1"/>
    <xf numFmtId="0" fontId="1" fillId="0" borderId="0" xfId="0" quotePrefix="1" applyFont="1"/>
    <xf numFmtId="0" fontId="5" fillId="3" borderId="0" xfId="0" applyFont="1" applyFill="1"/>
    <xf numFmtId="0" fontId="12" fillId="6" borderId="106" xfId="78">
      <alignment vertical="center"/>
    </xf>
    <xf numFmtId="0" fontId="12" fillId="12" borderId="0" xfId="79" applyBorder="1">
      <alignment vertical="center"/>
    </xf>
    <xf numFmtId="0" fontId="93" fillId="80" borderId="0" xfId="80" applyBorder="1">
      <alignment vertical="center"/>
    </xf>
    <xf numFmtId="0" fontId="16" fillId="81" borderId="0" xfId="81" applyBorder="1">
      <alignment vertical="center"/>
    </xf>
    <xf numFmtId="0" fontId="16" fillId="82" borderId="0" xfId="82" applyBorder="1">
      <alignment horizontal="left" vertical="center"/>
    </xf>
    <xf numFmtId="168" fontId="8" fillId="83" borderId="0" xfId="83" applyBorder="1">
      <alignment horizontal="right"/>
      <protection locked="0"/>
    </xf>
    <xf numFmtId="10" fontId="8" fillId="83" borderId="0" xfId="84" applyBorder="1">
      <alignment horizontal="right"/>
      <protection locked="0"/>
    </xf>
    <xf numFmtId="172" fontId="3" fillId="7" borderId="0" xfId="85">
      <protection locked="0"/>
    </xf>
    <xf numFmtId="0" fontId="3" fillId="0" borderId="13" xfId="86">
      <alignment horizontal="left" vertical="center" wrapText="1" indent="1"/>
    </xf>
    <xf numFmtId="49" fontId="3" fillId="7" borderId="12" xfId="87" applyAlignment="1">
      <protection locked="0"/>
    </xf>
    <xf numFmtId="49" fontId="3" fillId="74" borderId="12" xfId="88" applyAlignment="1" applyProtection="1"/>
    <xf numFmtId="169" fontId="96" fillId="84" borderId="9" xfId="89">
      <alignment horizontal="right" vertical="center"/>
    </xf>
    <xf numFmtId="169" fontId="96" fillId="63" borderId="108" xfId="90">
      <alignment horizontal="right" vertical="center"/>
    </xf>
    <xf numFmtId="0" fontId="60" fillId="9" borderId="110" xfId="91" applyBorder="1" applyAlignment="1">
      <alignment horizontal="center" vertical="center" wrapText="1"/>
    </xf>
    <xf numFmtId="0" fontId="60" fillId="9" borderId="111" xfId="92">
      <alignment horizontal="right" vertical="center" wrapText="1" indent="1"/>
    </xf>
    <xf numFmtId="0" fontId="60" fillId="85" borderId="111" xfId="93">
      <alignment horizontal="right" vertical="center" wrapText="1" indent="1"/>
    </xf>
    <xf numFmtId="49" fontId="60" fillId="76" borderId="113" xfId="94" applyBorder="1" applyAlignment="1">
      <alignment horizontal="center" vertical="center" wrapText="1"/>
    </xf>
    <xf numFmtId="0" fontId="60" fillId="86" borderId="111" xfId="95" applyBorder="1">
      <alignment horizontal="right" vertical="center" wrapText="1" indent="1"/>
    </xf>
    <xf numFmtId="0" fontId="60" fillId="87" borderId="111" xfId="96" applyBorder="1">
      <alignment horizontal="right" vertical="center" wrapText="1" indent="1"/>
    </xf>
    <xf numFmtId="0" fontId="0" fillId="0" borderId="0" xfId="0" quotePrefix="1" applyAlignment="1">
      <alignment horizontal="center" vertical="top"/>
    </xf>
    <xf numFmtId="0" fontId="97" fillId="88" borderId="0" xfId="0" applyFont="1" applyFill="1" applyAlignment="1">
      <alignment horizontal="left"/>
    </xf>
    <xf numFmtId="0" fontId="36" fillId="66" borderId="89"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vertical="top"/>
    </xf>
    <xf numFmtId="0" fontId="5" fillId="85" borderId="114" xfId="0" quotePrefix="1" applyFont="1" applyFill="1" applyBorder="1"/>
    <xf numFmtId="0" fontId="5" fillId="85" borderId="114" xfId="0" applyFont="1" applyFill="1" applyBorder="1"/>
    <xf numFmtId="0" fontId="5" fillId="85" borderId="115" xfId="0" applyFont="1" applyFill="1" applyBorder="1"/>
    <xf numFmtId="0" fontId="0" fillId="0" borderId="0" xfId="0" applyAlignment="1">
      <alignment horizontal="left"/>
    </xf>
    <xf numFmtId="0" fontId="5" fillId="85" borderId="116" xfId="0" applyFont="1" applyFill="1" applyBorder="1"/>
    <xf numFmtId="0" fontId="5" fillId="85" borderId="11" xfId="0" applyFont="1" applyFill="1" applyBorder="1"/>
    <xf numFmtId="0" fontId="5" fillId="0" borderId="11" xfId="0" applyFont="1" applyBorder="1"/>
    <xf numFmtId="0" fontId="5" fillId="0" borderId="117" xfId="0" applyFont="1" applyBorder="1"/>
    <xf numFmtId="0" fontId="5" fillId="0" borderId="105" xfId="0" applyFont="1" applyBorder="1"/>
    <xf numFmtId="49" fontId="5" fillId="3" borderId="0" xfId="0" applyNumberFormat="1" applyFont="1" applyFill="1"/>
    <xf numFmtId="0" fontId="5" fillId="2" borderId="118" xfId="0" applyFont="1" applyFill="1" applyBorder="1" applyAlignment="1">
      <alignment horizontal="left" vertical="top" wrapText="1"/>
    </xf>
    <xf numFmtId="0" fontId="5" fillId="85" borderId="119" xfId="0" applyFont="1" applyFill="1" applyBorder="1"/>
    <xf numFmtId="0" fontId="5" fillId="85" borderId="120" xfId="0" applyFont="1" applyFill="1" applyBorder="1"/>
    <xf numFmtId="0" fontId="5" fillId="85" borderId="121" xfId="0" applyFont="1" applyFill="1" applyBorder="1"/>
    <xf numFmtId="0" fontId="5" fillId="85" borderId="122" xfId="0" applyFont="1" applyFill="1" applyBorder="1"/>
    <xf numFmtId="1" fontId="5" fillId="3" borderId="0" xfId="0" applyNumberFormat="1" applyFont="1" applyFill="1"/>
    <xf numFmtId="0" fontId="5" fillId="85" borderId="105" xfId="0" applyFont="1" applyFill="1" applyBorder="1"/>
    <xf numFmtId="0" fontId="99" fillId="0" borderId="0" xfId="0" applyFont="1"/>
    <xf numFmtId="1" fontId="100" fillId="3" borderId="0" xfId="0" applyNumberFormat="1" applyFont="1" applyFill="1"/>
    <xf numFmtId="0" fontId="2" fillId="2" borderId="89" xfId="0" applyFont="1" applyFill="1" applyBorder="1" applyAlignment="1">
      <alignment horizontal="left" vertical="top" wrapText="1"/>
    </xf>
    <xf numFmtId="0" fontId="4" fillId="2" borderId="89" xfId="0" applyFont="1" applyFill="1" applyBorder="1" applyAlignment="1">
      <alignment horizontal="left" vertical="top" wrapText="1"/>
    </xf>
    <xf numFmtId="0" fontId="4" fillId="5" borderId="89" xfId="0" applyFont="1" applyFill="1" applyBorder="1" applyAlignment="1">
      <alignment horizontal="left" vertical="center" wrapText="1"/>
    </xf>
    <xf numFmtId="0" fontId="4" fillId="5" borderId="89" xfId="0" applyFont="1" applyFill="1" applyBorder="1" applyAlignment="1">
      <alignment horizontal="center" vertical="center" wrapText="1"/>
    </xf>
    <xf numFmtId="0" fontId="93" fillId="5" borderId="89" xfId="0" applyFont="1" applyFill="1" applyBorder="1" applyAlignment="1">
      <alignment horizontal="center" vertical="center" wrapText="1"/>
    </xf>
    <xf numFmtId="0" fontId="93" fillId="2" borderId="106" xfId="0" applyFont="1" applyFill="1" applyBorder="1" applyAlignment="1">
      <alignment horizontal="centerContinuous" vertical="center" wrapText="1"/>
    </xf>
    <xf numFmtId="0" fontId="93" fillId="2" borderId="123" xfId="0" applyFont="1" applyFill="1" applyBorder="1" applyAlignment="1">
      <alignment horizontal="centerContinuous" vertical="center" wrapText="1"/>
    </xf>
    <xf numFmtId="0" fontId="0" fillId="90" borderId="110" xfId="0" applyFill="1" applyBorder="1"/>
    <xf numFmtId="0" fontId="0" fillId="90" borderId="124" xfId="0" applyFill="1" applyBorder="1" applyProtection="1">
      <protection locked="0"/>
    </xf>
    <xf numFmtId="49" fontId="0" fillId="90" borderId="124" xfId="0" applyNumberFormat="1" applyFill="1" applyBorder="1"/>
    <xf numFmtId="0" fontId="0" fillId="90" borderId="124" xfId="0" applyFill="1" applyBorder="1" applyAlignment="1">
      <alignment vertical="center"/>
    </xf>
    <xf numFmtId="49" fontId="0" fillId="90" borderId="125" xfId="0" applyNumberFormat="1" applyFill="1" applyBorder="1"/>
    <xf numFmtId="0" fontId="3" fillId="62" borderId="110" xfId="0" applyFont="1" applyFill="1" applyBorder="1" applyAlignment="1">
      <alignment horizontal="left"/>
    </xf>
    <xf numFmtId="0" fontId="8" fillId="5" borderId="124" xfId="0" applyFont="1" applyFill="1" applyBorder="1"/>
    <xf numFmtId="0" fontId="0" fillId="5" borderId="126" xfId="0" applyFill="1" applyBorder="1" applyAlignment="1">
      <alignment horizontal="left" vertical="center"/>
    </xf>
    <xf numFmtId="0" fontId="0" fillId="0" borderId="127" xfId="0" applyBorder="1" applyAlignment="1">
      <alignment horizontal="left" vertical="center"/>
    </xf>
    <xf numFmtId="0" fontId="8" fillId="85" borderId="124" xfId="0" applyFont="1" applyFill="1" applyBorder="1"/>
    <xf numFmtId="0" fontId="0" fillId="90" borderId="128" xfId="0" applyFill="1" applyBorder="1"/>
    <xf numFmtId="0" fontId="0" fillId="90" borderId="12" xfId="0" applyFill="1" applyBorder="1" applyProtection="1">
      <protection locked="0"/>
    </xf>
    <xf numFmtId="0" fontId="0" fillId="90" borderId="12" xfId="0" applyFill="1" applyBorder="1"/>
    <xf numFmtId="0" fontId="0" fillId="90" borderId="16" xfId="0" applyFill="1" applyBorder="1"/>
    <xf numFmtId="0" fontId="3" fillId="62" borderId="128" xfId="0" applyFont="1" applyFill="1" applyBorder="1" applyAlignment="1">
      <alignment horizontal="left"/>
    </xf>
    <xf numFmtId="0" fontId="8" fillId="5" borderId="12" xfId="0" applyFont="1" applyFill="1" applyBorder="1"/>
    <xf numFmtId="0" fontId="0" fillId="5" borderId="129" xfId="0" applyFill="1" applyBorder="1" applyAlignment="1">
      <alignment horizontal="left" vertical="center"/>
    </xf>
    <xf numFmtId="0" fontId="0" fillId="0" borderId="131" xfId="0" applyBorder="1" applyAlignment="1">
      <alignment horizontal="left" vertical="center"/>
    </xf>
    <xf numFmtId="0" fontId="8" fillId="85" borderId="12" xfId="0" applyFont="1" applyFill="1" applyBorder="1"/>
    <xf numFmtId="0" fontId="0" fillId="90" borderId="12" xfId="0" applyFill="1" applyBorder="1" applyAlignment="1">
      <alignment vertical="center"/>
    </xf>
    <xf numFmtId="0" fontId="0" fillId="90" borderId="16" xfId="0" applyFill="1" applyBorder="1" applyAlignment="1">
      <alignment vertical="center"/>
    </xf>
    <xf numFmtId="0" fontId="0" fillId="5" borderId="132" xfId="0" applyFill="1" applyBorder="1"/>
    <xf numFmtId="0" fontId="0" fillId="0" borderId="134" xfId="0" applyBorder="1"/>
    <xf numFmtId="0" fontId="0" fillId="5" borderId="135" xfId="0" applyFill="1" applyBorder="1"/>
    <xf numFmtId="0" fontId="0" fillId="0" borderId="137" xfId="0" applyBorder="1"/>
    <xf numFmtId="0" fontId="0" fillId="0" borderId="128" xfId="0" applyBorder="1"/>
    <xf numFmtId="0" fontId="0" fillId="0" borderId="12" xfId="0" applyBorder="1"/>
    <xf numFmtId="0" fontId="0" fillId="5" borderId="135" xfId="0" applyFill="1" applyBorder="1" applyAlignment="1">
      <alignment horizontal="left" vertical="center"/>
    </xf>
    <xf numFmtId="1" fontId="5" fillId="3" borderId="12" xfId="0" applyNumberFormat="1" applyFont="1" applyFill="1" applyBorder="1"/>
    <xf numFmtId="0" fontId="0" fillId="5" borderId="129" xfId="0" applyFill="1" applyBorder="1"/>
    <xf numFmtId="0" fontId="0" fillId="0" borderId="16" xfId="0" applyBorder="1"/>
    <xf numFmtId="0" fontId="0" fillId="5" borderId="138" xfId="0" applyFill="1" applyBorder="1" applyAlignment="1">
      <alignment horizontal="left" vertical="center"/>
    </xf>
    <xf numFmtId="0" fontId="0" fillId="3" borderId="133" xfId="0" applyFill="1" applyBorder="1" applyAlignment="1">
      <alignment vertical="center"/>
    </xf>
    <xf numFmtId="0" fontId="0" fillId="0" borderId="139" xfId="0" applyBorder="1" applyAlignment="1">
      <alignment horizontal="left" vertical="center"/>
    </xf>
    <xf numFmtId="0" fontId="5" fillId="3" borderId="12" xfId="0" applyFont="1" applyFill="1" applyBorder="1"/>
    <xf numFmtId="0" fontId="0" fillId="5" borderId="140" xfId="0" applyFill="1" applyBorder="1" applyAlignment="1">
      <alignment horizontal="left" vertical="center"/>
    </xf>
    <xf numFmtId="0" fontId="0" fillId="3" borderId="141" xfId="0" applyFill="1" applyBorder="1" applyAlignment="1">
      <alignment vertical="center"/>
    </xf>
    <xf numFmtId="0" fontId="0" fillId="6" borderId="8" xfId="0" applyFill="1" applyBorder="1"/>
    <xf numFmtId="0" fontId="0" fillId="5" borderId="140" xfId="0" applyFill="1" applyBorder="1"/>
    <xf numFmtId="0" fontId="0" fillId="3" borderId="127" xfId="0" applyFill="1" applyBorder="1" applyAlignment="1">
      <alignment horizontal="left" vertical="center"/>
    </xf>
    <xf numFmtId="0" fontId="0" fillId="3" borderId="134" xfId="0" applyFill="1" applyBorder="1" applyAlignment="1">
      <alignment horizontal="left" vertical="center"/>
    </xf>
    <xf numFmtId="0" fontId="0" fillId="3" borderId="130" xfId="0" applyFill="1" applyBorder="1" applyAlignment="1">
      <alignment vertical="center"/>
    </xf>
    <xf numFmtId="0" fontId="0" fillId="0" borderId="142" xfId="0" applyBorder="1"/>
    <xf numFmtId="0" fontId="0" fillId="3" borderId="131" xfId="0" applyFill="1" applyBorder="1" applyAlignment="1">
      <alignment horizontal="left" vertical="center"/>
    </xf>
    <xf numFmtId="0" fontId="0" fillId="3" borderId="139" xfId="0" applyFill="1" applyBorder="1" applyAlignment="1">
      <alignment horizontal="left" vertical="center"/>
    </xf>
    <xf numFmtId="0" fontId="0" fillId="0" borderId="12" xfId="0" applyBorder="1" applyAlignment="1">
      <alignment vertical="center"/>
    </xf>
    <xf numFmtId="0" fontId="0" fillId="3" borderId="130" xfId="0" applyFill="1" applyBorder="1" applyAlignment="1">
      <alignment vertical="top"/>
    </xf>
    <xf numFmtId="0" fontId="0" fillId="3" borderId="142" xfId="0" applyFill="1" applyBorder="1" applyAlignment="1">
      <alignment horizontal="left" vertical="center"/>
    </xf>
    <xf numFmtId="0" fontId="0" fillId="3" borderId="135" xfId="0" applyFill="1" applyBorder="1" applyAlignment="1">
      <alignment horizontal="left" vertical="center"/>
    </xf>
    <xf numFmtId="0" fontId="0" fillId="0" borderId="143" xfId="0" applyBorder="1"/>
    <xf numFmtId="0" fontId="0" fillId="0" borderId="144" xfId="0" applyBorder="1"/>
    <xf numFmtId="0" fontId="0" fillId="0" borderId="103" xfId="0" applyBorder="1"/>
    <xf numFmtId="0" fontId="0" fillId="0" borderId="144" xfId="0" applyBorder="1" applyAlignment="1">
      <alignment vertical="center"/>
    </xf>
    <xf numFmtId="0" fontId="0" fillId="3" borderId="145" xfId="0" applyFill="1" applyBorder="1" applyAlignment="1">
      <alignment horizontal="left" vertical="center"/>
    </xf>
    <xf numFmtId="0" fontId="0" fillId="3" borderId="133" xfId="0" applyFill="1" applyBorder="1" applyAlignment="1">
      <alignment vertical="top"/>
    </xf>
    <xf numFmtId="0" fontId="0" fillId="3" borderId="115" xfId="0" applyFill="1" applyBorder="1" applyAlignment="1">
      <alignment vertical="center"/>
    </xf>
    <xf numFmtId="0" fontId="0" fillId="3" borderId="11" xfId="0" applyFill="1" applyBorder="1" applyAlignment="1">
      <alignment vertical="center"/>
    </xf>
    <xf numFmtId="0" fontId="0" fillId="3" borderId="105" xfId="0" applyFill="1" applyBorder="1" applyAlignment="1">
      <alignment vertical="center"/>
    </xf>
    <xf numFmtId="0" fontId="0" fillId="6" borderId="6" xfId="0" applyFill="1" applyBorder="1"/>
    <xf numFmtId="49" fontId="0" fillId="90" borderId="126" xfId="0" applyNumberFormat="1" applyFill="1" applyBorder="1"/>
    <xf numFmtId="0" fontId="0" fillId="90" borderId="135" xfId="0" applyFill="1" applyBorder="1"/>
    <xf numFmtId="0" fontId="0" fillId="90" borderId="135" xfId="0" applyFill="1" applyBorder="1" applyAlignment="1">
      <alignment vertical="center"/>
    </xf>
    <xf numFmtId="0" fontId="0" fillId="0" borderId="135" xfId="0" applyBorder="1" applyAlignment="1">
      <alignment vertical="center"/>
    </xf>
    <xf numFmtId="0" fontId="0" fillId="90" borderId="144" xfId="0" applyFill="1" applyBorder="1"/>
    <xf numFmtId="0" fontId="0" fillId="0" borderId="145" xfId="0" applyBorder="1" applyAlignment="1">
      <alignment vertical="center"/>
    </xf>
    <xf numFmtId="0" fontId="102" fillId="88" borderId="0" xfId="0" applyFont="1" applyFill="1" applyAlignment="1">
      <alignment horizontal="left"/>
    </xf>
    <xf numFmtId="0" fontId="0" fillId="88" borderId="0" xfId="0" applyFill="1"/>
    <xf numFmtId="0" fontId="0" fillId="0" borderId="5" xfId="0" applyBorder="1" applyAlignment="1">
      <alignment vertical="center"/>
    </xf>
    <xf numFmtId="0" fontId="2" fillId="72" borderId="0" xfId="0" applyFont="1" applyFill="1"/>
    <xf numFmtId="0" fontId="0" fillId="72" borderId="0" xfId="0" applyFill="1"/>
    <xf numFmtId="0" fontId="93" fillId="76" borderId="146" xfId="0" applyFont="1" applyFill="1" applyBorder="1" applyAlignment="1">
      <alignment vertical="center" wrapText="1"/>
    </xf>
    <xf numFmtId="0" fontId="93" fillId="89" borderId="147" xfId="0" applyFont="1" applyFill="1" applyBorder="1" applyAlignment="1">
      <alignment vertical="center" wrapText="1"/>
    </xf>
    <xf numFmtId="0" fontId="93" fillId="89" borderId="147" xfId="0" applyFont="1" applyFill="1" applyBorder="1" applyAlignment="1">
      <alignment horizontal="left" vertical="center" wrapText="1"/>
    </xf>
    <xf numFmtId="0" fontId="93" fillId="76" borderId="147" xfId="0" applyFont="1" applyFill="1" applyBorder="1" applyAlignment="1">
      <alignment vertical="center" wrapText="1"/>
    </xf>
    <xf numFmtId="0" fontId="93" fillId="76" borderId="148" xfId="0" applyFont="1" applyFill="1" applyBorder="1" applyAlignment="1">
      <alignment vertical="center" wrapText="1"/>
    </xf>
    <xf numFmtId="0" fontId="0" fillId="0" borderId="0" xfId="0" applyAlignment="1">
      <alignment wrapText="1"/>
    </xf>
    <xf numFmtId="0" fontId="0" fillId="0" borderId="0" xfId="0" applyAlignment="1">
      <alignment vertical="center" wrapText="1"/>
    </xf>
    <xf numFmtId="0" fontId="103" fillId="90" borderId="110" xfId="0" applyFont="1" applyFill="1" applyBorder="1" applyAlignment="1">
      <alignment wrapText="1"/>
    </xf>
    <xf numFmtId="0" fontId="3" fillId="90" borderId="124" xfId="0" applyFont="1" applyFill="1" applyBorder="1" applyAlignment="1">
      <alignment wrapText="1"/>
    </xf>
    <xf numFmtId="0" fontId="9" fillId="90" borderId="124" xfId="0" applyFont="1" applyFill="1" applyBorder="1" applyAlignment="1">
      <alignment vertical="center"/>
    </xf>
    <xf numFmtId="0" fontId="10" fillId="90" borderId="124" xfId="0" applyFont="1" applyFill="1" applyBorder="1" applyAlignment="1">
      <alignment vertical="center" wrapText="1"/>
    </xf>
    <xf numFmtId="0" fontId="10" fillId="90" borderId="126" xfId="0" applyFont="1" applyFill="1" applyBorder="1" applyAlignment="1">
      <alignment vertical="center" wrapText="1"/>
    </xf>
    <xf numFmtId="0" fontId="9" fillId="90" borderId="110" xfId="0" applyFont="1" applyFill="1" applyBorder="1" applyAlignment="1">
      <alignment vertical="center"/>
    </xf>
    <xf numFmtId="0" fontId="9" fillId="90" borderId="126" xfId="0" applyFont="1" applyFill="1" applyBorder="1" applyAlignment="1">
      <alignment vertical="center"/>
    </xf>
    <xf numFmtId="0" fontId="103" fillId="90" borderId="128" xfId="0" applyFont="1" applyFill="1" applyBorder="1" applyAlignment="1">
      <alignment wrapText="1"/>
    </xf>
    <xf numFmtId="0" fontId="3" fillId="90" borderId="12" xfId="0" applyFont="1" applyFill="1" applyBorder="1" applyAlignment="1">
      <alignment wrapText="1"/>
    </xf>
    <xf numFmtId="0" fontId="9" fillId="90" borderId="12" xfId="0" applyFont="1" applyFill="1" applyBorder="1" applyAlignment="1">
      <alignment vertical="center"/>
    </xf>
    <xf numFmtId="0" fontId="10" fillId="90" borderId="12" xfId="0" applyFont="1" applyFill="1" applyBorder="1" applyAlignment="1">
      <alignment vertical="center" wrapText="1"/>
    </xf>
    <xf numFmtId="0" fontId="10" fillId="90" borderId="135" xfId="0" applyFont="1" applyFill="1" applyBorder="1" applyAlignment="1">
      <alignment vertical="center" wrapText="1"/>
    </xf>
    <xf numFmtId="0" fontId="9" fillId="90" borderId="128" xfId="0" applyFont="1" applyFill="1" applyBorder="1" applyAlignment="1">
      <alignment vertical="center"/>
    </xf>
    <xf numFmtId="0" fontId="9" fillId="90" borderId="135" xfId="0" applyFont="1" applyFill="1" applyBorder="1" applyAlignment="1">
      <alignment vertical="center"/>
    </xf>
    <xf numFmtId="0" fontId="9" fillId="0" borderId="135" xfId="0" applyFont="1" applyBorder="1" applyAlignment="1">
      <alignment vertical="center"/>
    </xf>
    <xf numFmtId="0" fontId="9" fillId="0" borderId="12" xfId="0" applyFont="1" applyBorder="1" applyAlignment="1">
      <alignment vertical="center"/>
    </xf>
    <xf numFmtId="0" fontId="3" fillId="0" borderId="12" xfId="0" applyFont="1" applyBorder="1"/>
    <xf numFmtId="0" fontId="3" fillId="0" borderId="135" xfId="0" applyFont="1" applyBorder="1"/>
    <xf numFmtId="0" fontId="9" fillId="0" borderId="128" xfId="0" applyFont="1" applyBorder="1" applyAlignment="1">
      <alignment vertical="center"/>
    </xf>
    <xf numFmtId="0" fontId="3" fillId="0" borderId="12" xfId="0" applyFont="1" applyBorder="1" applyAlignment="1">
      <alignment vertical="center"/>
    </xf>
    <xf numFmtId="0" fontId="3" fillId="0" borderId="128" xfId="0" applyFont="1" applyBorder="1" applyAlignment="1">
      <alignment vertical="center"/>
    </xf>
    <xf numFmtId="0" fontId="3" fillId="0" borderId="143" xfId="0" applyFont="1" applyBorder="1" applyAlignment="1">
      <alignment vertical="center"/>
    </xf>
    <xf numFmtId="0" fontId="3" fillId="90" borderId="144" xfId="0" applyFont="1" applyFill="1" applyBorder="1" applyAlignment="1">
      <alignment wrapText="1"/>
    </xf>
    <xf numFmtId="0" fontId="3" fillId="0" borderId="144" xfId="0" applyFont="1" applyBorder="1" applyAlignment="1">
      <alignment vertical="center"/>
    </xf>
    <xf numFmtId="0" fontId="3" fillId="0" borderId="144" xfId="0" applyFont="1" applyBorder="1"/>
    <xf numFmtId="0" fontId="3" fillId="0" borderId="145" xfId="0" applyFont="1" applyBorder="1"/>
    <xf numFmtId="0" fontId="9" fillId="0" borderId="143" xfId="0" applyFont="1" applyBorder="1" applyAlignment="1">
      <alignment vertical="center"/>
    </xf>
    <xf numFmtId="0" fontId="9" fillId="0" borderId="145" xfId="0" applyFont="1" applyBorder="1" applyAlignment="1">
      <alignment vertical="center"/>
    </xf>
    <xf numFmtId="0" fontId="9" fillId="0" borderId="144" xfId="0" applyFont="1" applyBorder="1" applyAlignment="1">
      <alignment vertical="center"/>
    </xf>
    <xf numFmtId="0" fontId="1" fillId="0" borderId="0" xfId="0" applyFont="1" applyAlignment="1">
      <alignment horizontal="left" indent="2"/>
    </xf>
    <xf numFmtId="0" fontId="104" fillId="0" borderId="0" xfId="0" applyFont="1" applyAlignment="1">
      <alignment horizontal="right"/>
    </xf>
    <xf numFmtId="0" fontId="93" fillId="89" borderId="118" xfId="0" applyFont="1" applyFill="1" applyBorder="1" applyAlignment="1">
      <alignment vertical="center" wrapText="1"/>
    </xf>
    <xf numFmtId="0" fontId="94" fillId="90" borderId="115" xfId="0" applyFont="1" applyFill="1" applyBorder="1" applyAlignment="1">
      <alignment horizontal="center" vertical="top" wrapText="1"/>
    </xf>
    <xf numFmtId="0" fontId="94" fillId="90" borderId="11" xfId="0" applyFont="1" applyFill="1" applyBorder="1" applyAlignment="1">
      <alignment horizontal="center" vertical="top" wrapText="1"/>
    </xf>
    <xf numFmtId="0" fontId="5" fillId="90" borderId="105" xfId="0" applyFont="1" applyFill="1" applyBorder="1" applyAlignment="1">
      <alignment horizontal="center" vertical="center"/>
    </xf>
    <xf numFmtId="0" fontId="93" fillId="76" borderId="149" xfId="0" applyFont="1" applyFill="1" applyBorder="1" applyAlignment="1">
      <alignment vertical="center" wrapText="1"/>
    </xf>
    <xf numFmtId="0" fontId="9" fillId="90" borderId="119" xfId="0" applyFont="1" applyFill="1" applyBorder="1" applyAlignment="1">
      <alignment horizontal="center" vertical="center"/>
    </xf>
    <xf numFmtId="0" fontId="9" fillId="90" borderId="11" xfId="0" applyFont="1" applyFill="1" applyBorder="1" applyAlignment="1">
      <alignment horizontal="center" vertical="center"/>
    </xf>
    <xf numFmtId="0" fontId="9" fillId="90" borderId="105" xfId="0" applyFont="1" applyFill="1" applyBorder="1" applyAlignment="1">
      <alignment horizontal="center" vertical="center"/>
    </xf>
    <xf numFmtId="0" fontId="32" fillId="91" borderId="151" xfId="0" applyFont="1" applyFill="1" applyBorder="1" applyAlignment="1">
      <alignment horizontal="center" vertical="center" wrapText="1"/>
    </xf>
    <xf numFmtId="0" fontId="32" fillId="91" borderId="152" xfId="0" applyFont="1" applyFill="1" applyBorder="1" applyAlignment="1">
      <alignment horizontal="center" vertical="center" wrapText="1"/>
    </xf>
    <xf numFmtId="0" fontId="32" fillId="91" borderId="153" xfId="0" applyFont="1" applyFill="1" applyBorder="1" applyAlignment="1">
      <alignment horizontal="center" vertical="center" wrapText="1"/>
    </xf>
    <xf numFmtId="0" fontId="0" fillId="85" borderId="7" xfId="0" applyFill="1" applyBorder="1" applyAlignment="1">
      <alignment horizontal="center"/>
    </xf>
    <xf numFmtId="0" fontId="0" fillId="85" borderId="0" xfId="0" applyFill="1" applyAlignment="1">
      <alignment horizontal="center"/>
    </xf>
    <xf numFmtId="0" fontId="0" fillId="85" borderId="10" xfId="0" applyFill="1" applyBorder="1" applyAlignment="1">
      <alignment horizontal="center" vertical="center" wrapText="1"/>
    </xf>
    <xf numFmtId="0" fontId="0" fillId="85" borderId="155" xfId="0" applyFill="1" applyBorder="1" applyAlignment="1">
      <alignment horizontal="center" vertical="center" wrapText="1"/>
    </xf>
    <xf numFmtId="0" fontId="0" fillId="85" borderId="128" xfId="0" applyFill="1" applyBorder="1" applyAlignment="1">
      <alignment horizontal="center" vertical="center" wrapText="1"/>
    </xf>
    <xf numFmtId="0" fontId="0" fillId="85" borderId="12" xfId="0" applyFill="1" applyBorder="1" applyAlignment="1">
      <alignment horizontal="center" vertical="center" wrapText="1"/>
    </xf>
    <xf numFmtId="0" fontId="0" fillId="0" borderId="156" xfId="0" applyBorder="1"/>
    <xf numFmtId="0" fontId="0" fillId="0" borderId="128" xfId="0" applyBorder="1" applyAlignment="1">
      <alignment vertical="center"/>
    </xf>
    <xf numFmtId="0" fontId="0" fillId="85" borderId="144" xfId="0" applyFill="1" applyBorder="1" applyAlignment="1">
      <alignment horizontal="center" vertical="center" wrapText="1"/>
    </xf>
    <xf numFmtId="0" fontId="0" fillId="0" borderId="157" xfId="0" applyBorder="1"/>
    <xf numFmtId="0" fontId="99" fillId="0" borderId="158" xfId="0" applyFont="1" applyBorder="1"/>
    <xf numFmtId="0" fontId="0" fillId="0" borderId="159" xfId="0" applyBorder="1"/>
    <xf numFmtId="0" fontId="28" fillId="92" borderId="0" xfId="0" applyFont="1" applyFill="1" applyAlignment="1">
      <alignment horizontal="centerContinuous"/>
    </xf>
    <xf numFmtId="0" fontId="32" fillId="91" borderId="160" xfId="0" applyFont="1" applyFill="1" applyBorder="1" applyAlignment="1">
      <alignment horizontal="center" vertical="center" wrapText="1"/>
    </xf>
    <xf numFmtId="0" fontId="32" fillId="91" borderId="161" xfId="0" applyFont="1" applyFill="1" applyBorder="1" applyAlignment="1">
      <alignment horizontal="center" vertical="center" wrapText="1"/>
    </xf>
    <xf numFmtId="0" fontId="32" fillId="91" borderId="162" xfId="0" applyFont="1" applyFill="1" applyBorder="1" applyAlignment="1">
      <alignment horizontal="center" vertical="center" wrapText="1"/>
    </xf>
    <xf numFmtId="0" fontId="0" fillId="85" borderId="164" xfId="0" applyFill="1" applyBorder="1" applyAlignment="1">
      <alignment horizontal="center"/>
    </xf>
    <xf numFmtId="0" fontId="0" fillId="0" borderId="10" xfId="0" applyBorder="1"/>
    <xf numFmtId="0" fontId="0" fillId="85" borderId="165" xfId="0" applyFill="1" applyBorder="1" applyAlignment="1">
      <alignment horizontal="center" vertical="center" wrapText="1"/>
    </xf>
    <xf numFmtId="0" fontId="0" fillId="85" borderId="166" xfId="0" applyFill="1" applyBorder="1" applyAlignment="1">
      <alignment horizontal="center"/>
    </xf>
    <xf numFmtId="0" fontId="0" fillId="85" borderId="167" xfId="0" applyFill="1" applyBorder="1" applyAlignment="1">
      <alignment horizontal="center" vertical="center" wrapText="1"/>
    </xf>
    <xf numFmtId="0" fontId="0" fillId="0" borderId="167" xfId="0" applyBorder="1"/>
    <xf numFmtId="0" fontId="0" fillId="85" borderId="169" xfId="0" applyFill="1" applyBorder="1" applyAlignment="1">
      <alignment horizontal="center"/>
    </xf>
    <xf numFmtId="0" fontId="0" fillId="0" borderId="170" xfId="0" applyBorder="1"/>
    <xf numFmtId="0" fontId="0" fillId="0" borderId="171" xfId="0" applyBorder="1"/>
    <xf numFmtId="0" fontId="0" fillId="0" borderId="172" xfId="0" applyBorder="1"/>
    <xf numFmtId="0" fontId="32" fillId="91" borderId="118" xfId="0" applyFont="1" applyFill="1" applyBorder="1" applyAlignment="1">
      <alignment horizontal="center" vertical="center" wrapText="1"/>
    </xf>
    <xf numFmtId="0" fontId="0" fillId="85" borderId="11" xfId="0" applyFill="1" applyBorder="1" applyAlignment="1">
      <alignment horizontal="center"/>
    </xf>
    <xf numFmtId="0" fontId="0" fillId="85" borderId="105" xfId="0" applyFill="1" applyBorder="1" applyAlignment="1">
      <alignment horizontal="center"/>
    </xf>
    <xf numFmtId="0" fontId="32" fillId="93" borderId="173" xfId="0" applyFont="1" applyFill="1" applyBorder="1" applyAlignment="1">
      <alignment vertical="center" wrapText="1"/>
    </xf>
    <xf numFmtId="0" fontId="32" fillId="93" borderId="174" xfId="0" applyFont="1" applyFill="1" applyBorder="1" applyAlignment="1">
      <alignment vertical="center" wrapText="1"/>
    </xf>
    <xf numFmtId="0" fontId="32" fillId="93" borderId="175" xfId="0" applyFont="1" applyFill="1" applyBorder="1" applyAlignment="1">
      <alignment vertical="center" wrapText="1"/>
    </xf>
    <xf numFmtId="0" fontId="0" fillId="94" borderId="110" xfId="0" applyFill="1" applyBorder="1" applyAlignment="1">
      <alignment horizontal="center" vertical="center" wrapText="1"/>
    </xf>
    <xf numFmtId="0" fontId="0" fillId="94" borderId="124" xfId="0" applyFill="1" applyBorder="1" applyAlignment="1">
      <alignment horizontal="center" vertical="center" wrapText="1"/>
    </xf>
    <xf numFmtId="0" fontId="0" fillId="0" borderId="124" xfId="0" applyBorder="1"/>
    <xf numFmtId="0" fontId="0" fillId="0" borderId="126" xfId="0" applyBorder="1"/>
    <xf numFmtId="0" fontId="0" fillId="94" borderId="128" xfId="0" applyFill="1" applyBorder="1" applyAlignment="1">
      <alignment horizontal="center" vertical="center" wrapText="1"/>
    </xf>
    <xf numFmtId="0" fontId="0" fillId="94" borderId="12" xfId="0" applyFill="1" applyBorder="1" applyAlignment="1">
      <alignment horizontal="center" vertical="center" wrapText="1"/>
    </xf>
    <xf numFmtId="0" fontId="0" fillId="0" borderId="135" xfId="0" applyBorder="1"/>
    <xf numFmtId="0" fontId="0" fillId="94" borderId="143" xfId="0" applyFill="1" applyBorder="1" applyAlignment="1">
      <alignment horizontal="center" vertical="center" wrapText="1"/>
    </xf>
    <xf numFmtId="0" fontId="0" fillId="0" borderId="145" xfId="0" applyBorder="1"/>
    <xf numFmtId="0" fontId="93" fillId="95" borderId="176" xfId="0" applyFont="1" applyFill="1" applyBorder="1" applyAlignment="1">
      <alignment horizontal="center" vertical="center" wrapText="1"/>
    </xf>
    <xf numFmtId="0" fontId="93" fillId="95" borderId="177" xfId="0" applyFont="1" applyFill="1" applyBorder="1" applyAlignment="1">
      <alignment horizontal="center" vertical="center" wrapText="1"/>
    </xf>
    <xf numFmtId="0" fontId="93" fillId="95" borderId="178" xfId="0" applyFont="1" applyFill="1" applyBorder="1" applyAlignment="1">
      <alignment horizontal="center" vertical="center" wrapText="1"/>
    </xf>
    <xf numFmtId="0" fontId="0" fillId="96" borderId="4" xfId="0" applyFill="1" applyBorder="1"/>
    <xf numFmtId="0" fontId="0" fillId="96" borderId="5" xfId="0" applyFill="1" applyBorder="1"/>
    <xf numFmtId="0" fontId="0" fillId="96" borderId="6" xfId="0" applyFill="1" applyBorder="1"/>
    <xf numFmtId="0" fontId="0" fillId="0" borderId="7" xfId="0" applyBorder="1" applyAlignment="1">
      <alignment vertical="center"/>
    </xf>
    <xf numFmtId="0" fontId="0" fillId="0" borderId="8" xfId="0" applyBorder="1"/>
    <xf numFmtId="0" fontId="93" fillId="95" borderId="179" xfId="0" applyFont="1" applyFill="1" applyBorder="1" applyAlignment="1">
      <alignment horizontal="center" vertical="center" wrapText="1"/>
    </xf>
    <xf numFmtId="0" fontId="93" fillId="95" borderId="180" xfId="0" applyFont="1" applyFill="1" applyBorder="1" applyAlignment="1">
      <alignment horizontal="center" vertical="center" wrapText="1"/>
    </xf>
    <xf numFmtId="0" fontId="2" fillId="95" borderId="181" xfId="0" applyFont="1" applyFill="1" applyBorder="1" applyAlignment="1">
      <alignment vertical="center"/>
    </xf>
    <xf numFmtId="0" fontId="0" fillId="96" borderId="110" xfId="0" applyFill="1" applyBorder="1" applyAlignment="1">
      <alignment horizontal="left" vertical="center" wrapText="1"/>
    </xf>
    <xf numFmtId="0" fontId="0" fillId="96" borderId="124" xfId="0" applyFill="1" applyBorder="1" applyAlignment="1">
      <alignment horizontal="left"/>
    </xf>
    <xf numFmtId="0" fontId="0" fillId="96" borderId="126" xfId="0" applyFill="1" applyBorder="1" applyAlignment="1">
      <alignment horizontal="left"/>
    </xf>
    <xf numFmtId="0" fontId="0" fillId="96" borderId="128" xfId="0" applyFill="1" applyBorder="1" applyAlignment="1">
      <alignment horizontal="left" vertical="center" wrapText="1"/>
    </xf>
    <xf numFmtId="0" fontId="0" fillId="96" borderId="12" xfId="0" applyFill="1" applyBorder="1" applyAlignment="1">
      <alignment horizontal="left" vertical="top"/>
    </xf>
    <xf numFmtId="0" fontId="0" fillId="0" borderId="135" xfId="0" applyBorder="1" applyAlignment="1">
      <alignment horizontal="left"/>
    </xf>
    <xf numFmtId="0" fontId="0" fillId="96" borderId="143" xfId="0" applyFill="1" applyBorder="1" applyAlignment="1">
      <alignment horizontal="left" vertical="center" wrapText="1"/>
    </xf>
    <xf numFmtId="0" fontId="0" fillId="0" borderId="144" xfId="0" applyBorder="1" applyAlignment="1">
      <alignment horizontal="left" vertical="top"/>
    </xf>
    <xf numFmtId="0" fontId="0" fillId="0" borderId="145" xfId="0" applyBorder="1" applyAlignment="1">
      <alignment horizontal="left"/>
    </xf>
    <xf numFmtId="0" fontId="93" fillId="96" borderId="106" xfId="0" applyFont="1" applyFill="1" applyBorder="1" applyAlignment="1">
      <alignment vertical="center"/>
    </xf>
    <xf numFmtId="0" fontId="93" fillId="96" borderId="9" xfId="0" applyFont="1" applyFill="1" applyBorder="1" applyAlignment="1">
      <alignment vertical="center"/>
    </xf>
    <xf numFmtId="0" fontId="93" fillId="96" borderId="123" xfId="0" applyFont="1" applyFill="1" applyBorder="1" applyAlignment="1">
      <alignment vertical="center"/>
    </xf>
    <xf numFmtId="0" fontId="93" fillId="0" borderId="0" xfId="0" applyFont="1" applyAlignment="1">
      <alignment vertical="center"/>
    </xf>
    <xf numFmtId="0" fontId="3" fillId="0" borderId="0" xfId="0" applyFont="1" applyAlignment="1">
      <alignment horizontal="left" indent="3"/>
    </xf>
    <xf numFmtId="0" fontId="106" fillId="0" borderId="176" xfId="0" applyFont="1" applyBorder="1" applyAlignment="1">
      <alignment horizontal="center" vertical="center" wrapText="1"/>
    </xf>
    <xf numFmtId="0" fontId="106" fillId="0" borderId="177" xfId="0" applyFont="1" applyBorder="1" applyAlignment="1">
      <alignment horizontal="center" vertical="center" wrapText="1"/>
    </xf>
    <xf numFmtId="0" fontId="106" fillId="0" borderId="178" xfId="0" applyFont="1" applyBorder="1" applyAlignment="1">
      <alignment horizontal="center" vertical="center" wrapText="1"/>
    </xf>
    <xf numFmtId="0" fontId="107" fillId="0" borderId="0" xfId="0" applyFont="1" applyAlignment="1">
      <alignment vertical="center"/>
    </xf>
    <xf numFmtId="3" fontId="93" fillId="5" borderId="182" xfId="0" applyNumberFormat="1" applyFont="1" applyFill="1" applyBorder="1" applyAlignment="1">
      <alignment horizontal="left" vertical="center" wrapText="1"/>
    </xf>
    <xf numFmtId="3" fontId="93" fillId="5" borderId="183" xfId="0" applyNumberFormat="1" applyFont="1" applyFill="1" applyBorder="1" applyAlignment="1" applyProtection="1">
      <alignment horizontal="left" vertical="center" wrapText="1"/>
      <protection locked="0"/>
    </xf>
    <xf numFmtId="173" fontId="93" fillId="5" borderId="183" xfId="0" applyNumberFormat="1" applyFont="1" applyFill="1" applyBorder="1" applyAlignment="1" applyProtection="1">
      <alignment horizontal="left" vertical="center" wrapText="1"/>
      <protection locked="0"/>
    </xf>
    <xf numFmtId="173" fontId="93" fillId="5" borderId="184" xfId="0" applyNumberFormat="1" applyFont="1" applyFill="1" applyBorder="1" applyAlignment="1" applyProtection="1">
      <alignment horizontal="left" vertical="center" wrapText="1"/>
      <protection locked="0"/>
    </xf>
    <xf numFmtId="0" fontId="106" fillId="0" borderId="1" xfId="0" applyFont="1" applyBorder="1" applyAlignment="1">
      <alignment horizontal="center" vertical="center" wrapText="1"/>
    </xf>
    <xf numFmtId="0" fontId="106" fillId="0" borderId="2" xfId="0" applyFont="1" applyBorder="1" applyAlignment="1">
      <alignment horizontal="center" vertical="center" wrapText="1"/>
    </xf>
    <xf numFmtId="0" fontId="106" fillId="0" borderId="3" xfId="0" applyFont="1" applyBorder="1" applyAlignment="1">
      <alignment horizontal="center" vertical="center" wrapText="1"/>
    </xf>
    <xf numFmtId="0" fontId="6" fillId="76" borderId="185" xfId="0" applyFont="1" applyFill="1" applyBorder="1" applyAlignment="1">
      <alignment horizontal="center" vertical="center" wrapText="1"/>
    </xf>
    <xf numFmtId="0" fontId="93" fillId="76" borderId="186" xfId="0" applyFont="1" applyFill="1" applyBorder="1" applyAlignment="1">
      <alignment horizontal="center" vertical="center" wrapText="1"/>
    </xf>
    <xf numFmtId="14" fontId="0" fillId="76" borderId="118" xfId="0" applyNumberFormat="1" applyFill="1" applyBorder="1" applyAlignment="1">
      <alignment horizontal="left" vertical="center"/>
    </xf>
    <xf numFmtId="0" fontId="106" fillId="0" borderId="106" xfId="0" applyFont="1" applyBorder="1" applyAlignment="1">
      <alignment horizontal="center" vertical="center"/>
    </xf>
    <xf numFmtId="0" fontId="106" fillId="0" borderId="9" xfId="0" applyFont="1" applyBorder="1" applyAlignment="1">
      <alignment horizontal="center" vertical="center"/>
    </xf>
    <xf numFmtId="0" fontId="106" fillId="0" borderId="123" xfId="0" applyFont="1" applyBorder="1" applyAlignment="1">
      <alignment horizontal="center" vertical="center"/>
    </xf>
    <xf numFmtId="14" fontId="93" fillId="76" borderId="118" xfId="0" applyNumberFormat="1" applyFont="1" applyFill="1" applyBorder="1" applyAlignment="1">
      <alignment horizontal="left" vertical="center"/>
    </xf>
    <xf numFmtId="14" fontId="93" fillId="76" borderId="118" xfId="0" applyNumberFormat="1" applyFont="1" applyFill="1" applyBorder="1" applyAlignment="1">
      <alignment vertical="center"/>
    </xf>
    <xf numFmtId="0" fontId="93" fillId="89" borderId="0" xfId="0" applyFont="1" applyFill="1" applyAlignment="1">
      <alignment horizontal="right" vertical="center" wrapText="1"/>
    </xf>
    <xf numFmtId="0" fontId="108" fillId="0" borderId="106" xfId="0" applyFont="1" applyBorder="1" applyAlignment="1">
      <alignment horizontal="right" vertical="center"/>
    </xf>
    <xf numFmtId="0" fontId="93" fillId="90" borderId="185" xfId="0" applyFont="1" applyFill="1" applyBorder="1" applyAlignment="1">
      <alignment horizontal="center" vertical="center" wrapText="1"/>
    </xf>
    <xf numFmtId="0" fontId="93" fillId="76" borderId="187" xfId="0" applyFont="1" applyFill="1" applyBorder="1" applyAlignment="1">
      <alignment horizontal="center" vertical="center" wrapText="1"/>
    </xf>
    <xf numFmtId="0" fontId="109" fillId="97" borderId="0" xfId="0" applyFont="1" applyFill="1" applyAlignment="1">
      <alignment vertical="center"/>
    </xf>
    <xf numFmtId="0" fontId="2" fillId="97" borderId="0" xfId="0" applyFont="1" applyFill="1" applyAlignment="1">
      <alignment vertical="center"/>
    </xf>
    <xf numFmtId="0" fontId="110" fillId="0" borderId="0" xfId="0" applyFont="1"/>
    <xf numFmtId="0" fontId="108" fillId="0" borderId="118" xfId="0" applyFont="1" applyBorder="1" applyAlignment="1">
      <alignment horizontal="right"/>
    </xf>
    <xf numFmtId="174" fontId="93" fillId="76" borderId="188" xfId="0" applyNumberFormat="1" applyFont="1" applyFill="1" applyBorder="1" applyAlignment="1">
      <alignment horizontal="center" vertical="center" wrapText="1"/>
    </xf>
    <xf numFmtId="174" fontId="93" fillId="76" borderId="14" xfId="0" applyNumberFormat="1" applyFont="1" applyFill="1" applyBorder="1" applyAlignment="1">
      <alignment horizontal="center" vertical="center" wrapText="1"/>
    </xf>
    <xf numFmtId="174" fontId="93" fillId="90" borderId="14" xfId="0" applyNumberFormat="1" applyFont="1" applyFill="1" applyBorder="1" applyAlignment="1">
      <alignment horizontal="left" vertical="center" wrapText="1"/>
    </xf>
    <xf numFmtId="174" fontId="93" fillId="90" borderId="14" xfId="0" applyNumberFormat="1" applyFont="1" applyFill="1" applyBorder="1" applyAlignment="1">
      <alignment horizontal="center" vertical="center" wrapText="1"/>
    </xf>
    <xf numFmtId="0" fontId="3" fillId="0" borderId="0" xfId="0" applyFont="1" applyAlignment="1">
      <alignment horizontal="right" vertical="center"/>
    </xf>
    <xf numFmtId="0" fontId="3" fillId="98" borderId="0" xfId="0" applyFont="1" applyFill="1" applyAlignment="1">
      <alignment vertical="top"/>
    </xf>
    <xf numFmtId="0" fontId="0" fillId="0" borderId="8" xfId="0" applyBorder="1" applyAlignment="1">
      <alignment vertical="center"/>
    </xf>
    <xf numFmtId="174" fontId="93" fillId="90" borderId="189" xfId="0" applyNumberFormat="1" applyFont="1" applyFill="1" applyBorder="1" applyAlignment="1">
      <alignment horizontal="center" vertical="center" wrapText="1"/>
    </xf>
    <xf numFmtId="174" fontId="93" fillId="90" borderId="177" xfId="0" applyNumberFormat="1" applyFont="1" applyFill="1" applyBorder="1" applyAlignment="1">
      <alignment horizontal="center" vertical="center" wrapText="1"/>
    </xf>
    <xf numFmtId="174" fontId="93" fillId="90" borderId="177" xfId="0" applyNumberFormat="1" applyFont="1" applyFill="1" applyBorder="1" applyAlignment="1">
      <alignment horizontal="left" vertical="center" wrapText="1"/>
    </xf>
    <xf numFmtId="174" fontId="93" fillId="90" borderId="178" xfId="0" applyNumberFormat="1" applyFont="1" applyFill="1" applyBorder="1" applyAlignment="1">
      <alignment horizontal="center" vertical="center" wrapText="1"/>
    </xf>
    <xf numFmtId="0" fontId="3" fillId="98" borderId="0" xfId="0" applyFont="1" applyFill="1"/>
    <xf numFmtId="0" fontId="108" fillId="0" borderId="14" xfId="0" applyFont="1" applyBorder="1" applyAlignment="1">
      <alignment horizontal="right"/>
    </xf>
    <xf numFmtId="174" fontId="111" fillId="3" borderId="14" xfId="0" applyNumberFormat="1" applyFont="1" applyFill="1" applyBorder="1"/>
    <xf numFmtId="0" fontId="0" fillId="0" borderId="14" xfId="0" applyBorder="1"/>
    <xf numFmtId="0" fontId="0" fillId="0" borderId="0" xfId="0" applyAlignment="1">
      <alignment horizontal="right" indent="1"/>
    </xf>
    <xf numFmtId="0" fontId="112" fillId="0" borderId="0" xfId="0" applyFont="1" applyAlignment="1">
      <alignment vertical="center"/>
    </xf>
    <xf numFmtId="0" fontId="109" fillId="90" borderId="0" xfId="0" applyFont="1" applyFill="1"/>
    <xf numFmtId="0" fontId="112" fillId="90" borderId="0" xfId="0" applyFont="1" applyFill="1" applyAlignment="1">
      <alignment vertical="center"/>
    </xf>
    <xf numFmtId="0" fontId="0" fillId="0" borderId="0" xfId="0" applyAlignment="1">
      <alignment horizontal="left" vertical="top"/>
    </xf>
    <xf numFmtId="0" fontId="0" fillId="0" borderId="0" xfId="0" applyAlignment="1">
      <alignment horizontal="center" vertical="top"/>
    </xf>
    <xf numFmtId="0" fontId="113" fillId="90" borderId="0" xfId="0" applyFont="1" applyFill="1" applyAlignment="1">
      <alignment vertical="top"/>
    </xf>
    <xf numFmtId="0" fontId="5" fillId="3" borderId="0" xfId="0" applyFont="1" applyFill="1" applyAlignment="1">
      <alignment horizontal="center"/>
    </xf>
    <xf numFmtId="0" fontId="109" fillId="0" borderId="0" xfId="0" applyFont="1"/>
    <xf numFmtId="0" fontId="5" fillId="3" borderId="0" xfId="0" applyFont="1" applyFill="1" applyAlignment="1">
      <alignment horizontal="left"/>
    </xf>
    <xf numFmtId="174" fontId="114" fillId="0" borderId="0" xfId="0" quotePrefix="1" applyNumberFormat="1" applyFont="1" applyAlignment="1">
      <alignment vertical="center"/>
    </xf>
    <xf numFmtId="49" fontId="0" fillId="5" borderId="145" xfId="0" applyNumberFormat="1" applyFill="1" applyBorder="1" applyAlignment="1">
      <alignment horizontal="center"/>
    </xf>
    <xf numFmtId="49" fontId="3" fillId="62" borderId="143" xfId="0" applyNumberFormat="1" applyFont="1" applyFill="1" applyBorder="1" applyAlignment="1">
      <alignment horizontal="center"/>
    </xf>
    <xf numFmtId="49" fontId="0" fillId="5" borderId="135" xfId="0" applyNumberFormat="1" applyFill="1" applyBorder="1" applyAlignment="1">
      <alignment horizontal="center"/>
    </xf>
    <xf numFmtId="49" fontId="3" fillId="62" borderId="128" xfId="0" applyNumberFormat="1" applyFont="1" applyFill="1" applyBorder="1" applyAlignment="1">
      <alignment horizontal="center"/>
    </xf>
    <xf numFmtId="0" fontId="0" fillId="0" borderId="0" xfId="0" quotePrefix="1" applyAlignment="1">
      <alignment horizontal="left"/>
    </xf>
    <xf numFmtId="0" fontId="0" fillId="90" borderId="145" xfId="0" quotePrefix="1" applyFill="1" applyBorder="1" applyAlignment="1">
      <alignment horizontal="left"/>
    </xf>
    <xf numFmtId="0" fontId="0" fillId="0" borderId="143" xfId="0" applyBorder="1" applyAlignment="1">
      <alignment horizontal="right"/>
    </xf>
    <xf numFmtId="0" fontId="0" fillId="90" borderId="135" xfId="0" quotePrefix="1" applyFill="1" applyBorder="1" applyAlignment="1">
      <alignment horizontal="left"/>
    </xf>
    <xf numFmtId="0" fontId="0" fillId="0" borderId="128" xfId="0" applyBorder="1" applyAlignment="1">
      <alignment horizontal="right"/>
    </xf>
    <xf numFmtId="49" fontId="0" fillId="5" borderId="131" xfId="0" applyNumberFormat="1" applyFill="1" applyBorder="1" applyAlignment="1">
      <alignment horizontal="center"/>
    </xf>
    <xf numFmtId="49" fontId="3" fillId="62" borderId="11" xfId="0" applyNumberFormat="1" applyFont="1" applyFill="1" applyBorder="1" applyAlignment="1">
      <alignment horizontal="center"/>
    </xf>
    <xf numFmtId="0" fontId="2" fillId="0" borderId="126" xfId="0" applyFont="1" applyBorder="1"/>
    <xf numFmtId="0" fontId="0" fillId="0" borderId="110" xfId="0" applyBorder="1"/>
    <xf numFmtId="0" fontId="5" fillId="3" borderId="0" xfId="0" quotePrefix="1" applyFont="1" applyFill="1" applyAlignment="1">
      <alignment horizontal="left"/>
    </xf>
    <xf numFmtId="0" fontId="0" fillId="9" borderId="105" xfId="0" quotePrefix="1" applyFill="1" applyBorder="1" applyAlignment="1">
      <alignment horizontal="left"/>
    </xf>
    <xf numFmtId="0" fontId="0" fillId="0" borderId="104" xfId="0" applyBorder="1" applyAlignment="1">
      <alignment horizontal="right"/>
    </xf>
    <xf numFmtId="0" fontId="0" fillId="0" borderId="102" xfId="0" applyBorder="1" applyAlignment="1">
      <alignment horizontal="right"/>
    </xf>
    <xf numFmtId="0" fontId="0" fillId="9" borderId="11" xfId="0" quotePrefix="1" applyFill="1" applyBorder="1" applyAlignment="1">
      <alignment horizontal="left"/>
    </xf>
    <xf numFmtId="0" fontId="0" fillId="0" borderId="190" xfId="0" applyBorder="1" applyAlignment="1">
      <alignment horizontal="right"/>
    </xf>
    <xf numFmtId="0" fontId="0" fillId="0" borderId="191" xfId="0" applyBorder="1" applyAlignment="1">
      <alignment horizontal="right"/>
    </xf>
    <xf numFmtId="0" fontId="0" fillId="0" borderId="192" xfId="0" applyBorder="1" applyAlignment="1">
      <alignment horizontal="right"/>
    </xf>
    <xf numFmtId="0" fontId="0" fillId="9" borderId="11" xfId="0" applyFill="1" applyBorder="1" applyAlignment="1">
      <alignment horizontal="left"/>
    </xf>
    <xf numFmtId="0" fontId="0" fillId="9" borderId="119" xfId="0" applyFill="1" applyBorder="1" applyAlignment="1">
      <alignment horizontal="left"/>
    </xf>
    <xf numFmtId="0" fontId="7" fillId="99" borderId="9" xfId="0" applyFont="1" applyFill="1" applyBorder="1" applyAlignment="1">
      <alignment horizontal="center"/>
    </xf>
    <xf numFmtId="0" fontId="0" fillId="0" borderId="193" xfId="0" applyBorder="1" applyAlignment="1">
      <alignment horizontal="right"/>
    </xf>
    <xf numFmtId="49" fontId="0" fillId="5" borderId="127" xfId="0" applyNumberFormat="1" applyFill="1" applyBorder="1" applyAlignment="1">
      <alignment horizontal="center"/>
    </xf>
    <xf numFmtId="49" fontId="3" fillId="62" borderId="119" xfId="0" applyNumberFormat="1" applyFont="1" applyFill="1" applyBorder="1" applyAlignment="1">
      <alignment horizontal="center"/>
    </xf>
    <xf numFmtId="0" fontId="2" fillId="0" borderId="0" xfId="0" quotePrefix="1" applyFont="1"/>
    <xf numFmtId="0" fontId="2" fillId="0" borderId="0" xfId="0" quotePrefix="1" applyFont="1" applyAlignment="1">
      <alignment horizontal="left"/>
    </xf>
    <xf numFmtId="0" fontId="93" fillId="0" borderId="0" xfId="0" applyFont="1" applyAlignment="1">
      <alignment horizontal="center"/>
    </xf>
    <xf numFmtId="1" fontId="4" fillId="3" borderId="0" xfId="0" applyNumberFormat="1" applyFont="1" applyFill="1" applyAlignment="1">
      <alignment horizontal="center"/>
    </xf>
    <xf numFmtId="0" fontId="5" fillId="100" borderId="98" xfId="0" applyFont="1" applyFill="1" applyBorder="1" applyAlignment="1">
      <alignment vertical="center"/>
    </xf>
    <xf numFmtId="49" fontId="95" fillId="100" borderId="194" xfId="0" applyNumberFormat="1" applyFont="1" applyFill="1" applyBorder="1"/>
    <xf numFmtId="49" fontId="5" fillId="100" borderId="194" xfId="0" applyNumberFormat="1" applyFont="1" applyFill="1" applyBorder="1"/>
    <xf numFmtId="49" fontId="5" fillId="100" borderId="195" xfId="0" applyNumberFormat="1" applyFont="1" applyFill="1" applyBorder="1"/>
    <xf numFmtId="0" fontId="0" fillId="100" borderId="98" xfId="0" applyFill="1" applyBorder="1"/>
    <xf numFmtId="0" fontId="5" fillId="100" borderId="1" xfId="0" applyFont="1" applyFill="1" applyBorder="1" applyAlignment="1">
      <alignment vertical="center"/>
    </xf>
    <xf numFmtId="49" fontId="95" fillId="100" borderId="1" xfId="0" applyNumberFormat="1" applyFont="1" applyFill="1" applyBorder="1"/>
    <xf numFmtId="49" fontId="5" fillId="100" borderId="1" xfId="0" applyNumberFormat="1" applyFont="1" applyFill="1" applyBorder="1"/>
    <xf numFmtId="49" fontId="5" fillId="100" borderId="2" xfId="0" applyNumberFormat="1" applyFont="1" applyFill="1" applyBorder="1"/>
    <xf numFmtId="1" fontId="5" fillId="3" borderId="0" xfId="0" applyNumberFormat="1" applyFont="1" applyFill="1" applyAlignment="1">
      <alignment vertical="center"/>
    </xf>
    <xf numFmtId="0" fontId="5" fillId="3" borderId="0" xfId="0" applyFont="1" applyFill="1" applyAlignment="1">
      <alignment vertical="center"/>
    </xf>
    <xf numFmtId="49" fontId="115" fillId="100" borderId="195" xfId="0" applyNumberFormat="1" applyFont="1" applyFill="1" applyBorder="1" applyAlignment="1">
      <alignment vertical="center" wrapText="1"/>
    </xf>
    <xf numFmtId="49" fontId="115" fillId="100" borderId="2" xfId="0" applyNumberFormat="1" applyFont="1" applyFill="1" applyBorder="1" applyAlignment="1">
      <alignment vertical="center" wrapText="1"/>
    </xf>
    <xf numFmtId="0" fontId="115" fillId="100" borderId="195" xfId="0" applyFont="1" applyFill="1" applyBorder="1" applyAlignment="1">
      <alignment vertical="center" wrapText="1"/>
    </xf>
    <xf numFmtId="0" fontId="116" fillId="101" borderId="98" xfId="0" applyFont="1" applyFill="1" applyBorder="1" applyAlignment="1">
      <alignment vertical="top"/>
    </xf>
    <xf numFmtId="0" fontId="3" fillId="101" borderId="98" xfId="0" applyFont="1" applyFill="1" applyBorder="1" applyAlignment="1">
      <alignment horizontal="center"/>
    </xf>
    <xf numFmtId="0" fontId="117" fillId="101" borderId="98" xfId="0" applyFont="1" applyFill="1" applyBorder="1" applyAlignment="1">
      <alignment horizontal="center" vertical="center"/>
    </xf>
    <xf numFmtId="0" fontId="117" fillId="101" borderId="95" xfId="0" applyFont="1" applyFill="1" applyBorder="1"/>
    <xf numFmtId="0" fontId="117" fillId="101" borderId="98" xfId="0" applyFont="1" applyFill="1" applyBorder="1"/>
    <xf numFmtId="175" fontId="3" fillId="101" borderId="95" xfId="0" applyNumberFormat="1" applyFont="1" applyFill="1" applyBorder="1" applyAlignment="1">
      <alignment horizontal="center" vertical="center"/>
    </xf>
    <xf numFmtId="0" fontId="3" fillId="101" borderId="95" xfId="0" applyFont="1" applyFill="1" applyBorder="1" applyAlignment="1">
      <alignment vertical="center"/>
    </xf>
    <xf numFmtId="0" fontId="3" fillId="101" borderId="98" xfId="0" applyFont="1" applyFill="1" applyBorder="1" applyAlignment="1">
      <alignment vertical="center"/>
    </xf>
    <xf numFmtId="0" fontId="3" fillId="101" borderId="96" xfId="0" applyFont="1" applyFill="1" applyBorder="1" applyAlignment="1">
      <alignment horizontal="center" vertical="top"/>
    </xf>
    <xf numFmtId="1" fontId="3" fillId="101" borderId="96" xfId="0" applyNumberFormat="1" applyFont="1" applyFill="1" applyBorder="1" applyAlignment="1">
      <alignment horizontal="center" vertical="top"/>
    </xf>
    <xf numFmtId="1" fontId="3" fillId="101" borderId="95" xfId="0" applyNumberFormat="1" applyFont="1" applyFill="1" applyBorder="1" applyAlignment="1">
      <alignment horizontal="center" vertical="top"/>
    </xf>
    <xf numFmtId="0" fontId="3" fillId="101" borderId="98" xfId="0" applyFont="1" applyFill="1" applyBorder="1" applyAlignment="1">
      <alignment horizontal="center" vertical="top"/>
    </xf>
    <xf numFmtId="0" fontId="95" fillId="101" borderId="95" xfId="0" applyFont="1" applyFill="1" applyBorder="1" applyAlignment="1">
      <alignment vertical="top"/>
    </xf>
    <xf numFmtId="0" fontId="95" fillId="101" borderId="95" xfId="0" applyFont="1" applyFill="1" applyBorder="1" applyAlignment="1">
      <alignment horizontal="center" vertical="top"/>
    </xf>
    <xf numFmtId="0" fontId="3" fillId="101" borderId="95" xfId="0" applyFont="1" applyFill="1" applyBorder="1" applyAlignment="1">
      <alignment vertical="top"/>
    </xf>
    <xf numFmtId="0" fontId="3" fillId="101" borderId="98" xfId="0" applyFont="1" applyFill="1" applyBorder="1" applyAlignment="1">
      <alignment horizontal="left" vertical="top"/>
    </xf>
    <xf numFmtId="167" fontId="3" fillId="101" borderId="0" xfId="0" applyNumberFormat="1" applyFont="1" applyFill="1" applyAlignment="1">
      <alignment horizontal="right" vertical="top" indent="1"/>
    </xf>
    <xf numFmtId="167" fontId="3" fillId="101" borderId="61" xfId="0" applyNumberFormat="1" applyFont="1" applyFill="1" applyBorder="1" applyAlignment="1">
      <alignment horizontal="right" vertical="top" indent="1"/>
    </xf>
    <xf numFmtId="0" fontId="5" fillId="101" borderId="99" xfId="0" applyFont="1" applyFill="1" applyBorder="1" applyAlignment="1">
      <alignment vertical="top"/>
    </xf>
    <xf numFmtId="0" fontId="5" fillId="101" borderId="62" xfId="0" applyFont="1" applyFill="1" applyBorder="1" applyAlignment="1">
      <alignment vertical="top"/>
    </xf>
    <xf numFmtId="0" fontId="116" fillId="101" borderId="196" xfId="0" applyFont="1" applyFill="1" applyBorder="1" applyAlignment="1">
      <alignment vertical="top"/>
    </xf>
    <xf numFmtId="1" fontId="5" fillId="101" borderId="96" xfId="0" applyNumberFormat="1" applyFont="1" applyFill="1" applyBorder="1" applyAlignment="1">
      <alignment horizontal="center" vertical="top"/>
    </xf>
    <xf numFmtId="1" fontId="5" fillId="101" borderId="95" xfId="0" applyNumberFormat="1" applyFont="1" applyFill="1" applyBorder="1" applyAlignment="1">
      <alignment horizontal="center" vertical="top"/>
    </xf>
    <xf numFmtId="0" fontId="117" fillId="100" borderId="95" xfId="0" applyFont="1" applyFill="1" applyBorder="1"/>
    <xf numFmtId="0" fontId="117" fillId="100" borderId="98" xfId="0" applyFont="1" applyFill="1" applyBorder="1"/>
    <xf numFmtId="175" fontId="3" fillId="100" borderId="95" xfId="0" applyNumberFormat="1" applyFont="1" applyFill="1" applyBorder="1" applyAlignment="1">
      <alignment horizontal="center" vertical="center"/>
    </xf>
    <xf numFmtId="0" fontId="3" fillId="100" borderId="95" xfId="0" applyFont="1" applyFill="1" applyBorder="1" applyAlignment="1">
      <alignment vertical="center"/>
    </xf>
    <xf numFmtId="0" fontId="3" fillId="100" borderId="98" xfId="0" applyFont="1" applyFill="1" applyBorder="1" applyAlignment="1">
      <alignment vertical="center"/>
    </xf>
    <xf numFmtId="175" fontId="3" fillId="101" borderId="95" xfId="0" applyNumberFormat="1" applyFont="1" applyFill="1" applyBorder="1" applyAlignment="1">
      <alignment horizontal="center"/>
    </xf>
    <xf numFmtId="0" fontId="117" fillId="101" borderId="95" xfId="0" applyFont="1" applyFill="1" applyBorder="1" applyAlignment="1">
      <alignment horizontal="left" vertical="center"/>
    </xf>
    <xf numFmtId="0" fontId="117" fillId="101" borderId="95" xfId="0" applyFont="1" applyFill="1" applyBorder="1" applyAlignment="1">
      <alignment vertical="center"/>
    </xf>
    <xf numFmtId="0" fontId="117" fillId="101" borderId="98" xfId="0" applyFont="1" applyFill="1" applyBorder="1" applyAlignment="1">
      <alignment horizontal="left" vertical="center"/>
    </xf>
    <xf numFmtId="0" fontId="3" fillId="101" borderId="95" xfId="0" applyFont="1" applyFill="1" applyBorder="1" applyAlignment="1">
      <alignment horizontal="center" vertical="top"/>
    </xf>
    <xf numFmtId="0" fontId="116" fillId="102" borderId="196" xfId="0" applyFont="1" applyFill="1" applyBorder="1" applyAlignment="1">
      <alignment vertical="top"/>
    </xf>
    <xf numFmtId="0" fontId="95" fillId="102" borderId="95" xfId="0" applyFont="1" applyFill="1" applyBorder="1" applyAlignment="1">
      <alignment vertical="top"/>
    </xf>
    <xf numFmtId="167" fontId="3" fillId="5" borderId="0" xfId="0" applyNumberFormat="1" applyFont="1" applyFill="1" applyAlignment="1">
      <alignment horizontal="right" vertical="top" indent="1"/>
    </xf>
    <xf numFmtId="167" fontId="3" fillId="5" borderId="61" xfId="0" applyNumberFormat="1" applyFont="1" applyFill="1" applyBorder="1" applyAlignment="1">
      <alignment horizontal="right" vertical="top" indent="1"/>
    </xf>
    <xf numFmtId="0" fontId="5" fillId="5" borderId="99" xfId="0" applyFont="1" applyFill="1" applyBorder="1" applyAlignment="1">
      <alignment vertical="top"/>
    </xf>
    <xf numFmtId="0" fontId="5" fillId="5" borderId="62" xfId="0" applyFont="1" applyFill="1" applyBorder="1" applyAlignment="1">
      <alignment vertical="top"/>
    </xf>
    <xf numFmtId="175" fontId="3" fillId="102" borderId="95" xfId="0" applyNumberFormat="1" applyFont="1" applyFill="1" applyBorder="1" applyAlignment="1">
      <alignment horizontal="center" vertical="center"/>
    </xf>
    <xf numFmtId="0" fontId="3" fillId="102" borderId="95" xfId="0" applyFont="1" applyFill="1" applyBorder="1" applyAlignment="1">
      <alignment vertical="center"/>
    </xf>
    <xf numFmtId="0" fontId="3" fillId="102" borderId="98" xfId="0" applyFont="1" applyFill="1" applyBorder="1" applyAlignment="1">
      <alignment vertical="center"/>
    </xf>
    <xf numFmtId="0" fontId="3" fillId="102" borderId="96" xfId="0" applyFont="1" applyFill="1" applyBorder="1" applyAlignment="1">
      <alignment horizontal="center" vertical="top"/>
    </xf>
    <xf numFmtId="1" fontId="3" fillId="102" borderId="96" xfId="0" applyNumberFormat="1" applyFont="1" applyFill="1" applyBorder="1" applyAlignment="1">
      <alignment horizontal="center" vertical="top"/>
    </xf>
    <xf numFmtId="1" fontId="3" fillId="102" borderId="95" xfId="0" applyNumberFormat="1" applyFont="1" applyFill="1" applyBorder="1" applyAlignment="1">
      <alignment horizontal="center" vertical="top"/>
    </xf>
    <xf numFmtId="0" fontId="3" fillId="102" borderId="98" xfId="0" applyFont="1" applyFill="1" applyBorder="1" applyAlignment="1">
      <alignment horizontal="center" vertical="top"/>
    </xf>
    <xf numFmtId="0" fontId="95" fillId="102" borderId="95" xfId="0" applyFont="1" applyFill="1" applyBorder="1" applyAlignment="1">
      <alignment horizontal="center" vertical="top"/>
    </xf>
    <xf numFmtId="0" fontId="3" fillId="102" borderId="95" xfId="0" applyFont="1" applyFill="1" applyBorder="1" applyAlignment="1">
      <alignment vertical="top"/>
    </xf>
    <xf numFmtId="0" fontId="0" fillId="102" borderId="98" xfId="0" applyFill="1" applyBorder="1" applyAlignment="1">
      <alignment horizontal="left" vertical="top"/>
    </xf>
    <xf numFmtId="1" fontId="5" fillId="102" borderId="96" xfId="0" applyNumberFormat="1" applyFont="1" applyFill="1" applyBorder="1" applyAlignment="1">
      <alignment horizontal="center" vertical="top"/>
    </xf>
    <xf numFmtId="1" fontId="5" fillId="102" borderId="95" xfId="0" applyNumberFormat="1" applyFont="1" applyFill="1" applyBorder="1" applyAlignment="1">
      <alignment horizontal="center" vertical="top"/>
    </xf>
    <xf numFmtId="0" fontId="119" fillId="102" borderId="98" xfId="0" applyFont="1" applyFill="1" applyBorder="1" applyAlignment="1">
      <alignment horizontal="center" vertical="top"/>
    </xf>
    <xf numFmtId="0" fontId="3" fillId="102" borderId="95" xfId="0" applyFont="1" applyFill="1" applyBorder="1" applyAlignment="1">
      <alignment horizontal="center" vertical="top"/>
    </xf>
    <xf numFmtId="0" fontId="3" fillId="102" borderId="98" xfId="0" applyFont="1" applyFill="1" applyBorder="1" applyAlignment="1">
      <alignment horizontal="left" vertical="top"/>
    </xf>
    <xf numFmtId="0" fontId="3" fillId="101" borderId="98" xfId="0" applyFont="1" applyFill="1" applyBorder="1"/>
    <xf numFmtId="167" fontId="118" fillId="101" borderId="61" xfId="0" applyNumberFormat="1" applyFont="1" applyFill="1" applyBorder="1" applyAlignment="1">
      <alignment horizontal="right" vertical="top" indent="1"/>
    </xf>
    <xf numFmtId="0" fontId="32" fillId="103" borderId="7" xfId="0" applyFont="1" applyFill="1" applyBorder="1" applyAlignment="1">
      <alignment vertical="center" wrapText="1"/>
    </xf>
    <xf numFmtId="0" fontId="93" fillId="96" borderId="7" xfId="0" applyFont="1" applyFill="1" applyBorder="1" applyAlignment="1">
      <alignment horizontal="center" vertical="center" wrapText="1"/>
    </xf>
    <xf numFmtId="0" fontId="93" fillId="67" borderId="198" xfId="0" applyFont="1" applyFill="1" applyBorder="1" applyAlignment="1">
      <alignment vertical="center" wrapText="1"/>
    </xf>
    <xf numFmtId="0" fontId="93" fillId="67" borderId="0" xfId="0" applyFont="1" applyFill="1" applyAlignment="1">
      <alignment vertical="center" wrapText="1"/>
    </xf>
    <xf numFmtId="0" fontId="93" fillId="67" borderId="7" xfId="0" applyFont="1" applyFill="1" applyBorder="1" applyAlignment="1">
      <alignment vertical="center" wrapText="1"/>
    </xf>
    <xf numFmtId="0" fontId="93" fillId="85" borderId="0" xfId="0" applyFont="1" applyFill="1" applyAlignment="1">
      <alignment vertical="center" wrapText="1"/>
    </xf>
    <xf numFmtId="0" fontId="93" fillId="76" borderId="197" xfId="0" applyFont="1" applyFill="1" applyBorder="1" applyAlignment="1">
      <alignment vertical="center" wrapText="1"/>
    </xf>
    <xf numFmtId="0" fontId="93" fillId="90" borderId="197" xfId="0" applyFont="1" applyFill="1" applyBorder="1" applyAlignment="1">
      <alignment vertical="center" wrapText="1"/>
    </xf>
    <xf numFmtId="0" fontId="93" fillId="90" borderId="198" xfId="0" applyFont="1" applyFill="1" applyBorder="1" applyAlignment="1">
      <alignment vertical="center" wrapText="1"/>
    </xf>
    <xf numFmtId="0" fontId="93" fillId="68" borderId="7" xfId="0" applyFont="1" applyFill="1" applyBorder="1" applyAlignment="1">
      <alignment horizontal="center" vertical="center" wrapText="1"/>
    </xf>
    <xf numFmtId="1" fontId="32" fillId="104" borderId="198" xfId="0" applyNumberFormat="1" applyFont="1" applyFill="1" applyBorder="1" applyAlignment="1">
      <alignment horizontal="center" vertical="center" wrapText="1"/>
    </xf>
    <xf numFmtId="0" fontId="32" fillId="104" borderId="198" xfId="0" applyFont="1" applyFill="1" applyBorder="1" applyAlignment="1">
      <alignment horizontal="center" vertical="center" wrapText="1"/>
    </xf>
    <xf numFmtId="0" fontId="93" fillId="97" borderId="198" xfId="0" applyFont="1" applyFill="1" applyBorder="1" applyAlignment="1">
      <alignment horizontal="center" vertical="center" wrapText="1"/>
    </xf>
    <xf numFmtId="0" fontId="93" fillId="97" borderId="7" xfId="0" applyFont="1" applyFill="1" applyBorder="1" applyAlignment="1">
      <alignment horizontal="left" vertical="center" wrapText="1"/>
    </xf>
    <xf numFmtId="49" fontId="115" fillId="4" borderId="0" xfId="0" applyNumberFormat="1" applyFont="1" applyFill="1" applyAlignment="1">
      <alignment vertical="center" wrapText="1"/>
    </xf>
    <xf numFmtId="49" fontId="115" fillId="4" borderId="198" xfId="0" applyNumberFormat="1" applyFont="1" applyFill="1" applyBorder="1" applyAlignment="1">
      <alignment vertical="center" wrapText="1"/>
    </xf>
    <xf numFmtId="0" fontId="115" fillId="4" borderId="198" xfId="0" applyFont="1" applyFill="1" applyBorder="1" applyAlignment="1">
      <alignment vertical="center" wrapText="1"/>
    </xf>
    <xf numFmtId="0" fontId="115" fillId="4" borderId="0" xfId="0" applyFont="1" applyFill="1" applyAlignment="1">
      <alignment vertical="center" wrapText="1"/>
    </xf>
    <xf numFmtId="0" fontId="0" fillId="5" borderId="0" xfId="0" applyFill="1"/>
    <xf numFmtId="0" fontId="2" fillId="85" borderId="6" xfId="0" applyFont="1" applyFill="1" applyBorder="1" applyAlignment="1">
      <alignment horizontal="center"/>
    </xf>
    <xf numFmtId="0" fontId="2" fillId="85" borderId="5" xfId="0" applyFont="1" applyFill="1" applyBorder="1"/>
    <xf numFmtId="0" fontId="0" fillId="2" borderId="6" xfId="0" applyFill="1" applyBorder="1"/>
    <xf numFmtId="0" fontId="0" fillId="2" borderId="5" xfId="0" applyFill="1" applyBorder="1"/>
    <xf numFmtId="0" fontId="0" fillId="2" borderId="4" xfId="0" applyFill="1" applyBorder="1"/>
    <xf numFmtId="0" fontId="2" fillId="85" borderId="8" xfId="0" applyFont="1" applyFill="1" applyBorder="1" applyAlignment="1">
      <alignment horizontal="center"/>
    </xf>
    <xf numFmtId="0" fontId="93" fillId="85" borderId="0" xfId="0" applyFont="1" applyFill="1" applyAlignment="1">
      <alignment horizontal="center"/>
    </xf>
    <xf numFmtId="0" fontId="0" fillId="2" borderId="8" xfId="0" applyFill="1" applyBorder="1"/>
    <xf numFmtId="0" fontId="0" fillId="2" borderId="0" xfId="0" applyFill="1"/>
    <xf numFmtId="0" fontId="0" fillId="2" borderId="7" xfId="0" applyFill="1" applyBorder="1"/>
    <xf numFmtId="0" fontId="2" fillId="85" borderId="3" xfId="0" applyFont="1" applyFill="1" applyBorder="1" applyAlignment="1">
      <alignment horizontal="center"/>
    </xf>
    <xf numFmtId="0" fontId="0" fillId="0" borderId="3" xfId="0" applyBorder="1"/>
    <xf numFmtId="0" fontId="0" fillId="2" borderId="3" xfId="0" applyFill="1" applyBorder="1"/>
    <xf numFmtId="0" fontId="0" fillId="2" borderId="2" xfId="0" applyFill="1" applyBorder="1"/>
    <xf numFmtId="0" fontId="0" fillId="2" borderId="1" xfId="0" applyFill="1" applyBorder="1"/>
    <xf numFmtId="0" fontId="0" fillId="0" borderId="5" xfId="0" applyBorder="1"/>
    <xf numFmtId="0" fontId="0" fillId="0" borderId="9" xfId="0" applyBorder="1"/>
    <xf numFmtId="0" fontId="0" fillId="63" borderId="123" xfId="0" applyFill="1" applyBorder="1" applyAlignment="1">
      <alignment horizontal="left"/>
    </xf>
    <xf numFmtId="0" fontId="0" fillId="63" borderId="106" xfId="0" applyFill="1" applyBorder="1"/>
    <xf numFmtId="0" fontId="0" fillId="0" borderId="2" xfId="0" applyBorder="1"/>
    <xf numFmtId="0" fontId="121" fillId="67" borderId="0" xfId="0" applyFont="1" applyFill="1"/>
    <xf numFmtId="0" fontId="122" fillId="67" borderId="0" xfId="0" applyFont="1" applyFill="1" applyAlignment="1">
      <alignment horizontal="center"/>
    </xf>
    <xf numFmtId="0" fontId="123" fillId="67" borderId="0" xfId="0" quotePrefix="1" applyFont="1" applyFill="1"/>
    <xf numFmtId="0" fontId="5" fillId="67" borderId="0" xfId="0" applyFont="1" applyFill="1"/>
    <xf numFmtId="0" fontId="5" fillId="3" borderId="0" xfId="0" applyFont="1" applyFill="1" applyProtection="1">
      <protection locked="0"/>
    </xf>
    <xf numFmtId="0" fontId="124" fillId="0" borderId="1" xfId="0" applyFont="1" applyBorder="1" applyAlignment="1">
      <alignment horizontal="left"/>
    </xf>
    <xf numFmtId="0" fontId="5" fillId="3" borderId="2" xfId="0" applyFont="1" applyFill="1" applyBorder="1"/>
    <xf numFmtId="0" fontId="124" fillId="3" borderId="7" xfId="0" applyFont="1" applyFill="1" applyBorder="1"/>
    <xf numFmtId="0" fontId="5" fillId="3" borderId="8" xfId="0" applyFont="1" applyFill="1" applyBorder="1"/>
    <xf numFmtId="0" fontId="124" fillId="0" borderId="4" xfId="0" applyFont="1" applyBorder="1"/>
    <xf numFmtId="0" fontId="5" fillId="3" borderId="5" xfId="0" applyFont="1" applyFill="1" applyBorder="1"/>
    <xf numFmtId="0" fontId="5" fillId="3" borderId="6" xfId="0" applyFont="1" applyFill="1" applyBorder="1"/>
    <xf numFmtId="0" fontId="0" fillId="0" borderId="139" xfId="0" applyBorder="1"/>
    <xf numFmtId="0" fontId="3" fillId="85" borderId="7" xfId="0" applyFont="1" applyFill="1" applyBorder="1" applyAlignment="1" applyProtection="1">
      <alignment horizontal="left" indent="2"/>
      <protection locked="0"/>
    </xf>
    <xf numFmtId="0" fontId="93" fillId="2" borderId="0" xfId="0" applyFont="1" applyFill="1" applyAlignment="1" applyProtection="1">
      <alignment horizontal="left"/>
      <protection locked="0"/>
    </xf>
    <xf numFmtId="0" fontId="111" fillId="2" borderId="0" xfId="0" applyFont="1" applyFill="1" applyAlignment="1" applyProtection="1">
      <alignment horizontal="left"/>
      <protection locked="0"/>
    </xf>
    <xf numFmtId="0" fontId="111" fillId="85" borderId="0" xfId="0" applyFont="1" applyFill="1" applyAlignment="1" applyProtection="1">
      <alignment horizontal="left"/>
      <protection locked="0"/>
    </xf>
    <xf numFmtId="0" fontId="5" fillId="85" borderId="0" xfId="0" applyFont="1" applyFill="1" applyAlignment="1" applyProtection="1">
      <alignment horizontal="left"/>
      <protection locked="0"/>
    </xf>
    <xf numFmtId="0" fontId="5" fillId="85" borderId="8" xfId="0" applyFont="1" applyFill="1" applyBorder="1" applyAlignment="1" applyProtection="1">
      <alignment horizontal="left"/>
      <protection locked="0"/>
    </xf>
    <xf numFmtId="0" fontId="0" fillId="0" borderId="0" xfId="0" applyAlignment="1">
      <alignment horizontal="right"/>
    </xf>
    <xf numFmtId="0" fontId="3" fillId="85" borderId="200" xfId="0" applyFont="1" applyFill="1" applyBorder="1" applyAlignment="1" applyProtection="1">
      <alignment horizontal="left" indent="2"/>
      <protection locked="0"/>
    </xf>
    <xf numFmtId="0" fontId="93" fillId="74" borderId="201" xfId="0" applyFont="1" applyFill="1" applyBorder="1" applyAlignment="1" applyProtection="1">
      <alignment horizontal="left"/>
      <protection locked="0"/>
    </xf>
    <xf numFmtId="0" fontId="111" fillId="85" borderId="201" xfId="0" applyFont="1" applyFill="1" applyBorder="1" applyAlignment="1" applyProtection="1">
      <alignment horizontal="left"/>
      <protection locked="0"/>
    </xf>
    <xf numFmtId="0" fontId="125" fillId="85" borderId="201" xfId="0" applyFont="1" applyFill="1" applyBorder="1" applyAlignment="1" applyProtection="1">
      <alignment horizontal="left" vertical="top"/>
      <protection locked="0"/>
    </xf>
    <xf numFmtId="0" fontId="5" fillId="85" borderId="201" xfId="0" applyFont="1" applyFill="1" applyBorder="1" applyAlignment="1" applyProtection="1">
      <alignment horizontal="left"/>
      <protection locked="0"/>
    </xf>
    <xf numFmtId="0" fontId="5" fillId="85" borderId="202" xfId="0" applyFont="1" applyFill="1" applyBorder="1" applyAlignment="1" applyProtection="1">
      <alignment horizontal="left"/>
      <protection locked="0"/>
    </xf>
    <xf numFmtId="0" fontId="93" fillId="7" borderId="0" xfId="0" applyFont="1" applyFill="1" applyAlignment="1" applyProtection="1">
      <alignment horizontal="left"/>
      <protection locked="0"/>
    </xf>
    <xf numFmtId="0" fontId="124" fillId="85" borderId="0" xfId="0" applyFont="1" applyFill="1" applyAlignment="1" applyProtection="1">
      <alignment horizontal="left" vertical="top"/>
      <protection locked="0"/>
    </xf>
    <xf numFmtId="0" fontId="4" fillId="85" borderId="0" xfId="0" applyFont="1" applyFill="1" applyAlignment="1" applyProtection="1">
      <alignment horizontal="left" wrapText="1"/>
      <protection locked="0"/>
    </xf>
    <xf numFmtId="0" fontId="4" fillId="85" borderId="8" xfId="0" applyFont="1" applyFill="1" applyBorder="1" applyAlignment="1" applyProtection="1">
      <alignment horizontal="left" wrapText="1"/>
      <protection locked="0"/>
    </xf>
    <xf numFmtId="0" fontId="3" fillId="85" borderId="7" xfId="0" applyFont="1" applyFill="1" applyBorder="1" applyAlignment="1" applyProtection="1">
      <alignment horizontal="left" vertical="center" indent="2"/>
      <protection locked="0"/>
    </xf>
    <xf numFmtId="0" fontId="111" fillId="85" borderId="0" xfId="0" applyFont="1" applyFill="1" applyAlignment="1" applyProtection="1">
      <alignment horizontal="left" vertical="center"/>
      <protection locked="0"/>
    </xf>
    <xf numFmtId="0" fontId="3" fillId="85" borderId="4" xfId="0" applyFont="1" applyFill="1" applyBorder="1" applyAlignment="1" applyProtection="1">
      <alignment horizontal="left" vertical="top" indent="2"/>
      <protection locked="0"/>
    </xf>
    <xf numFmtId="14" fontId="3" fillId="7" borderId="5" xfId="0" quotePrefix="1" applyNumberFormat="1" applyFont="1" applyFill="1" applyBorder="1" applyAlignment="1" applyProtection="1">
      <alignment horizontal="left" vertical="top"/>
      <protection locked="0"/>
    </xf>
    <xf numFmtId="0" fontId="126" fillId="85" borderId="5" xfId="0" applyFont="1" applyFill="1" applyBorder="1" applyAlignment="1" applyProtection="1">
      <alignment horizontal="left"/>
      <protection locked="0"/>
    </xf>
    <xf numFmtId="0" fontId="125" fillId="85" borderId="5" xfId="0" applyFont="1" applyFill="1" applyBorder="1" applyAlignment="1" applyProtection="1">
      <alignment horizontal="left" vertical="top"/>
      <protection locked="0"/>
    </xf>
    <xf numFmtId="0" fontId="111" fillId="85" borderId="5" xfId="0" applyFont="1" applyFill="1" applyBorder="1" applyAlignment="1" applyProtection="1">
      <alignment horizontal="left" vertical="top"/>
      <protection locked="0"/>
    </xf>
    <xf numFmtId="0" fontId="111" fillId="85" borderId="6" xfId="0" applyFont="1" applyFill="1" applyBorder="1" applyAlignment="1" applyProtection="1">
      <alignment horizontal="left" vertical="top"/>
      <protection locked="0"/>
    </xf>
    <xf numFmtId="0" fontId="3" fillId="85" borderId="176" xfId="0" applyFont="1" applyFill="1" applyBorder="1" applyAlignment="1">
      <alignment horizontal="left" indent="2"/>
    </xf>
    <xf numFmtId="0" fontId="3" fillId="7" borderId="177" xfId="0" applyFont="1" applyFill="1" applyBorder="1" applyAlignment="1" applyProtection="1">
      <alignment horizontal="center"/>
      <protection locked="0"/>
    </xf>
    <xf numFmtId="0" fontId="5" fillId="85" borderId="177" xfId="0" applyFont="1" applyFill="1" applyBorder="1"/>
    <xf numFmtId="0" fontId="5" fillId="85" borderId="178" xfId="0" applyFont="1" applyFill="1" applyBorder="1"/>
    <xf numFmtId="0" fontId="3" fillId="85" borderId="30" xfId="0" applyFont="1" applyFill="1" applyBorder="1" applyAlignment="1">
      <alignment horizontal="left" vertical="top" indent="2"/>
    </xf>
    <xf numFmtId="0" fontId="3" fillId="85" borderId="10" xfId="0" applyFont="1" applyFill="1" applyBorder="1" applyAlignment="1">
      <alignment horizontal="center" vertical="top"/>
    </xf>
    <xf numFmtId="0" fontId="111" fillId="85" borderId="10" xfId="0" quotePrefix="1" applyFont="1" applyFill="1" applyBorder="1" applyAlignment="1">
      <alignment vertical="top"/>
    </xf>
    <xf numFmtId="0" fontId="111" fillId="85" borderId="17" xfId="0" quotePrefix="1" applyFont="1" applyFill="1" applyBorder="1" applyAlignment="1">
      <alignment vertical="top"/>
    </xf>
    <xf numFmtId="0" fontId="111" fillId="85" borderId="192" xfId="0" applyFont="1" applyFill="1" applyBorder="1" applyAlignment="1">
      <alignment vertical="top"/>
    </xf>
    <xf numFmtId="0" fontId="0" fillId="85" borderId="192" xfId="0" applyFill="1" applyBorder="1"/>
    <xf numFmtId="0" fontId="0" fillId="85" borderId="142" xfId="0" applyFill="1" applyBorder="1"/>
    <xf numFmtId="0" fontId="3" fillId="85" borderId="206" xfId="0" applyFont="1" applyFill="1" applyBorder="1" applyAlignment="1">
      <alignment horizontal="left" vertical="top" indent="2"/>
    </xf>
    <xf numFmtId="0" fontId="93" fillId="85" borderId="12" xfId="0" applyFont="1" applyFill="1" applyBorder="1" applyAlignment="1">
      <alignment horizontal="center" vertical="top"/>
    </xf>
    <xf numFmtId="0" fontId="111" fillId="85" borderId="12" xfId="0" quotePrefix="1" applyFont="1" applyFill="1" applyBorder="1" applyAlignment="1">
      <alignment vertical="top"/>
    </xf>
    <xf numFmtId="0" fontId="111" fillId="85" borderId="16" xfId="0" quotePrefix="1" applyFont="1" applyFill="1" applyBorder="1" applyAlignment="1">
      <alignment vertical="top"/>
    </xf>
    <xf numFmtId="0" fontId="111" fillId="85" borderId="190" xfId="0" applyFont="1" applyFill="1" applyBorder="1" applyAlignment="1">
      <alignment vertical="top"/>
    </xf>
    <xf numFmtId="0" fontId="0" fillId="85" borderId="190" xfId="0" applyFill="1" applyBorder="1"/>
    <xf numFmtId="0" fontId="0" fillId="85" borderId="131" xfId="0" applyFill="1" applyBorder="1"/>
    <xf numFmtId="0" fontId="3" fillId="85" borderId="12" xfId="0" applyFont="1" applyFill="1" applyBorder="1" applyAlignment="1">
      <alignment horizontal="center" vertical="top"/>
    </xf>
    <xf numFmtId="0" fontId="3" fillId="85" borderId="12" xfId="0" quotePrefix="1" applyFont="1" applyFill="1" applyBorder="1" applyAlignment="1">
      <alignment horizontal="center" vertical="center"/>
    </xf>
    <xf numFmtId="0" fontId="119" fillId="85" borderId="16" xfId="0" quotePrefix="1" applyFont="1" applyFill="1" applyBorder="1" applyAlignment="1">
      <alignment horizontal="left" vertical="top"/>
    </xf>
    <xf numFmtId="0" fontId="13" fillId="85" borderId="190" xfId="0" applyFont="1" applyFill="1" applyBorder="1" applyAlignment="1">
      <alignment vertical="top"/>
    </xf>
    <xf numFmtId="0" fontId="127" fillId="85" borderId="190" xfId="0" applyFont="1" applyFill="1" applyBorder="1" applyAlignment="1">
      <alignment horizontal="centerContinuous" vertical="top"/>
    </xf>
    <xf numFmtId="0" fontId="127" fillId="85" borderId="131" xfId="0" applyFont="1" applyFill="1" applyBorder="1" applyAlignment="1">
      <alignment horizontal="centerContinuous" vertical="top"/>
    </xf>
    <xf numFmtId="0" fontId="111" fillId="85" borderId="12" xfId="0" applyFont="1" applyFill="1" applyBorder="1" applyAlignment="1">
      <alignment vertical="top"/>
    </xf>
    <xf numFmtId="0" fontId="128" fillId="85" borderId="16" xfId="0" applyFont="1" applyFill="1" applyBorder="1" applyAlignment="1">
      <alignment horizontal="left" vertical="top" indent="3"/>
    </xf>
    <xf numFmtId="0" fontId="3" fillId="85" borderId="208" xfId="0" applyFont="1" applyFill="1" applyBorder="1" applyAlignment="1">
      <alignment horizontal="left" vertical="top" indent="2"/>
    </xf>
    <xf numFmtId="0" fontId="3" fillId="85" borderId="144" xfId="0" applyFont="1" applyFill="1" applyBorder="1" applyAlignment="1">
      <alignment horizontal="center" vertical="top"/>
    </xf>
    <xf numFmtId="0" fontId="111" fillId="85" borderId="144" xfId="0" quotePrefix="1" applyFont="1" applyFill="1" applyBorder="1" applyAlignment="1">
      <alignment vertical="top"/>
    </xf>
    <xf numFmtId="0" fontId="111" fillId="85" borderId="103" xfId="0" quotePrefix="1" applyFont="1" applyFill="1" applyBorder="1" applyAlignment="1">
      <alignment vertical="top"/>
    </xf>
    <xf numFmtId="0" fontId="111" fillId="85" borderId="104" xfId="0" applyFont="1" applyFill="1" applyBorder="1" applyAlignment="1">
      <alignment vertical="top"/>
    </xf>
    <xf numFmtId="0" fontId="0" fillId="85" borderId="104" xfId="0" applyFill="1" applyBorder="1"/>
    <xf numFmtId="0" fontId="0" fillId="85" borderId="209" xfId="0" applyFill="1" applyBorder="1"/>
    <xf numFmtId="0" fontId="129" fillId="80" borderId="210" xfId="0" applyFont="1" applyFill="1" applyBorder="1"/>
    <xf numFmtId="0" fontId="130" fillId="80" borderId="147" xfId="0" applyFont="1" applyFill="1" applyBorder="1"/>
    <xf numFmtId="0" fontId="130" fillId="80" borderId="149" xfId="0" applyFont="1" applyFill="1" applyBorder="1"/>
    <xf numFmtId="0" fontId="103" fillId="80" borderId="149" xfId="0" applyFont="1" applyFill="1" applyBorder="1"/>
    <xf numFmtId="0" fontId="103" fillId="80" borderId="175" xfId="0" applyFont="1" applyFill="1" applyBorder="1"/>
    <xf numFmtId="0" fontId="3" fillId="85" borderId="109" xfId="0" applyFont="1" applyFill="1" applyBorder="1" applyAlignment="1" applyProtection="1">
      <alignment horizontal="left" vertical="center"/>
      <protection locked="0"/>
    </xf>
    <xf numFmtId="0" fontId="3" fillId="85" borderId="10" xfId="0" quotePrefix="1" applyFont="1" applyFill="1" applyBorder="1" applyAlignment="1">
      <alignment horizontal="center" vertical="center"/>
    </xf>
    <xf numFmtId="0" fontId="0" fillId="85" borderId="10" xfId="0" applyFill="1" applyBorder="1" applyAlignment="1">
      <alignment vertical="center"/>
    </xf>
    <xf numFmtId="0" fontId="0" fillId="85" borderId="124" xfId="0" applyFill="1" applyBorder="1" applyAlignment="1">
      <alignment vertical="center"/>
    </xf>
    <xf numFmtId="0" fontId="0" fillId="85" borderId="126" xfId="0" applyFill="1" applyBorder="1" applyAlignment="1">
      <alignment vertical="center"/>
    </xf>
    <xf numFmtId="0" fontId="3" fillId="85" borderId="128" xfId="0" applyFont="1" applyFill="1" applyBorder="1" applyAlignment="1">
      <alignment horizontal="left" vertical="center"/>
    </xf>
    <xf numFmtId="0" fontId="111" fillId="85" borderId="12" xfId="0" applyFont="1" applyFill="1" applyBorder="1" applyAlignment="1">
      <alignment vertical="center"/>
    </xf>
    <xf numFmtId="0" fontId="111" fillId="85" borderId="12" xfId="0" quotePrefix="1" applyFont="1" applyFill="1" applyBorder="1" applyAlignment="1">
      <alignment vertical="center"/>
    </xf>
    <xf numFmtId="0" fontId="0" fillId="85" borderId="12" xfId="0" applyFill="1" applyBorder="1" applyAlignment="1">
      <alignment vertical="center"/>
    </xf>
    <xf numFmtId="0" fontId="0" fillId="85" borderId="135" xfId="0" applyFill="1" applyBorder="1" applyAlignment="1">
      <alignment vertical="center"/>
    </xf>
    <xf numFmtId="0" fontId="3" fillId="85" borderId="128" xfId="0" applyFont="1" applyFill="1" applyBorder="1" applyAlignment="1">
      <alignment horizontal="left" vertical="top" indent="1"/>
    </xf>
    <xf numFmtId="0" fontId="0" fillId="85" borderId="12" xfId="0" applyFill="1" applyBorder="1"/>
    <xf numFmtId="0" fontId="0" fillId="85" borderId="135" xfId="0" applyFill="1" applyBorder="1"/>
    <xf numFmtId="0" fontId="3" fillId="85" borderId="12" xfId="0" quotePrefix="1" applyFont="1" applyFill="1" applyBorder="1" applyAlignment="1">
      <alignment horizontal="center" vertical="top"/>
    </xf>
    <xf numFmtId="0" fontId="3" fillId="85" borderId="143" xfId="0" applyFont="1" applyFill="1" applyBorder="1" applyAlignment="1">
      <alignment horizontal="left" vertical="top" indent="1"/>
    </xf>
    <xf numFmtId="0" fontId="3" fillId="85" borderId="144" xfId="0" quotePrefix="1" applyFont="1" applyFill="1" applyBorder="1" applyAlignment="1">
      <alignment horizontal="center" vertical="top"/>
    </xf>
    <xf numFmtId="0" fontId="111" fillId="85" borderId="144" xfId="0" applyFont="1" applyFill="1" applyBorder="1" applyAlignment="1">
      <alignment vertical="top"/>
    </xf>
    <xf numFmtId="0" fontId="0" fillId="85" borderId="144" xfId="0" applyFill="1" applyBorder="1"/>
    <xf numFmtId="0" fontId="0" fillId="85" borderId="145" xfId="0" applyFill="1" applyBorder="1"/>
    <xf numFmtId="0" fontId="129" fillId="80" borderId="211" xfId="0" applyFont="1" applyFill="1" applyBorder="1"/>
    <xf numFmtId="0" fontId="130" fillId="80" borderId="212" xfId="0" applyFont="1" applyFill="1" applyBorder="1"/>
    <xf numFmtId="0" fontId="103" fillId="80" borderId="212" xfId="0" applyFont="1" applyFill="1" applyBorder="1"/>
    <xf numFmtId="0" fontId="103" fillId="80" borderId="213" xfId="0" applyFont="1" applyFill="1" applyBorder="1"/>
    <xf numFmtId="0" fontId="3" fillId="85" borderId="128" xfId="0" applyFont="1" applyFill="1" applyBorder="1" applyAlignment="1">
      <alignment horizontal="left" vertical="center" indent="2"/>
    </xf>
    <xf numFmtId="0" fontId="3" fillId="85" borderId="12" xfId="0" applyFont="1" applyFill="1" applyBorder="1" applyAlignment="1">
      <alignment horizontal="center" vertical="center"/>
    </xf>
    <xf numFmtId="0" fontId="111" fillId="85" borderId="16" xfId="0" quotePrefix="1" applyFont="1" applyFill="1" applyBorder="1" applyAlignment="1">
      <alignment vertical="center"/>
    </xf>
    <xf numFmtId="0" fontId="111" fillId="85" borderId="190" xfId="0" applyFont="1" applyFill="1" applyBorder="1" applyAlignment="1">
      <alignment vertical="center"/>
    </xf>
    <xf numFmtId="0" fontId="0" fillId="85" borderId="190" xfId="0" applyFill="1" applyBorder="1" applyAlignment="1">
      <alignment vertical="center"/>
    </xf>
    <xf numFmtId="0" fontId="0" fillId="85" borderId="131" xfId="0" applyFill="1" applyBorder="1" applyAlignment="1">
      <alignment vertical="center"/>
    </xf>
    <xf numFmtId="0" fontId="129" fillId="80" borderId="215" xfId="0" applyFont="1" applyFill="1" applyBorder="1"/>
    <xf numFmtId="0" fontId="130" fillId="80" borderId="216" xfId="0" applyFont="1" applyFill="1" applyBorder="1"/>
    <xf numFmtId="0" fontId="0" fillId="69" borderId="1" xfId="0" applyFill="1" applyBorder="1" applyAlignment="1">
      <alignment horizontal="left" indent="1"/>
    </xf>
    <xf numFmtId="0" fontId="29" fillId="9" borderId="1" xfId="0" applyFont="1" applyFill="1" applyBorder="1" applyAlignment="1">
      <alignment horizontal="center"/>
    </xf>
    <xf numFmtId="0" fontId="131" fillId="9" borderId="1" xfId="0" quotePrefix="1" applyFont="1" applyFill="1" applyBorder="1" applyAlignment="1">
      <alignment horizontal="left"/>
    </xf>
    <xf numFmtId="0" fontId="0" fillId="69" borderId="107" xfId="0" applyFill="1" applyBorder="1" applyAlignment="1">
      <alignment horizontal="left"/>
    </xf>
    <xf numFmtId="0" fontId="0" fillId="69" borderId="217" xfId="0" applyFill="1" applyBorder="1"/>
    <xf numFmtId="0" fontId="0" fillId="69" borderId="218" xfId="0" applyFill="1" applyBorder="1"/>
    <xf numFmtId="0" fontId="0" fillId="69" borderId="7" xfId="0" applyFill="1" applyBorder="1" applyAlignment="1">
      <alignment horizontal="left" indent="1"/>
    </xf>
    <xf numFmtId="0" fontId="29" fillId="9" borderId="7" xfId="0" applyFont="1" applyFill="1" applyBorder="1" applyAlignment="1">
      <alignment horizontal="center"/>
    </xf>
    <xf numFmtId="0" fontId="131" fillId="9" borderId="7" xfId="0" quotePrefix="1" applyFont="1" applyFill="1" applyBorder="1" applyAlignment="1">
      <alignment horizontal="left"/>
    </xf>
    <xf numFmtId="0" fontId="0" fillId="69" borderId="7" xfId="0" applyFill="1" applyBorder="1" applyAlignment="1">
      <alignment horizontal="left"/>
    </xf>
    <xf numFmtId="0" fontId="0" fillId="69" borderId="0" xfId="0" applyFill="1"/>
    <xf numFmtId="0" fontId="0" fillId="69" borderId="8" xfId="0" applyFill="1" applyBorder="1"/>
    <xf numFmtId="0" fontId="0" fillId="69" borderId="219" xfId="0" applyFill="1" applyBorder="1" applyAlignment="1">
      <alignment horizontal="left" indent="1"/>
    </xf>
    <xf numFmtId="0" fontId="0" fillId="9" borderId="219" xfId="0" quotePrefix="1" applyFill="1" applyBorder="1" applyAlignment="1">
      <alignment horizontal="center"/>
    </xf>
    <xf numFmtId="0" fontId="131" fillId="9" borderId="219" xfId="0" quotePrefix="1" applyFont="1" applyFill="1" applyBorder="1" applyAlignment="1">
      <alignment horizontal="left"/>
    </xf>
    <xf numFmtId="0" fontId="0" fillId="69" borderId="220" xfId="0" applyFill="1" applyBorder="1" applyAlignment="1">
      <alignment horizontal="left"/>
    </xf>
    <xf numFmtId="0" fontId="0" fillId="69" borderId="192" xfId="0" applyFill="1" applyBorder="1"/>
    <xf numFmtId="0" fontId="0" fillId="69" borderId="142" xfId="0" applyFill="1" applyBorder="1"/>
    <xf numFmtId="0" fontId="0" fillId="69" borderId="191" xfId="0" applyFill="1" applyBorder="1" applyAlignment="1">
      <alignment horizontal="left" indent="1"/>
    </xf>
    <xf numFmtId="0" fontId="0" fillId="9" borderId="191" xfId="0" applyFill="1" applyBorder="1" applyAlignment="1">
      <alignment horizontal="center"/>
    </xf>
    <xf numFmtId="0" fontId="131" fillId="9" borderId="191" xfId="0" quotePrefix="1" applyFont="1" applyFill="1" applyBorder="1" applyAlignment="1">
      <alignment horizontal="left"/>
    </xf>
    <xf numFmtId="0" fontId="0" fillId="69" borderId="191" xfId="0" applyFill="1" applyBorder="1" applyAlignment="1">
      <alignment horizontal="left"/>
    </xf>
    <xf numFmtId="0" fontId="0" fillId="69" borderId="190" xfId="0" applyFill="1" applyBorder="1"/>
    <xf numFmtId="0" fontId="0" fillId="69" borderId="131" xfId="0" applyFill="1" applyBorder="1"/>
    <xf numFmtId="0" fontId="0" fillId="69" borderId="98" xfId="0" applyFill="1" applyBorder="1" applyAlignment="1">
      <alignment horizontal="left" indent="1"/>
    </xf>
    <xf numFmtId="0" fontId="0" fillId="9" borderId="98" xfId="0" applyFill="1" applyBorder="1" applyAlignment="1">
      <alignment horizontal="center"/>
    </xf>
    <xf numFmtId="0" fontId="131" fillId="9" borderId="98" xfId="0" quotePrefix="1" applyFont="1" applyFill="1" applyBorder="1" applyAlignment="1">
      <alignment horizontal="left"/>
    </xf>
    <xf numFmtId="0" fontId="0" fillId="69" borderId="221" xfId="0" applyFill="1" applyBorder="1" applyAlignment="1">
      <alignment horizontal="left"/>
    </xf>
    <xf numFmtId="0" fontId="0" fillId="69" borderId="222" xfId="0" applyFill="1" applyBorder="1"/>
    <xf numFmtId="0" fontId="0" fillId="69" borderId="134" xfId="0" applyFill="1" applyBorder="1"/>
    <xf numFmtId="0" fontId="0" fillId="9" borderId="219" xfId="0" applyFill="1" applyBorder="1" applyAlignment="1">
      <alignment horizontal="center"/>
    </xf>
    <xf numFmtId="0" fontId="0" fillId="69" borderId="221" xfId="0" applyFill="1" applyBorder="1" applyAlignment="1">
      <alignment horizontal="left" indent="1"/>
    </xf>
    <xf numFmtId="0" fontId="0" fillId="9" borderId="221" xfId="0" applyFill="1" applyBorder="1" applyAlignment="1">
      <alignment horizontal="center"/>
    </xf>
    <xf numFmtId="0" fontId="131" fillId="9" borderId="221" xfId="0" quotePrefix="1" applyFont="1" applyFill="1" applyBorder="1" applyAlignment="1">
      <alignment horizontal="left"/>
    </xf>
    <xf numFmtId="0" fontId="29" fillId="9" borderId="221" xfId="0" applyFont="1" applyFill="1" applyBorder="1" applyAlignment="1">
      <alignment horizontal="center"/>
    </xf>
    <xf numFmtId="0" fontId="0" fillId="9" borderId="7" xfId="0" applyFill="1" applyBorder="1" applyAlignment="1">
      <alignment horizontal="center"/>
    </xf>
    <xf numFmtId="0" fontId="0" fillId="69" borderId="223" xfId="0" applyFill="1" applyBorder="1" applyAlignment="1">
      <alignment horizontal="left"/>
    </xf>
    <xf numFmtId="0" fontId="0" fillId="69" borderId="96" xfId="0" applyFill="1" applyBorder="1"/>
    <xf numFmtId="0" fontId="0" fillId="69" borderId="224" xfId="0" applyFill="1" applyBorder="1"/>
    <xf numFmtId="0" fontId="0" fillId="69" borderId="225" xfId="0" applyFill="1" applyBorder="1" applyAlignment="1">
      <alignment horizontal="left" indent="1"/>
    </xf>
    <xf numFmtId="0" fontId="0" fillId="9" borderId="225" xfId="0" applyFill="1" applyBorder="1" applyAlignment="1">
      <alignment horizontal="center"/>
    </xf>
    <xf numFmtId="0" fontId="131" fillId="9" borderId="225" xfId="0" quotePrefix="1" applyFont="1" applyFill="1" applyBorder="1" applyAlignment="1">
      <alignment horizontal="left"/>
    </xf>
    <xf numFmtId="0" fontId="0" fillId="69" borderId="220" xfId="0" applyFill="1" applyBorder="1" applyAlignment="1">
      <alignment horizontal="left" indent="1"/>
    </xf>
    <xf numFmtId="0" fontId="0" fillId="9" borderId="220" xfId="0" applyFill="1" applyBorder="1" applyAlignment="1">
      <alignment horizontal="center"/>
    </xf>
    <xf numFmtId="0" fontId="131" fillId="9" borderId="220" xfId="0" quotePrefix="1" applyFont="1" applyFill="1" applyBorder="1" applyAlignment="1">
      <alignment horizontal="left"/>
    </xf>
    <xf numFmtId="0" fontId="0" fillId="69" borderId="190" xfId="0" quotePrefix="1" applyFill="1" applyBorder="1"/>
    <xf numFmtId="0" fontId="0" fillId="69" borderId="102" xfId="0" applyFill="1" applyBorder="1" applyAlignment="1">
      <alignment horizontal="left" indent="1"/>
    </xf>
    <xf numFmtId="0" fontId="0" fillId="9" borderId="102" xfId="0" applyFill="1" applyBorder="1" applyAlignment="1">
      <alignment horizontal="center"/>
    </xf>
    <xf numFmtId="0" fontId="131" fillId="9" borderId="102" xfId="0" quotePrefix="1" applyFont="1" applyFill="1" applyBorder="1" applyAlignment="1">
      <alignment horizontal="left"/>
    </xf>
    <xf numFmtId="0" fontId="0" fillId="69" borderId="102" xfId="0" applyFill="1" applyBorder="1" applyAlignment="1">
      <alignment horizontal="left"/>
    </xf>
    <xf numFmtId="0" fontId="0" fillId="69" borderId="104" xfId="0" applyFill="1" applyBorder="1"/>
    <xf numFmtId="0" fontId="0" fillId="69" borderId="209" xfId="0" applyFill="1" applyBorder="1"/>
    <xf numFmtId="0" fontId="93" fillId="105" borderId="109" xfId="0" applyFont="1" applyFill="1" applyBorder="1" applyAlignment="1">
      <alignment horizontal="left"/>
    </xf>
    <xf numFmtId="0" fontId="122" fillId="105" borderId="12" xfId="0" quotePrefix="1" applyFont="1" applyFill="1" applyBorder="1" applyAlignment="1">
      <alignment horizontal="center" vertical="center"/>
    </xf>
    <xf numFmtId="0" fontId="111" fillId="105" borderId="226" xfId="0" quotePrefix="1" applyFont="1" applyFill="1" applyBorder="1" applyAlignment="1">
      <alignment vertical="top"/>
    </xf>
    <xf numFmtId="0" fontId="111" fillId="105" borderId="227" xfId="0" quotePrefix="1" applyFont="1" applyFill="1" applyBorder="1" applyAlignment="1">
      <alignment vertical="top"/>
    </xf>
    <xf numFmtId="0" fontId="111" fillId="105" borderId="228" xfId="0" applyFont="1" applyFill="1" applyBorder="1" applyAlignment="1">
      <alignment vertical="top"/>
    </xf>
    <xf numFmtId="0" fontId="0" fillId="105" borderId="228" xfId="0" applyFill="1" applyBorder="1"/>
    <xf numFmtId="0" fontId="0" fillId="105" borderId="229" xfId="0" applyFill="1" applyBorder="1"/>
    <xf numFmtId="0" fontId="3" fillId="105" borderId="109" xfId="0" applyFont="1" applyFill="1" applyBorder="1" applyAlignment="1">
      <alignment horizontal="left" vertical="top" indent="4"/>
    </xf>
    <xf numFmtId="0" fontId="3" fillId="105" borderId="12" xfId="0" applyFont="1" applyFill="1" applyBorder="1" applyAlignment="1">
      <alignment horizontal="center" vertical="top"/>
    </xf>
    <xf numFmtId="0" fontId="111" fillId="105" borderId="10" xfId="0" quotePrefix="1" applyFont="1" applyFill="1" applyBorder="1" applyAlignment="1">
      <alignment vertical="center"/>
    </xf>
    <xf numFmtId="0" fontId="128" fillId="105" borderId="17" xfId="0" applyFont="1" applyFill="1" applyBorder="1" applyAlignment="1">
      <alignment horizontal="left" vertical="center"/>
    </xf>
    <xf numFmtId="0" fontId="111" fillId="105" borderId="192" xfId="0" applyFont="1" applyFill="1" applyBorder="1" applyAlignment="1">
      <alignment vertical="center"/>
    </xf>
    <xf numFmtId="0" fontId="0" fillId="105" borderId="192" xfId="0" applyFill="1" applyBorder="1" applyAlignment="1">
      <alignment vertical="center"/>
    </xf>
    <xf numFmtId="0" fontId="0" fillId="105" borderId="142" xfId="0" applyFill="1" applyBorder="1" applyAlignment="1">
      <alignment vertical="center"/>
    </xf>
    <xf numFmtId="0" fontId="3" fillId="105" borderId="192" xfId="0" applyFont="1" applyFill="1" applyBorder="1" applyAlignment="1">
      <alignment horizontal="center" vertical="center" wrapText="1"/>
    </xf>
    <xf numFmtId="0" fontId="128" fillId="105" borderId="16" xfId="0" applyFont="1" applyFill="1" applyBorder="1" applyAlignment="1">
      <alignment horizontal="left" vertical="center"/>
    </xf>
    <xf numFmtId="0" fontId="111" fillId="105" borderId="190" xfId="0" applyFont="1" applyFill="1" applyBorder="1" applyAlignment="1">
      <alignment vertical="center"/>
    </xf>
    <xf numFmtId="0" fontId="0" fillId="105" borderId="190" xfId="0" applyFill="1" applyBorder="1" applyAlignment="1">
      <alignment vertical="center"/>
    </xf>
    <xf numFmtId="0" fontId="0" fillId="105" borderId="131" xfId="0" applyFill="1" applyBorder="1" applyAlignment="1">
      <alignment vertical="center"/>
    </xf>
    <xf numFmtId="0" fontId="3" fillId="105" borderId="230" xfId="0" applyFont="1" applyFill="1" applyBorder="1" applyAlignment="1">
      <alignment horizontal="left" vertical="top" indent="4"/>
    </xf>
    <xf numFmtId="0" fontId="3" fillId="105" borderId="10" xfId="0" applyFont="1" applyFill="1" applyBorder="1" applyAlignment="1">
      <alignment horizontal="center" vertical="top"/>
    </xf>
    <xf numFmtId="0" fontId="111" fillId="105" borderId="0" xfId="0" quotePrefix="1" applyFont="1" applyFill="1" applyAlignment="1">
      <alignment vertical="top"/>
    </xf>
    <xf numFmtId="0" fontId="111" fillId="105" borderId="0" xfId="0" applyFont="1" applyFill="1" applyAlignment="1">
      <alignment vertical="top"/>
    </xf>
    <xf numFmtId="0" fontId="0" fillId="105" borderId="0" xfId="0" applyFill="1"/>
    <xf numFmtId="0" fontId="0" fillId="105" borderId="8" xfId="0" applyFill="1" applyBorder="1"/>
    <xf numFmtId="0" fontId="103" fillId="80" borderId="216" xfId="0" applyFont="1" applyFill="1" applyBorder="1"/>
    <xf numFmtId="0" fontId="103" fillId="80" borderId="231" xfId="0" applyFont="1" applyFill="1" applyBorder="1"/>
    <xf numFmtId="0" fontId="93" fillId="105" borderId="109" xfId="0" applyFont="1" applyFill="1" applyBorder="1" applyAlignment="1">
      <alignment horizontal="left" vertical="top"/>
    </xf>
    <xf numFmtId="0" fontId="3" fillId="105" borderId="0" xfId="0" applyFont="1" applyFill="1" applyAlignment="1">
      <alignment horizontal="center"/>
    </xf>
    <xf numFmtId="0" fontId="111" fillId="105" borderId="10" xfId="0" quotePrefix="1" applyFont="1" applyFill="1" applyBorder="1" applyAlignment="1">
      <alignment vertical="top"/>
    </xf>
    <xf numFmtId="0" fontId="111" fillId="105" borderId="17" xfId="0" quotePrefix="1" applyFont="1" applyFill="1" applyBorder="1" applyAlignment="1">
      <alignment vertical="top"/>
    </xf>
    <xf numFmtId="0" fontId="111" fillId="105" borderId="192" xfId="0" applyFont="1" applyFill="1" applyBorder="1" applyAlignment="1">
      <alignment vertical="top"/>
    </xf>
    <xf numFmtId="0" fontId="0" fillId="105" borderId="192" xfId="0" applyFill="1" applyBorder="1"/>
    <xf numFmtId="0" fontId="0" fillId="105" borderId="142" xfId="0" applyFill="1" applyBorder="1"/>
    <xf numFmtId="0" fontId="132" fillId="105" borderId="10" xfId="0" quotePrefix="1" applyFont="1" applyFill="1" applyBorder="1" applyAlignment="1">
      <alignment horizontal="center"/>
    </xf>
    <xf numFmtId="0" fontId="111" fillId="105" borderId="197" xfId="0" quotePrefix="1" applyFont="1" applyFill="1" applyBorder="1" applyAlignment="1">
      <alignment vertical="top"/>
    </xf>
    <xf numFmtId="0" fontId="5" fillId="105" borderId="0" xfId="0" applyFont="1" applyFill="1"/>
    <xf numFmtId="0" fontId="5" fillId="105" borderId="8" xfId="0" applyFont="1" applyFill="1" applyBorder="1"/>
    <xf numFmtId="0" fontId="111" fillId="105" borderId="10" xfId="0" quotePrefix="1" applyFont="1" applyFill="1" applyBorder="1" applyAlignment="1">
      <alignment horizontal="left" vertical="top"/>
    </xf>
    <xf numFmtId="0" fontId="111" fillId="105" borderId="17" xfId="0" quotePrefix="1" applyFont="1" applyFill="1" applyBorder="1" applyAlignment="1">
      <alignment horizontal="left" vertical="top"/>
    </xf>
    <xf numFmtId="0" fontId="111" fillId="105" borderId="142" xfId="0" applyFont="1" applyFill="1" applyBorder="1" applyAlignment="1">
      <alignment vertical="top"/>
    </xf>
    <xf numFmtId="0" fontId="3" fillId="105" borderId="232" xfId="0" applyFont="1" applyFill="1" applyBorder="1" applyAlignment="1">
      <alignment horizontal="left" vertical="top" indent="4"/>
    </xf>
    <xf numFmtId="0" fontId="93" fillId="105" borderId="18" xfId="0" applyFont="1" applyFill="1" applyBorder="1" applyAlignment="1">
      <alignment horizontal="center" vertical="top"/>
    </xf>
    <xf numFmtId="0" fontId="111" fillId="105" borderId="18" xfId="0" quotePrefix="1" applyFont="1" applyFill="1" applyBorder="1" applyAlignment="1">
      <alignment vertical="top"/>
    </xf>
    <xf numFmtId="0" fontId="111" fillId="105" borderId="19" xfId="0" quotePrefix="1" applyFont="1" applyFill="1" applyBorder="1" applyAlignment="1">
      <alignment vertical="top"/>
    </xf>
    <xf numFmtId="0" fontId="111" fillId="105" borderId="222" xfId="0" applyFont="1" applyFill="1" applyBorder="1" applyAlignment="1">
      <alignment vertical="top"/>
    </xf>
    <xf numFmtId="0" fontId="111" fillId="105" borderId="134" xfId="0" applyFont="1" applyFill="1" applyBorder="1" applyAlignment="1">
      <alignment vertical="top"/>
    </xf>
    <xf numFmtId="0" fontId="93" fillId="105" borderId="233" xfId="0" applyFont="1" applyFill="1" applyBorder="1" applyAlignment="1">
      <alignment horizontal="left" vertical="top"/>
    </xf>
    <xf numFmtId="0" fontId="111" fillId="105" borderId="10" xfId="0" quotePrefix="1" applyFont="1" applyFill="1" applyBorder="1" applyAlignment="1">
      <alignment horizontal="center" vertical="top"/>
    </xf>
    <xf numFmtId="0" fontId="111" fillId="105" borderId="12" xfId="0" quotePrefix="1" applyFont="1" applyFill="1" applyBorder="1" applyAlignment="1">
      <alignment horizontal="center" vertical="top"/>
    </xf>
    <xf numFmtId="0" fontId="111" fillId="105" borderId="12" xfId="0" quotePrefix="1" applyFont="1" applyFill="1" applyBorder="1" applyAlignment="1">
      <alignment vertical="top"/>
    </xf>
    <xf numFmtId="0" fontId="111" fillId="105" borderId="16" xfId="0" quotePrefix="1" applyFont="1" applyFill="1" applyBorder="1" applyAlignment="1">
      <alignment vertical="top"/>
    </xf>
    <xf numFmtId="0" fontId="111" fillId="105" borderId="190" xfId="0" applyFont="1" applyFill="1" applyBorder="1" applyAlignment="1">
      <alignment vertical="top"/>
    </xf>
    <xf numFmtId="0" fontId="0" fillId="105" borderId="190" xfId="0" applyFill="1" applyBorder="1"/>
    <xf numFmtId="0" fontId="0" fillId="105" borderId="131" xfId="0" applyFill="1" applyBorder="1"/>
    <xf numFmtId="0" fontId="3" fillId="105" borderId="7" xfId="0" applyFont="1" applyFill="1" applyBorder="1" applyAlignment="1">
      <alignment horizontal="left" vertical="top" indent="4"/>
    </xf>
    <xf numFmtId="0" fontId="3" fillId="105" borderId="16" xfId="0" quotePrefix="1" applyFont="1" applyFill="1" applyBorder="1" applyAlignment="1">
      <alignment horizontal="center" vertical="top"/>
    </xf>
    <xf numFmtId="0" fontId="95" fillId="105" borderId="225" xfId="0" applyFont="1" applyFill="1" applyBorder="1" applyAlignment="1">
      <alignment horizontal="left" indent="4"/>
    </xf>
    <xf numFmtId="0" fontId="3" fillId="105" borderId="234" xfId="0" quotePrefix="1" applyFont="1" applyFill="1" applyBorder="1" applyAlignment="1">
      <alignment horizontal="center" vertical="top"/>
    </xf>
    <xf numFmtId="0" fontId="5" fillId="105" borderId="15" xfId="0" applyFont="1" applyFill="1" applyBorder="1"/>
    <xf numFmtId="0" fontId="5" fillId="105" borderId="139" xfId="0" applyFont="1" applyFill="1" applyBorder="1"/>
    <xf numFmtId="0" fontId="3" fillId="105" borderId="10" xfId="0" quotePrefix="1" applyFont="1" applyFill="1" applyBorder="1" applyAlignment="1">
      <alignment horizontal="center" vertical="top"/>
    </xf>
    <xf numFmtId="0" fontId="3" fillId="105" borderId="18" xfId="0" applyFont="1" applyFill="1" applyBorder="1" applyAlignment="1">
      <alignment horizontal="center" vertical="top"/>
    </xf>
    <xf numFmtId="0" fontId="111" fillId="105" borderId="18" xfId="0" quotePrefix="1" applyFont="1" applyFill="1" applyBorder="1" applyAlignment="1">
      <alignment horizontal="left" vertical="top"/>
    </xf>
    <xf numFmtId="0" fontId="111" fillId="105" borderId="19" xfId="0" quotePrefix="1" applyFont="1" applyFill="1" applyBorder="1" applyAlignment="1">
      <alignment horizontal="left" vertical="top"/>
    </xf>
    <xf numFmtId="0" fontId="3" fillId="85" borderId="128" xfId="0" applyFont="1" applyFill="1" applyBorder="1" applyAlignment="1">
      <alignment vertical="center"/>
    </xf>
    <xf numFmtId="0" fontId="133" fillId="85" borderId="233" xfId="0" applyFont="1" applyFill="1" applyBorder="1" applyAlignment="1">
      <alignment horizontal="left" vertical="top" indent="1"/>
    </xf>
    <xf numFmtId="0" fontId="3" fillId="85" borderId="0" xfId="0" applyFont="1" applyFill="1" applyAlignment="1">
      <alignment horizontal="center" vertical="top" wrapText="1"/>
    </xf>
    <xf numFmtId="0" fontId="111" fillId="85" borderId="226" xfId="0" quotePrefix="1" applyFont="1" applyFill="1" applyBorder="1" applyAlignment="1">
      <alignment horizontal="left" vertical="top" indent="1"/>
    </xf>
    <xf numFmtId="0" fontId="111" fillId="85" borderId="0" xfId="0" applyFont="1" applyFill="1" applyAlignment="1">
      <alignment vertical="top"/>
    </xf>
    <xf numFmtId="0" fontId="111" fillId="85" borderId="8" xfId="0" applyFont="1" applyFill="1" applyBorder="1" applyAlignment="1">
      <alignment vertical="top"/>
    </xf>
    <xf numFmtId="0" fontId="111" fillId="85" borderId="226" xfId="0" quotePrefix="1" applyFont="1" applyFill="1" applyBorder="1" applyAlignment="1">
      <alignment horizontal="left" vertical="top"/>
    </xf>
    <xf numFmtId="0" fontId="133" fillId="85" borderId="233" xfId="0" applyFont="1" applyFill="1" applyBorder="1" applyAlignment="1">
      <alignment horizontal="left" vertical="top" indent="2"/>
    </xf>
    <xf numFmtId="0" fontId="111" fillId="85" borderId="197" xfId="0" quotePrefix="1" applyFont="1" applyFill="1" applyBorder="1" applyAlignment="1">
      <alignment horizontal="left" vertical="top"/>
    </xf>
    <xf numFmtId="0" fontId="93" fillId="85" borderId="10" xfId="0" quotePrefix="1" applyFont="1" applyFill="1" applyBorder="1" applyAlignment="1">
      <alignment horizontal="center" wrapText="1"/>
    </xf>
    <xf numFmtId="0" fontId="134" fillId="85" borderId="233" xfId="0" applyFont="1" applyFill="1" applyBorder="1" applyAlignment="1">
      <alignment horizontal="left" vertical="top" indent="2"/>
    </xf>
    <xf numFmtId="0" fontId="134" fillId="85" borderId="230" xfId="0" applyFont="1" applyFill="1" applyBorder="1" applyAlignment="1">
      <alignment horizontal="left" vertical="top" indent="2"/>
    </xf>
    <xf numFmtId="0" fontId="93" fillId="85" borderId="234" xfId="0" quotePrefix="1" applyFont="1" applyFill="1" applyBorder="1" applyAlignment="1">
      <alignment horizontal="center" wrapText="1"/>
    </xf>
    <xf numFmtId="0" fontId="111" fillId="85" borderId="234" xfId="0" quotePrefix="1" applyFont="1" applyFill="1" applyBorder="1" applyAlignment="1">
      <alignment horizontal="left" vertical="top" indent="1"/>
    </xf>
    <xf numFmtId="0" fontId="111" fillId="85" borderId="235" xfId="0" quotePrefix="1" applyFont="1" applyFill="1" applyBorder="1" applyAlignment="1">
      <alignment horizontal="left" vertical="top"/>
    </xf>
    <xf numFmtId="0" fontId="111" fillId="85" borderId="15" xfId="0" applyFont="1" applyFill="1" applyBorder="1" applyAlignment="1">
      <alignment vertical="top"/>
    </xf>
    <xf numFmtId="0" fontId="111" fillId="85" borderId="139" xfId="0" applyFont="1" applyFill="1" applyBorder="1" applyAlignment="1">
      <alignment vertical="top"/>
    </xf>
    <xf numFmtId="0" fontId="134" fillId="85" borderId="233" xfId="0" applyFont="1" applyFill="1" applyBorder="1" applyAlignment="1">
      <alignment horizontal="left" vertical="top" indent="1"/>
    </xf>
    <xf numFmtId="0" fontId="3" fillId="85" borderId="226" xfId="0" applyFont="1" applyFill="1" applyBorder="1" applyAlignment="1">
      <alignment horizontal="center" vertical="top"/>
    </xf>
    <xf numFmtId="0" fontId="111" fillId="85" borderId="226" xfId="0" quotePrefix="1" applyFont="1" applyFill="1" applyBorder="1" applyAlignment="1">
      <alignment vertical="top"/>
    </xf>
    <xf numFmtId="0" fontId="5" fillId="85" borderId="0" xfId="0" applyFont="1" applyFill="1" applyAlignment="1">
      <alignment vertical="top"/>
    </xf>
    <xf numFmtId="0" fontId="5" fillId="85" borderId="8" xfId="0" applyFont="1" applyFill="1" applyBorder="1" applyAlignment="1">
      <alignment vertical="top"/>
    </xf>
    <xf numFmtId="0" fontId="135" fillId="85" borderId="226" xfId="0" applyFont="1" applyFill="1" applyBorder="1" applyAlignment="1">
      <alignment horizontal="center" vertical="top" wrapText="1"/>
    </xf>
    <xf numFmtId="0" fontId="135" fillId="85" borderId="226" xfId="0" quotePrefix="1" applyFont="1" applyFill="1" applyBorder="1" applyAlignment="1">
      <alignment horizontal="left" vertical="top" indent="1"/>
    </xf>
    <xf numFmtId="0" fontId="137" fillId="85" borderId="197" xfId="0" quotePrefix="1" applyFont="1" applyFill="1" applyBorder="1" applyAlignment="1">
      <alignment horizontal="left" vertical="top" indent="2"/>
    </xf>
    <xf numFmtId="0" fontId="100" fillId="85" borderId="0" xfId="0" applyFont="1" applyFill="1" applyAlignment="1">
      <alignment vertical="top"/>
    </xf>
    <xf numFmtId="0" fontId="135" fillId="85" borderId="197" xfId="0" quotePrefix="1" applyFont="1" applyFill="1" applyBorder="1" applyAlignment="1">
      <alignment horizontal="left" vertical="top"/>
    </xf>
    <xf numFmtId="0" fontId="134" fillId="85" borderId="233" xfId="0" applyFont="1" applyFill="1" applyBorder="1" applyAlignment="1">
      <alignment horizontal="left" vertical="top" indent="4"/>
    </xf>
    <xf numFmtId="14" fontId="3" fillId="85" borderId="226" xfId="0" quotePrefix="1" applyNumberFormat="1" applyFont="1" applyFill="1" applyBorder="1" applyAlignment="1">
      <alignment horizontal="center" vertical="top" wrapText="1"/>
    </xf>
    <xf numFmtId="0" fontId="111" fillId="85" borderId="197" xfId="0" quotePrefix="1" applyFont="1" applyFill="1" applyBorder="1" applyAlignment="1">
      <alignment horizontal="center" vertical="center"/>
    </xf>
    <xf numFmtId="0" fontId="111" fillId="85" borderId="197" xfId="0" quotePrefix="1" applyFont="1" applyFill="1" applyBorder="1" applyAlignment="1">
      <alignment vertical="top"/>
    </xf>
    <xf numFmtId="0" fontId="134" fillId="85" borderId="236" xfId="0" applyFont="1" applyFill="1" applyBorder="1" applyAlignment="1">
      <alignment horizontal="left" vertical="top" indent="2"/>
    </xf>
    <xf numFmtId="0" fontId="115" fillId="85" borderId="237" xfId="0" quotePrefix="1" applyFont="1" applyFill="1" applyBorder="1" applyAlignment="1">
      <alignment horizontal="center" vertical="top"/>
    </xf>
    <xf numFmtId="0" fontId="111" fillId="85" borderId="237" xfId="0" quotePrefix="1" applyFont="1" applyFill="1" applyBorder="1" applyAlignment="1">
      <alignment vertical="top"/>
    </xf>
    <xf numFmtId="0" fontId="111" fillId="85" borderId="238" xfId="0" quotePrefix="1" applyFont="1" applyFill="1" applyBorder="1" applyAlignment="1">
      <alignment horizontal="left" vertical="top"/>
    </xf>
    <xf numFmtId="0" fontId="5" fillId="85" borderId="239" xfId="0" applyFont="1" applyFill="1" applyBorder="1" applyAlignment="1">
      <alignment vertical="top"/>
    </xf>
    <xf numFmtId="0" fontId="5" fillId="85" borderId="240" xfId="0" applyFont="1" applyFill="1" applyBorder="1" applyAlignment="1">
      <alignment vertical="top"/>
    </xf>
    <xf numFmtId="0" fontId="133" fillId="85" borderId="233" xfId="0" applyFont="1" applyFill="1" applyBorder="1" applyAlignment="1">
      <alignment horizontal="left"/>
    </xf>
    <xf numFmtId="0" fontId="110" fillId="85" borderId="226" xfId="0" quotePrefix="1" applyFont="1" applyFill="1" applyBorder="1" applyAlignment="1">
      <alignment horizontal="left"/>
    </xf>
    <xf numFmtId="0" fontId="111" fillId="85" borderId="226" xfId="0" quotePrefix="1" applyFont="1" applyFill="1" applyBorder="1"/>
    <xf numFmtId="0" fontId="111" fillId="85" borderId="197" xfId="0" quotePrefix="1" applyFont="1" applyFill="1" applyBorder="1" applyAlignment="1">
      <alignment horizontal="left"/>
    </xf>
    <xf numFmtId="0" fontId="5" fillId="85" borderId="0" xfId="0" applyFont="1" applyFill="1"/>
    <xf numFmtId="0" fontId="5" fillId="85" borderId="8" xfId="0" applyFont="1" applyFill="1" applyBorder="1"/>
    <xf numFmtId="0" fontId="115" fillId="85" borderId="226" xfId="0" quotePrefix="1" applyFont="1" applyFill="1" applyBorder="1" applyAlignment="1">
      <alignment horizontal="center" vertical="top"/>
    </xf>
    <xf numFmtId="0" fontId="3" fillId="85" borderId="234" xfId="0" quotePrefix="1" applyFont="1" applyFill="1" applyBorder="1" applyAlignment="1">
      <alignment horizontal="center" vertical="top"/>
    </xf>
    <xf numFmtId="0" fontId="111" fillId="85" borderId="234" xfId="0" quotePrefix="1" applyFont="1" applyFill="1" applyBorder="1" applyAlignment="1">
      <alignment vertical="top"/>
    </xf>
    <xf numFmtId="0" fontId="111" fillId="85" borderId="19" xfId="0" quotePrefix="1" applyFont="1" applyFill="1" applyBorder="1" applyAlignment="1">
      <alignment horizontal="left" vertical="top"/>
    </xf>
    <xf numFmtId="0" fontId="5" fillId="85" borderId="15" xfId="0" applyFont="1" applyFill="1" applyBorder="1" applyAlignment="1">
      <alignment vertical="top"/>
    </xf>
    <xf numFmtId="0" fontId="5" fillId="85" borderId="139" xfId="0" applyFont="1" applyFill="1" applyBorder="1" applyAlignment="1">
      <alignment vertical="top"/>
    </xf>
    <xf numFmtId="0" fontId="3" fillId="85" borderId="226" xfId="0" quotePrefix="1" applyFont="1" applyFill="1" applyBorder="1" applyAlignment="1">
      <alignment horizontal="center" vertical="top"/>
    </xf>
    <xf numFmtId="0" fontId="135" fillId="85" borderId="226" xfId="0" quotePrefix="1" applyFont="1" applyFill="1" applyBorder="1" applyAlignment="1">
      <alignment horizontal="left" vertical="top" indent="3"/>
    </xf>
    <xf numFmtId="0" fontId="111" fillId="85" borderId="234" xfId="0" quotePrefix="1" applyFont="1" applyFill="1" applyBorder="1" applyAlignment="1">
      <alignment horizontal="left" vertical="top"/>
    </xf>
    <xf numFmtId="0" fontId="134" fillId="85" borderId="7" xfId="0" applyFont="1" applyFill="1" applyBorder="1" applyAlignment="1">
      <alignment horizontal="left" vertical="top" indent="2"/>
    </xf>
    <xf numFmtId="0" fontId="3" fillId="85" borderId="0" xfId="0" quotePrefix="1" applyFont="1" applyFill="1" applyAlignment="1">
      <alignment horizontal="center" vertical="top"/>
    </xf>
    <xf numFmtId="0" fontId="111" fillId="85" borderId="0" xfId="0" quotePrefix="1" applyFont="1" applyFill="1" applyAlignment="1">
      <alignment vertical="top"/>
    </xf>
    <xf numFmtId="0" fontId="111" fillId="85" borderId="0" xfId="0" quotePrefix="1" applyFont="1" applyFill="1" applyAlignment="1">
      <alignment horizontal="left" vertical="top"/>
    </xf>
    <xf numFmtId="0" fontId="133" fillId="85" borderId="241" xfId="0" applyFont="1" applyFill="1" applyBorder="1" applyAlignment="1">
      <alignment horizontal="left" vertical="top" indent="1"/>
    </xf>
    <xf numFmtId="0" fontId="5" fillId="85" borderId="242" xfId="0" applyFont="1" applyFill="1" applyBorder="1" applyAlignment="1">
      <alignment vertical="top"/>
    </xf>
    <xf numFmtId="0" fontId="5" fillId="85" borderId="243" xfId="0" applyFont="1" applyFill="1" applyBorder="1" applyAlignment="1">
      <alignment vertical="top"/>
    </xf>
    <xf numFmtId="0" fontId="111" fillId="85" borderId="197" xfId="0" quotePrefix="1" applyFont="1" applyFill="1" applyBorder="1" applyAlignment="1">
      <alignment horizontal="center" vertical="top"/>
    </xf>
    <xf numFmtId="0" fontId="128" fillId="85" borderId="197" xfId="0" applyFont="1" applyFill="1" applyBorder="1" applyAlignment="1">
      <alignment horizontal="left" vertical="top" indent="3"/>
    </xf>
    <xf numFmtId="0" fontId="134" fillId="85" borderId="244" xfId="0" applyFont="1" applyFill="1" applyBorder="1" applyAlignment="1">
      <alignment horizontal="left" vertical="top" indent="2"/>
    </xf>
    <xf numFmtId="0" fontId="111" fillId="85" borderId="245" xfId="0" quotePrefix="1" applyFont="1" applyFill="1" applyBorder="1" applyAlignment="1">
      <alignment horizontal="center" vertical="top"/>
    </xf>
    <xf numFmtId="0" fontId="111" fillId="85" borderId="246" xfId="0" quotePrefix="1" applyFont="1" applyFill="1" applyBorder="1" applyAlignment="1">
      <alignment vertical="top"/>
    </xf>
    <xf numFmtId="0" fontId="111" fillId="85" borderId="245" xfId="0" quotePrefix="1" applyFont="1" applyFill="1" applyBorder="1" applyAlignment="1">
      <alignment horizontal="left" vertical="top"/>
    </xf>
    <xf numFmtId="0" fontId="111" fillId="85" borderId="5" xfId="0" quotePrefix="1" applyFont="1" applyFill="1" applyBorder="1" applyAlignment="1">
      <alignment horizontal="left" vertical="top" indent="1"/>
    </xf>
    <xf numFmtId="0" fontId="5" fillId="85" borderId="5" xfId="0" applyFont="1" applyFill="1" applyBorder="1" applyAlignment="1">
      <alignment vertical="top"/>
    </xf>
    <xf numFmtId="0" fontId="5" fillId="85" borderId="6" xfId="0" applyFont="1" applyFill="1" applyBorder="1" applyAlignment="1">
      <alignment vertical="top"/>
    </xf>
    <xf numFmtId="0" fontId="93" fillId="85" borderId="226" xfId="0" quotePrefix="1" applyFont="1" applyFill="1" applyBorder="1" applyAlignment="1">
      <alignment horizontal="center" vertical="top"/>
    </xf>
    <xf numFmtId="0" fontId="111" fillId="85" borderId="0" xfId="0" quotePrefix="1" applyFont="1" applyFill="1" applyAlignment="1">
      <alignment horizontal="left" vertical="top" indent="1"/>
    </xf>
    <xf numFmtId="0" fontId="138" fillId="85" borderId="197" xfId="0" quotePrefix="1" applyFont="1" applyFill="1" applyBorder="1" applyAlignment="1">
      <alignment vertical="top"/>
    </xf>
    <xf numFmtId="0" fontId="134" fillId="6" borderId="7" xfId="0" applyFont="1" applyFill="1" applyBorder="1" applyAlignment="1">
      <alignment horizontal="left" vertical="top" indent="2"/>
    </xf>
    <xf numFmtId="0" fontId="3" fillId="6" borderId="0" xfId="0" quotePrefix="1" applyFont="1" applyFill="1" applyAlignment="1">
      <alignment horizontal="center" vertical="top"/>
    </xf>
    <xf numFmtId="0" fontId="111" fillId="6" borderId="0" xfId="0" quotePrefix="1" applyFont="1" applyFill="1" applyAlignment="1">
      <alignment vertical="top"/>
    </xf>
    <xf numFmtId="0" fontId="138" fillId="6" borderId="0" xfId="0" quotePrefix="1" applyFont="1" applyFill="1" applyAlignment="1">
      <alignment vertical="top"/>
    </xf>
    <xf numFmtId="0" fontId="5" fillId="6" borderId="0" xfId="0" applyFont="1" applyFill="1" applyAlignment="1">
      <alignment vertical="top"/>
    </xf>
    <xf numFmtId="0" fontId="5" fillId="6" borderId="8" xfId="0" applyFont="1" applyFill="1" applyBorder="1" applyAlignment="1">
      <alignment vertical="top"/>
    </xf>
    <xf numFmtId="0" fontId="3" fillId="85" borderId="247" xfId="0" applyFont="1" applyFill="1" applyBorder="1" applyAlignment="1">
      <alignment vertical="top"/>
    </xf>
    <xf numFmtId="0" fontId="3" fillId="85" borderId="248" xfId="0" applyFont="1" applyFill="1" applyBorder="1" applyAlignment="1">
      <alignment horizontal="center" vertical="top"/>
    </xf>
    <xf numFmtId="0" fontId="111" fillId="85" borderId="248" xfId="0" quotePrefix="1" applyFont="1" applyFill="1" applyBorder="1" applyAlignment="1">
      <alignment horizontal="left" vertical="top"/>
    </xf>
    <xf numFmtId="0" fontId="5" fillId="85" borderId="249" xfId="0" applyFont="1" applyFill="1" applyBorder="1" applyAlignment="1">
      <alignment vertical="top"/>
    </xf>
    <xf numFmtId="0" fontId="5" fillId="85" borderId="250" xfId="0" applyFont="1" applyFill="1" applyBorder="1" applyAlignment="1">
      <alignment vertical="top"/>
    </xf>
    <xf numFmtId="0" fontId="5" fillId="85" borderId="251" xfId="0" applyFont="1" applyFill="1" applyBorder="1" applyAlignment="1">
      <alignment vertical="top"/>
    </xf>
    <xf numFmtId="0" fontId="3" fillId="85" borderId="252" xfId="0" applyFont="1" applyFill="1" applyBorder="1" applyAlignment="1">
      <alignment vertical="top"/>
    </xf>
    <xf numFmtId="0" fontId="3" fillId="85" borderId="253" xfId="0" quotePrefix="1" applyFont="1" applyFill="1" applyBorder="1" applyAlignment="1">
      <alignment horizontal="center" vertical="top"/>
    </xf>
    <xf numFmtId="0" fontId="111" fillId="85" borderId="253" xfId="0" quotePrefix="1" applyFont="1" applyFill="1" applyBorder="1" applyAlignment="1">
      <alignment horizontal="left" vertical="top"/>
    </xf>
    <xf numFmtId="0" fontId="111" fillId="85" borderId="254" xfId="0" quotePrefix="1" applyFont="1" applyFill="1" applyBorder="1" applyAlignment="1">
      <alignment vertical="top"/>
    </xf>
    <xf numFmtId="0" fontId="5" fillId="85" borderId="201" xfId="0" applyFont="1" applyFill="1" applyBorder="1" applyAlignment="1">
      <alignment vertical="top"/>
    </xf>
    <xf numFmtId="0" fontId="5" fillId="85" borderId="202" xfId="0" applyFont="1" applyFill="1" applyBorder="1" applyAlignment="1">
      <alignment vertical="top"/>
    </xf>
    <xf numFmtId="0" fontId="3" fillId="85" borderId="109" xfId="0" applyFont="1" applyFill="1" applyBorder="1" applyAlignment="1">
      <alignment horizontal="left" vertical="top" indent="2"/>
    </xf>
    <xf numFmtId="0" fontId="111" fillId="85" borderId="10" xfId="0" applyFont="1" applyFill="1" applyBorder="1" applyAlignment="1">
      <alignment vertical="top"/>
    </xf>
    <xf numFmtId="0" fontId="111" fillId="85" borderId="140" xfId="0" applyFont="1" applyFill="1" applyBorder="1" applyAlignment="1">
      <alignment vertical="top"/>
    </xf>
    <xf numFmtId="0" fontId="3" fillId="85" borderId="128" xfId="0" applyFont="1" applyFill="1" applyBorder="1" applyAlignment="1">
      <alignment horizontal="left" vertical="top" indent="2"/>
    </xf>
    <xf numFmtId="0" fontId="111" fillId="85" borderId="135" xfId="0" applyFont="1" applyFill="1" applyBorder="1" applyAlignment="1">
      <alignment vertical="top"/>
    </xf>
    <xf numFmtId="0" fontId="3" fillId="85" borderId="255" xfId="0" applyFont="1" applyFill="1" applyBorder="1" applyAlignment="1">
      <alignment horizontal="left" vertical="top" indent="2"/>
    </xf>
    <xf numFmtId="0" fontId="3" fillId="85" borderId="256" xfId="0" applyFont="1" applyFill="1" applyBorder="1" applyAlignment="1">
      <alignment horizontal="center" vertical="top"/>
    </xf>
    <xf numFmtId="0" fontId="111" fillId="85" borderId="256" xfId="0" quotePrefix="1" applyFont="1" applyFill="1" applyBorder="1" applyAlignment="1">
      <alignment vertical="top"/>
    </xf>
    <xf numFmtId="0" fontId="111" fillId="85" borderId="256" xfId="0" applyFont="1" applyFill="1" applyBorder="1" applyAlignment="1">
      <alignment vertical="top"/>
    </xf>
    <xf numFmtId="0" fontId="111" fillId="85" borderId="257" xfId="0" applyFont="1" applyFill="1" applyBorder="1" applyAlignment="1">
      <alignment vertical="top"/>
    </xf>
    <xf numFmtId="0" fontId="3" fillId="85" borderId="244" xfId="0" applyFont="1" applyFill="1" applyBorder="1" applyAlignment="1">
      <alignment horizontal="left" vertical="top" indent="2"/>
    </xf>
    <xf numFmtId="0" fontId="3" fillId="85" borderId="246" xfId="0" applyFont="1" applyFill="1" applyBorder="1" applyAlignment="1">
      <alignment horizontal="center" vertical="top"/>
    </xf>
    <xf numFmtId="0" fontId="111" fillId="85" borderId="246" xfId="0" applyFont="1" applyFill="1" applyBorder="1" applyAlignment="1">
      <alignment vertical="top"/>
    </xf>
    <xf numFmtId="0" fontId="111" fillId="85" borderId="258" xfId="0" applyFont="1" applyFill="1" applyBorder="1" applyAlignment="1">
      <alignment vertical="top"/>
    </xf>
    <xf numFmtId="0" fontId="129" fillId="106" borderId="215" xfId="0" applyFont="1" applyFill="1" applyBorder="1"/>
    <xf numFmtId="0" fontId="130" fillId="106" borderId="216" xfId="0" applyFont="1" applyFill="1" applyBorder="1"/>
    <xf numFmtId="0" fontId="103" fillId="106" borderId="216" xfId="0" applyFont="1" applyFill="1" applyBorder="1"/>
    <xf numFmtId="0" fontId="103" fillId="106" borderId="231" xfId="0" applyFont="1" applyFill="1" applyBorder="1"/>
    <xf numFmtId="0" fontId="3" fillId="85" borderId="176" xfId="0" applyFont="1" applyFill="1" applyBorder="1" applyAlignment="1">
      <alignment vertical="top"/>
    </xf>
    <xf numFmtId="0" fontId="95" fillId="85" borderId="177" xfId="0" quotePrefix="1" applyFont="1" applyFill="1" applyBorder="1" applyAlignment="1">
      <alignment horizontal="center" vertical="center"/>
    </xf>
    <xf numFmtId="0" fontId="111" fillId="85" borderId="177" xfId="0" quotePrefix="1" applyFont="1" applyFill="1" applyBorder="1" applyAlignment="1">
      <alignment vertical="top"/>
    </xf>
    <xf numFmtId="0" fontId="13" fillId="85" borderId="259" xfId="0" quotePrefix="1" applyFont="1" applyFill="1" applyBorder="1" applyAlignment="1">
      <alignment vertical="top"/>
    </xf>
    <xf numFmtId="0" fontId="139" fillId="85" borderId="9" xfId="0" applyFont="1" applyFill="1" applyBorder="1" applyAlignment="1">
      <alignment vertical="top"/>
    </xf>
    <xf numFmtId="0" fontId="139" fillId="85" borderId="123" xfId="0" applyFont="1" applyFill="1" applyBorder="1" applyAlignment="1">
      <alignment vertical="top"/>
    </xf>
    <xf numFmtId="0" fontId="3" fillId="85" borderId="128" xfId="0" applyFont="1" applyFill="1" applyBorder="1" applyAlignment="1">
      <alignment vertical="top"/>
    </xf>
    <xf numFmtId="0" fontId="95" fillId="85" borderId="12" xfId="0" quotePrefix="1" applyFont="1" applyFill="1" applyBorder="1" applyAlignment="1">
      <alignment horizontal="center" vertical="center"/>
    </xf>
    <xf numFmtId="0" fontId="139" fillId="85" borderId="16" xfId="0" quotePrefix="1" applyFont="1" applyFill="1" applyBorder="1" applyAlignment="1">
      <alignment vertical="top"/>
    </xf>
    <xf numFmtId="0" fontId="139" fillId="85" borderId="190" xfId="0" applyFont="1" applyFill="1" applyBorder="1" applyAlignment="1">
      <alignment vertical="top"/>
    </xf>
    <xf numFmtId="0" fontId="139" fillId="85" borderId="131" xfId="0" applyFont="1" applyFill="1" applyBorder="1" applyAlignment="1">
      <alignment vertical="top"/>
    </xf>
    <xf numFmtId="0" fontId="129" fillId="106" borderId="146" xfId="0" applyFont="1" applyFill="1" applyBorder="1"/>
    <xf numFmtId="0" fontId="130" fillId="106" borderId="147" xfId="0" applyFont="1" applyFill="1" applyBorder="1"/>
    <xf numFmtId="0" fontId="103" fillId="106" borderId="147" xfId="0" applyFont="1" applyFill="1" applyBorder="1"/>
    <xf numFmtId="0" fontId="130" fillId="106" borderId="148" xfId="0" applyFont="1" applyFill="1" applyBorder="1"/>
    <xf numFmtId="0" fontId="3" fillId="107" borderId="260" xfId="0" applyFont="1" applyFill="1" applyBorder="1" applyAlignment="1">
      <alignment vertical="top"/>
    </xf>
    <xf numFmtId="0" fontId="140" fillId="107" borderId="261" xfId="0" quotePrefix="1" applyFont="1" applyFill="1" applyBorder="1" applyAlignment="1">
      <alignment vertical="top"/>
    </xf>
    <xf numFmtId="0" fontId="141" fillId="107" borderId="261" xfId="0" quotePrefix="1" applyFont="1" applyFill="1" applyBorder="1" applyAlignment="1">
      <alignment vertical="top"/>
    </xf>
    <xf numFmtId="0" fontId="141" fillId="107" borderId="261" xfId="0" applyFont="1" applyFill="1" applyBorder="1" applyAlignment="1">
      <alignment vertical="top"/>
    </xf>
    <xf numFmtId="0" fontId="141" fillId="107" borderId="262" xfId="0" applyFont="1" applyFill="1" applyBorder="1" applyAlignment="1">
      <alignment vertical="top"/>
    </xf>
    <xf numFmtId="0" fontId="3" fillId="107" borderId="263" xfId="0" applyFont="1" applyFill="1" applyBorder="1" applyAlignment="1">
      <alignment horizontal="left" vertical="top" indent="2"/>
    </xf>
    <xf numFmtId="0" fontId="93" fillId="107" borderId="264" xfId="0" applyFont="1" applyFill="1" applyBorder="1" applyAlignment="1">
      <alignment horizontal="center" vertical="top"/>
    </xf>
    <xf numFmtId="0" fontId="93" fillId="107" borderId="264" xfId="0" quotePrefix="1" applyFont="1" applyFill="1" applyBorder="1" applyAlignment="1">
      <alignment vertical="top"/>
    </xf>
    <xf numFmtId="0" fontId="3" fillId="107" borderId="264" xfId="0" quotePrefix="1" applyFont="1" applyFill="1" applyBorder="1" applyAlignment="1">
      <alignment vertical="top"/>
    </xf>
    <xf numFmtId="0" fontId="3" fillId="107" borderId="264" xfId="0" applyFont="1" applyFill="1" applyBorder="1" applyAlignment="1">
      <alignment vertical="top"/>
    </xf>
    <xf numFmtId="0" fontId="3" fillId="107" borderId="265" xfId="0" applyFont="1" applyFill="1" applyBorder="1" applyAlignment="1">
      <alignment vertical="top"/>
    </xf>
    <xf numFmtId="0" fontId="3" fillId="107" borderId="264" xfId="0" applyFont="1" applyFill="1" applyBorder="1" applyAlignment="1">
      <alignment horizontal="center" vertical="top"/>
    </xf>
    <xf numFmtId="0" fontId="140" fillId="107" borderId="264" xfId="0" quotePrefix="1" applyFont="1" applyFill="1" applyBorder="1" applyAlignment="1">
      <alignment vertical="top"/>
    </xf>
    <xf numFmtId="0" fontId="141" fillId="107" borderId="264" xfId="0" quotePrefix="1" applyFont="1" applyFill="1" applyBorder="1" applyAlignment="1">
      <alignment vertical="top"/>
    </xf>
    <xf numFmtId="0" fontId="141" fillId="107" borderId="264" xfId="0" applyFont="1" applyFill="1" applyBorder="1" applyAlignment="1">
      <alignment vertical="top"/>
    </xf>
    <xf numFmtId="0" fontId="141" fillId="107" borderId="265" xfId="0" applyFont="1" applyFill="1" applyBorder="1" applyAlignment="1">
      <alignment vertical="top"/>
    </xf>
    <xf numFmtId="0" fontId="3" fillId="107" borderId="266" xfId="0" applyFont="1" applyFill="1" applyBorder="1" applyAlignment="1">
      <alignment horizontal="left" vertical="top" indent="2"/>
    </xf>
    <xf numFmtId="0" fontId="3" fillId="107" borderId="267" xfId="0" applyFont="1" applyFill="1" applyBorder="1" applyAlignment="1">
      <alignment horizontal="center" vertical="top"/>
    </xf>
    <xf numFmtId="0" fontId="140" fillId="107" borderId="267" xfId="0" quotePrefix="1" applyFont="1" applyFill="1" applyBorder="1" applyAlignment="1">
      <alignment vertical="top"/>
    </xf>
    <xf numFmtId="0" fontId="141" fillId="107" borderId="267" xfId="0" quotePrefix="1" applyFont="1" applyFill="1" applyBorder="1" applyAlignment="1">
      <alignment vertical="top"/>
    </xf>
    <xf numFmtId="0" fontId="141" fillId="107" borderId="267" xfId="0" applyFont="1" applyFill="1" applyBorder="1" applyAlignment="1">
      <alignment vertical="top"/>
    </xf>
    <xf numFmtId="0" fontId="141" fillId="107" borderId="268" xfId="0" applyFont="1" applyFill="1" applyBorder="1" applyAlignment="1">
      <alignment vertical="top"/>
    </xf>
    <xf numFmtId="0" fontId="3" fillId="107" borderId="269" xfId="0" applyFont="1" applyFill="1" applyBorder="1" applyAlignment="1">
      <alignment horizontal="left" vertical="top" indent="2"/>
    </xf>
    <xf numFmtId="0" fontId="3" fillId="107" borderId="270" xfId="0" applyFont="1" applyFill="1" applyBorder="1" applyAlignment="1">
      <alignment horizontal="center" vertical="top"/>
    </xf>
    <xf numFmtId="0" fontId="140" fillId="107" borderId="270" xfId="0" quotePrefix="1" applyFont="1" applyFill="1" applyBorder="1" applyAlignment="1">
      <alignment vertical="top"/>
    </xf>
    <xf numFmtId="0" fontId="141" fillId="107" borderId="270" xfId="0" quotePrefix="1" applyFont="1" applyFill="1" applyBorder="1" applyAlignment="1">
      <alignment vertical="top"/>
    </xf>
    <xf numFmtId="0" fontId="141" fillId="107" borderId="270" xfId="0" applyFont="1" applyFill="1" applyBorder="1" applyAlignment="1">
      <alignment vertical="top"/>
    </xf>
    <xf numFmtId="0" fontId="141" fillId="107" borderId="271" xfId="0" applyFont="1" applyFill="1" applyBorder="1" applyAlignment="1">
      <alignment vertical="top"/>
    </xf>
    <xf numFmtId="0" fontId="67" fillId="12" borderId="0" xfId="55" applyFont="1" applyBorder="1" applyAlignment="1">
      <alignment horizontal="left" vertical="center"/>
    </xf>
    <xf numFmtId="0" fontId="11" fillId="11" borderId="0" xfId="58" applyBorder="1">
      <alignment vertical="center"/>
    </xf>
    <xf numFmtId="0" fontId="0" fillId="3" borderId="0" xfId="0" applyFill="1" applyAlignment="1">
      <alignment vertical="center"/>
    </xf>
    <xf numFmtId="0" fontId="0" fillId="108" borderId="0" xfId="4" applyFont="1" applyFill="1">
      <alignment vertical="center"/>
    </xf>
    <xf numFmtId="0" fontId="0" fillId="3" borderId="0" xfId="4" applyFont="1" applyFill="1">
      <alignment vertical="center"/>
    </xf>
    <xf numFmtId="0" fontId="28" fillId="6" borderId="0" xfId="78" applyFont="1" applyBorder="1">
      <alignment vertical="center"/>
    </xf>
    <xf numFmtId="0" fontId="74" fillId="6" borderId="0" xfId="6" applyFill="1">
      <alignment vertical="center"/>
    </xf>
    <xf numFmtId="0" fontId="0" fillId="6" borderId="0" xfId="0" applyFill="1"/>
    <xf numFmtId="168" fontId="8" fillId="64" borderId="38" xfId="7" applyFill="1" applyBorder="1">
      <alignment horizontal="right"/>
      <protection locked="0"/>
    </xf>
    <xf numFmtId="168" fontId="8" fillId="64" borderId="40" xfId="7" applyFill="1" applyBorder="1">
      <alignment horizontal="right"/>
      <protection locked="0"/>
    </xf>
    <xf numFmtId="168" fontId="8" fillId="53" borderId="18" xfId="7" applyBorder="1">
      <alignment horizontal="right"/>
      <protection locked="0"/>
    </xf>
    <xf numFmtId="168" fontId="0" fillId="65" borderId="33" xfId="7" applyFont="1" applyFill="1" applyBorder="1">
      <alignment horizontal="right"/>
      <protection locked="0"/>
    </xf>
    <xf numFmtId="168" fontId="8" fillId="64" borderId="33" xfId="7" applyFill="1" applyBorder="1">
      <alignment horizontal="right"/>
      <protection locked="0"/>
    </xf>
    <xf numFmtId="168" fontId="0" fillId="109" borderId="12" xfId="7" applyFont="1" applyFill="1" applyBorder="1">
      <alignment horizontal="right"/>
      <protection locked="0"/>
    </xf>
    <xf numFmtId="168" fontId="0" fillId="109" borderId="32" xfId="7" applyFont="1" applyFill="1" applyBorder="1">
      <alignment horizontal="right"/>
      <protection locked="0"/>
    </xf>
    <xf numFmtId="0" fontId="143" fillId="47" borderId="1" xfId="0" applyFont="1" applyFill="1" applyBorder="1" applyAlignment="1">
      <alignment horizontal="centerContinuous" vertical="center"/>
    </xf>
    <xf numFmtId="0" fontId="42" fillId="6" borderId="2" xfId="51" applyNumberFormat="1" applyFont="1" applyBorder="1" applyAlignment="1">
      <alignment horizontal="centerContinuous" vertical="center"/>
    </xf>
    <xf numFmtId="0" fontId="42" fillId="6" borderId="3" xfId="51" applyNumberFormat="1" applyFont="1" applyBorder="1" applyAlignment="1">
      <alignment horizontal="centerContinuous" vertical="center"/>
    </xf>
    <xf numFmtId="0" fontId="42" fillId="6" borderId="7" xfId="51" applyNumberFormat="1" applyFont="1" applyBorder="1" applyAlignment="1">
      <alignment horizontal="centerContinuous" vertical="center"/>
    </xf>
    <xf numFmtId="0" fontId="42" fillId="6" borderId="0" xfId="51" applyNumberFormat="1" applyFont="1" applyBorder="1" applyAlignment="1">
      <alignment horizontal="centerContinuous" vertical="center"/>
    </xf>
    <xf numFmtId="49" fontId="42" fillId="6" borderId="0" xfId="51" applyFont="1" applyBorder="1" applyAlignment="1">
      <alignment horizontal="centerContinuous" vertical="center"/>
    </xf>
    <xf numFmtId="49" fontId="42" fillId="6" borderId="8" xfId="51" applyFont="1" applyBorder="1" applyAlignment="1">
      <alignment horizontal="centerContinuous" vertical="center"/>
    </xf>
    <xf numFmtId="0" fontId="143" fillId="47" borderId="7" xfId="0" applyFont="1" applyFill="1" applyBorder="1" applyAlignment="1">
      <alignment horizontal="centerContinuous" vertical="center"/>
    </xf>
    <xf numFmtId="0" fontId="42" fillId="6" borderId="8" xfId="51" applyNumberFormat="1" applyFont="1" applyBorder="1" applyAlignment="1">
      <alignment horizontal="centerContinuous" vertical="center"/>
    </xf>
    <xf numFmtId="0" fontId="144" fillId="3" borderId="0" xfId="0" applyFont="1" applyFill="1" applyAlignment="1">
      <alignment vertical="center"/>
    </xf>
    <xf numFmtId="0" fontId="50" fillId="110" borderId="0" xfId="0" applyFont="1" applyFill="1" applyBorder="1" applyAlignment="1">
      <alignment horizontal="right" vertical="center" indent="2"/>
    </xf>
    <xf numFmtId="0" fontId="28" fillId="6" borderId="0" xfId="78" applyFont="1" applyFill="1" applyBorder="1">
      <alignment vertical="center"/>
    </xf>
    <xf numFmtId="49" fontId="52" fillId="54" borderId="40" xfId="8" applyBorder="1">
      <alignment horizontal="left" vertical="center" wrapText="1"/>
      <protection locked="0"/>
    </xf>
    <xf numFmtId="0" fontId="2" fillId="48" borderId="0" xfId="0" applyFont="1" applyFill="1" applyAlignment="1">
      <alignment vertical="center"/>
    </xf>
    <xf numFmtId="176" fontId="146" fillId="63" borderId="0" xfId="97" quotePrefix="1" applyNumberFormat="1" applyFont="1" applyFill="1" applyAlignment="1">
      <alignment horizontal="left" vertical="center"/>
    </xf>
    <xf numFmtId="0" fontId="56" fillId="110" borderId="0" xfId="97" quotePrefix="1" applyFont="1" applyFill="1" applyBorder="1" applyAlignment="1" applyProtection="1">
      <alignment vertical="center"/>
    </xf>
    <xf numFmtId="0" fontId="53" fillId="63" borderId="0" xfId="0" applyFont="1" applyFill="1" applyBorder="1" applyAlignment="1">
      <alignment vertical="center"/>
    </xf>
    <xf numFmtId="0" fontId="120" fillId="63" borderId="0" xfId="0" applyFont="1" applyFill="1" applyBorder="1" applyAlignment="1">
      <alignment horizontal="right" vertical="center" indent="2"/>
    </xf>
    <xf numFmtId="176" fontId="71" fillId="63" borderId="0" xfId="0" quotePrefix="1" applyNumberFormat="1" applyFont="1" applyFill="1" applyBorder="1" applyAlignment="1">
      <alignment horizontal="left" vertical="center"/>
    </xf>
    <xf numFmtId="0" fontId="57" fillId="47" borderId="2" xfId="0" applyFont="1" applyFill="1" applyBorder="1" applyAlignment="1">
      <alignment vertical="center"/>
    </xf>
    <xf numFmtId="0" fontId="148" fillId="47" borderId="2" xfId="0" applyFont="1" applyFill="1" applyBorder="1" applyAlignment="1">
      <alignment vertical="center"/>
    </xf>
    <xf numFmtId="0" fontId="148" fillId="47" borderId="0" xfId="0" applyFont="1" applyFill="1" applyAlignment="1">
      <alignment horizontal="left" vertical="center"/>
    </xf>
    <xf numFmtId="0" fontId="148" fillId="47" borderId="0" xfId="0" applyFont="1" applyFill="1" applyAlignment="1">
      <alignment vertical="center"/>
    </xf>
    <xf numFmtId="0" fontId="149" fillId="47" borderId="0" xfId="0" applyFont="1" applyFill="1" applyAlignment="1">
      <alignment vertical="center"/>
    </xf>
    <xf numFmtId="0" fontId="0" fillId="67" borderId="69" xfId="0" applyFill="1" applyBorder="1" applyAlignment="1">
      <alignment horizontal="center" vertical="center"/>
    </xf>
    <xf numFmtId="0" fontId="2" fillId="3" borderId="0" xfId="0" applyFont="1" applyFill="1" applyAlignment="1">
      <alignment vertical="center"/>
    </xf>
    <xf numFmtId="0" fontId="0" fillId="67" borderId="15" xfId="0" applyFill="1" applyBorder="1" applyAlignment="1">
      <alignment horizontal="center" vertical="center"/>
    </xf>
    <xf numFmtId="0" fontId="0" fillId="3" borderId="15" xfId="0" applyFill="1" applyBorder="1" applyAlignment="1">
      <alignment vertical="center"/>
    </xf>
    <xf numFmtId="0" fontId="0" fillId="67" borderId="201" xfId="0" applyFill="1" applyBorder="1" applyAlignment="1">
      <alignment horizontal="center" vertical="center"/>
    </xf>
    <xf numFmtId="0" fontId="150" fillId="111" borderId="73" xfId="0" applyFont="1" applyFill="1" applyBorder="1" applyAlignment="1">
      <alignment horizontal="center" vertical="center" wrapText="1"/>
    </xf>
    <xf numFmtId="0" fontId="150" fillId="111" borderId="277" xfId="0" applyFont="1" applyFill="1" applyBorder="1" applyAlignment="1">
      <alignment horizontal="center" vertical="center" wrapText="1"/>
    </xf>
    <xf numFmtId="0" fontId="0" fillId="3" borderId="0" xfId="0" applyFill="1" applyBorder="1" applyAlignment="1">
      <alignment vertical="center"/>
    </xf>
    <xf numFmtId="0" fontId="0" fillId="67" borderId="0" xfId="0" applyFill="1" applyBorder="1" applyAlignment="1">
      <alignment horizontal="center" vertical="center"/>
    </xf>
    <xf numFmtId="0" fontId="0" fillId="3" borderId="0" xfId="0" applyFill="1" applyBorder="1" applyAlignment="1">
      <alignment vertical="center" wrapText="1"/>
    </xf>
    <xf numFmtId="0" fontId="0" fillId="3" borderId="0" xfId="0" applyFill="1" applyBorder="1" applyAlignment="1">
      <alignment horizontal="left" vertical="center"/>
    </xf>
    <xf numFmtId="0" fontId="0" fillId="3" borderId="69" xfId="0" applyFill="1" applyBorder="1" applyAlignment="1">
      <alignment vertical="center" wrapText="1"/>
    </xf>
    <xf numFmtId="0" fontId="0" fillId="67" borderId="278" xfId="0" applyFill="1" applyBorder="1" applyAlignment="1">
      <alignment horizontal="center" vertical="center"/>
    </xf>
    <xf numFmtId="0" fontId="0" fillId="67" borderId="279" xfId="0" applyFill="1" applyBorder="1" applyAlignment="1">
      <alignment horizontal="center" vertical="center"/>
    </xf>
    <xf numFmtId="0" fontId="0" fillId="67" borderId="280" xfId="0" applyFill="1" applyBorder="1" applyAlignment="1">
      <alignment horizontal="center" vertical="center"/>
    </xf>
    <xf numFmtId="0" fontId="0" fillId="67" borderId="188" xfId="0" applyFill="1" applyBorder="1" applyAlignment="1">
      <alignment horizontal="center" vertical="center"/>
    </xf>
    <xf numFmtId="0" fontId="0" fillId="3" borderId="0" xfId="0" applyFill="1" applyBorder="1"/>
    <xf numFmtId="0" fontId="71" fillId="3" borderId="0" xfId="0" applyFont="1" applyFill="1"/>
    <xf numFmtId="0" fontId="0" fillId="3" borderId="0" xfId="0" applyFont="1" applyFill="1"/>
    <xf numFmtId="0" fontId="75" fillId="3" borderId="0" xfId="62" applyFill="1">
      <alignment horizontal="right" indent="1" shrinkToFit="1"/>
    </xf>
    <xf numFmtId="0" fontId="2" fillId="3" borderId="0" xfId="63" applyFont="1" applyFill="1"/>
    <xf numFmtId="0" fontId="74" fillId="3" borderId="0" xfId="6" applyFill="1">
      <alignment vertical="center"/>
    </xf>
    <xf numFmtId="0" fontId="60" fillId="3" borderId="0" xfId="5" applyFill="1" applyBorder="1"/>
    <xf numFmtId="0" fontId="74" fillId="3" borderId="0" xfId="6" applyFill="1" applyBorder="1">
      <alignment vertical="center"/>
    </xf>
    <xf numFmtId="0" fontId="61" fillId="3" borderId="0" xfId="0" applyFont="1" applyFill="1" applyBorder="1" applyAlignment="1">
      <alignment horizontal="center"/>
    </xf>
    <xf numFmtId="0" fontId="8" fillId="3" borderId="38" xfId="50" applyFont="1" applyFill="1" applyBorder="1" applyAlignment="1">
      <alignment vertical="center" wrapText="1"/>
    </xf>
    <xf numFmtId="0" fontId="70" fillId="3" borderId="41" xfId="50" applyFont="1" applyFill="1" applyBorder="1" applyAlignment="1">
      <alignment horizontal="center" vertical="center" wrapText="1"/>
    </xf>
    <xf numFmtId="0" fontId="8" fillId="3" borderId="40" xfId="50" applyFont="1" applyFill="1" applyBorder="1" applyAlignment="1">
      <alignment vertical="center" wrapText="1"/>
    </xf>
    <xf numFmtId="0" fontId="70" fillId="3" borderId="19" xfId="50" applyFont="1" applyFill="1" applyBorder="1" applyAlignment="1">
      <alignment horizontal="center" vertical="center" wrapText="1"/>
    </xf>
    <xf numFmtId="0" fontId="68" fillId="3" borderId="0" xfId="0" applyFont="1" applyFill="1"/>
    <xf numFmtId="0" fontId="2" fillId="3" borderId="0" xfId="0" applyFont="1" applyFill="1"/>
    <xf numFmtId="0" fontId="52" fillId="3" borderId="38" xfId="50" applyFill="1" applyBorder="1" applyAlignment="1">
      <alignment horizontal="left" vertical="center"/>
    </xf>
    <xf numFmtId="0" fontId="64" fillId="3" borderId="41" xfId="50" applyFont="1" applyFill="1" applyBorder="1" applyAlignment="1">
      <alignment horizontal="center" vertical="center" wrapText="1"/>
    </xf>
    <xf numFmtId="0" fontId="52" fillId="3" borderId="33" xfId="50" applyFill="1" applyBorder="1" applyAlignment="1">
      <alignment horizontal="left" vertical="center"/>
    </xf>
    <xf numFmtId="0" fontId="64" fillId="3" borderId="16" xfId="50" applyFont="1" applyFill="1" applyBorder="1" applyAlignment="1">
      <alignment horizontal="center" vertical="center" wrapText="1"/>
    </xf>
    <xf numFmtId="0" fontId="52" fillId="3" borderId="40" xfId="50" applyFill="1" applyBorder="1" applyAlignment="1">
      <alignment horizontal="left" vertical="center"/>
    </xf>
    <xf numFmtId="0" fontId="64" fillId="3" borderId="19" xfId="50" applyFont="1" applyFill="1" applyBorder="1" applyAlignment="1">
      <alignment horizontal="center" vertical="center" wrapText="1"/>
    </xf>
    <xf numFmtId="0" fontId="52" fillId="50" borderId="0" xfId="4" applyFont="1" applyFill="1">
      <alignment vertical="center"/>
    </xf>
    <xf numFmtId="0" fontId="80" fillId="3" borderId="53" xfId="0" applyFont="1" applyFill="1" applyBorder="1" applyAlignment="1">
      <alignment horizontal="center" vertical="center"/>
    </xf>
    <xf numFmtId="0" fontId="8" fillId="3" borderId="38" xfId="50" applyFont="1" applyFill="1" applyBorder="1">
      <alignment horizontal="left" vertical="center" wrapText="1" indent="1"/>
    </xf>
    <xf numFmtId="0" fontId="70" fillId="3" borderId="36" xfId="50" applyFont="1" applyFill="1" applyBorder="1" applyAlignment="1">
      <alignment horizontal="center" vertical="center" wrapText="1"/>
    </xf>
    <xf numFmtId="0" fontId="8" fillId="3" borderId="33" xfId="50" applyFont="1" applyFill="1" applyBorder="1" applyAlignment="1">
      <alignment horizontal="left" vertical="center" wrapText="1" indent="3"/>
    </xf>
    <xf numFmtId="0" fontId="70" fillId="3" borderId="12" xfId="50" applyFont="1" applyFill="1" applyBorder="1" applyAlignment="1">
      <alignment horizontal="center" vertical="center" wrapText="1"/>
    </xf>
    <xf numFmtId="0" fontId="8" fillId="3" borderId="40" xfId="50" applyFont="1" applyFill="1" applyBorder="1">
      <alignment horizontal="left" vertical="center" wrapText="1" indent="1"/>
    </xf>
    <xf numFmtId="0" fontId="70" fillId="3" borderId="18" xfId="50" applyFont="1" applyFill="1" applyBorder="1" applyAlignment="1">
      <alignment horizontal="center" vertical="center" wrapText="1"/>
    </xf>
    <xf numFmtId="0" fontId="0" fillId="3" borderId="0" xfId="0" applyFont="1" applyFill="1" applyAlignment="1">
      <alignment vertical="center"/>
    </xf>
    <xf numFmtId="0" fontId="75" fillId="3" borderId="0" xfId="62" applyFill="1" applyBorder="1">
      <alignment horizontal="right" indent="1" shrinkToFit="1"/>
    </xf>
    <xf numFmtId="0" fontId="145" fillId="3" borderId="0" xfId="6" quotePrefix="1" applyFont="1" applyFill="1">
      <alignment vertical="center"/>
    </xf>
    <xf numFmtId="0" fontId="74" fillId="3" borderId="0" xfId="6" quotePrefix="1" applyFill="1">
      <alignment vertical="center"/>
    </xf>
    <xf numFmtId="0" fontId="16" fillId="3" borderId="0" xfId="5" quotePrefix="1" applyFont="1" applyFill="1" applyBorder="1"/>
    <xf numFmtId="0" fontId="68" fillId="3" borderId="36" xfId="0" applyFont="1" applyFill="1" applyBorder="1" applyAlignment="1">
      <alignment horizontal="center"/>
    </xf>
    <xf numFmtId="0" fontId="68" fillId="3" borderId="12" xfId="0" applyFont="1" applyFill="1" applyBorder="1" applyAlignment="1">
      <alignment horizontal="center"/>
    </xf>
    <xf numFmtId="0" fontId="52" fillId="3" borderId="38" xfId="50" applyFill="1" applyBorder="1">
      <alignment horizontal="left" vertical="center" wrapText="1" indent="1"/>
    </xf>
    <xf numFmtId="0" fontId="52" fillId="3" borderId="36" xfId="50" applyFill="1" applyBorder="1" applyAlignment="1">
      <alignment horizontal="center" vertical="center" wrapText="1"/>
    </xf>
    <xf numFmtId="0" fontId="52" fillId="3" borderId="33" xfId="50" applyFill="1" applyBorder="1">
      <alignment horizontal="left" vertical="center" wrapText="1" indent="1"/>
    </xf>
    <xf numFmtId="0" fontId="52" fillId="3" borderId="12" xfId="50" applyFill="1" applyBorder="1" applyAlignment="1">
      <alignment horizontal="center" vertical="center" wrapText="1"/>
    </xf>
    <xf numFmtId="0" fontId="0" fillId="3" borderId="203" xfId="0" applyFill="1" applyBorder="1" applyAlignment="1">
      <alignment horizontal="left" vertical="center" indent="1"/>
    </xf>
    <xf numFmtId="0" fontId="0" fillId="3" borderId="198" xfId="0" applyFill="1" applyBorder="1" applyAlignment="1">
      <alignment horizontal="left" vertical="center" indent="1"/>
    </xf>
    <xf numFmtId="0" fontId="0" fillId="3" borderId="204" xfId="0" applyFill="1" applyBorder="1" applyAlignment="1">
      <alignment horizontal="left" vertical="center" indent="1"/>
    </xf>
    <xf numFmtId="0" fontId="0" fillId="3" borderId="272" xfId="0" applyFill="1" applyBorder="1" applyAlignment="1">
      <alignment horizontal="left" vertical="center" indent="1"/>
    </xf>
    <xf numFmtId="0" fontId="148" fillId="11" borderId="0" xfId="98" applyFont="1" applyAlignment="1">
      <alignment horizontal="left" vertical="center"/>
      <protection locked="0"/>
    </xf>
    <xf numFmtId="0" fontId="0" fillId="3" borderId="201" xfId="0" applyFill="1" applyBorder="1" applyAlignment="1">
      <alignment vertical="center"/>
    </xf>
    <xf numFmtId="0" fontId="0" fillId="3" borderId="69" xfId="0" applyFill="1" applyBorder="1" applyAlignment="1">
      <alignment vertical="center"/>
    </xf>
    <xf numFmtId="0" fontId="0" fillId="3" borderId="0" xfId="0" applyFill="1" applyAlignment="1">
      <alignment horizontal="center"/>
    </xf>
    <xf numFmtId="0" fontId="39" fillId="3" borderId="0" xfId="0" applyFont="1" applyFill="1" applyAlignment="1">
      <alignment vertical="center"/>
    </xf>
    <xf numFmtId="0" fontId="0" fillId="3" borderId="0" xfId="0" quotePrefix="1" applyFill="1"/>
    <xf numFmtId="176" fontId="142" fillId="63" borderId="0" xfId="97" quotePrefix="1" applyNumberFormat="1" applyFill="1" applyAlignment="1">
      <alignment horizontal="left" vertical="center"/>
    </xf>
    <xf numFmtId="0" fontId="53" fillId="3" borderId="1" xfId="0" applyFont="1" applyFill="1" applyBorder="1"/>
    <xf numFmtId="0" fontId="53" fillId="3" borderId="2" xfId="0" applyFont="1" applyFill="1" applyBorder="1"/>
    <xf numFmtId="0" fontId="53" fillId="3" borderId="3" xfId="0" applyFont="1" applyFill="1" applyBorder="1"/>
    <xf numFmtId="0" fontId="53" fillId="3" borderId="4" xfId="0" applyFont="1" applyFill="1" applyBorder="1" applyAlignment="1">
      <alignment vertical="center"/>
    </xf>
    <xf numFmtId="0" fontId="53" fillId="3" borderId="5" xfId="0" applyFont="1" applyFill="1" applyBorder="1" applyAlignment="1">
      <alignment vertical="center"/>
    </xf>
    <xf numFmtId="0" fontId="53" fillId="3" borderId="6" xfId="0" applyFont="1" applyFill="1" applyBorder="1" applyAlignment="1">
      <alignment vertical="center"/>
    </xf>
    <xf numFmtId="0" fontId="53" fillId="3" borderId="7" xfId="0" applyFont="1" applyFill="1" applyBorder="1"/>
    <xf numFmtId="0" fontId="55" fillId="3" borderId="7" xfId="0" applyFont="1" applyFill="1" applyBorder="1" applyAlignment="1">
      <alignment vertical="center"/>
    </xf>
    <xf numFmtId="0" fontId="53" fillId="3" borderId="8" xfId="0" applyFont="1" applyFill="1" applyBorder="1"/>
    <xf numFmtId="0" fontId="55" fillId="3" borderId="8" xfId="0" applyFont="1" applyFill="1" applyBorder="1" applyAlignment="1">
      <alignment vertical="center"/>
    </xf>
    <xf numFmtId="0" fontId="53" fillId="3" borderId="7" xfId="0" applyFont="1" applyFill="1" applyBorder="1" applyAlignment="1">
      <alignment vertical="center"/>
    </xf>
    <xf numFmtId="0" fontId="2" fillId="63" borderId="0" xfId="0" applyFont="1" applyFill="1" applyAlignment="1">
      <alignment horizontal="right" vertical="center"/>
    </xf>
    <xf numFmtId="0" fontId="53" fillId="3" borderId="8" xfId="0" applyFont="1" applyFill="1" applyBorder="1" applyAlignment="1">
      <alignment vertical="center"/>
    </xf>
    <xf numFmtId="0" fontId="41" fillId="11" borderId="0" xfId="3" applyFont="1">
      <alignment vertical="center"/>
    </xf>
    <xf numFmtId="49" fontId="41" fillId="6" borderId="0" xfId="51" applyFont="1" applyAlignment="1">
      <alignment horizontal="left" vertical="center"/>
    </xf>
    <xf numFmtId="0" fontId="5" fillId="7" borderId="30" xfId="0" applyFont="1" applyFill="1" applyBorder="1" applyAlignment="1" applyProtection="1">
      <alignment horizontal="left"/>
      <protection locked="0"/>
    </xf>
    <xf numFmtId="0" fontId="5" fillId="7" borderId="10" xfId="0" applyFont="1" applyFill="1" applyBorder="1" applyAlignment="1" applyProtection="1">
      <alignment horizontal="left"/>
      <protection locked="0"/>
    </xf>
    <xf numFmtId="0" fontId="5" fillId="7" borderId="17" xfId="0" applyFont="1" applyFill="1" applyBorder="1" applyAlignment="1" applyProtection="1">
      <alignment horizontal="left"/>
      <protection locked="0"/>
    </xf>
    <xf numFmtId="0" fontId="5" fillId="2" borderId="0" xfId="0" applyFont="1" applyFill="1" applyAlignment="1">
      <alignment horizontal="left"/>
    </xf>
    <xf numFmtId="0" fontId="5" fillId="7" borderId="0" xfId="0" applyFont="1" applyFill="1" applyAlignment="1" applyProtection="1">
      <alignment horizontal="left"/>
      <protection locked="0"/>
    </xf>
    <xf numFmtId="0" fontId="5" fillId="7" borderId="0" xfId="0" applyFont="1" applyFill="1" applyAlignment="1" applyProtection="1">
      <protection locked="0"/>
    </xf>
    <xf numFmtId="0" fontId="36" fillId="8" borderId="0" xfId="0" applyFont="1" applyFill="1" applyBorder="1" applyAlignment="1">
      <alignment horizontal="right"/>
    </xf>
    <xf numFmtId="0" fontId="38" fillId="8" borderId="0" xfId="0" quotePrefix="1" applyFont="1" applyFill="1" applyBorder="1" applyAlignment="1">
      <alignment horizontal="right" vertical="center"/>
    </xf>
    <xf numFmtId="0" fontId="38" fillId="8" borderId="0" xfId="0" applyFont="1" applyFill="1" applyBorder="1" applyAlignment="1">
      <alignment horizontal="right" vertical="center"/>
    </xf>
    <xf numFmtId="167" fontId="14" fillId="2" borderId="0" xfId="0" applyNumberFormat="1" applyFont="1" applyFill="1" applyAlignment="1">
      <alignment horizontal="left" vertical="center" wrapText="1"/>
    </xf>
    <xf numFmtId="0" fontId="38" fillId="8" borderId="0" xfId="0" applyFont="1" applyFill="1" applyAlignment="1">
      <alignment horizontal="center" vertical="center" wrapText="1"/>
    </xf>
    <xf numFmtId="0" fontId="36" fillId="8" borderId="0" xfId="0" applyFont="1" applyFill="1" applyBorder="1" applyAlignment="1">
      <alignment horizontal="right" vertical="center"/>
    </xf>
    <xf numFmtId="0" fontId="14" fillId="2" borderId="0" xfId="0" applyFont="1" applyFill="1" applyAlignment="1" applyProtection="1">
      <alignment vertical="center"/>
      <protection locked="0"/>
    </xf>
    <xf numFmtId="0" fontId="34" fillId="5" borderId="0" xfId="3" applyFont="1" applyFill="1" applyAlignment="1">
      <alignment horizontal="justify" vertical="center" wrapText="1"/>
    </xf>
    <xf numFmtId="0" fontId="15" fillId="44" borderId="0" xfId="0" quotePrefix="1" applyFont="1" applyFill="1" applyBorder="1" applyAlignment="1" applyProtection="1">
      <alignment horizontal="center" vertical="center"/>
    </xf>
    <xf numFmtId="0" fontId="15" fillId="2" borderId="0" xfId="0" applyFont="1" applyFill="1" applyBorder="1" applyAlignment="1">
      <alignment horizontal="center" vertical="top"/>
    </xf>
    <xf numFmtId="0" fontId="5" fillId="2" borderId="0" xfId="0" quotePrefix="1" applyFont="1" applyFill="1" applyBorder="1" applyAlignment="1" applyProtection="1">
      <protection locked="0"/>
    </xf>
    <xf numFmtId="0" fontId="14" fillId="7" borderId="0" xfId="0" applyFont="1" applyFill="1" applyAlignment="1" applyProtection="1">
      <alignment vertical="center"/>
      <protection locked="0"/>
    </xf>
    <xf numFmtId="170" fontId="5" fillId="2" borderId="0" xfId="0" quotePrefix="1" applyNumberFormat="1" applyFont="1" applyFill="1" applyBorder="1" applyAlignment="1" applyProtection="1">
      <alignment horizontal="left"/>
      <protection locked="0"/>
    </xf>
    <xf numFmtId="0" fontId="12" fillId="8" borderId="0" xfId="0" applyFont="1" applyFill="1" applyBorder="1" applyAlignment="1">
      <alignment horizontal="right" vertical="top"/>
    </xf>
    <xf numFmtId="0" fontId="15" fillId="7" borderId="0" xfId="0" applyFont="1" applyFill="1" applyBorder="1" applyAlignment="1" applyProtection="1">
      <alignment horizontal="center" vertical="center"/>
      <protection locked="0"/>
    </xf>
    <xf numFmtId="0" fontId="4" fillId="2" borderId="0" xfId="0" applyFont="1" applyFill="1" applyAlignment="1" applyProtection="1">
      <alignment horizontal="left" vertical="top" indent="1"/>
    </xf>
    <xf numFmtId="14" fontId="4" fillId="7" borderId="0" xfId="0" quotePrefix="1" applyNumberFormat="1" applyFont="1" applyFill="1" applyAlignment="1" applyProtection="1">
      <alignment horizontal="left" vertical="top" indent="1"/>
      <protection locked="0"/>
    </xf>
    <xf numFmtId="14" fontId="4" fillId="7" borderId="0" xfId="0" applyNumberFormat="1" applyFont="1" applyFill="1" applyAlignment="1" applyProtection="1">
      <alignment horizontal="left" vertical="top" indent="1"/>
      <protection locked="0"/>
    </xf>
    <xf numFmtId="0" fontId="15" fillId="5" borderId="0" xfId="0" applyFont="1" applyFill="1" applyBorder="1" applyAlignment="1" applyProtection="1">
      <alignment horizontal="center" vertical="top"/>
    </xf>
    <xf numFmtId="0" fontId="4" fillId="7" borderId="0" xfId="0" applyFont="1" applyFill="1" applyAlignment="1" applyProtection="1">
      <alignment horizontal="left" vertical="top" indent="1"/>
      <protection locked="0"/>
    </xf>
    <xf numFmtId="0" fontId="5" fillId="7" borderId="0" xfId="0" applyFont="1" applyFill="1" applyAlignment="1" applyProtection="1">
      <alignment horizontal="left" vertical="top" indent="1"/>
      <protection locked="0"/>
    </xf>
    <xf numFmtId="0" fontId="12" fillId="8" borderId="0" xfId="0" applyFont="1" applyFill="1" applyBorder="1" applyAlignment="1">
      <alignment horizontal="right" vertical="top" wrapText="1"/>
    </xf>
    <xf numFmtId="0" fontId="15" fillId="7" borderId="0" xfId="0" applyFont="1" applyFill="1" applyBorder="1" applyAlignment="1" applyProtection="1">
      <alignment horizontal="center" vertical="top"/>
      <protection locked="0"/>
    </xf>
    <xf numFmtId="0" fontId="2" fillId="48" borderId="0" xfId="0" applyFont="1" applyFill="1" applyAlignment="1">
      <alignment horizontal="left" vertical="center" wrapText="1"/>
    </xf>
    <xf numFmtId="0" fontId="8" fillId="108" borderId="0" xfId="99" applyFont="1" applyFill="1" applyAlignment="1">
      <alignment horizontal="left" vertical="center" wrapText="1"/>
    </xf>
    <xf numFmtId="0" fontId="150" fillId="111" borderId="273" xfId="0" applyFont="1" applyFill="1" applyBorder="1" applyAlignment="1">
      <alignment horizontal="center" vertical="center" wrapText="1"/>
    </xf>
    <xf numFmtId="0" fontId="150" fillId="111" borderId="276" xfId="0" applyFont="1" applyFill="1" applyBorder="1" applyAlignment="1">
      <alignment horizontal="center" vertical="center" wrapText="1"/>
    </xf>
    <xf numFmtId="0" fontId="150" fillId="111" borderId="274" xfId="0" applyFont="1" applyFill="1" applyBorder="1" applyAlignment="1">
      <alignment horizontal="center" vertical="center" wrapText="1"/>
    </xf>
    <xf numFmtId="0" fontId="150" fillId="111" borderId="73" xfId="0" applyFont="1" applyFill="1" applyBorder="1" applyAlignment="1">
      <alignment horizontal="center" vertical="center" wrapText="1"/>
    </xf>
    <xf numFmtId="0" fontId="150" fillId="111" borderId="275" xfId="0" applyFont="1" applyFill="1" applyBorder="1" applyAlignment="1">
      <alignment horizontal="center" vertical="center" wrapText="1"/>
    </xf>
    <xf numFmtId="0" fontId="82" fillId="5" borderId="80" xfId="0" applyFont="1" applyFill="1" applyBorder="1" applyAlignment="1">
      <alignment horizontal="center" vertical="center" wrapText="1"/>
    </xf>
    <xf numFmtId="0" fontId="82" fillId="5" borderId="73" xfId="0" applyFont="1" applyFill="1" applyBorder="1" applyAlignment="1">
      <alignment horizontal="center" vertical="center" wrapText="1"/>
    </xf>
    <xf numFmtId="0" fontId="82" fillId="5" borderId="81" xfId="0" applyFont="1" applyFill="1" applyBorder="1" applyAlignment="1">
      <alignment horizontal="center" vertical="center" wrapText="1"/>
    </xf>
    <xf numFmtId="0" fontId="82" fillId="5" borderId="55" xfId="0" applyFont="1" applyFill="1" applyBorder="1" applyAlignment="1">
      <alignment horizontal="center" vertical="center" wrapText="1"/>
    </xf>
    <xf numFmtId="0" fontId="82" fillId="5" borderId="0" xfId="0" applyFont="1" applyFill="1" applyBorder="1" applyAlignment="1">
      <alignment horizontal="center" vertical="center" wrapText="1"/>
    </xf>
    <xf numFmtId="0" fontId="82" fillId="5" borderId="56" xfId="0" applyFont="1" applyFill="1" applyBorder="1" applyAlignment="1">
      <alignment horizontal="center" vertical="center" wrapText="1"/>
    </xf>
    <xf numFmtId="0" fontId="68" fillId="3" borderId="61" xfId="0" applyFont="1" applyFill="1" applyBorder="1" applyAlignment="1">
      <alignment horizontal="center" vertical="center"/>
    </xf>
    <xf numFmtId="0" fontId="68" fillId="3" borderId="62" xfId="0" applyFont="1" applyFill="1" applyBorder="1" applyAlignment="1">
      <alignment horizontal="center" vertical="center"/>
    </xf>
    <xf numFmtId="0" fontId="68" fillId="3" borderId="63" xfId="0" applyFont="1" applyFill="1" applyBorder="1" applyAlignment="1">
      <alignment horizontal="center" vertical="center"/>
    </xf>
    <xf numFmtId="0" fontId="82" fillId="3" borderId="61" xfId="0" applyFont="1" applyFill="1" applyBorder="1" applyAlignment="1">
      <alignment horizontal="center" vertical="top" wrapText="1"/>
    </xf>
    <xf numFmtId="0" fontId="82" fillId="3" borderId="62" xfId="0" applyFont="1" applyFill="1" applyBorder="1" applyAlignment="1">
      <alignment horizontal="center" vertical="top" wrapText="1"/>
    </xf>
    <xf numFmtId="0" fontId="82" fillId="3" borderId="63" xfId="0" applyFont="1" applyFill="1" applyBorder="1" applyAlignment="1">
      <alignment horizontal="center" vertical="top" wrapText="1"/>
    </xf>
    <xf numFmtId="0" fontId="82" fillId="3" borderId="55" xfId="0" applyFont="1" applyFill="1" applyBorder="1" applyAlignment="1">
      <alignment horizontal="center" vertical="top" wrapText="1"/>
    </xf>
    <xf numFmtId="0" fontId="82" fillId="3" borderId="0" xfId="0" applyFont="1" applyFill="1" applyBorder="1" applyAlignment="1">
      <alignment horizontal="center" vertical="top" wrapText="1"/>
    </xf>
    <xf numFmtId="0" fontId="82" fillId="3" borderId="56" xfId="0" applyFont="1" applyFill="1" applyBorder="1" applyAlignment="1">
      <alignment horizontal="center" vertical="top" wrapText="1"/>
    </xf>
    <xf numFmtId="0" fontId="82" fillId="3" borderId="58" xfId="0" applyFont="1" applyFill="1" applyBorder="1" applyAlignment="1">
      <alignment horizontal="center" vertical="top" wrapText="1"/>
    </xf>
    <xf numFmtId="0" fontId="82" fillId="3" borderId="59" xfId="0" applyFont="1" applyFill="1" applyBorder="1" applyAlignment="1">
      <alignment horizontal="center" vertical="top" wrapText="1"/>
    </xf>
    <xf numFmtId="0" fontId="82" fillId="3" borderId="60" xfId="0" applyFont="1" applyFill="1" applyBorder="1" applyAlignment="1">
      <alignment horizontal="center" vertical="top" wrapText="1"/>
    </xf>
    <xf numFmtId="0" fontId="82" fillId="5" borderId="66" xfId="0" applyFont="1" applyFill="1" applyBorder="1" applyAlignment="1">
      <alignment horizontal="center" vertical="center" wrapText="1"/>
    </xf>
    <xf numFmtId="0" fontId="82" fillId="5" borderId="67" xfId="0" applyFont="1" applyFill="1" applyBorder="1" applyAlignment="1">
      <alignment horizontal="center" vertical="center" wrapText="1"/>
    </xf>
    <xf numFmtId="0" fontId="82" fillId="5" borderId="68" xfId="0" applyFont="1" applyFill="1" applyBorder="1" applyAlignment="1">
      <alignment horizontal="center" vertical="center" wrapText="1"/>
    </xf>
    <xf numFmtId="0" fontId="82" fillId="5" borderId="82" xfId="0" applyFont="1" applyFill="1" applyBorder="1" applyAlignment="1">
      <alignment horizontal="center" vertical="center" wrapText="1"/>
    </xf>
    <xf numFmtId="0" fontId="82" fillId="5" borderId="83" xfId="0" applyFont="1" applyFill="1" applyBorder="1" applyAlignment="1">
      <alignment horizontal="center" vertical="center" wrapText="1"/>
    </xf>
    <xf numFmtId="0" fontId="82" fillId="5" borderId="84" xfId="0" applyFont="1" applyFill="1" applyBorder="1" applyAlignment="1">
      <alignment horizontal="center" vertical="center" wrapText="1"/>
    </xf>
    <xf numFmtId="0" fontId="85" fillId="5" borderId="58" xfId="0" applyFont="1" applyFill="1" applyBorder="1" applyAlignment="1">
      <alignment horizontal="center" vertical="center" wrapText="1"/>
    </xf>
    <xf numFmtId="0" fontId="85" fillId="5" borderId="59" xfId="0" applyFont="1" applyFill="1" applyBorder="1" applyAlignment="1">
      <alignment horizontal="center" vertical="center" wrapText="1"/>
    </xf>
    <xf numFmtId="0" fontId="85" fillId="5" borderId="60" xfId="0" applyFont="1" applyFill="1" applyBorder="1" applyAlignment="1">
      <alignment horizontal="center" vertical="center" wrapText="1"/>
    </xf>
    <xf numFmtId="0" fontId="82" fillId="5" borderId="0" xfId="0" applyFont="1" applyFill="1" applyAlignment="1">
      <alignment horizontal="center" vertical="center" wrapText="1"/>
    </xf>
    <xf numFmtId="0" fontId="0" fillId="0" borderId="0" xfId="0"/>
    <xf numFmtId="0" fontId="2" fillId="67" borderId="7" xfId="0" applyFont="1" applyFill="1" applyBorder="1" applyAlignment="1">
      <alignment horizontal="center" vertical="top"/>
    </xf>
    <xf numFmtId="0" fontId="2" fillId="67" borderId="0" xfId="0" applyFont="1" applyFill="1" applyAlignment="1">
      <alignment horizontal="center" vertical="top"/>
    </xf>
    <xf numFmtId="0" fontId="93" fillId="89" borderId="0" xfId="0" applyFont="1" applyFill="1" applyAlignment="1">
      <alignment horizontal="right" vertical="center" wrapText="1"/>
    </xf>
    <xf numFmtId="0" fontId="98" fillId="91" borderId="158" xfId="0" applyFont="1" applyFill="1" applyBorder="1" applyAlignment="1">
      <alignment horizontal="right" vertical="center" wrapText="1"/>
    </xf>
    <xf numFmtId="0" fontId="98" fillId="91" borderId="163" xfId="0" applyFont="1" applyFill="1" applyBorder="1" applyAlignment="1">
      <alignment horizontal="right" vertical="center" wrapText="1"/>
    </xf>
    <xf numFmtId="0" fontId="98" fillId="91" borderId="168" xfId="0" applyFont="1" applyFill="1" applyBorder="1" applyAlignment="1">
      <alignment horizontal="right" vertical="center" wrapText="1"/>
    </xf>
    <xf numFmtId="0" fontId="98" fillId="91" borderId="8" xfId="0" applyFont="1" applyFill="1" applyBorder="1" applyAlignment="1">
      <alignment horizontal="right" vertical="center" wrapText="1"/>
    </xf>
    <xf numFmtId="0" fontId="98" fillId="93" borderId="8" xfId="0" applyFont="1" applyFill="1" applyBorder="1" applyAlignment="1">
      <alignment horizontal="right" vertical="center" wrapText="1"/>
    </xf>
    <xf numFmtId="0" fontId="98" fillId="93" borderId="0" xfId="0" applyFont="1" applyFill="1" applyAlignment="1">
      <alignment horizontal="right" vertical="center" wrapText="1"/>
    </xf>
    <xf numFmtId="0" fontId="98" fillId="95" borderId="0" xfId="0" applyFont="1" applyFill="1" applyAlignment="1">
      <alignment horizontal="right" vertical="center"/>
    </xf>
    <xf numFmtId="0" fontId="98" fillId="95" borderId="8" xfId="0" applyFont="1" applyFill="1" applyBorder="1" applyAlignment="1">
      <alignment horizontal="right" vertical="center"/>
    </xf>
    <xf numFmtId="0" fontId="98" fillId="91" borderId="150" xfId="0" applyFont="1" applyFill="1" applyBorder="1" applyAlignment="1">
      <alignment horizontal="right" vertical="center" wrapText="1"/>
    </xf>
    <xf numFmtId="0" fontId="98" fillId="91" borderId="154" xfId="0" applyFont="1" applyFill="1" applyBorder="1" applyAlignment="1">
      <alignment horizontal="right" vertical="center" wrapText="1"/>
    </xf>
    <xf numFmtId="0" fontId="98" fillId="66" borderId="0" xfId="0" applyFont="1" applyFill="1" applyAlignment="1">
      <alignment horizontal="right" vertical="center" wrapText="1"/>
    </xf>
    <xf numFmtId="0" fontId="101" fillId="89" borderId="0" xfId="0" applyFont="1" applyFill="1" applyAlignment="1">
      <alignment horizontal="right" vertical="center" wrapText="1"/>
    </xf>
    <xf numFmtId="0" fontId="0" fillId="3" borderId="89" xfId="0" applyFill="1" applyBorder="1" applyAlignment="1">
      <alignment vertical="center"/>
    </xf>
    <xf numFmtId="0" fontId="0" fillId="3" borderId="130" xfId="0" applyFill="1" applyBorder="1" applyAlignment="1">
      <alignment vertical="center"/>
    </xf>
    <xf numFmtId="0" fontId="0" fillId="3" borderId="133" xfId="0" applyFill="1" applyBorder="1" applyAlignment="1">
      <alignment vertical="center"/>
    </xf>
    <xf numFmtId="0" fontId="0" fillId="3" borderId="136" xfId="0" applyFill="1" applyBorder="1" applyAlignment="1">
      <alignment vertical="center"/>
    </xf>
    <xf numFmtId="0" fontId="101" fillId="89" borderId="8" xfId="0" applyFont="1" applyFill="1" applyBorder="1" applyAlignment="1">
      <alignment horizontal="right" vertical="center" wrapText="1"/>
    </xf>
    <xf numFmtId="0" fontId="32" fillId="103" borderId="89" xfId="0" applyFont="1" applyFill="1" applyBorder="1" applyAlignment="1">
      <alignment horizontal="center" vertical="center" wrapText="1"/>
    </xf>
    <xf numFmtId="0" fontId="32" fillId="103" borderId="130" xfId="0" applyFont="1" applyFill="1" applyBorder="1" applyAlignment="1">
      <alignment horizontal="center" vertical="center" wrapText="1"/>
    </xf>
    <xf numFmtId="0" fontId="32" fillId="103" borderId="199" xfId="0" applyFont="1" applyFill="1" applyBorder="1" applyAlignment="1">
      <alignment horizontal="center" vertical="center" wrapText="1"/>
    </xf>
    <xf numFmtId="0" fontId="3" fillId="0" borderId="197" xfId="0" applyFont="1" applyBorder="1"/>
    <xf numFmtId="0" fontId="3" fillId="0" borderId="0" xfId="0" applyFont="1"/>
    <xf numFmtId="0" fontId="120" fillId="2" borderId="2" xfId="0" applyFont="1" applyFill="1" applyBorder="1" applyAlignment="1">
      <alignment horizontal="center"/>
    </xf>
    <xf numFmtId="0" fontId="5" fillId="100" borderId="1" xfId="0" applyFont="1" applyFill="1" applyBorder="1" applyAlignment="1">
      <alignment horizontal="left" vertical="top" wrapText="1"/>
    </xf>
    <xf numFmtId="0" fontId="5" fillId="100" borderId="2" xfId="0" applyFont="1" applyFill="1" applyBorder="1" applyAlignment="1">
      <alignment horizontal="left" vertical="top" wrapText="1"/>
    </xf>
    <xf numFmtId="0" fontId="93" fillId="85" borderId="2" xfId="0" applyFont="1" applyFill="1" applyBorder="1" applyAlignment="1">
      <alignment horizontal="center"/>
    </xf>
    <xf numFmtId="0" fontId="93" fillId="96" borderId="89" xfId="0" applyFont="1" applyFill="1" applyBorder="1" applyAlignment="1">
      <alignment horizontal="center"/>
    </xf>
    <xf numFmtId="0" fontId="93" fillId="96" borderId="130" xfId="0" applyFont="1" applyFill="1" applyBorder="1" applyAlignment="1">
      <alignment horizontal="center"/>
    </xf>
    <xf numFmtId="0" fontId="93" fillId="96" borderId="199" xfId="0" applyFont="1" applyFill="1" applyBorder="1" applyAlignment="1">
      <alignment horizontal="center"/>
    </xf>
    <xf numFmtId="0" fontId="2" fillId="67" borderId="1" xfId="0" applyFont="1" applyFill="1" applyBorder="1" applyAlignment="1">
      <alignment horizontal="center" vertical="center"/>
    </xf>
    <xf numFmtId="0" fontId="2" fillId="67" borderId="2" xfId="0" applyFont="1" applyFill="1" applyBorder="1" applyAlignment="1">
      <alignment horizontal="center" vertical="center"/>
    </xf>
    <xf numFmtId="0" fontId="2" fillId="67" borderId="3" xfId="0" applyFont="1" applyFill="1" applyBorder="1" applyAlignment="1">
      <alignment horizontal="center" vertical="center"/>
    </xf>
    <xf numFmtId="0" fontId="2" fillId="67" borderId="7" xfId="0" applyFont="1" applyFill="1" applyBorder="1" applyAlignment="1">
      <alignment horizontal="center" vertical="center"/>
    </xf>
    <xf numFmtId="0" fontId="2" fillId="67" borderId="0" xfId="0" applyFont="1" applyFill="1" applyAlignment="1">
      <alignment horizontal="center" vertical="center"/>
    </xf>
    <xf numFmtId="0" fontId="2" fillId="67" borderId="8" xfId="0" applyFont="1" applyFill="1" applyBorder="1" applyAlignment="1">
      <alignment horizontal="center" vertical="center"/>
    </xf>
    <xf numFmtId="0" fontId="2" fillId="67" borderId="4" xfId="0" applyFont="1" applyFill="1" applyBorder="1" applyAlignment="1">
      <alignment horizontal="center" vertical="center"/>
    </xf>
    <xf numFmtId="0" fontId="2" fillId="67" borderId="5" xfId="0" applyFont="1" applyFill="1" applyBorder="1" applyAlignment="1">
      <alignment horizontal="center" vertical="center"/>
    </xf>
    <xf numFmtId="0" fontId="2" fillId="67" borderId="6" xfId="0" applyFont="1" applyFill="1" applyBorder="1" applyAlignment="1">
      <alignment horizontal="center" vertical="center"/>
    </xf>
    <xf numFmtId="0" fontId="3" fillId="105" borderId="233" xfId="0" applyFont="1" applyFill="1" applyBorder="1" applyAlignment="1">
      <alignment horizontal="left" vertical="center" indent="4"/>
    </xf>
    <xf numFmtId="0" fontId="3" fillId="105" borderId="109" xfId="0" applyFont="1" applyFill="1" applyBorder="1" applyAlignment="1">
      <alignment horizontal="left" vertical="center" indent="4"/>
    </xf>
    <xf numFmtId="0" fontId="0" fillId="0" borderId="214" xfId="0" applyBorder="1" applyAlignment="1">
      <alignment horizontal="right" vertical="center" wrapText="1"/>
    </xf>
    <xf numFmtId="0" fontId="0" fillId="0" borderId="8" xfId="0" applyBorder="1" applyAlignment="1">
      <alignment horizontal="right" vertical="center" wrapText="1"/>
    </xf>
    <xf numFmtId="0" fontId="0" fillId="0" borderId="203" xfId="0" applyBorder="1" applyAlignment="1">
      <alignment horizontal="right" vertical="center"/>
    </xf>
    <xf numFmtId="0" fontId="0" fillId="0" borderId="198" xfId="0" applyBorder="1" applyAlignment="1">
      <alignment horizontal="right" vertical="center"/>
    </xf>
    <xf numFmtId="0" fontId="0" fillId="0" borderId="204" xfId="0" applyBorder="1" applyAlignment="1">
      <alignment horizontal="right" vertical="center"/>
    </xf>
    <xf numFmtId="0" fontId="4" fillId="85" borderId="0" xfId="0" applyFont="1" applyFill="1" applyAlignment="1" applyProtection="1">
      <alignment horizontal="left" wrapText="1"/>
      <protection locked="0"/>
    </xf>
    <xf numFmtId="0" fontId="4" fillId="85" borderId="8" xfId="0" applyFont="1" applyFill="1" applyBorder="1" applyAlignment="1" applyProtection="1">
      <alignment horizontal="left" wrapText="1"/>
      <protection locked="0"/>
    </xf>
    <xf numFmtId="0" fontId="3" fillId="7" borderId="0" xfId="0" applyFont="1" applyFill="1" applyAlignment="1" applyProtection="1">
      <alignment horizontal="left" vertical="top" wrapText="1"/>
      <protection locked="0"/>
    </xf>
    <xf numFmtId="0" fontId="0" fillId="0" borderId="31" xfId="0" applyBorder="1" applyAlignment="1">
      <alignment horizontal="right" vertical="center"/>
    </xf>
    <xf numFmtId="0" fontId="0" fillId="0" borderId="205" xfId="0" applyBorder="1" applyAlignment="1">
      <alignment horizontal="right" vertical="center"/>
    </xf>
    <xf numFmtId="0" fontId="0" fillId="0" borderId="207" xfId="0" applyBorder="1" applyAlignment="1">
      <alignment horizontal="right" vertical="center"/>
    </xf>
    <xf numFmtId="0" fontId="0" fillId="0" borderId="31" xfId="0" applyBorder="1" applyAlignment="1">
      <alignment horizontal="right" vertical="center" wrapText="1"/>
    </xf>
    <xf numFmtId="0" fontId="0" fillId="0" borderId="198" xfId="0" applyBorder="1" applyAlignment="1">
      <alignment horizontal="right" vertical="center" wrapText="1"/>
    </xf>
    <xf numFmtId="0" fontId="0" fillId="0" borderId="204" xfId="0" applyBorder="1" applyAlignment="1">
      <alignment horizontal="right" vertical="center" wrapText="1"/>
    </xf>
  </cellXfs>
  <cellStyles count="100">
    <cellStyle name="20% - Accent1" xfId="27" builtinId="30" hidden="1"/>
    <cellStyle name="20% - Accent2" xfId="31" builtinId="34" hidden="1"/>
    <cellStyle name="20% - Accent3" xfId="35" builtinId="38" hidden="1"/>
    <cellStyle name="20% - Accent4" xfId="39" builtinId="42" hidden="1"/>
    <cellStyle name="20% - Accent5" xfId="43" builtinId="46" hidden="1"/>
    <cellStyle name="20% - Accent6" xfId="47" builtinId="50" hidden="1"/>
    <cellStyle name="40% - Accent1" xfId="28" builtinId="31" hidden="1"/>
    <cellStyle name="40% - Accent2" xfId="32" builtinId="35" hidden="1"/>
    <cellStyle name="40% - Accent3" xfId="36" builtinId="39" hidden="1"/>
    <cellStyle name="40% - Accent4" xfId="40" builtinId="43" hidden="1"/>
    <cellStyle name="40% - Accent5" xfId="44" builtinId="47" hidden="1"/>
    <cellStyle name="40% - Accent6" xfId="48" builtinId="51" hidden="1"/>
    <cellStyle name="60% - Accent1" xfId="29" builtinId="32" hidden="1"/>
    <cellStyle name="60% - Accent2" xfId="33" builtinId="36" hidden="1"/>
    <cellStyle name="60% - Accent3" xfId="37" builtinId="40" hidden="1"/>
    <cellStyle name="60% - Accent4" xfId="41" builtinId="44" hidden="1"/>
    <cellStyle name="60% - Accent5" xfId="45" builtinId="48" hidden="1"/>
    <cellStyle name="60% - Accent6" xfId="49" builtinId="52" hidden="1"/>
    <cellStyle name="Accent1" xfId="26" builtinId="29" hidden="1"/>
    <cellStyle name="Accent2" xfId="30" builtinId="33" hidden="1"/>
    <cellStyle name="Accent3" xfId="34" builtinId="37" hidden="1"/>
    <cellStyle name="Accent4" xfId="38" builtinId="41" hidden="1"/>
    <cellStyle name="Accent5" xfId="42" builtinId="45" hidden="1"/>
    <cellStyle name="Accent6" xfId="46" builtinId="49" hidden="1"/>
    <cellStyle name="AER_AmendConfid" xfId="53" xr:uid="{00000000-0005-0000-0000-00002C000000}"/>
    <cellStyle name="Amended" xfId="77" xr:uid="{4A7B4382-315C-443D-A48B-A7BE4DA8FFF7}"/>
    <cellStyle name="Bad" xfId="15" builtinId="27" hidden="1"/>
    <cellStyle name="Calculation" xfId="19" builtinId="22" hidden="1"/>
    <cellStyle name="Check Cell" xfId="21" builtinId="23" hidden="1"/>
    <cellStyle name="Comma 2" xfId="73" xr:uid="{FAB0AAC0-E132-413E-A186-90461C87484E}"/>
    <cellStyle name="Comma 3" xfId="75" xr:uid="{524115A0-2F3C-4AE2-8EF4-AD7FD69F707E}"/>
    <cellStyle name="Confidential" xfId="76" xr:uid="{DB47AF7A-884E-44CF-AB89-EB8FB765F923}"/>
    <cellStyle name="Currency 2" xfId="67" xr:uid="{1992328D-97E1-4459-9D58-62B840D06C71}"/>
    <cellStyle name="Currency 2 2" xfId="70" xr:uid="{3F8AD4CC-5CEB-4066-9F9D-BFB32D6A0E7D}"/>
    <cellStyle name="dms_1" xfId="63" xr:uid="{65C871C9-FAFE-4675-8DD3-C3E66EFB51F4}"/>
    <cellStyle name="dms_1 2" xfId="78" xr:uid="{196F47C5-A204-471B-BB7B-300B68BE04F3}"/>
    <cellStyle name="dms_2" xfId="4" xr:uid="{00000000-0005-0000-0000-00001C000000}"/>
    <cellStyle name="dms_2 2" xfId="79" xr:uid="{E98786A8-F39D-457A-8FD4-5AD38D38A089}"/>
    <cellStyle name="dms_2 3" xfId="99" xr:uid="{B6F0CE97-B982-46E3-99B7-1255FF7E8027}"/>
    <cellStyle name="dms_3" xfId="5" xr:uid="{00000000-0005-0000-0000-00001D000000}"/>
    <cellStyle name="dms_3 2" xfId="80" xr:uid="{437BA0A5-D58B-49BA-98D9-4976F7BC8F07}"/>
    <cellStyle name="dms_4" xfId="6" xr:uid="{00000000-0005-0000-0000-00001E000000}"/>
    <cellStyle name="dms_4 2" xfId="81" xr:uid="{58CB5546-C7DE-49F7-B25E-3A1A70506FDC}"/>
    <cellStyle name="dms_5" xfId="82" xr:uid="{46C3CEB4-8994-4309-95FA-D2387289BEFB}"/>
    <cellStyle name="dms_BH" xfId="2" xr:uid="{945BE941-DACD-4316-8EF1-917E675DACD8}"/>
    <cellStyle name="dms_BH 2" xfId="91" xr:uid="{90ED0AA2-6CFF-4376-A64A-426040FD49F9}"/>
    <cellStyle name="dms_Blue_HDR" xfId="56" xr:uid="{82B0DEB4-589E-40A8-A415-CBF56D955F10}"/>
    <cellStyle name="dms_BY1" xfId="92" xr:uid="{9B43272E-C31E-4935-805A-8C714B37E103}"/>
    <cellStyle name="dms_BY2" xfId="93" xr:uid="{74C6BEFD-B529-46B6-8C0E-FA6FF8F36C5A}"/>
    <cellStyle name="dms_Code" xfId="62" xr:uid="{E93F3853-FF9A-43EE-AD99-369D9FE5867D}"/>
    <cellStyle name="dms_GH" xfId="94" xr:uid="{2B85CAEB-5C10-4DC7-9B2C-ED0D30E92D6B}"/>
    <cellStyle name="dms_GY1" xfId="95" xr:uid="{45948B1D-506F-40CD-A145-E2427AA54F1F}"/>
    <cellStyle name="dms_GY2" xfId="96" xr:uid="{EC40D721-02F5-4865-9051-F840B59D7F11}"/>
    <cellStyle name="dms_H" xfId="3" xr:uid="{00000000-0005-0000-0000-000026000000}"/>
    <cellStyle name="dms_H1" xfId="57" xr:uid="{3C2CC29F-8F8A-4F90-9494-264DB4615DFD}"/>
    <cellStyle name="dms_H2" xfId="58" xr:uid="{7A4A446B-9DE3-4279-900C-EDE5D965951F}"/>
    <cellStyle name="dms_NUM" xfId="7" xr:uid="{00000000-0005-0000-0000-000027000000}"/>
    <cellStyle name="dms_NUM 2" xfId="83" xr:uid="{298509DE-861F-4EE9-B8D8-3A56FF0F0E28}"/>
    <cellStyle name="dms_Num%" xfId="84" xr:uid="{DC2F8920-2DAA-4E73-A76C-2B79A42BEC2B}"/>
    <cellStyle name="dms_NUM3d" xfId="85" xr:uid="{952E04CD-F1D5-4A71-A001-24DBDEA3BC6C}"/>
    <cellStyle name="dms_Row_Locked" xfId="50" xr:uid="{00000000-0005-0000-0000-00002F000000}"/>
    <cellStyle name="dms_Row_Locked 2" xfId="86" xr:uid="{1FB76070-D3EC-4074-9EFB-E24016608FEB}"/>
    <cellStyle name="dms_Row1" xfId="8" xr:uid="{00000000-0005-0000-0000-000030000000}"/>
    <cellStyle name="dms_Row1 2" xfId="87" xr:uid="{10D0B7CF-37AE-4E87-8A4B-0F9A806D311B}"/>
    <cellStyle name="dms_Row2" xfId="88" xr:uid="{DB89AD58-6666-4B0E-AB38-B6DC6B6F2E0F}"/>
    <cellStyle name="dms_T1" xfId="1" xr:uid="{00000000-0005-0000-0000-000032000000}"/>
    <cellStyle name="dms_T1 2" xfId="89" xr:uid="{091EF8B0-8085-48CA-AA82-80D15E238A0A}"/>
    <cellStyle name="dms_T2" xfId="90" xr:uid="{BD9C6141-5EEA-4C95-B44C-72FE9C71E1E6}"/>
    <cellStyle name="dms_TopHeader" xfId="51" xr:uid="{00000000-0005-0000-0000-000034000000}"/>
    <cellStyle name="Explanatory Text" xfId="24" builtinId="53" hidden="1"/>
    <cellStyle name="Followed Hyperlink" xfId="61" builtinId="9" hidden="1"/>
    <cellStyle name="Good" xfId="14" builtinId="26" hidden="1"/>
    <cellStyle name="Heading 1" xfId="10" builtinId="16" hidden="1"/>
    <cellStyle name="Heading 2" xfId="11" builtinId="17" hidden="1"/>
    <cellStyle name="Heading 3" xfId="12" builtinId="18" hidden="1"/>
    <cellStyle name="Heading 4" xfId="13" builtinId="19" hidden="1"/>
    <cellStyle name="Hyperlink" xfId="97" builtinId="8"/>
    <cellStyle name="Hyperlink 2" xfId="54" xr:uid="{00000000-0005-0000-0000-00003C000000}"/>
    <cellStyle name="Input" xfId="17" builtinId="20" hidden="1"/>
    <cellStyle name="Linked Cell" xfId="20" builtinId="24" hidden="1"/>
    <cellStyle name="Neutral" xfId="16" builtinId="28" hidden="1"/>
    <cellStyle name="Normal" xfId="0" builtinId="0"/>
    <cellStyle name="Normal 2" xfId="65" xr:uid="{D7C4C6AF-8C04-422C-BECA-DB9DFC5C4EE6}"/>
    <cellStyle name="Normal 2 2" xfId="66" xr:uid="{EE98B236-B019-4AFF-9BE6-1F8240C6ADD9}"/>
    <cellStyle name="Normal 3" xfId="64" xr:uid="{9F19BE30-FC86-4D06-B2DD-31C6A6344DF7}"/>
    <cellStyle name="Normal 3 2" xfId="74" xr:uid="{4CB2F544-A042-441E-B9C7-563EC2957F71}"/>
    <cellStyle name="Normal 33" xfId="68" xr:uid="{B393F69C-C673-4AD4-AB52-58E41E24A09E}"/>
    <cellStyle name="Normal 4" xfId="69" xr:uid="{93E6B9DB-DA51-49A5-A639-81C23782E2F9}"/>
    <cellStyle name="Normal 4 2" xfId="71" xr:uid="{581127AB-BC74-40FC-8A7D-7DB9A012FC72}"/>
    <cellStyle name="Normal 5" xfId="72" xr:uid="{5EA46EF9-973C-4D5B-A590-2B0FA97EF34D}"/>
    <cellStyle name="Note" xfId="23" builtinId="10" hidden="1"/>
    <cellStyle name="Output" xfId="18" builtinId="21" hidden="1"/>
    <cellStyle name="RIN_TB2" xfId="52" xr:uid="{00000000-0005-0000-0000-000045000000}"/>
    <cellStyle name="RIN_TL2" xfId="55" xr:uid="{F49D218D-A062-4DBE-9050-B1E231A098C1}"/>
    <cellStyle name="RIN_TL2 2" xfId="98" xr:uid="{BC0784ED-C329-4D60-8051-3839935CDBD5}"/>
    <cellStyle name="TableLvl2" xfId="60" xr:uid="{E499AB4A-294C-464A-839F-21FFF8F828AE}"/>
    <cellStyle name="TableLvl3" xfId="59" xr:uid="{D7D8A5D2-1D13-42A8-9710-A6E4982DFEF8}"/>
    <cellStyle name="Title" xfId="9" builtinId="15" hidden="1"/>
    <cellStyle name="Total" xfId="25" builtinId="25" hidden="1"/>
    <cellStyle name="Warning Text" xfId="22" builtinId="11" hidden="1"/>
  </cellStyles>
  <dxfs count="96">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ill>
        <patternFill>
          <bgColor rgb="FFFFFF00"/>
        </patternFill>
      </fill>
    </dxf>
    <dxf>
      <font>
        <b/>
        <i val="0"/>
        <color rgb="FFFF0000"/>
      </font>
    </dxf>
    <dxf>
      <font>
        <b/>
        <i val="0"/>
        <color theme="5"/>
      </font>
    </dxf>
    <dxf>
      <font>
        <b/>
        <i val="0"/>
        <color rgb="FFFF0000"/>
      </font>
    </dxf>
    <dxf>
      <font>
        <b/>
        <i val="0"/>
        <color rgb="FFFF0000"/>
      </font>
      <fill>
        <patternFill patternType="solid">
          <bgColor theme="0" tint="-0.24994659260841701"/>
        </patternFill>
      </fill>
    </dxf>
    <dxf>
      <font>
        <b/>
        <i val="0"/>
        <color rgb="FFFF0000"/>
      </font>
      <border>
        <vertical/>
        <horizontal/>
      </border>
    </dxf>
    <dxf>
      <font>
        <b/>
        <i val="0"/>
        <color rgb="FFFF0000"/>
      </font>
    </dxf>
    <dxf>
      <fill>
        <patternFill>
          <bgColor theme="6" tint="0.59996337778862885"/>
        </patternFill>
      </fill>
    </dxf>
    <dxf>
      <fill>
        <patternFill>
          <bgColor rgb="FFFFFF99"/>
        </patternFill>
      </fill>
    </dxf>
    <dxf>
      <fill>
        <patternFill>
          <bgColor rgb="FFFFFF99"/>
        </patternFill>
      </fill>
    </dxf>
    <dxf>
      <fill>
        <patternFill>
          <bgColor theme="0"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4" tint="0.79998168889431442"/>
        </patternFill>
      </fill>
      <border diagonalUp="0" diagonalDown="0">
        <left style="medium">
          <color indexed="64"/>
        </left>
        <right/>
        <top style="thin">
          <color theme="4" tint="0.39997558519241921"/>
        </top>
        <bottom/>
        <vertical/>
        <horizontal/>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4" tint="0.79998168889431442"/>
        </patternFill>
      </fill>
      <border diagonalUp="0" diagonalDown="0">
        <left style="medium">
          <color indexed="64"/>
        </left>
        <right/>
        <top style="thin">
          <color theme="4" tint="0.39997558519241921"/>
        </top>
        <bottom/>
        <vertical/>
        <horizontal/>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4" tint="0.79998168889431442"/>
        </patternFill>
      </fill>
      <border diagonalUp="0" diagonalDown="0">
        <left/>
        <right/>
        <top style="thin">
          <color theme="4" tint="0.39997558519241921"/>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8" tint="-0.249977111117893"/>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medium">
          <color indexed="64"/>
        </left>
        <right/>
        <top style="thin">
          <color theme="4"/>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75" formatCode="000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75" formatCode="000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 formatCode="0"/>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 formatCode="0"/>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left" vertical="top"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67" formatCode="##\ ###\ ###\ ###\ ##0"/>
      <fill>
        <patternFill patternType="solid">
          <fgColor theme="4" tint="0.79998168889431442"/>
          <bgColor theme="4" tint="0.79998168889431442"/>
        </patternFill>
      </fill>
      <alignment horizontal="right" vertical="top" textRotation="0" wrapText="0" indent="1" justifyLastLine="0" shrinkToFit="0" readingOrder="0"/>
    </dxf>
    <dxf>
      <font>
        <b val="0"/>
        <i val="0"/>
        <strike val="0"/>
        <condense val="0"/>
        <extend val="0"/>
        <outline val="0"/>
        <shadow val="0"/>
        <u val="none"/>
        <vertAlign val="baseline"/>
        <sz val="10"/>
        <color auto="1"/>
        <name val="Arial"/>
        <family val="2"/>
        <scheme val="none"/>
      </font>
      <numFmt numFmtId="167" formatCode="##\ ###\ ###\ ###\ ##0"/>
      <fill>
        <patternFill patternType="solid">
          <fgColor theme="4" tint="0.79998168889431442"/>
          <bgColor theme="4" tint="0.79998168889431442"/>
        </patternFill>
      </fill>
      <alignment horizontal="right" vertical="top" textRotation="0" wrapText="0" indent="1" justifyLastLine="0" shrinkToFit="0" readingOrder="0"/>
      <border diagonalUp="0" diagonalDown="0">
        <left style="thin">
          <color theme="0" tint="-0.34998626667073579"/>
        </left>
        <right/>
        <top style="thin">
          <color theme="0" tint="-0.34998626667073579"/>
        </top>
        <bottom/>
        <vertical/>
        <horizontal/>
      </border>
    </dxf>
    <dxf>
      <font>
        <b val="0"/>
        <i val="0"/>
        <strike val="0"/>
        <condense val="0"/>
        <extend val="0"/>
        <outline val="0"/>
        <shadow val="0"/>
        <u val="none"/>
        <vertAlign val="baseline"/>
        <sz val="11"/>
        <color theme="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medium">
          <color indexed="64"/>
        </left>
        <right/>
        <top style="thin">
          <color theme="0" tint="-0.34998626667073579"/>
        </top>
        <bottom/>
        <vertical/>
        <horizontal/>
      </border>
    </dxf>
    <dxf>
      <font>
        <b val="0"/>
        <i val="0"/>
        <strike val="0"/>
        <condense val="0"/>
        <extend val="0"/>
        <outline val="0"/>
        <shadow val="0"/>
        <u val="none"/>
        <vertAlign val="baseline"/>
        <sz val="11"/>
        <color theme="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right/>
        <top style="thin">
          <color theme="0" tint="-0.34998626667073579"/>
        </top>
        <bottom/>
        <vertical/>
        <horizontal/>
      </border>
    </dxf>
    <dxf>
      <border outline="0">
        <left style="medium">
          <color indexed="64"/>
        </left>
        <right style="medium">
          <color indexed="64"/>
        </right>
        <top style="medium">
          <color indexed="64"/>
        </top>
        <bottom style="medium">
          <color indexed="64"/>
        </bottom>
      </border>
    </dxf>
  </dxfs>
  <tableStyles count="1" defaultTableStyle="TableStyleMedium2" defaultPivotStyle="PivotStyleLight16">
    <tableStyle name="Invisible" pivot="0" table="0" count="0" xr9:uid="{70986764-F00B-4548-A842-378D3D82E8C5}"/>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9F1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1473A"/>
      <color rgb="FFFFFFE1"/>
      <color rgb="FFDBD6BF"/>
      <color rgb="FF25C6FF"/>
      <color rgb="FFFFFFFF"/>
      <color rgb="FFFFFFCC"/>
      <color rgb="FFCCCCFF"/>
      <color rgb="FFFFCCCC"/>
      <color rgb="FFF2F2F2"/>
      <color rgb="FFE2E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3529C0E-8F26-4902-A3F9-0802E54F197A}" name="Table1" displayName="Table1" ref="B9:AL27" totalsRowShown="0" tableBorderDxfId="95">
  <autoFilter ref="B9:AL27" xr:uid="{AC18A4D7-81B6-4A90-9525-DF6255B60894}"/>
  <sortState xmlns:xlrd2="http://schemas.microsoft.com/office/spreadsheetml/2017/richdata2" ref="B10:AL27">
    <sortCondition ref="B9:B27"/>
  </sortState>
  <tableColumns count="37">
    <tableColumn id="1" xr3:uid="{08C88306-F562-4CA5-BF16-884CFFC3F7CA}" name="dms_TradingName_List" dataDxfId="94"/>
    <tableColumn id="2" xr3:uid="{164AD9C6-6C22-49DF-BE8B-31335C7ACAF0}" name="dms_TradingNameFull_List" dataDxfId="93"/>
    <tableColumn id="3" xr3:uid="{8D890535-B774-4F7C-92AE-377483FEDE8A}" name="dms_ABN_List" dataDxfId="92"/>
    <tableColumn id="37" xr3:uid="{16142B44-6414-4514-846C-02E18B50BEA4}" name="dms_UID_List" dataDxfId="91"/>
    <tableColumn id="4" xr3:uid="{3BA08987-7A49-4B2D-BF91-D8103396872A}" name="dms_JurisdictionList" dataDxfId="90"/>
    <tableColumn id="5" xr3:uid="{41D43B72-E1D9-446B-A9C1-52C8A6209603}" name="dms_Sector_List" dataDxfId="89"/>
    <tableColumn id="6" xr3:uid="{2B1F9F27-F7F5-4880-ABF8-58A2EEAE6A8A}" name="dms_Segment_List" dataDxfId="88"/>
    <tableColumn id="7" xr3:uid="{C328F392-CEE8-4EB7-B708-E907A631C08A}" name="dms_FormControl_List" dataDxfId="87"/>
    <tableColumn id="8" xr3:uid="{2A1DA9EB-0D8B-4265-910C-97178FB707CC}" name="dms_RPT_List" dataDxfId="86"/>
    <tableColumn id="9" xr3:uid="{9C60FE88-DDE6-4817-905B-09D0DC7B249C}" name="dms_RPTMonth_List" dataDxfId="85"/>
    <tableColumn id="10" xr3:uid="{F9D57B6F-2FB4-47C8-AC1A-9E132EFBC1B1}" name="dms_CRCPlength_List" dataDxfId="84"/>
    <tableColumn id="11" xr3:uid="{14EE16BD-8642-4C38-B0FA-ABB9CA59DA8F}" name="dms_FRCPlength_List" dataDxfId="83"/>
    <tableColumn id="12" xr3:uid="{47AF2EF4-F0EB-48A6-80F3-02A63E62FA17}" name="dms_PRCPlength_List" dataDxfId="82"/>
    <tableColumn id="13" xr3:uid="{5AEA4012-EE5F-4E4A-92FA-7594DDE1D335}" name="dms_663_List" dataDxfId="81"/>
    <tableColumn id="14" xr3:uid="{44F2B585-D0D1-4E00-B317-4E591BC3836F}" name="dms_Addr1_List" dataDxfId="80"/>
    <tableColumn id="15" xr3:uid="{3F53647E-AE9D-4D28-81BA-B81E6AA2AF3B}" name="dms_Addr2_List" dataDxfId="79"/>
    <tableColumn id="16" xr3:uid="{9CC999E4-84CA-44A9-AA32-39542B9CBA4E}" name="dms_Suburb_List" dataDxfId="78"/>
    <tableColumn id="17" xr3:uid="{F4953D95-41E7-47C4-AF73-57F8CFE1CFB7}" name="dms_State_List" dataDxfId="77"/>
    <tableColumn id="18" xr3:uid="{ED9E5DAE-33FF-4D98-9C1A-0F60B4F7F0A9}" name="dms_PostCode_List" dataDxfId="76"/>
    <tableColumn id="19" xr3:uid="{11F62259-4E94-4408-963E-AEFC1E103238}" name="dms_PAddr1_List" dataDxfId="75"/>
    <tableColumn id="20" xr3:uid="{0934D774-C444-421C-911B-498BEE3F2817}" name="dms_PAddr2_List" dataDxfId="74"/>
    <tableColumn id="21" xr3:uid="{AE96E4C6-7234-46C0-9C71-8DF31E183E45}" name="dms_PSuburb_List" dataDxfId="73"/>
    <tableColumn id="22" xr3:uid="{01315911-C4B0-4B77-9111-824FE48EF5EC}" name="dms_PState_List" dataDxfId="72"/>
    <tableColumn id="23" xr3:uid="{DC6F644E-5710-4AC0-A060-754919D619EA}" name="dms_PPostCode_List" dataDxfId="71"/>
    <tableColumn id="24" xr3:uid="{12843926-2908-47C6-A25C-A0F8371E5F9A}" name="dms_CBD_flag" dataDxfId="70"/>
    <tableColumn id="25" xr3:uid="{29FE11D4-D814-497E-8E3E-9F76E7A27F01}" name="dms_Urban_flag" dataDxfId="69"/>
    <tableColumn id="26" xr3:uid="{44D00CDB-E494-4F84-953C-C9F7B820D474}" name="dms_ShortRural_flag" dataDxfId="68"/>
    <tableColumn id="27" xr3:uid="{35DD7D37-F54D-48A7-A949-C08B0D578440}" name="dms_LongRural_flag" dataDxfId="67"/>
    <tableColumn id="28" xr3:uid="{724C7099-E902-4100-B39B-4B1725AAEC82}" name="dms_FeederType_5_flag" dataDxfId="66"/>
    <tableColumn id="29" xr3:uid="{C01BDC54-1DEA-4DD8-81BF-FDFDD90F2B22}" name="dms_FeederName_1" dataDxfId="65"/>
    <tableColumn id="30" xr3:uid="{56B3EAED-0AB1-4923-954D-E18274C7B77D}" name="dms_FeederName_2" dataDxfId="64"/>
    <tableColumn id="31" xr3:uid="{0C9F7E18-7922-4749-B80E-EB5BDEEBA03A}" name="dms_FeederName_3" dataDxfId="63"/>
    <tableColumn id="32" xr3:uid="{4B558599-A2B5-407D-A526-766A34DF6C16}" name="dms_FeederName_4" dataDxfId="62"/>
    <tableColumn id="33" xr3:uid="{ED42BF8D-D0F9-47BB-A17C-1C58C365CA6D}" name="dms_FeederName_5" dataDxfId="61"/>
    <tableColumn id="34" xr3:uid="{AAC4DEC3-7583-48BD-A849-D7B4E687A485}" name="dms_MAIFI_flag_List" dataDxfId="60"/>
    <tableColumn id="35" xr3:uid="{382989D3-9E1A-4EF4-9545-9F9397C537C6}" name="dms_Public_Lighting_List" dataDxfId="59"/>
    <tableColumn id="36" xr3:uid="{7AFB6EEC-FD92-488E-B3C7-30FCE86B228F}" name="Name" dataDxfId="58">
      <calculatedColumnFormula>B10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8D465AB-27EB-4F98-A38D-D0CAEF0BF483}" name="Table2" displayName="Table2" ref="B31:E44" totalsRowShown="0" tableBorderDxfId="57">
  <autoFilter ref="B31:E44" xr:uid="{B48A2940-5C8F-466A-BEAE-C1F06C878355}"/>
  <sortState xmlns:xlrd2="http://schemas.microsoft.com/office/spreadsheetml/2017/richdata2" ref="B32:E44">
    <sortCondition ref="B31:B44"/>
  </sortState>
  <tableColumns count="4">
    <tableColumn id="1" xr3:uid="{AF679FC9-D06F-48F1-AE71-CCC59FF41D52}" name="dms_Model_List " dataDxfId="56"/>
    <tableColumn id="2" xr3:uid="{C935AACE-53A5-4F1B-B5FD-A883AE4A539A}" name="dms_Model_Name_Format1" dataDxfId="55"/>
    <tableColumn id="3" xr3:uid="{76C8B8DE-323A-4146-BE0C-6E0DCD566299}" name="dms_Worksheet_List" dataDxfId="54"/>
    <tableColumn id="4" xr3:uid="{FD6B5E6F-3CC5-440B-B025-0240878A29B4}" name="dms_Model_Span_List" dataDxfId="5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B1:J14"/>
  <sheetViews>
    <sheetView tabSelected="1" workbookViewId="0"/>
  </sheetViews>
  <sheetFormatPr defaultColWidth="9.140625" defaultRowHeight="15"/>
  <cols>
    <col min="1" max="1" width="15.5703125" style="129" customWidth="1"/>
    <col min="2" max="2" width="3.140625" style="129" customWidth="1"/>
    <col min="3" max="3" width="33" style="129" customWidth="1"/>
    <col min="4" max="4" width="57.7109375" style="129" customWidth="1"/>
    <col min="5" max="5" width="3.7109375" style="129" customWidth="1"/>
    <col min="6" max="8" width="9.140625" style="129"/>
    <col min="9" max="9" width="30.42578125" style="129" customWidth="1"/>
    <col min="10" max="10" width="8.7109375" style="129" customWidth="1"/>
    <col min="11" max="16384" width="9.140625" style="129"/>
  </cols>
  <sheetData>
    <row r="1" spans="2:10" ht="26.25">
      <c r="B1" s="1064" t="s">
        <v>1223</v>
      </c>
      <c r="C1" s="1065"/>
      <c r="D1" s="1065"/>
      <c r="E1" s="1066"/>
    </row>
    <row r="2" spans="2:10" ht="26.25">
      <c r="B2" s="1067" t="str">
        <f>INDEX(dms_TradingNameFull_List,MATCH(dms_TradingName,dms_TradingName_List))</f>
        <v>Australian Distribution Co.</v>
      </c>
      <c r="C2" s="1068"/>
      <c r="D2" s="1069"/>
      <c r="E2" s="1070"/>
    </row>
    <row r="3" spans="2:10" ht="26.25">
      <c r="B3" s="1071" t="str">
        <f>CONCATENATE("REPORTING STATEMENT: "&amp;CRY)</f>
        <v>REPORTING STATEMENT: 2024-25</v>
      </c>
      <c r="C3" s="1068"/>
      <c r="D3" s="1068"/>
      <c r="E3" s="1072"/>
    </row>
    <row r="5" spans="2:10" s="1051" customFormat="1" ht="25.5" customHeight="1">
      <c r="B5" s="1080"/>
      <c r="C5" s="1081" t="s">
        <v>62</v>
      </c>
      <c r="D5" s="1082" t="s">
        <v>1224</v>
      </c>
      <c r="E5" s="1080"/>
      <c r="J5" s="129"/>
    </row>
    <row r="6" spans="2:10" ht="15.75" thickBot="1"/>
    <row r="7" spans="2:10" ht="9.75" customHeight="1">
      <c r="B7" s="1155"/>
      <c r="C7" s="1156"/>
      <c r="D7" s="1156"/>
      <c r="E7" s="1157"/>
    </row>
    <row r="8" spans="2:10" ht="21">
      <c r="B8" s="1161"/>
      <c r="D8" s="1073" t="s">
        <v>48</v>
      </c>
      <c r="E8" s="1163"/>
    </row>
    <row r="9" spans="2:10" s="1051" customFormat="1" ht="21" customHeight="1">
      <c r="B9" s="1165"/>
      <c r="C9" s="1166"/>
      <c r="D9" s="1078" t="s">
        <v>42</v>
      </c>
      <c r="E9" s="1167"/>
    </row>
    <row r="10" spans="2:10" s="1051" customFormat="1" ht="21" customHeight="1">
      <c r="B10" s="1165"/>
      <c r="C10" s="1166"/>
      <c r="D10" s="1154" t="s">
        <v>1243</v>
      </c>
      <c r="E10" s="1167"/>
    </row>
    <row r="11" spans="2:10" s="1051" customFormat="1" ht="21" customHeight="1">
      <c r="B11" s="1162"/>
      <c r="C11" s="1074" t="s">
        <v>111</v>
      </c>
      <c r="D11" s="1079" t="s">
        <v>1227</v>
      </c>
      <c r="E11" s="1164"/>
      <c r="J11" s="129"/>
    </row>
    <row r="12" spans="2:10" s="1051" customFormat="1" ht="21" customHeight="1">
      <c r="B12" s="1162"/>
      <c r="C12" s="1074"/>
      <c r="D12" s="1079" t="s">
        <v>1228</v>
      </c>
      <c r="E12" s="1164"/>
      <c r="J12" s="129"/>
    </row>
    <row r="13" spans="2:10" s="1051" customFormat="1" ht="21" customHeight="1">
      <c r="B13" s="1162"/>
      <c r="C13" s="1074"/>
      <c r="D13" s="1079" t="s">
        <v>1229</v>
      </c>
      <c r="E13" s="1164"/>
      <c r="J13" s="129"/>
    </row>
    <row r="14" spans="2:10" s="1051" customFormat="1" ht="18" customHeight="1" thickBot="1">
      <c r="B14" s="1158"/>
      <c r="C14" s="1159"/>
      <c r="D14" s="1159"/>
      <c r="E14" s="1160"/>
      <c r="J14" s="129"/>
    </row>
  </sheetData>
  <hyperlinks>
    <hyperlink ref="D11" location="'8.1LM Income statement'!A1" display="8.1LM Income statement" xr:uid="{00000000-0004-0000-0500-000000000000}"/>
    <hyperlink ref="D9" location="'Business &amp; other details'!A1" display="Business &amp; other details" xr:uid="{9D6139C1-9547-4245-B013-7E32C714D8C4}"/>
    <hyperlink ref="D12" location="'3.3LM Assets'!A1" display="3.3LM Assets" xr:uid="{2B1FD35C-9B65-4FD7-9A90-2C57F8D880FA}"/>
    <hyperlink ref="D13" location="'8.4LM Operating expenditure'!A1" display="8.4LM Operating expenditure" xr:uid="{0D7232F9-0DEB-419E-88F9-4AA16864AE2A}"/>
    <hyperlink ref="D10" location="'Assurance requirements by table'!A1" display="Assurance requirements by table" xr:uid="{61644D03-E17C-4122-AC88-12D040FC9823}"/>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D1:CH78"/>
  <sheetViews>
    <sheetView workbookViewId="0"/>
  </sheetViews>
  <sheetFormatPr defaultRowHeight="15"/>
  <cols>
    <col min="1" max="1" width="9.140625" style="129"/>
    <col min="2" max="3" width="2.85546875" style="129" customWidth="1"/>
    <col min="4" max="10" width="2.7109375" style="129" customWidth="1"/>
    <col min="11" max="11" width="4" style="129" customWidth="1"/>
    <col min="12" max="83" width="2.7109375" style="129" customWidth="1"/>
    <col min="84" max="16384" width="9.140625" style="129"/>
  </cols>
  <sheetData>
    <row r="1" spans="4:83" ht="44.25" customHeight="1">
      <c r="D1" s="39"/>
      <c r="E1" s="39"/>
      <c r="F1" s="39"/>
      <c r="G1" s="39"/>
      <c r="H1" s="39"/>
      <c r="I1" s="79" t="s">
        <v>1223</v>
      </c>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15"/>
      <c r="AW1" s="15"/>
      <c r="AX1" s="15"/>
      <c r="AY1" s="15"/>
      <c r="AZ1" s="15"/>
      <c r="BA1" s="15"/>
      <c r="BB1" s="15"/>
      <c r="BC1" s="15"/>
      <c r="BD1" s="15"/>
      <c r="BE1" s="15"/>
      <c r="BF1" s="15"/>
      <c r="BG1" s="15"/>
      <c r="BH1" s="15"/>
      <c r="BI1" s="15"/>
      <c r="BJ1" s="15"/>
      <c r="BK1" s="15"/>
      <c r="BL1" s="3"/>
      <c r="BM1" s="3"/>
      <c r="BN1" s="3"/>
      <c r="BO1" s="3"/>
      <c r="BP1" s="3"/>
      <c r="BQ1" s="3"/>
      <c r="BR1" s="3"/>
      <c r="BS1" s="3"/>
      <c r="BT1" s="3"/>
      <c r="BU1" s="3"/>
      <c r="BV1" s="3"/>
      <c r="BW1" s="3"/>
      <c r="BX1" s="3"/>
      <c r="BY1" s="3"/>
      <c r="BZ1" s="3"/>
      <c r="CA1" s="3"/>
      <c r="CB1" s="3"/>
      <c r="CC1" s="3"/>
    </row>
    <row r="2" spans="4:83" ht="44.25" customHeight="1">
      <c r="D2" s="39"/>
      <c r="E2" s="39"/>
      <c r="F2" s="39"/>
      <c r="G2" s="39"/>
      <c r="H2" s="39"/>
      <c r="I2" s="176" t="s">
        <v>0</v>
      </c>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15"/>
      <c r="AW2" s="15"/>
      <c r="AX2" s="15"/>
      <c r="AY2" s="15"/>
      <c r="AZ2" s="15"/>
      <c r="BA2" s="15"/>
      <c r="BB2" s="15"/>
      <c r="BC2" s="15"/>
      <c r="BD2" s="15"/>
      <c r="BE2" s="15"/>
      <c r="BF2" s="15"/>
      <c r="BG2" s="15"/>
      <c r="BH2" s="15"/>
      <c r="BI2" s="15"/>
      <c r="BJ2" s="15"/>
      <c r="BK2" s="15"/>
      <c r="BL2" s="3"/>
      <c r="BM2" s="3"/>
      <c r="BN2" s="3"/>
      <c r="BO2" s="3"/>
      <c r="BP2" s="3"/>
      <c r="BQ2" s="3"/>
      <c r="BR2" s="3"/>
      <c r="BS2" s="3"/>
      <c r="BT2" s="3"/>
      <c r="BU2" s="3"/>
      <c r="BV2" s="3"/>
      <c r="BW2" s="3"/>
      <c r="BX2" s="3"/>
      <c r="BY2" s="3"/>
      <c r="BZ2" s="3"/>
      <c r="CA2" s="3"/>
      <c r="CB2" s="3"/>
      <c r="CC2" s="3"/>
    </row>
    <row r="3" spans="4:83" ht="44.25" customHeight="1">
      <c r="D3" s="39"/>
      <c r="E3" s="39"/>
      <c r="F3" s="39"/>
      <c r="G3" s="39"/>
      <c r="H3" s="39"/>
      <c r="I3" s="79" t="str">
        <f>CONCATENATE("REPORTING STATEMENT: "&amp;CRY)</f>
        <v>REPORTING STATEMENT: 2024-25</v>
      </c>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15"/>
      <c r="AW3" s="15"/>
      <c r="AX3" s="15"/>
      <c r="AY3" s="15"/>
      <c r="AZ3" s="15"/>
      <c r="BA3" s="15"/>
      <c r="BB3" s="15"/>
      <c r="BC3" s="15"/>
      <c r="BD3" s="15"/>
      <c r="BE3" s="15"/>
      <c r="BF3" s="15"/>
      <c r="BG3" s="15"/>
      <c r="BH3" s="15"/>
      <c r="BI3" s="15"/>
      <c r="BJ3" s="15"/>
      <c r="BK3" s="15"/>
      <c r="BL3" s="3"/>
      <c r="BM3" s="3"/>
      <c r="BN3" s="3"/>
      <c r="BO3" s="3"/>
      <c r="BP3" s="3"/>
      <c r="BQ3" s="3"/>
      <c r="BR3" s="3"/>
      <c r="BS3" s="3"/>
      <c r="BT3" s="3"/>
      <c r="BU3" s="3"/>
      <c r="BV3" s="3"/>
      <c r="BW3" s="3"/>
      <c r="BX3" s="3"/>
      <c r="BY3" s="3"/>
      <c r="BZ3" s="3"/>
      <c r="CA3" s="3"/>
      <c r="CB3" s="3"/>
      <c r="CC3" s="3"/>
    </row>
    <row r="4" spans="4:83" ht="31.5" customHeight="1">
      <c r="D4" s="16"/>
      <c r="E4" s="16"/>
      <c r="F4" s="16"/>
      <c r="G4" s="16"/>
      <c r="H4" s="16"/>
      <c r="I4" s="1168" t="s">
        <v>7</v>
      </c>
      <c r="J4" s="1168"/>
      <c r="K4" s="1168"/>
      <c r="L4" s="1168"/>
      <c r="M4" s="1168"/>
      <c r="N4" s="1168"/>
      <c r="O4" s="1168"/>
      <c r="P4" s="1168"/>
      <c r="Q4" s="1168"/>
      <c r="R4" s="1168"/>
      <c r="S4" s="1168"/>
      <c r="T4" s="1168"/>
      <c r="U4" s="1168"/>
      <c r="V4" s="1168"/>
      <c r="W4" s="1168"/>
      <c r="X4" s="1168"/>
      <c r="Y4" s="1168"/>
      <c r="Z4" s="1168"/>
      <c r="AA4" s="1168"/>
      <c r="AB4" s="1168"/>
      <c r="AC4" s="1168"/>
      <c r="AD4" s="1168"/>
      <c r="AE4" s="1168"/>
      <c r="AF4" s="1168"/>
      <c r="AG4" s="1168"/>
      <c r="AH4" s="1168"/>
      <c r="AI4" s="1168"/>
      <c r="AJ4" s="1168"/>
      <c r="AK4" s="1168"/>
      <c r="AL4" s="1168"/>
      <c r="AM4" s="1168"/>
      <c r="AN4" s="1168"/>
      <c r="AO4" s="1168"/>
      <c r="AP4" s="1168"/>
      <c r="AQ4" s="1168"/>
      <c r="AR4" s="1168"/>
      <c r="AS4" s="1168"/>
      <c r="AT4" s="16"/>
      <c r="AU4" s="16"/>
      <c r="AV4" s="16"/>
      <c r="AW4" s="16"/>
      <c r="AX4" s="16"/>
      <c r="AY4" s="16"/>
      <c r="AZ4" s="16"/>
      <c r="BA4" s="16"/>
      <c r="BB4" s="16"/>
      <c r="BC4" s="16"/>
      <c r="BD4" s="16"/>
      <c r="BE4" s="16"/>
      <c r="BF4" s="16"/>
      <c r="BG4" s="16"/>
      <c r="BH4" s="16"/>
      <c r="BI4" s="16"/>
      <c r="BJ4" s="16"/>
      <c r="BK4" s="16"/>
      <c r="BL4" s="2"/>
      <c r="BM4" s="2"/>
      <c r="BN4" s="2"/>
      <c r="BO4" s="2"/>
      <c r="BP4" s="2"/>
      <c r="BQ4" s="2"/>
      <c r="BR4" s="2"/>
      <c r="BS4" s="2"/>
      <c r="BT4" s="2"/>
      <c r="BU4" s="2"/>
      <c r="BV4" s="2"/>
      <c r="BW4" s="2"/>
      <c r="BX4" s="2"/>
      <c r="BY4" s="2"/>
      <c r="BZ4" s="2"/>
      <c r="CA4" s="2"/>
      <c r="CB4" s="2"/>
      <c r="CC4" s="2"/>
    </row>
    <row r="6" spans="4:83" ht="20.25">
      <c r="D6" s="40"/>
      <c r="E6" s="40"/>
      <c r="F6" s="40"/>
      <c r="G6" s="40"/>
      <c r="H6" s="40"/>
      <c r="I6" s="41" t="s">
        <v>20</v>
      </c>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0"/>
      <c r="BM6" s="40"/>
      <c r="BN6" s="40"/>
      <c r="BO6" s="40"/>
      <c r="BP6" s="40"/>
      <c r="BQ6" s="40"/>
      <c r="BR6" s="40"/>
      <c r="BS6" s="40"/>
      <c r="BT6" s="40"/>
      <c r="BU6" s="40"/>
      <c r="BV6" s="40"/>
      <c r="BW6" s="40"/>
      <c r="BX6" s="40"/>
      <c r="BY6" s="40"/>
      <c r="BZ6" s="40"/>
      <c r="CA6" s="40"/>
      <c r="CB6" s="40"/>
      <c r="CC6" s="40"/>
    </row>
    <row r="7" spans="4:83" ht="50.25" customHeight="1">
      <c r="D7" s="40"/>
      <c r="E7" s="40"/>
      <c r="F7" s="40"/>
      <c r="G7" s="40"/>
      <c r="H7" s="40"/>
      <c r="I7" s="1183" t="s">
        <v>21</v>
      </c>
      <c r="J7" s="1183"/>
      <c r="K7" s="1183"/>
      <c r="L7" s="1183"/>
      <c r="M7" s="1183"/>
      <c r="N7" s="1183"/>
      <c r="O7" s="1183"/>
      <c r="P7" s="1183"/>
      <c r="Q7" s="1183"/>
      <c r="R7" s="1183"/>
      <c r="S7" s="1183"/>
      <c r="T7" s="1183"/>
      <c r="U7" s="1183"/>
      <c r="V7" s="1183"/>
      <c r="W7" s="1183"/>
      <c r="X7" s="1183"/>
      <c r="Y7" s="1183"/>
      <c r="Z7" s="1183"/>
      <c r="AA7" s="1183"/>
      <c r="AB7" s="1183"/>
      <c r="AC7" s="1183"/>
      <c r="AD7" s="1183"/>
      <c r="AE7" s="1183"/>
      <c r="AF7" s="1183"/>
      <c r="AG7" s="1183"/>
      <c r="AH7" s="1183"/>
      <c r="AI7" s="1183"/>
      <c r="AJ7" s="1183"/>
      <c r="AK7" s="1183"/>
      <c r="AL7" s="1183"/>
      <c r="AM7" s="1183"/>
      <c r="AN7" s="1183"/>
      <c r="AO7" s="1183"/>
      <c r="AP7" s="1183"/>
      <c r="AQ7" s="1183"/>
      <c r="AR7" s="1183"/>
      <c r="AS7" s="1183"/>
      <c r="AT7" s="1183"/>
      <c r="AU7" s="1183"/>
      <c r="AV7" s="1183"/>
      <c r="AW7" s="1183"/>
      <c r="AX7" s="1183"/>
      <c r="AY7" s="1183"/>
      <c r="AZ7" s="1183"/>
      <c r="BA7" s="1183"/>
      <c r="BB7" s="1183"/>
      <c r="BC7" s="1183"/>
      <c r="BD7" s="1183"/>
      <c r="BE7" s="1183"/>
      <c r="BF7" s="1183"/>
      <c r="BG7" s="1183"/>
      <c r="BH7" s="1183"/>
      <c r="BI7" s="1183"/>
      <c r="BJ7" s="1183"/>
      <c r="BK7" s="1183"/>
      <c r="BL7" s="40"/>
      <c r="BM7" s="40"/>
      <c r="BN7" s="40"/>
      <c r="BO7" s="40"/>
      <c r="BP7" s="40"/>
      <c r="BQ7" s="40"/>
      <c r="BR7" s="40"/>
      <c r="BS7" s="40"/>
      <c r="BT7" s="40"/>
      <c r="BU7" s="40"/>
      <c r="BV7" s="40"/>
      <c r="BW7" s="40"/>
      <c r="BX7" s="40"/>
      <c r="BY7" s="40"/>
      <c r="BZ7" s="40"/>
      <c r="CA7" s="40"/>
      <c r="CB7" s="40"/>
      <c r="CC7" s="40"/>
    </row>
    <row r="8" spans="4:83" ht="20.25">
      <c r="D8" s="4"/>
      <c r="E8" s="4"/>
      <c r="F8" s="4"/>
      <c r="G8" s="4"/>
      <c r="H8" s="4"/>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4"/>
      <c r="BM8" s="4"/>
      <c r="BN8" s="4"/>
      <c r="BO8" s="4"/>
      <c r="BP8" s="4"/>
      <c r="BQ8" s="4"/>
      <c r="BR8" s="4"/>
      <c r="BS8" s="4"/>
      <c r="BT8" s="4"/>
      <c r="BU8" s="4"/>
      <c r="BV8" s="4"/>
      <c r="BW8" s="4"/>
      <c r="BX8" s="4"/>
      <c r="BY8" s="4"/>
      <c r="BZ8" s="4"/>
      <c r="CA8" s="4"/>
      <c r="CB8" s="4"/>
      <c r="CC8" s="4"/>
    </row>
    <row r="9" spans="4:83" s="1151" customFormat="1" ht="45" customHeight="1">
      <c r="D9" s="1169" t="s">
        <v>22</v>
      </c>
      <c r="E9" s="1169"/>
      <c r="F9" s="1169"/>
      <c r="G9" s="1169"/>
      <c r="H9" s="1169"/>
      <c r="I9" s="1169"/>
      <c r="J9" s="1169"/>
      <c r="K9" s="1169"/>
      <c r="L9" s="1169"/>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29"/>
      <c r="CE9" s="129"/>
    </row>
    <row r="11" spans="4:83" ht="12" customHeight="1">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row>
    <row r="12" spans="4:83" ht="30">
      <c r="D12" s="33"/>
      <c r="E12" s="33"/>
      <c r="F12" s="33"/>
      <c r="G12" s="33"/>
      <c r="H12" s="33"/>
      <c r="I12" s="46" t="s">
        <v>8</v>
      </c>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37"/>
      <c r="BX12" s="37"/>
      <c r="BY12" s="37"/>
      <c r="BZ12" s="33"/>
      <c r="CA12" s="33"/>
      <c r="CB12" s="33"/>
      <c r="CC12" s="33"/>
    </row>
    <row r="13" spans="4:83">
      <c r="D13" s="6"/>
      <c r="E13" s="6"/>
      <c r="F13" s="6"/>
      <c r="G13" s="6"/>
      <c r="H13" s="7"/>
      <c r="I13" s="7"/>
      <c r="J13" s="7"/>
      <c r="K13" s="7"/>
      <c r="L13" s="7"/>
      <c r="M13" s="7"/>
      <c r="N13" s="7"/>
      <c r="O13" s="7"/>
      <c r="P13" s="7"/>
      <c r="Q13" s="7"/>
      <c r="R13" s="7"/>
      <c r="S13" s="7"/>
      <c r="T13" s="7"/>
      <c r="U13" s="7"/>
      <c r="V13" s="7"/>
      <c r="W13" s="7"/>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row>
    <row r="14" spans="4:83" ht="18">
      <c r="D14" s="8"/>
      <c r="E14" s="8"/>
      <c r="F14" s="8"/>
      <c r="G14" s="8"/>
      <c r="H14" s="10"/>
      <c r="I14" s="57" t="s">
        <v>26</v>
      </c>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row>
    <row r="15" spans="4:83">
      <c r="D15" s="8"/>
      <c r="E15" s="8"/>
      <c r="F15" s="8"/>
      <c r="G15" s="8"/>
      <c r="H15" s="10"/>
      <c r="I15" s="10"/>
      <c r="J15" s="10"/>
      <c r="K15" s="10"/>
      <c r="L15" s="10"/>
      <c r="M15" s="10"/>
      <c r="N15" s="10"/>
      <c r="O15" s="10"/>
      <c r="P15" s="10"/>
      <c r="Q15" s="10"/>
      <c r="R15" s="10"/>
      <c r="S15" s="10"/>
      <c r="T15" s="10"/>
      <c r="U15" s="10"/>
      <c r="V15" s="10"/>
      <c r="W15" s="10"/>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row>
    <row r="16" spans="4:83" s="1051" customFormat="1" ht="27.75" customHeight="1">
      <c r="D16" s="19"/>
      <c r="E16" s="19"/>
      <c r="F16" s="19"/>
      <c r="G16" s="19"/>
      <c r="H16" s="20"/>
      <c r="I16" s="1181" t="s">
        <v>9</v>
      </c>
      <c r="J16" s="1181"/>
      <c r="K16" s="1181"/>
      <c r="L16" s="1181"/>
      <c r="M16" s="1181"/>
      <c r="N16" s="1181"/>
      <c r="O16" s="1181"/>
      <c r="P16" s="1181"/>
      <c r="Q16" s="1181"/>
      <c r="R16" s="1181"/>
      <c r="S16" s="1181"/>
      <c r="T16" s="1181"/>
      <c r="U16" s="1181"/>
      <c r="V16" s="1181"/>
      <c r="W16" s="1181"/>
      <c r="X16" s="19"/>
      <c r="Y16" s="1187" t="s">
        <v>0</v>
      </c>
      <c r="Z16" s="1187"/>
      <c r="AA16" s="1187"/>
      <c r="AB16" s="1187"/>
      <c r="AC16" s="1187"/>
      <c r="AD16" s="1187"/>
      <c r="AE16" s="1187"/>
      <c r="AF16" s="1187"/>
      <c r="AG16" s="1187"/>
      <c r="AH16" s="1187"/>
      <c r="AI16" s="1187"/>
      <c r="AJ16" s="1187"/>
      <c r="AK16" s="1187"/>
      <c r="AL16" s="1187"/>
      <c r="AM16" s="1187"/>
      <c r="AN16" s="1187"/>
      <c r="AO16" s="1187"/>
      <c r="AP16" s="1187"/>
      <c r="AQ16" s="1187"/>
      <c r="AR16" s="1187"/>
      <c r="AS16" s="1187"/>
      <c r="AT16" s="1187"/>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29"/>
      <c r="CE16" s="129"/>
    </row>
    <row r="17" spans="4:86" s="1051" customFormat="1" ht="27.75" customHeight="1">
      <c r="D17" s="19"/>
      <c r="E17" s="19"/>
      <c r="F17" s="19"/>
      <c r="G17" s="19"/>
      <c r="H17" s="20"/>
      <c r="I17" s="1181" t="s">
        <v>64</v>
      </c>
      <c r="J17" s="1181"/>
      <c r="K17" s="1181"/>
      <c r="L17" s="1181"/>
      <c r="M17" s="1181"/>
      <c r="N17" s="1181"/>
      <c r="O17" s="1181"/>
      <c r="P17" s="1181"/>
      <c r="Q17" s="1181"/>
      <c r="R17" s="1181"/>
      <c r="S17" s="1181"/>
      <c r="T17" s="1181"/>
      <c r="U17" s="1181"/>
      <c r="V17" s="1181"/>
      <c r="W17" s="1181"/>
      <c r="X17" s="19"/>
      <c r="Y17" s="1182" t="str">
        <f>INDEX(dms_TradingNameFull_List,MATCH(dms_TradingName,dms_TradingName_List))</f>
        <v>Australian Distribution Co.</v>
      </c>
      <c r="Z17" s="1182"/>
      <c r="AA17" s="1182"/>
      <c r="AB17" s="1182"/>
      <c r="AC17" s="1182"/>
      <c r="AD17" s="1182"/>
      <c r="AE17" s="1182"/>
      <c r="AF17" s="1182"/>
      <c r="AG17" s="1182"/>
      <c r="AH17" s="1182"/>
      <c r="AI17" s="1182"/>
      <c r="AJ17" s="1182"/>
      <c r="AK17" s="1182"/>
      <c r="AL17" s="1182"/>
      <c r="AM17" s="1182"/>
      <c r="AN17" s="1182"/>
      <c r="AO17" s="1182"/>
      <c r="AP17" s="1182"/>
      <c r="AQ17" s="1182"/>
      <c r="AR17" s="1182"/>
      <c r="AS17" s="1182"/>
      <c r="AT17" s="1182"/>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29"/>
      <c r="CE17" s="129"/>
    </row>
    <row r="18" spans="4:86" s="1152" customFormat="1" ht="25.5" customHeight="1">
      <c r="D18" s="22"/>
      <c r="E18" s="22"/>
      <c r="F18" s="22"/>
      <c r="G18" s="22"/>
      <c r="H18" s="23"/>
      <c r="I18" s="1177" t="s">
        <v>27</v>
      </c>
      <c r="J18" s="1178"/>
      <c r="K18" s="1178"/>
      <c r="L18" s="1178"/>
      <c r="M18" s="1178"/>
      <c r="N18" s="1178"/>
      <c r="O18" s="1178"/>
      <c r="P18" s="1178"/>
      <c r="Q18" s="1178"/>
      <c r="R18" s="1178"/>
      <c r="S18" s="1178"/>
      <c r="T18" s="1178"/>
      <c r="U18" s="1178"/>
      <c r="V18" s="1178"/>
      <c r="W18" s="1178"/>
      <c r="X18" s="22"/>
      <c r="Y18" s="1179">
        <f>INDEX(dms_ABN_List,MATCH(dms_TradingName,dms_TradingName_List))</f>
        <v>11222333444</v>
      </c>
      <c r="Z18" s="1179"/>
      <c r="AA18" s="1179"/>
      <c r="AB18" s="1179"/>
      <c r="AC18" s="1179"/>
      <c r="AD18" s="1179"/>
      <c r="AE18" s="1179"/>
      <c r="AF18" s="1179"/>
      <c r="AG18" s="1179"/>
      <c r="AH18" s="1179"/>
      <c r="AI18" s="1179"/>
      <c r="AJ18" s="1179"/>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129"/>
      <c r="CE18" s="129"/>
    </row>
    <row r="19" spans="4:86">
      <c r="D19" s="8"/>
      <c r="E19" s="8"/>
      <c r="F19" s="8"/>
      <c r="G19" s="8"/>
      <c r="H19" s="10"/>
      <c r="I19" s="10"/>
      <c r="J19" s="10"/>
      <c r="K19" s="10"/>
      <c r="L19" s="10"/>
      <c r="M19" s="10"/>
      <c r="N19" s="10"/>
      <c r="O19" s="10"/>
      <c r="P19" s="10"/>
      <c r="Q19" s="10"/>
      <c r="R19" s="10"/>
      <c r="S19" s="10"/>
      <c r="T19" s="10"/>
      <c r="U19" s="10"/>
      <c r="V19" s="10"/>
      <c r="W19" s="10"/>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row>
    <row r="20" spans="4:86">
      <c r="D20" s="8"/>
      <c r="E20" s="8"/>
      <c r="F20" s="8"/>
      <c r="G20" s="8"/>
      <c r="H20" s="10"/>
      <c r="I20" s="10"/>
      <c r="J20" s="10"/>
      <c r="K20" s="10"/>
      <c r="L20" s="10"/>
      <c r="M20" s="10"/>
      <c r="N20" s="10"/>
      <c r="O20" s="10"/>
      <c r="P20" s="10"/>
      <c r="Q20" s="10"/>
      <c r="R20" s="10"/>
      <c r="S20" s="10"/>
      <c r="T20" s="10"/>
      <c r="U20" s="10"/>
      <c r="V20" s="10"/>
      <c r="W20" s="10"/>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row>
    <row r="21" spans="4:86">
      <c r="D21" s="8"/>
      <c r="E21" s="8"/>
      <c r="F21" s="8"/>
      <c r="G21" s="8"/>
      <c r="H21" s="10"/>
      <c r="I21" s="10"/>
      <c r="J21" s="10"/>
      <c r="K21" s="10"/>
      <c r="L21" s="10"/>
      <c r="M21" s="10"/>
      <c r="N21" s="10"/>
      <c r="O21" s="10"/>
      <c r="P21" s="10"/>
      <c r="Q21" s="10"/>
      <c r="R21" s="10"/>
      <c r="S21" s="10"/>
      <c r="T21" s="10"/>
      <c r="U21" s="10"/>
      <c r="V21" s="10"/>
      <c r="W21" s="10"/>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row>
    <row r="22" spans="4:86" ht="15" customHeight="1">
      <c r="D22" s="8"/>
      <c r="E22" s="8"/>
      <c r="F22" s="8"/>
      <c r="G22" s="8"/>
      <c r="H22" s="17"/>
      <c r="I22" s="57" t="s">
        <v>23</v>
      </c>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8"/>
      <c r="AV22" s="9"/>
      <c r="AW22" s="11"/>
      <c r="AX22" s="11"/>
      <c r="AY22" s="11"/>
      <c r="AZ22" s="11"/>
      <c r="BA22" s="11"/>
      <c r="BB22" s="11"/>
      <c r="BC22" s="11"/>
      <c r="BD22" s="38" t="s">
        <v>24</v>
      </c>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row>
    <row r="23" spans="4:86">
      <c r="D23" s="8"/>
      <c r="E23" s="8"/>
      <c r="F23" s="8"/>
      <c r="G23" s="8"/>
      <c r="H23" s="10"/>
      <c r="I23" s="10"/>
      <c r="J23" s="10"/>
      <c r="K23" s="10"/>
      <c r="L23" s="10"/>
      <c r="M23" s="10"/>
      <c r="N23" s="10"/>
      <c r="O23" s="10"/>
      <c r="P23" s="10"/>
      <c r="Q23" s="10"/>
      <c r="R23" s="10"/>
      <c r="S23" s="10"/>
      <c r="T23" s="10"/>
      <c r="U23" s="10"/>
      <c r="V23" s="10"/>
      <c r="W23" s="10"/>
      <c r="X23" s="9"/>
      <c r="Y23" s="9"/>
      <c r="Z23" s="12"/>
      <c r="AA23" s="12"/>
      <c r="AB23" s="12"/>
      <c r="AC23" s="12"/>
      <c r="AD23" s="12"/>
      <c r="AE23" s="12"/>
      <c r="AF23" s="12"/>
      <c r="AG23" s="12"/>
      <c r="AH23" s="12"/>
      <c r="AI23" s="12"/>
      <c r="AJ23" s="12"/>
      <c r="AK23" s="12"/>
      <c r="AL23" s="12"/>
      <c r="AM23" s="12"/>
      <c r="AN23" s="12"/>
      <c r="AO23" s="12"/>
      <c r="AP23" s="12"/>
      <c r="AQ23" s="12"/>
      <c r="AR23" s="12"/>
      <c r="AS23" s="12"/>
      <c r="AT23" s="12"/>
      <c r="AU23" s="10"/>
      <c r="AV23" s="10"/>
      <c r="AW23" s="10"/>
      <c r="AX23" s="10"/>
      <c r="AY23" s="10"/>
      <c r="AZ23" s="10"/>
      <c r="BA23" s="10"/>
      <c r="BB23" s="10"/>
      <c r="BC23" s="10"/>
      <c r="BD23" s="9"/>
      <c r="BE23" s="12"/>
      <c r="BF23" s="12"/>
      <c r="BG23" s="12"/>
      <c r="BH23" s="12"/>
      <c r="BI23" s="12"/>
      <c r="BJ23" s="12"/>
      <c r="BK23" s="12"/>
      <c r="BL23" s="12"/>
      <c r="BM23" s="12"/>
      <c r="BN23" s="12"/>
      <c r="BO23" s="12"/>
      <c r="BP23" s="12"/>
      <c r="BQ23" s="12"/>
      <c r="BR23" s="12"/>
      <c r="BS23" s="12"/>
      <c r="BT23" s="12"/>
      <c r="BU23" s="12"/>
      <c r="BV23" s="12"/>
      <c r="BW23" s="12"/>
      <c r="BX23" s="12"/>
      <c r="BY23" s="12"/>
      <c r="BZ23" s="8"/>
      <c r="CA23" s="8"/>
      <c r="CB23" s="8"/>
      <c r="CC23" s="8"/>
    </row>
    <row r="24" spans="4:86">
      <c r="D24" s="8"/>
      <c r="E24" s="8"/>
      <c r="F24" s="8"/>
      <c r="G24" s="8"/>
      <c r="H24" s="10"/>
      <c r="I24" s="1176" t="s">
        <v>10</v>
      </c>
      <c r="J24" s="1176"/>
      <c r="K24" s="1176"/>
      <c r="L24" s="1176"/>
      <c r="M24" s="1176"/>
      <c r="N24" s="1176"/>
      <c r="O24" s="1176"/>
      <c r="P24" s="1176"/>
      <c r="Q24" s="1176"/>
      <c r="R24" s="1176"/>
      <c r="S24" s="1176"/>
      <c r="T24" s="1176"/>
      <c r="U24" s="1176"/>
      <c r="V24" s="1176"/>
      <c r="W24" s="1176"/>
      <c r="X24" s="8"/>
      <c r="Y24" s="1170" t="str">
        <f>INDEX(dms_Addr1_List,MATCH(dms_TradingName,dms_TradingName_List))</f>
        <v>123 Straight Street</v>
      </c>
      <c r="Z24" s="1171"/>
      <c r="AA24" s="1171"/>
      <c r="AB24" s="1171"/>
      <c r="AC24" s="1171"/>
      <c r="AD24" s="1171"/>
      <c r="AE24" s="1171"/>
      <c r="AF24" s="1171"/>
      <c r="AG24" s="1171"/>
      <c r="AH24" s="1171"/>
      <c r="AI24" s="1171"/>
      <c r="AJ24" s="1171"/>
      <c r="AK24" s="1171"/>
      <c r="AL24" s="1171"/>
      <c r="AM24" s="1171"/>
      <c r="AN24" s="1171"/>
      <c r="AO24" s="1171"/>
      <c r="AP24" s="1171"/>
      <c r="AQ24" s="1171"/>
      <c r="AR24" s="1171"/>
      <c r="AS24" s="1171"/>
      <c r="AT24" s="1172"/>
      <c r="AU24" s="10"/>
      <c r="AV24" s="1176" t="s">
        <v>10</v>
      </c>
      <c r="AW24" s="1176"/>
      <c r="AX24" s="1176"/>
      <c r="AY24" s="1176"/>
      <c r="AZ24" s="1176"/>
      <c r="BA24" s="1176"/>
      <c r="BB24" s="1176"/>
      <c r="BC24" s="21"/>
      <c r="BD24" s="1170" t="str">
        <f>INDEX(dms_PAddr1_List,MATCH(dms_TradingName,dms_TradingName_List))</f>
        <v>PO Box 123</v>
      </c>
      <c r="BE24" s="1171"/>
      <c r="BF24" s="1171"/>
      <c r="BG24" s="1171"/>
      <c r="BH24" s="1171"/>
      <c r="BI24" s="1171"/>
      <c r="BJ24" s="1171"/>
      <c r="BK24" s="1171"/>
      <c r="BL24" s="1171"/>
      <c r="BM24" s="1171"/>
      <c r="BN24" s="1171"/>
      <c r="BO24" s="1171"/>
      <c r="BP24" s="1171"/>
      <c r="BQ24" s="1171"/>
      <c r="BR24" s="1171"/>
      <c r="BS24" s="1171"/>
      <c r="BT24" s="1171"/>
      <c r="BU24" s="1171"/>
      <c r="BV24" s="1171"/>
      <c r="BW24" s="1171"/>
      <c r="BX24" s="1171"/>
      <c r="BY24" s="1172"/>
      <c r="BZ24" s="8"/>
      <c r="CA24" s="8"/>
      <c r="CB24" s="8"/>
      <c r="CC24" s="8"/>
    </row>
    <row r="25" spans="4:86">
      <c r="D25" s="8"/>
      <c r="E25" s="8"/>
      <c r="F25" s="8"/>
      <c r="G25" s="8"/>
      <c r="H25" s="10"/>
      <c r="I25" s="1176" t="s">
        <v>11</v>
      </c>
      <c r="J25" s="1176"/>
      <c r="K25" s="1176"/>
      <c r="L25" s="1176"/>
      <c r="M25" s="1176"/>
      <c r="N25" s="1176"/>
      <c r="O25" s="1176"/>
      <c r="P25" s="1176"/>
      <c r="Q25" s="1176"/>
      <c r="R25" s="1176"/>
      <c r="S25" s="1176"/>
      <c r="T25" s="1176"/>
      <c r="U25" s="1176"/>
      <c r="V25" s="1176"/>
      <c r="W25" s="1176"/>
      <c r="X25" s="8"/>
      <c r="Y25" s="1170" t="str">
        <f>IF(ISBLANK(INDEX(dms_Addr2_List,MATCH(dms_TradingName,dms_TradingName_List))),"",(INDEX(dms_Addr2_List,MATCH(dms_TradingName,dms_TradingName_List))))</f>
        <v/>
      </c>
      <c r="Z25" s="1171"/>
      <c r="AA25" s="1171"/>
      <c r="AB25" s="1171"/>
      <c r="AC25" s="1171"/>
      <c r="AD25" s="1171"/>
      <c r="AE25" s="1171"/>
      <c r="AF25" s="1171"/>
      <c r="AG25" s="1171"/>
      <c r="AH25" s="1171"/>
      <c r="AI25" s="1171"/>
      <c r="AJ25" s="1171"/>
      <c r="AK25" s="1171"/>
      <c r="AL25" s="1171"/>
      <c r="AM25" s="1171"/>
      <c r="AN25" s="1171"/>
      <c r="AO25" s="1171"/>
      <c r="AP25" s="1171"/>
      <c r="AQ25" s="1171"/>
      <c r="AR25" s="1171"/>
      <c r="AS25" s="1171"/>
      <c r="AT25" s="1172"/>
      <c r="AU25" s="10"/>
      <c r="AV25" s="1176" t="s">
        <v>11</v>
      </c>
      <c r="AW25" s="1176"/>
      <c r="AX25" s="1176"/>
      <c r="AY25" s="1176"/>
      <c r="AZ25" s="1176"/>
      <c r="BA25" s="1176"/>
      <c r="BB25" s="1176"/>
      <c r="BC25" s="21"/>
      <c r="BD25" s="1170" t="str">
        <f>IF(ISBLANK(INDEX(dms_PAddr2_List,MATCH(dms_TradingName,dms_TradingName_List))),"",(INDEX(dms_PAddr2_List,MATCH(dms_TradingName,dms_TradingName_List))))</f>
        <v/>
      </c>
      <c r="BE25" s="1171"/>
      <c r="BF25" s="1171"/>
      <c r="BG25" s="1171"/>
      <c r="BH25" s="1171"/>
      <c r="BI25" s="1171"/>
      <c r="BJ25" s="1171"/>
      <c r="BK25" s="1171"/>
      <c r="BL25" s="1171"/>
      <c r="BM25" s="1171"/>
      <c r="BN25" s="1171"/>
      <c r="BO25" s="1171"/>
      <c r="BP25" s="1171"/>
      <c r="BQ25" s="1171"/>
      <c r="BR25" s="1171"/>
      <c r="BS25" s="1171"/>
      <c r="BT25" s="1171"/>
      <c r="BU25" s="1171"/>
      <c r="BV25" s="1171"/>
      <c r="BW25" s="1171"/>
      <c r="BX25" s="1171"/>
      <c r="BY25" s="1172"/>
      <c r="BZ25" s="8"/>
      <c r="CA25" s="8"/>
      <c r="CB25" s="8"/>
      <c r="CC25" s="8"/>
    </row>
    <row r="26" spans="4:86">
      <c r="D26" s="8"/>
      <c r="E26" s="8"/>
      <c r="F26" s="8"/>
      <c r="G26" s="8"/>
      <c r="H26" s="10"/>
      <c r="I26" s="1176" t="s">
        <v>12</v>
      </c>
      <c r="J26" s="1176"/>
      <c r="K26" s="1176"/>
      <c r="L26" s="1176"/>
      <c r="M26" s="1176"/>
      <c r="N26" s="1176"/>
      <c r="O26" s="1176"/>
      <c r="P26" s="1176"/>
      <c r="Q26" s="1176"/>
      <c r="R26" s="1176"/>
      <c r="S26" s="1176"/>
      <c r="T26" s="1176"/>
      <c r="U26" s="1176"/>
      <c r="V26" s="1176"/>
      <c r="W26" s="1176"/>
      <c r="X26" s="8"/>
      <c r="Y26" s="1175" t="str">
        <f>INDEX(dms_Suburb_List,MATCH(dms_TradingName,dms_TradingName_List))</f>
        <v>SYDNEY</v>
      </c>
      <c r="Z26" s="1175"/>
      <c r="AA26" s="1175"/>
      <c r="AB26" s="1175"/>
      <c r="AC26" s="1175"/>
      <c r="AD26" s="1175"/>
      <c r="AE26" s="1175"/>
      <c r="AF26" s="1175"/>
      <c r="AG26" s="1175"/>
      <c r="AH26" s="1175"/>
      <c r="AI26" s="1175"/>
      <c r="AJ26" s="1175"/>
      <c r="AK26" s="1175"/>
      <c r="AL26" s="1175"/>
      <c r="AM26" s="1175"/>
      <c r="AN26" s="13"/>
      <c r="AO26" s="13"/>
      <c r="AP26" s="13"/>
      <c r="AQ26" s="13"/>
      <c r="AR26" s="13"/>
      <c r="AS26" s="13"/>
      <c r="AT26" s="13"/>
      <c r="AU26" s="10"/>
      <c r="AV26" s="1176" t="s">
        <v>12</v>
      </c>
      <c r="AW26" s="1176"/>
      <c r="AX26" s="1176"/>
      <c r="AY26" s="1176"/>
      <c r="AZ26" s="1176"/>
      <c r="BA26" s="1176"/>
      <c r="BB26" s="1176"/>
      <c r="BC26" s="21"/>
      <c r="BD26" s="1175" t="str">
        <f>INDEX(dms_PSuburb_List,MATCH(dms_TradingName,dms_TradingName_List))</f>
        <v>SYDNEY</v>
      </c>
      <c r="BE26" s="1175"/>
      <c r="BF26" s="1175"/>
      <c r="BG26" s="1175"/>
      <c r="BH26" s="1175"/>
      <c r="BI26" s="1175"/>
      <c r="BJ26" s="1175"/>
      <c r="BK26" s="1175"/>
      <c r="BL26" s="1175"/>
      <c r="BM26" s="1175"/>
      <c r="BN26" s="1175"/>
      <c r="BO26" s="1175"/>
      <c r="BP26" s="1175"/>
      <c r="BQ26" s="1175"/>
      <c r="BR26" s="1175"/>
      <c r="BS26" s="13"/>
      <c r="BT26" s="13"/>
      <c r="BU26" s="13"/>
      <c r="BV26" s="13"/>
      <c r="BW26" s="13"/>
      <c r="BX26" s="13"/>
      <c r="BY26" s="13"/>
      <c r="BZ26" s="8"/>
      <c r="CA26" s="8"/>
      <c r="CB26" s="8"/>
      <c r="CC26" s="8"/>
    </row>
    <row r="27" spans="4:86">
      <c r="D27" s="8"/>
      <c r="E27" s="8"/>
      <c r="F27" s="8"/>
      <c r="G27" s="8"/>
      <c r="H27" s="10"/>
      <c r="I27" s="1176" t="s">
        <v>13</v>
      </c>
      <c r="J27" s="1176"/>
      <c r="K27" s="1176"/>
      <c r="L27" s="1176"/>
      <c r="M27" s="1176"/>
      <c r="N27" s="1176"/>
      <c r="O27" s="1176"/>
      <c r="P27" s="1176"/>
      <c r="Q27" s="1176"/>
      <c r="R27" s="1176"/>
      <c r="S27" s="1176"/>
      <c r="T27" s="1176"/>
      <c r="U27" s="1176"/>
      <c r="V27" s="1176"/>
      <c r="W27" s="1176"/>
      <c r="X27" s="8"/>
      <c r="Y27" s="1173" t="str">
        <f>INDEX(dms_State_List,MATCH(dms_TradingName,dms_TradingName_List))</f>
        <v>NSW</v>
      </c>
      <c r="Z27" s="1173"/>
      <c r="AA27" s="1173"/>
      <c r="AB27" s="1173"/>
      <c r="AC27" s="8"/>
      <c r="AD27" s="18"/>
      <c r="AE27" s="8"/>
      <c r="AF27" s="8"/>
      <c r="AG27" s="8"/>
      <c r="AH27" s="8"/>
      <c r="AI27" s="18" t="s">
        <v>25</v>
      </c>
      <c r="AJ27" s="18"/>
      <c r="AK27" s="1174"/>
      <c r="AL27" s="1174"/>
      <c r="AM27" s="1174"/>
      <c r="AN27" s="8"/>
      <c r="AO27" s="8"/>
      <c r="AP27" s="8"/>
      <c r="AQ27" s="8"/>
      <c r="AR27" s="8"/>
      <c r="AS27" s="8"/>
      <c r="AT27" s="8"/>
      <c r="AU27" s="10"/>
      <c r="AV27" s="1176" t="s">
        <v>13</v>
      </c>
      <c r="AW27" s="1176"/>
      <c r="AX27" s="1176"/>
      <c r="AY27" s="1176"/>
      <c r="AZ27" s="1176"/>
      <c r="BA27" s="1176"/>
      <c r="BB27" s="1176"/>
      <c r="BC27" s="21"/>
      <c r="BD27" s="1173" t="str">
        <f>INDEX(dms_PState_List,MATCH(dms_TradingName,dms_TradingName_List))</f>
        <v>NSW</v>
      </c>
      <c r="BE27" s="1173"/>
      <c r="BF27" s="1173"/>
      <c r="BG27" s="1173"/>
      <c r="BH27" s="8"/>
      <c r="BI27" s="8"/>
      <c r="BJ27" s="14"/>
      <c r="BK27" s="8"/>
      <c r="BL27" s="8"/>
      <c r="BM27" s="8"/>
      <c r="BN27" s="18" t="s">
        <v>25</v>
      </c>
      <c r="BO27" s="8"/>
      <c r="BP27" s="1174"/>
      <c r="BQ27" s="1174"/>
      <c r="BR27" s="1174"/>
      <c r="BS27" s="8"/>
      <c r="BT27" s="8"/>
      <c r="BU27" s="8"/>
      <c r="BV27" s="8"/>
      <c r="BW27" s="8"/>
      <c r="BX27" s="8"/>
      <c r="BY27" s="8"/>
      <c r="BZ27" s="8"/>
      <c r="CA27" s="8"/>
      <c r="CB27" s="8"/>
      <c r="CC27" s="8"/>
    </row>
    <row r="28" spans="4:86">
      <c r="D28" s="8"/>
      <c r="E28" s="8"/>
      <c r="F28" s="8"/>
      <c r="G28" s="8"/>
      <c r="H28" s="10"/>
      <c r="I28" s="10"/>
      <c r="J28" s="10"/>
      <c r="K28" s="10"/>
      <c r="L28" s="10"/>
      <c r="M28" s="10"/>
      <c r="N28" s="10"/>
      <c r="O28" s="10"/>
      <c r="P28" s="10"/>
      <c r="Q28" s="10"/>
      <c r="R28" s="10"/>
      <c r="S28" s="10"/>
      <c r="T28" s="10"/>
      <c r="U28" s="10"/>
      <c r="V28" s="10"/>
      <c r="W28" s="10"/>
      <c r="X28" s="8"/>
      <c r="Y28" s="8"/>
      <c r="Z28" s="8"/>
      <c r="AA28" s="8"/>
      <c r="AB28" s="8"/>
      <c r="AC28" s="8"/>
      <c r="AD28" s="8"/>
      <c r="AE28" s="8"/>
      <c r="AF28" s="8"/>
      <c r="AG28" s="8"/>
      <c r="AH28" s="8"/>
      <c r="AI28" s="8"/>
      <c r="AJ28" s="8"/>
      <c r="AK28" s="8"/>
      <c r="AL28" s="8"/>
      <c r="AM28" s="8"/>
      <c r="AN28" s="8"/>
      <c r="AO28" s="8"/>
      <c r="AP28" s="8"/>
      <c r="AQ28" s="8"/>
      <c r="AR28" s="8"/>
      <c r="AS28" s="8"/>
      <c r="AT28" s="8"/>
      <c r="AU28" s="10"/>
      <c r="AV28" s="10"/>
      <c r="AW28" s="10"/>
      <c r="AX28" s="10"/>
      <c r="AY28" s="10"/>
      <c r="AZ28" s="10"/>
      <c r="BA28" s="10"/>
      <c r="BB28" s="10"/>
      <c r="BC28" s="10"/>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H28" s="1153"/>
    </row>
    <row r="29" spans="4:86">
      <c r="D29" s="8"/>
      <c r="E29" s="8"/>
      <c r="F29" s="8"/>
      <c r="G29" s="8"/>
      <c r="H29" s="10"/>
      <c r="I29" s="10"/>
      <c r="J29" s="10"/>
      <c r="K29" s="10"/>
      <c r="L29" s="10"/>
      <c r="M29" s="10"/>
      <c r="N29" s="10"/>
      <c r="O29" s="10"/>
      <c r="P29" s="10"/>
      <c r="Q29" s="10"/>
      <c r="R29" s="10"/>
      <c r="S29" s="10"/>
      <c r="T29" s="10"/>
      <c r="U29" s="10"/>
      <c r="V29" s="10"/>
      <c r="W29" s="10"/>
      <c r="X29" s="8"/>
      <c r="Y29" s="8"/>
      <c r="Z29" s="8"/>
      <c r="AA29" s="8"/>
      <c r="AB29" s="8"/>
      <c r="AC29" s="8"/>
      <c r="AD29" s="8"/>
      <c r="AE29" s="8"/>
      <c r="AF29" s="8"/>
      <c r="AG29" s="8"/>
      <c r="AH29" s="8"/>
      <c r="AI29" s="8"/>
      <c r="AJ29" s="8"/>
      <c r="AK29" s="8"/>
      <c r="AL29" s="8"/>
      <c r="AM29" s="8"/>
      <c r="AN29" s="8" t="s">
        <v>28</v>
      </c>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row>
    <row r="30" spans="4:86">
      <c r="D30" s="8"/>
      <c r="E30" s="8"/>
      <c r="F30" s="8"/>
      <c r="G30" s="8"/>
      <c r="H30" s="10"/>
      <c r="I30" s="10"/>
      <c r="J30" s="10"/>
      <c r="K30" s="10"/>
      <c r="L30" s="10"/>
      <c r="M30" s="10"/>
      <c r="N30" s="10"/>
      <c r="O30" s="10"/>
      <c r="P30" s="10"/>
      <c r="Q30" s="10"/>
      <c r="R30" s="10"/>
      <c r="S30" s="10"/>
      <c r="T30" s="10"/>
      <c r="U30" s="10"/>
      <c r="V30" s="10"/>
      <c r="W30" s="10"/>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row>
    <row r="31" spans="4:86" ht="18" hidden="1">
      <c r="D31" s="8"/>
      <c r="E31" s="8"/>
      <c r="F31" s="8"/>
      <c r="G31" s="8"/>
      <c r="H31" s="8"/>
      <c r="I31" s="57" t="s">
        <v>29</v>
      </c>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row>
    <row r="32" spans="4:86" hidden="1">
      <c r="D32" s="8"/>
      <c r="E32" s="8"/>
      <c r="F32" s="8"/>
      <c r="G32" s="8"/>
      <c r="H32" s="10"/>
      <c r="I32" s="10"/>
      <c r="J32" s="10"/>
      <c r="K32" s="10"/>
      <c r="L32" s="10"/>
      <c r="M32" s="10"/>
      <c r="N32" s="10"/>
      <c r="O32" s="10"/>
      <c r="P32" s="10"/>
      <c r="Q32" s="10"/>
      <c r="R32" s="10"/>
      <c r="S32" s="10"/>
      <c r="T32" s="10"/>
      <c r="U32" s="10"/>
      <c r="V32" s="10"/>
      <c r="W32" s="10"/>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row>
    <row r="33" spans="4:81" hidden="1">
      <c r="D33" s="8"/>
      <c r="E33" s="8"/>
      <c r="F33" s="8"/>
      <c r="G33" s="8"/>
      <c r="H33" s="10"/>
      <c r="I33" s="1176" t="s">
        <v>30</v>
      </c>
      <c r="J33" s="1176"/>
      <c r="K33" s="1176"/>
      <c r="L33" s="1176"/>
      <c r="M33" s="1176"/>
      <c r="N33" s="1176"/>
      <c r="O33" s="1176"/>
      <c r="P33" s="1176"/>
      <c r="Q33" s="1176"/>
      <c r="R33" s="1176"/>
      <c r="S33" s="1176"/>
      <c r="T33" s="1176"/>
      <c r="U33" s="1176"/>
      <c r="V33" s="1176"/>
      <c r="W33" s="1176"/>
      <c r="X33" s="8"/>
      <c r="Y33" s="1186"/>
      <c r="Z33" s="1186"/>
      <c r="AA33" s="1186"/>
      <c r="AB33" s="1186"/>
      <c r="AC33" s="1186"/>
      <c r="AD33" s="1186"/>
      <c r="AE33" s="1186"/>
      <c r="AF33" s="1186"/>
      <c r="AG33" s="1186"/>
      <c r="AH33" s="1186"/>
      <c r="AI33" s="1186"/>
      <c r="AJ33" s="1186"/>
      <c r="AK33" s="1186"/>
      <c r="AL33" s="1186"/>
      <c r="AM33" s="1186"/>
      <c r="AN33" s="1186"/>
      <c r="AO33" s="1186"/>
      <c r="AP33" s="1186"/>
      <c r="AQ33" s="1186"/>
      <c r="AR33" s="1186"/>
      <c r="AS33" s="1186"/>
      <c r="AT33" s="1186"/>
      <c r="AU33" s="8"/>
      <c r="AV33" s="1176" t="s">
        <v>30</v>
      </c>
      <c r="AW33" s="1176"/>
      <c r="AX33" s="1176"/>
      <c r="AY33" s="1176"/>
      <c r="AZ33" s="1176"/>
      <c r="BA33" s="1176"/>
      <c r="BB33" s="1176"/>
      <c r="BC33" s="21"/>
      <c r="BD33" s="1186"/>
      <c r="BE33" s="1186"/>
      <c r="BF33" s="1186"/>
      <c r="BG33" s="1186"/>
      <c r="BH33" s="1186"/>
      <c r="BI33" s="1186"/>
      <c r="BJ33" s="1186"/>
      <c r="BK33" s="1186"/>
      <c r="BL33" s="1186"/>
      <c r="BM33" s="1186"/>
      <c r="BN33" s="1186"/>
      <c r="BO33" s="1186"/>
      <c r="BP33" s="1186"/>
      <c r="BQ33" s="1186"/>
      <c r="BR33" s="1186"/>
      <c r="BS33" s="1186"/>
      <c r="BT33" s="1186"/>
      <c r="BU33" s="1186"/>
      <c r="BV33" s="1186"/>
      <c r="BW33" s="1186"/>
      <c r="BX33" s="1186"/>
      <c r="BY33" s="1186"/>
      <c r="BZ33" s="8"/>
      <c r="CA33" s="8"/>
      <c r="CB33" s="8"/>
      <c r="CC33" s="8"/>
    </row>
    <row r="34" spans="4:81" hidden="1">
      <c r="D34" s="8"/>
      <c r="E34" s="8"/>
      <c r="F34" s="8"/>
      <c r="G34" s="8"/>
      <c r="H34" s="10"/>
      <c r="I34" s="1176" t="s">
        <v>31</v>
      </c>
      <c r="J34" s="1176"/>
      <c r="K34" s="1176"/>
      <c r="L34" s="1176"/>
      <c r="M34" s="1176"/>
      <c r="N34" s="1176"/>
      <c r="O34" s="1176"/>
      <c r="P34" s="1176"/>
      <c r="Q34" s="1176"/>
      <c r="R34" s="1176"/>
      <c r="S34" s="1176"/>
      <c r="T34" s="1176"/>
      <c r="U34" s="1176"/>
      <c r="V34" s="1176"/>
      <c r="W34" s="1176"/>
      <c r="X34" s="8"/>
      <c r="Y34" s="1188"/>
      <c r="Z34" s="1188"/>
      <c r="AA34" s="1188"/>
      <c r="AB34" s="1188"/>
      <c r="AC34" s="1188"/>
      <c r="AD34" s="1188"/>
      <c r="AE34" s="1188"/>
      <c r="AF34" s="1188"/>
      <c r="AG34" s="1188"/>
      <c r="AH34" s="1188"/>
      <c r="AI34" s="1188"/>
      <c r="AJ34" s="1188"/>
      <c r="AK34" s="1188"/>
      <c r="AL34" s="1188"/>
      <c r="AM34" s="1188"/>
      <c r="AN34" s="1188"/>
      <c r="AO34" s="1188"/>
      <c r="AP34" s="1188"/>
      <c r="AQ34" s="1188"/>
      <c r="AR34" s="1188"/>
      <c r="AS34" s="1188"/>
      <c r="AT34" s="1188"/>
      <c r="AU34" s="17"/>
      <c r="AV34" s="1176" t="s">
        <v>31</v>
      </c>
      <c r="AW34" s="1176"/>
      <c r="AX34" s="1176"/>
      <c r="AY34" s="1176"/>
      <c r="AZ34" s="1176"/>
      <c r="BA34" s="1176"/>
      <c r="BB34" s="1176"/>
      <c r="BC34" s="21"/>
      <c r="BD34" s="1188"/>
      <c r="BE34" s="1188"/>
      <c r="BF34" s="1188"/>
      <c r="BG34" s="1188"/>
      <c r="BH34" s="1188"/>
      <c r="BI34" s="1188"/>
      <c r="BJ34" s="1188"/>
      <c r="BK34" s="1188"/>
      <c r="BL34" s="1188"/>
      <c r="BM34" s="1188"/>
      <c r="BN34" s="1188"/>
      <c r="BO34" s="1188"/>
      <c r="BP34" s="1188"/>
      <c r="BQ34" s="1188"/>
      <c r="BR34" s="1188"/>
      <c r="BS34" s="1188"/>
      <c r="BT34" s="1188"/>
      <c r="BU34" s="1188"/>
      <c r="BV34" s="1188"/>
      <c r="BW34" s="1188"/>
      <c r="BX34" s="1188"/>
      <c r="BY34" s="1188"/>
      <c r="BZ34" s="8"/>
      <c r="CA34" s="8"/>
      <c r="CB34" s="8"/>
      <c r="CC34" s="8"/>
    </row>
    <row r="35" spans="4:81" hidden="1">
      <c r="D35" s="8"/>
      <c r="E35" s="8"/>
      <c r="F35" s="8"/>
      <c r="G35" s="8"/>
      <c r="H35" s="10"/>
      <c r="I35" s="1176" t="s">
        <v>32</v>
      </c>
      <c r="J35" s="1176"/>
      <c r="K35" s="1176"/>
      <c r="L35" s="1176"/>
      <c r="M35" s="1176"/>
      <c r="N35" s="1176"/>
      <c r="O35" s="1176"/>
      <c r="P35" s="1176"/>
      <c r="Q35" s="1176"/>
      <c r="R35" s="1176"/>
      <c r="S35" s="1176"/>
      <c r="T35" s="1176"/>
      <c r="U35" s="1176"/>
      <c r="V35" s="1176"/>
      <c r="W35" s="1176"/>
      <c r="X35" s="8"/>
      <c r="Y35" s="1186"/>
      <c r="Z35" s="1186"/>
      <c r="AA35" s="1186"/>
      <c r="AB35" s="1186"/>
      <c r="AC35" s="1186"/>
      <c r="AD35" s="1186"/>
      <c r="AE35" s="1186"/>
      <c r="AF35" s="1186"/>
      <c r="AG35" s="1186"/>
      <c r="AH35" s="1186"/>
      <c r="AI35" s="1186"/>
      <c r="AJ35" s="1186"/>
      <c r="AK35" s="1186"/>
      <c r="AL35" s="1186"/>
      <c r="AM35" s="1186"/>
      <c r="AN35" s="1186"/>
      <c r="AO35" s="1186"/>
      <c r="AP35" s="1186"/>
      <c r="AQ35" s="1186"/>
      <c r="AR35" s="1186"/>
      <c r="AS35" s="1186"/>
      <c r="AT35" s="1186"/>
      <c r="AU35" s="8"/>
      <c r="AV35" s="1176" t="s">
        <v>32</v>
      </c>
      <c r="AW35" s="1176"/>
      <c r="AX35" s="1176"/>
      <c r="AY35" s="1176"/>
      <c r="AZ35" s="1176"/>
      <c r="BA35" s="1176"/>
      <c r="BB35" s="1176"/>
      <c r="BC35" s="21"/>
      <c r="BD35" s="1186"/>
      <c r="BE35" s="1186"/>
      <c r="BF35" s="1186"/>
      <c r="BG35" s="1186"/>
      <c r="BH35" s="1186"/>
      <c r="BI35" s="1186"/>
      <c r="BJ35" s="1186"/>
      <c r="BK35" s="1186"/>
      <c r="BL35" s="1186"/>
      <c r="BM35" s="1186"/>
      <c r="BN35" s="1186"/>
      <c r="BO35" s="1186"/>
      <c r="BP35" s="1186"/>
      <c r="BQ35" s="1186"/>
      <c r="BR35" s="1186"/>
      <c r="BS35" s="1186"/>
      <c r="BT35" s="1186"/>
      <c r="BU35" s="1186"/>
      <c r="BV35" s="1186"/>
      <c r="BW35" s="1186"/>
      <c r="BX35" s="1186"/>
      <c r="BY35" s="1186"/>
      <c r="BZ35" s="8"/>
      <c r="CA35" s="8"/>
      <c r="CB35" s="8"/>
      <c r="CC35" s="8"/>
    </row>
    <row r="36" spans="4:81" hidden="1">
      <c r="D36" s="8"/>
      <c r="E36" s="8"/>
      <c r="F36" s="8"/>
      <c r="G36" s="8"/>
      <c r="H36" s="10"/>
      <c r="I36" s="10"/>
      <c r="J36" s="10"/>
      <c r="K36" s="10"/>
      <c r="L36" s="10"/>
      <c r="M36" s="10"/>
      <c r="N36" s="10"/>
      <c r="O36" s="10"/>
      <c r="P36" s="10"/>
      <c r="Q36" s="10"/>
      <c r="R36" s="10"/>
      <c r="S36" s="10"/>
      <c r="T36" s="10"/>
      <c r="U36" s="10"/>
      <c r="V36" s="10"/>
      <c r="W36" s="10"/>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row>
    <row r="37" spans="4:81" hidden="1">
      <c r="D37" s="8"/>
      <c r="E37" s="8"/>
      <c r="F37" s="8"/>
      <c r="G37" s="8"/>
      <c r="H37" s="10"/>
      <c r="I37" s="10"/>
      <c r="J37" s="10"/>
      <c r="K37" s="10"/>
      <c r="L37" s="10"/>
      <c r="M37" s="10"/>
      <c r="N37" s="10"/>
      <c r="O37" s="10"/>
      <c r="P37" s="10"/>
      <c r="Q37" s="10"/>
      <c r="R37" s="10"/>
      <c r="S37" s="10"/>
      <c r="T37" s="10"/>
      <c r="U37" s="10"/>
      <c r="V37" s="10"/>
      <c r="W37" s="10"/>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row>
    <row r="38" spans="4:81">
      <c r="D38" s="35"/>
      <c r="E38" s="35"/>
      <c r="F38" s="35"/>
      <c r="G38" s="35"/>
      <c r="H38" s="35"/>
      <c r="I38" s="35"/>
      <c r="J38" s="35"/>
      <c r="K38" s="35"/>
      <c r="L38" s="35"/>
      <c r="M38" s="35"/>
      <c r="N38" s="35"/>
      <c r="O38" s="35"/>
      <c r="P38" s="35"/>
      <c r="Q38" s="35"/>
      <c r="R38" s="35"/>
      <c r="S38" s="36"/>
      <c r="T38" s="36"/>
      <c r="U38" s="36"/>
      <c r="V38" s="36"/>
      <c r="W38" s="36"/>
      <c r="X38" s="36"/>
      <c r="Y38" s="36"/>
      <c r="Z38" s="36"/>
      <c r="AA38" s="36"/>
      <c r="AB38" s="36"/>
      <c r="AC38" s="36"/>
      <c r="AD38" s="36"/>
      <c r="AE38" s="36"/>
      <c r="AF38" s="36"/>
      <c r="AG38" s="36"/>
      <c r="AH38" s="36"/>
      <c r="AI38" s="36"/>
      <c r="AJ38" s="36"/>
      <c r="AK38" s="36"/>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row>
    <row r="39" spans="4:81" hidden="1">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row>
    <row r="40" spans="4:81" ht="30" hidden="1">
      <c r="D40" s="46" t="s">
        <v>14</v>
      </c>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row>
    <row r="41" spans="4:81">
      <c r="D41" s="28"/>
      <c r="E41" s="28"/>
      <c r="F41" s="28"/>
      <c r="G41" s="28"/>
      <c r="H41" s="28"/>
      <c r="I41" s="28"/>
      <c r="J41" s="28"/>
      <c r="K41" s="28"/>
      <c r="L41" s="28"/>
      <c r="M41" s="28"/>
      <c r="N41" s="28"/>
      <c r="O41" s="28"/>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8"/>
      <c r="CC41" s="28"/>
    </row>
    <row r="42" spans="4:81" hidden="1">
      <c r="D42" s="28"/>
      <c r="E42" s="28"/>
      <c r="F42" s="28"/>
      <c r="G42" s="28"/>
      <c r="H42" s="27"/>
      <c r="I42" s="27"/>
      <c r="J42" s="27"/>
      <c r="K42" s="27"/>
      <c r="L42" s="27"/>
      <c r="M42" s="28"/>
      <c r="N42" s="28"/>
      <c r="O42" s="28"/>
      <c r="P42" s="28"/>
      <c r="Q42" s="28"/>
      <c r="R42" s="28"/>
      <c r="S42" s="28"/>
      <c r="T42" s="28"/>
      <c r="U42" s="28"/>
      <c r="V42" s="28"/>
      <c r="W42" s="28"/>
      <c r="X42" s="28"/>
      <c r="Y42" s="45"/>
      <c r="Z42" s="43"/>
      <c r="AA42" s="43"/>
      <c r="AB42" s="44"/>
      <c r="AC42" s="44"/>
      <c r="AD42" s="44"/>
      <c r="AE42" s="44"/>
      <c r="AF42" s="44"/>
      <c r="AG42" s="44"/>
      <c r="AH42" s="45"/>
      <c r="AI42" s="44"/>
      <c r="AJ42" s="44"/>
      <c r="AK42" s="44"/>
      <c r="AL42" s="44"/>
      <c r="AM42" s="44"/>
      <c r="AN42" s="44"/>
      <c r="AO42" s="44"/>
      <c r="AP42" s="44"/>
      <c r="AQ42" s="45"/>
      <c r="AR42" s="44"/>
      <c r="AS42" s="44"/>
      <c r="AT42" s="44"/>
      <c r="AU42" s="44"/>
      <c r="AV42" s="44"/>
      <c r="AW42" s="44"/>
      <c r="AX42" s="44"/>
      <c r="AY42" s="44"/>
      <c r="AZ42" s="45"/>
      <c r="BA42" s="44"/>
      <c r="BB42" s="44"/>
      <c r="BC42" s="44"/>
      <c r="BD42" s="44"/>
      <c r="BE42" s="44"/>
      <c r="BF42" s="44"/>
      <c r="BG42" s="44"/>
      <c r="BH42" s="44"/>
      <c r="BI42" s="45"/>
      <c r="BJ42" s="44"/>
      <c r="BK42" s="44"/>
      <c r="BL42" s="44"/>
      <c r="BM42" s="44"/>
      <c r="BN42" s="44"/>
      <c r="BO42" s="44"/>
      <c r="BP42" s="44"/>
      <c r="BQ42" s="44"/>
      <c r="BR42" s="27"/>
      <c r="BS42" s="27"/>
      <c r="BT42" s="27"/>
      <c r="BU42" s="27"/>
      <c r="BV42" s="27"/>
      <c r="BW42" s="27"/>
      <c r="BX42" s="27"/>
      <c r="BY42" s="27"/>
      <c r="BZ42" s="27"/>
      <c r="CA42" s="27"/>
      <c r="CB42" s="28"/>
      <c r="CC42" s="28"/>
    </row>
    <row r="43" spans="4:81" ht="15.75" hidden="1" customHeight="1">
      <c r="D43" s="62"/>
      <c r="E43" s="62"/>
      <c r="F43" s="62"/>
      <c r="G43" s="62"/>
      <c r="H43" s="62"/>
      <c r="I43" s="62"/>
      <c r="J43" s="27"/>
      <c r="K43" s="27"/>
      <c r="L43" s="27"/>
      <c r="M43" s="1189" t="s">
        <v>33</v>
      </c>
      <c r="N43" s="1189"/>
      <c r="O43" s="1189"/>
      <c r="P43" s="1189"/>
      <c r="Q43" s="1189"/>
      <c r="R43" s="1189"/>
      <c r="S43" s="1189"/>
      <c r="T43" s="1189"/>
      <c r="U43" s="1189"/>
      <c r="V43" s="1189"/>
      <c r="W43" s="29"/>
      <c r="X43" s="29"/>
      <c r="Y43" s="1198" t="s">
        <v>5</v>
      </c>
      <c r="Z43" s="1198"/>
      <c r="AA43" s="1198"/>
      <c r="AB43" s="1198"/>
      <c r="AC43" s="1198"/>
      <c r="AD43" s="1198"/>
      <c r="AE43" s="1198"/>
      <c r="AF43" s="1198"/>
      <c r="AG43" s="47"/>
      <c r="AH43" s="1185" t="str">
        <f ca="1">FRCP_y2</f>
        <v>2021-22</v>
      </c>
      <c r="AI43" s="1185"/>
      <c r="AJ43" s="1185"/>
      <c r="AK43" s="1185"/>
      <c r="AL43" s="1185"/>
      <c r="AM43" s="1185"/>
      <c r="AN43" s="1185"/>
      <c r="AO43" s="1185"/>
      <c r="AP43" s="47"/>
      <c r="AQ43" s="1185" t="str">
        <f ca="1">FRCP_y3</f>
        <v>2022-23</v>
      </c>
      <c r="AR43" s="1185"/>
      <c r="AS43" s="1185"/>
      <c r="AT43" s="1185"/>
      <c r="AU43" s="1185"/>
      <c r="AV43" s="1185"/>
      <c r="AW43" s="1185"/>
      <c r="AX43" s="1185"/>
      <c r="AY43" s="47"/>
      <c r="AZ43" s="1185" t="str">
        <f ca="1">FRCP_y4</f>
        <v>2023-24</v>
      </c>
      <c r="BA43" s="1185"/>
      <c r="BB43" s="1185"/>
      <c r="BC43" s="1185"/>
      <c r="BD43" s="1185"/>
      <c r="BE43" s="1185"/>
      <c r="BF43" s="1185"/>
      <c r="BG43" s="1185"/>
      <c r="BH43" s="47"/>
      <c r="BI43" s="1184" t="str">
        <f ca="1">FRCP_y5</f>
        <v>2024-25</v>
      </c>
      <c r="BJ43" s="1184"/>
      <c r="BK43" s="1184"/>
      <c r="BL43" s="1184"/>
      <c r="BM43" s="1184"/>
      <c r="BN43" s="1184"/>
      <c r="BO43" s="1184"/>
      <c r="BP43" s="1184"/>
      <c r="BQ43" s="27"/>
      <c r="BR43" s="27"/>
      <c r="BS43" s="27"/>
      <c r="BT43" s="27"/>
      <c r="BU43" s="27"/>
      <c r="BV43" s="27"/>
      <c r="BW43" s="27"/>
      <c r="BX43" s="27"/>
      <c r="BY43" s="27"/>
      <c r="BZ43" s="27"/>
      <c r="CA43" s="27"/>
      <c r="CB43" s="28"/>
      <c r="CC43" s="28"/>
    </row>
    <row r="44" spans="4:81" ht="18" hidden="1">
      <c r="D44" s="62"/>
      <c r="E44" s="62"/>
      <c r="F44" s="62"/>
      <c r="G44" s="62"/>
      <c r="H44" s="62"/>
      <c r="I44" s="62"/>
      <c r="J44" s="27"/>
      <c r="K44" s="27"/>
      <c r="L44" s="27"/>
      <c r="M44" s="29"/>
      <c r="N44" s="30"/>
      <c r="O44" s="30"/>
      <c r="P44" s="30"/>
      <c r="Q44" s="30"/>
      <c r="R44" s="30"/>
      <c r="S44" s="30"/>
      <c r="T44" s="30"/>
      <c r="U44" s="30"/>
      <c r="V44" s="30"/>
      <c r="W44" s="30"/>
      <c r="X44" s="30"/>
      <c r="Y44" s="1184" t="str">
        <f ca="1">FRCP_y6</f>
        <v>2025-26</v>
      </c>
      <c r="Z44" s="1184"/>
      <c r="AA44" s="1184"/>
      <c r="AB44" s="1184"/>
      <c r="AC44" s="1184"/>
      <c r="AD44" s="1184"/>
      <c r="AE44" s="1184"/>
      <c r="AF44" s="1184"/>
      <c r="AG44" s="56"/>
      <c r="AH44" s="1184" t="str">
        <f ca="1">FRCP_y7</f>
        <v>2026-27</v>
      </c>
      <c r="AI44" s="1184"/>
      <c r="AJ44" s="1184"/>
      <c r="AK44" s="1184"/>
      <c r="AL44" s="1184"/>
      <c r="AM44" s="1184"/>
      <c r="AN44" s="1184"/>
      <c r="AO44" s="1184"/>
      <c r="AP44" s="56"/>
      <c r="AQ44" s="1184" t="str">
        <f ca="1">FRCP_y8</f>
        <v>2027-28</v>
      </c>
      <c r="AR44" s="1184"/>
      <c r="AS44" s="1184"/>
      <c r="AT44" s="1184"/>
      <c r="AU44" s="1184"/>
      <c r="AV44" s="1184"/>
      <c r="AW44" s="1184"/>
      <c r="AX44" s="1184"/>
      <c r="AY44" s="54"/>
      <c r="AZ44" s="1184" t="str">
        <f ca="1">FRCP_y9</f>
        <v>2028-29</v>
      </c>
      <c r="BA44" s="1184"/>
      <c r="BB44" s="1184"/>
      <c r="BC44" s="1184"/>
      <c r="BD44" s="1184"/>
      <c r="BE44" s="1184"/>
      <c r="BF44" s="1184"/>
      <c r="BG44" s="1184"/>
      <c r="BH44" s="54"/>
      <c r="BI44" s="1184" t="str">
        <f ca="1">FRCP_y10</f>
        <v>2029-30</v>
      </c>
      <c r="BJ44" s="1184"/>
      <c r="BK44" s="1184"/>
      <c r="BL44" s="1184"/>
      <c r="BM44" s="1184"/>
      <c r="BN44" s="1184"/>
      <c r="BO44" s="1184"/>
      <c r="BP44" s="1184"/>
      <c r="BQ44" s="27"/>
      <c r="BR44" s="27"/>
      <c r="BS44" s="27"/>
      <c r="BT44" s="27"/>
      <c r="BU44" s="27"/>
      <c r="BV44" s="27"/>
      <c r="BW44" s="27"/>
      <c r="BX44" s="27"/>
      <c r="BY44" s="27"/>
      <c r="BZ44" s="27"/>
      <c r="CA44" s="27"/>
      <c r="CB44" s="28"/>
      <c r="CC44" s="28"/>
    </row>
    <row r="45" spans="4:81" ht="15" hidden="1" customHeight="1">
      <c r="D45" s="62"/>
      <c r="E45" s="62"/>
      <c r="F45" s="62"/>
      <c r="G45" s="62"/>
      <c r="H45" s="62"/>
      <c r="I45" s="62"/>
      <c r="J45" s="27"/>
      <c r="K45" s="27"/>
      <c r="L45" s="27"/>
      <c r="M45" s="29"/>
      <c r="N45" s="29"/>
      <c r="O45" s="29"/>
      <c r="P45" s="29"/>
      <c r="Q45" s="29"/>
      <c r="R45" s="29"/>
      <c r="S45" s="29"/>
      <c r="T45" s="29"/>
      <c r="U45" s="29"/>
      <c r="V45" s="29"/>
      <c r="W45" s="29"/>
      <c r="X45" s="29"/>
      <c r="Y45" s="1184" t="str">
        <f ca="1">FRCP_y11</f>
        <v>2030-31</v>
      </c>
      <c r="Z45" s="1184"/>
      <c r="AA45" s="1184"/>
      <c r="AB45" s="1184"/>
      <c r="AC45" s="1184"/>
      <c r="AD45" s="1184"/>
      <c r="AE45" s="1184"/>
      <c r="AF45" s="1184"/>
      <c r="AG45" s="50"/>
      <c r="AH45" s="1184" t="str">
        <f ca="1">FRCP_y12</f>
        <v>2031-32</v>
      </c>
      <c r="AI45" s="1184"/>
      <c r="AJ45" s="1184"/>
      <c r="AK45" s="1184"/>
      <c r="AL45" s="1184"/>
      <c r="AM45" s="1184"/>
      <c r="AN45" s="1184"/>
      <c r="AO45" s="1184"/>
      <c r="AP45" s="50"/>
      <c r="AQ45" s="1184" t="str">
        <f ca="1">FRCP_y13</f>
        <v>2032-33</v>
      </c>
      <c r="AR45" s="1184"/>
      <c r="AS45" s="1184"/>
      <c r="AT45" s="1184"/>
      <c r="AU45" s="1184"/>
      <c r="AV45" s="1184"/>
      <c r="AW45" s="1184"/>
      <c r="AX45" s="1184"/>
      <c r="AY45" s="50"/>
      <c r="AZ45" s="1184" t="str">
        <f ca="1">FRCP_y14</f>
        <v>2033-34</v>
      </c>
      <c r="BA45" s="1184"/>
      <c r="BB45" s="1184"/>
      <c r="BC45" s="1184"/>
      <c r="BD45" s="1184"/>
      <c r="BE45" s="1184"/>
      <c r="BF45" s="1184"/>
      <c r="BG45" s="1184"/>
      <c r="BH45" s="50"/>
      <c r="BI45" s="1184" t="str">
        <f ca="1">FRCP_y15</f>
        <v>2034-35</v>
      </c>
      <c r="BJ45" s="1184"/>
      <c r="BK45" s="1184"/>
      <c r="BL45" s="1184"/>
      <c r="BM45" s="1184"/>
      <c r="BN45" s="1184"/>
      <c r="BO45" s="1184"/>
      <c r="BP45" s="1184"/>
      <c r="BQ45" s="27"/>
      <c r="BR45" s="27"/>
      <c r="BS45" s="27"/>
      <c r="BT45" s="27"/>
      <c r="BU45" s="27"/>
      <c r="BV45" s="27"/>
      <c r="BW45" s="27"/>
      <c r="BX45" s="27"/>
      <c r="BY45" s="27"/>
      <c r="BZ45" s="27"/>
      <c r="CA45" s="27"/>
      <c r="CB45" s="28"/>
      <c r="CC45" s="62"/>
    </row>
    <row r="46" spans="4:81" ht="15" hidden="1" customHeight="1">
      <c r="D46" s="62"/>
      <c r="E46" s="62"/>
      <c r="F46" s="62"/>
      <c r="G46" s="62"/>
      <c r="H46" s="62"/>
      <c r="I46" s="62"/>
      <c r="J46" s="27"/>
      <c r="K46" s="27"/>
      <c r="L46" s="27"/>
      <c r="M46" s="29"/>
      <c r="N46" s="29"/>
      <c r="O46" s="29"/>
      <c r="P46" s="29"/>
      <c r="Q46" s="29"/>
      <c r="R46" s="29"/>
      <c r="S46" s="29"/>
      <c r="T46" s="29"/>
      <c r="U46" s="29"/>
      <c r="V46" s="29"/>
      <c r="W46" s="29"/>
      <c r="X46" s="29"/>
      <c r="Y46" s="48"/>
      <c r="Z46" s="49"/>
      <c r="AA46" s="49"/>
      <c r="AB46" s="50"/>
      <c r="AC46" s="50"/>
      <c r="AD46" s="50"/>
      <c r="AE46" s="50"/>
      <c r="AF46" s="50"/>
      <c r="AG46" s="50"/>
      <c r="AH46" s="48"/>
      <c r="AI46" s="50"/>
      <c r="AJ46" s="50"/>
      <c r="AK46" s="50"/>
      <c r="AL46" s="50"/>
      <c r="AM46" s="50"/>
      <c r="AN46" s="50"/>
      <c r="AO46" s="50"/>
      <c r="AP46" s="50"/>
      <c r="AQ46" s="48"/>
      <c r="AR46" s="50"/>
      <c r="AS46" s="50"/>
      <c r="AT46" s="50"/>
      <c r="AU46" s="50"/>
      <c r="AV46" s="50"/>
      <c r="AW46" s="50"/>
      <c r="AX46" s="50"/>
      <c r="AY46" s="50"/>
      <c r="AZ46" s="48"/>
      <c r="BA46" s="50"/>
      <c r="BB46" s="50"/>
      <c r="BC46" s="50"/>
      <c r="BD46" s="50"/>
      <c r="BE46" s="50"/>
      <c r="BF46" s="50"/>
      <c r="BG46" s="50"/>
      <c r="BH46" s="50"/>
      <c r="BI46" s="48"/>
      <c r="BJ46" s="50"/>
      <c r="BK46" s="50"/>
      <c r="BL46" s="50"/>
      <c r="BM46" s="50"/>
      <c r="BN46" s="50"/>
      <c r="BO46" s="50"/>
      <c r="BP46" s="50"/>
      <c r="BQ46" s="27"/>
      <c r="BR46" s="27"/>
      <c r="BS46" s="27"/>
      <c r="BT46" s="27"/>
      <c r="BU46" s="27"/>
      <c r="BV46" s="27"/>
      <c r="BW46" s="27"/>
      <c r="BX46" s="27"/>
      <c r="BY46" s="27"/>
      <c r="BZ46" s="27"/>
      <c r="CA46" s="27"/>
      <c r="CB46" s="28"/>
      <c r="CC46" s="62"/>
    </row>
    <row r="47" spans="4:81" ht="15.75" hidden="1" customHeight="1">
      <c r="D47" s="62"/>
      <c r="E47" s="62"/>
      <c r="F47" s="62"/>
      <c r="G47" s="62"/>
      <c r="H47" s="62"/>
      <c r="I47" s="62"/>
      <c r="J47" s="27"/>
      <c r="K47" s="62" t="s">
        <v>36</v>
      </c>
      <c r="L47" s="27"/>
      <c r="M47" s="1189" t="s">
        <v>34</v>
      </c>
      <c r="N47" s="1189"/>
      <c r="O47" s="1189"/>
      <c r="P47" s="1189"/>
      <c r="Q47" s="1189"/>
      <c r="R47" s="1189"/>
      <c r="S47" s="1189"/>
      <c r="T47" s="1189"/>
      <c r="U47" s="1189"/>
      <c r="V47" s="1189"/>
      <c r="W47" s="29"/>
      <c r="X47" s="29"/>
      <c r="Y47" s="1185" t="str">
        <f ca="1">CRCP_y1</f>
        <v>2015-16</v>
      </c>
      <c r="Z47" s="1185"/>
      <c r="AA47" s="1185"/>
      <c r="AB47" s="1185"/>
      <c r="AC47" s="1185"/>
      <c r="AD47" s="1185"/>
      <c r="AE47" s="1185"/>
      <c r="AF47" s="1185"/>
      <c r="AG47" s="47"/>
      <c r="AH47" s="1185" t="str">
        <f ca="1">CRCP_y2</f>
        <v>2016-17</v>
      </c>
      <c r="AI47" s="1185"/>
      <c r="AJ47" s="1185"/>
      <c r="AK47" s="1185"/>
      <c r="AL47" s="1185"/>
      <c r="AM47" s="1185"/>
      <c r="AN47" s="1185"/>
      <c r="AO47" s="1185"/>
      <c r="AP47" s="47"/>
      <c r="AQ47" s="1185" t="str">
        <f ca="1">CRCP_y3</f>
        <v>2017-18</v>
      </c>
      <c r="AR47" s="1185"/>
      <c r="AS47" s="1185"/>
      <c r="AT47" s="1185"/>
      <c r="AU47" s="1185"/>
      <c r="AV47" s="1185"/>
      <c r="AW47" s="1185"/>
      <c r="AX47" s="1185"/>
      <c r="AY47" s="47"/>
      <c r="AZ47" s="1185" t="str">
        <f ca="1">CRCP_y4</f>
        <v>2018-19</v>
      </c>
      <c r="BA47" s="1185"/>
      <c r="BB47" s="1185"/>
      <c r="BC47" s="1185"/>
      <c r="BD47" s="1185"/>
      <c r="BE47" s="1185"/>
      <c r="BF47" s="1185"/>
      <c r="BG47" s="1185"/>
      <c r="BH47" s="47"/>
      <c r="BI47" s="1185" t="str">
        <f ca="1">CRCP_y5</f>
        <v>2019-20</v>
      </c>
      <c r="BJ47" s="1185"/>
      <c r="BK47" s="1185"/>
      <c r="BL47" s="1185"/>
      <c r="BM47" s="1185"/>
      <c r="BN47" s="1185"/>
      <c r="BO47" s="1185"/>
      <c r="BP47" s="1185"/>
      <c r="BQ47" s="27"/>
      <c r="BR47" s="27"/>
      <c r="BS47" s="27"/>
      <c r="BT47" s="27"/>
      <c r="BU47" s="27"/>
      <c r="BV47" s="27"/>
      <c r="BW47" s="27"/>
      <c r="BX47" s="27"/>
      <c r="BY47" s="27"/>
      <c r="BZ47" s="27"/>
      <c r="CA47" s="27"/>
      <c r="CB47" s="28"/>
      <c r="CC47" s="62"/>
    </row>
    <row r="48" spans="4:81" ht="15" hidden="1" customHeight="1">
      <c r="D48" s="62"/>
      <c r="E48" s="62"/>
      <c r="F48" s="62"/>
      <c r="G48" s="62"/>
      <c r="H48" s="62"/>
      <c r="I48" s="62"/>
      <c r="J48" s="27"/>
      <c r="K48" s="27"/>
      <c r="L48" s="27"/>
      <c r="M48" s="29"/>
      <c r="N48" s="29"/>
      <c r="O48" s="29"/>
      <c r="P48" s="29"/>
      <c r="Q48" s="29"/>
      <c r="R48" s="29"/>
      <c r="S48" s="29"/>
      <c r="T48" s="29"/>
      <c r="U48" s="29"/>
      <c r="V48" s="29"/>
      <c r="W48" s="29"/>
      <c r="X48" s="29"/>
      <c r="Y48" s="1184" t="str">
        <f ca="1">CRCP_y6</f>
        <v>2020-21</v>
      </c>
      <c r="Z48" s="1184"/>
      <c r="AA48" s="1184"/>
      <c r="AB48" s="1184"/>
      <c r="AC48" s="1184"/>
      <c r="AD48" s="1184"/>
      <c r="AE48" s="1184"/>
      <c r="AF48" s="1184"/>
      <c r="AG48" s="51"/>
      <c r="AH48" s="1184" t="str">
        <f ca="1">CRCP_y7</f>
        <v>2021-22</v>
      </c>
      <c r="AI48" s="1184"/>
      <c r="AJ48" s="1184"/>
      <c r="AK48" s="1184"/>
      <c r="AL48" s="1184"/>
      <c r="AM48" s="1184"/>
      <c r="AN48" s="1184"/>
      <c r="AO48" s="1184"/>
      <c r="AP48" s="52"/>
      <c r="AQ48" s="1184" t="str">
        <f ca="1">CRCP_y8</f>
        <v>2022-23</v>
      </c>
      <c r="AR48" s="1184"/>
      <c r="AS48" s="1184"/>
      <c r="AT48" s="1184"/>
      <c r="AU48" s="1184"/>
      <c r="AV48" s="1184"/>
      <c r="AW48" s="1184"/>
      <c r="AX48" s="1184"/>
      <c r="AY48" s="52"/>
      <c r="AZ48" s="1184" t="str">
        <f ca="1">CRCP_y9</f>
        <v>2023-24</v>
      </c>
      <c r="BA48" s="1184"/>
      <c r="BB48" s="1184"/>
      <c r="BC48" s="1184"/>
      <c r="BD48" s="1184"/>
      <c r="BE48" s="1184"/>
      <c r="BF48" s="1184"/>
      <c r="BG48" s="1184"/>
      <c r="BH48" s="52"/>
      <c r="BI48" s="1184" t="str">
        <f ca="1">CRCP_y10</f>
        <v>2024-25</v>
      </c>
      <c r="BJ48" s="1184"/>
      <c r="BK48" s="1184"/>
      <c r="BL48" s="1184"/>
      <c r="BM48" s="1184"/>
      <c r="BN48" s="1184"/>
      <c r="BO48" s="1184"/>
      <c r="BP48" s="1184"/>
      <c r="BQ48" s="27"/>
      <c r="BR48" s="27"/>
      <c r="BS48" s="27"/>
      <c r="BT48" s="27"/>
      <c r="BU48" s="27"/>
      <c r="BV48" s="27"/>
      <c r="BW48" s="27"/>
      <c r="BX48" s="27"/>
      <c r="BY48" s="27"/>
      <c r="BZ48" s="27"/>
      <c r="CA48" s="27"/>
      <c r="CB48" s="28"/>
      <c r="CC48" s="62"/>
    </row>
    <row r="49" spans="4:81" ht="15" hidden="1" customHeight="1">
      <c r="D49" s="62"/>
      <c r="E49" s="62"/>
      <c r="F49" s="62"/>
      <c r="G49" s="62"/>
      <c r="H49" s="62"/>
      <c r="I49" s="62"/>
      <c r="J49" s="27"/>
      <c r="K49" s="27"/>
      <c r="L49" s="27"/>
      <c r="M49" s="29"/>
      <c r="N49" s="29"/>
      <c r="O49" s="29"/>
      <c r="P49" s="29"/>
      <c r="Q49" s="29"/>
      <c r="R49" s="29"/>
      <c r="S49" s="29"/>
      <c r="T49" s="29"/>
      <c r="U49" s="29"/>
      <c r="V49" s="29"/>
      <c r="W49" s="29"/>
      <c r="X49" s="29"/>
      <c r="Y49" s="1184" t="str">
        <f ca="1">CRCP_y11</f>
        <v>2025-26</v>
      </c>
      <c r="Z49" s="1184"/>
      <c r="AA49" s="1184"/>
      <c r="AB49" s="1184"/>
      <c r="AC49" s="1184"/>
      <c r="AD49" s="1184"/>
      <c r="AE49" s="1184"/>
      <c r="AF49" s="1184"/>
      <c r="AG49" s="51"/>
      <c r="AH49" s="1184" t="str">
        <f ca="1">CRCP_y12</f>
        <v>2026-27</v>
      </c>
      <c r="AI49" s="1184"/>
      <c r="AJ49" s="1184"/>
      <c r="AK49" s="1184"/>
      <c r="AL49" s="1184"/>
      <c r="AM49" s="1184"/>
      <c r="AN49" s="1184"/>
      <c r="AO49" s="1184"/>
      <c r="AP49" s="52"/>
      <c r="AQ49" s="1184" t="str">
        <f ca="1">CRCP_y13</f>
        <v>2027-28</v>
      </c>
      <c r="AR49" s="1184"/>
      <c r="AS49" s="1184"/>
      <c r="AT49" s="1184"/>
      <c r="AU49" s="1184"/>
      <c r="AV49" s="1184"/>
      <c r="AW49" s="1184"/>
      <c r="AX49" s="1184"/>
      <c r="AY49" s="52"/>
      <c r="AZ49" s="1184" t="str">
        <f ca="1">CRCP_y14</f>
        <v>2028-29</v>
      </c>
      <c r="BA49" s="1184"/>
      <c r="BB49" s="1184"/>
      <c r="BC49" s="1184"/>
      <c r="BD49" s="1184"/>
      <c r="BE49" s="1184"/>
      <c r="BF49" s="1184"/>
      <c r="BG49" s="1184"/>
      <c r="BH49" s="52"/>
      <c r="BI49" s="1184" t="str">
        <f ca="1">CRCP_y15</f>
        <v>2029-30</v>
      </c>
      <c r="BJ49" s="1184"/>
      <c r="BK49" s="1184"/>
      <c r="BL49" s="1184"/>
      <c r="BM49" s="1184"/>
      <c r="BN49" s="1184"/>
      <c r="BO49" s="1184"/>
      <c r="BP49" s="1184"/>
      <c r="BQ49" s="27"/>
      <c r="BR49" s="27"/>
      <c r="BS49" s="27"/>
      <c r="BT49" s="27"/>
      <c r="BU49" s="27"/>
      <c r="BV49" s="27"/>
      <c r="BW49" s="27"/>
      <c r="BX49" s="27"/>
      <c r="BY49" s="27"/>
      <c r="BZ49" s="27"/>
      <c r="CA49" s="27"/>
      <c r="CB49" s="28"/>
      <c r="CC49" s="62"/>
    </row>
    <row r="50" spans="4:81" ht="15" hidden="1" customHeight="1">
      <c r="D50" s="62"/>
      <c r="E50" s="62"/>
      <c r="F50" s="62"/>
      <c r="G50" s="62"/>
      <c r="H50" s="62"/>
      <c r="I50" s="62"/>
      <c r="J50" s="27"/>
      <c r="K50" s="27"/>
      <c r="L50" s="27"/>
      <c r="M50" s="29"/>
      <c r="N50" s="29"/>
      <c r="O50" s="29"/>
      <c r="P50" s="29"/>
      <c r="Q50" s="29"/>
      <c r="R50" s="29"/>
      <c r="S50" s="29"/>
      <c r="T50" s="29"/>
      <c r="U50" s="29"/>
      <c r="V50" s="29"/>
      <c r="W50" s="29"/>
      <c r="X50" s="29"/>
      <c r="Y50" s="53"/>
      <c r="Z50" s="53"/>
      <c r="AA50" s="53"/>
      <c r="AB50" s="54"/>
      <c r="AC50" s="54"/>
      <c r="AD50" s="54"/>
      <c r="AE50" s="54"/>
      <c r="AF50" s="54"/>
      <c r="AG50" s="54"/>
      <c r="AH50" s="53"/>
      <c r="AI50" s="54"/>
      <c r="AJ50" s="54"/>
      <c r="AK50" s="54"/>
      <c r="AL50" s="54"/>
      <c r="AM50" s="54"/>
      <c r="AN50" s="54"/>
      <c r="AO50" s="54"/>
      <c r="AP50" s="54"/>
      <c r="AQ50" s="53"/>
      <c r="AR50" s="54"/>
      <c r="AS50" s="54"/>
      <c r="AT50" s="54"/>
      <c r="AU50" s="54"/>
      <c r="AV50" s="54"/>
      <c r="AW50" s="54"/>
      <c r="AX50" s="54"/>
      <c r="AY50" s="54"/>
      <c r="AZ50" s="53"/>
      <c r="BA50" s="54"/>
      <c r="BB50" s="54"/>
      <c r="BC50" s="54"/>
      <c r="BD50" s="54"/>
      <c r="BE50" s="54"/>
      <c r="BF50" s="54"/>
      <c r="BG50" s="54"/>
      <c r="BH50" s="54"/>
      <c r="BI50" s="53"/>
      <c r="BJ50" s="54"/>
      <c r="BK50" s="54"/>
      <c r="BL50" s="54"/>
      <c r="BM50" s="54"/>
      <c r="BN50" s="54"/>
      <c r="BO50" s="54"/>
      <c r="BP50" s="55"/>
      <c r="BQ50" s="27"/>
      <c r="BR50" s="27"/>
      <c r="BS50" s="27"/>
      <c r="BT50" s="27"/>
      <c r="BU50" s="27"/>
      <c r="BV50" s="27"/>
      <c r="BW50" s="27"/>
      <c r="BX50" s="27"/>
      <c r="BY50" s="27"/>
      <c r="BZ50" s="27"/>
      <c r="CA50" s="27"/>
      <c r="CB50" s="28"/>
      <c r="CC50" s="62"/>
    </row>
    <row r="51" spans="4:81" ht="15.75" hidden="1" customHeight="1">
      <c r="D51" s="62"/>
      <c r="E51" s="62"/>
      <c r="F51" s="62"/>
      <c r="G51" s="62"/>
      <c r="H51" s="62"/>
      <c r="I51" s="62"/>
      <c r="J51" s="27"/>
      <c r="K51" s="27"/>
      <c r="L51" s="27"/>
      <c r="M51" s="1189" t="s">
        <v>35</v>
      </c>
      <c r="N51" s="1189"/>
      <c r="O51" s="1189"/>
      <c r="P51" s="1189"/>
      <c r="Q51" s="1189"/>
      <c r="R51" s="1189"/>
      <c r="S51" s="1189"/>
      <c r="T51" s="1189"/>
      <c r="U51" s="1189"/>
      <c r="V51" s="1189"/>
      <c r="W51" s="29"/>
      <c r="X51" s="29"/>
      <c r="Y51" s="1185" t="str">
        <f ca="1">PRCP_y1</f>
        <v>2010-11</v>
      </c>
      <c r="Z51" s="1185"/>
      <c r="AA51" s="1185"/>
      <c r="AB51" s="1185"/>
      <c r="AC51" s="1185"/>
      <c r="AD51" s="1185"/>
      <c r="AE51" s="1185"/>
      <c r="AF51" s="1185"/>
      <c r="AG51" s="47"/>
      <c r="AH51" s="1185" t="str">
        <f ca="1">PRCP_y2</f>
        <v>2011-12</v>
      </c>
      <c r="AI51" s="1185"/>
      <c r="AJ51" s="1185"/>
      <c r="AK51" s="1185"/>
      <c r="AL51" s="1185"/>
      <c r="AM51" s="1185"/>
      <c r="AN51" s="1185"/>
      <c r="AO51" s="1185"/>
      <c r="AP51" s="47"/>
      <c r="AQ51" s="1185" t="str">
        <f ca="1">PRCP_y3</f>
        <v>2012-13</v>
      </c>
      <c r="AR51" s="1185"/>
      <c r="AS51" s="1185"/>
      <c r="AT51" s="1185"/>
      <c r="AU51" s="1185"/>
      <c r="AV51" s="1185"/>
      <c r="AW51" s="1185"/>
      <c r="AX51" s="1185"/>
      <c r="AY51" s="47"/>
      <c r="AZ51" s="1185" t="str">
        <f ca="1">PRCP_y4</f>
        <v>2013-14</v>
      </c>
      <c r="BA51" s="1185"/>
      <c r="BB51" s="1185"/>
      <c r="BC51" s="1185"/>
      <c r="BD51" s="1185"/>
      <c r="BE51" s="1185"/>
      <c r="BF51" s="1185"/>
      <c r="BG51" s="1185"/>
      <c r="BH51" s="47"/>
      <c r="BI51" s="1185" t="str">
        <f ca="1">PRCP_y5</f>
        <v>2014-15</v>
      </c>
      <c r="BJ51" s="1185"/>
      <c r="BK51" s="1185"/>
      <c r="BL51" s="1185"/>
      <c r="BM51" s="1185"/>
      <c r="BN51" s="1185"/>
      <c r="BO51" s="1185"/>
      <c r="BP51" s="1185"/>
      <c r="BQ51" s="27"/>
      <c r="BR51" s="27"/>
      <c r="BS51" s="27"/>
      <c r="BT51" s="27"/>
      <c r="BU51" s="27"/>
      <c r="BV51" s="27"/>
      <c r="BW51" s="27"/>
      <c r="BX51" s="27"/>
      <c r="BY51" s="27"/>
      <c r="BZ51" s="27"/>
      <c r="CA51" s="27"/>
      <c r="CB51" s="28"/>
      <c r="CC51" s="62"/>
    </row>
    <row r="52" spans="4:81" ht="15.75" hidden="1">
      <c r="D52" s="28"/>
      <c r="E52" s="28"/>
      <c r="F52" s="28"/>
      <c r="G52" s="28"/>
      <c r="H52" s="27"/>
      <c r="I52" s="27"/>
      <c r="J52" s="27"/>
      <c r="K52" s="27"/>
      <c r="L52" s="27"/>
      <c r="M52" s="29"/>
      <c r="N52" s="29"/>
      <c r="O52" s="29"/>
      <c r="P52" s="29"/>
      <c r="Q52" s="29"/>
      <c r="R52" s="29"/>
      <c r="S52" s="29"/>
      <c r="T52" s="29"/>
      <c r="U52" s="29"/>
      <c r="V52" s="29"/>
      <c r="W52" s="29"/>
      <c r="X52" s="29"/>
      <c r="Y52" s="1184" t="str">
        <f ca="1">PRCP_y6</f>
        <v>2015-16</v>
      </c>
      <c r="Z52" s="1184"/>
      <c r="AA52" s="1184"/>
      <c r="AB52" s="1184"/>
      <c r="AC52" s="1184"/>
      <c r="AD52" s="1184"/>
      <c r="AE52" s="1184"/>
      <c r="AF52" s="1184"/>
      <c r="AG52" s="51"/>
      <c r="AH52" s="1184" t="str">
        <f ca="1">PRCP_y7</f>
        <v>2016-17</v>
      </c>
      <c r="AI52" s="1184"/>
      <c r="AJ52" s="1184"/>
      <c r="AK52" s="1184"/>
      <c r="AL52" s="1184"/>
      <c r="AM52" s="1184"/>
      <c r="AN52" s="1184"/>
      <c r="AO52" s="1184"/>
      <c r="AP52" s="52"/>
      <c r="AQ52" s="1184" t="str">
        <f ca="1">PRCP_y8</f>
        <v>2017-18</v>
      </c>
      <c r="AR52" s="1184"/>
      <c r="AS52" s="1184"/>
      <c r="AT52" s="1184"/>
      <c r="AU52" s="1184"/>
      <c r="AV52" s="1184"/>
      <c r="AW52" s="1184"/>
      <c r="AX52" s="1184"/>
      <c r="AY52" s="52"/>
      <c r="AZ52" s="1184" t="str">
        <f ca="1">PRCP_y9</f>
        <v>2018-19</v>
      </c>
      <c r="BA52" s="1184"/>
      <c r="BB52" s="1184"/>
      <c r="BC52" s="1184"/>
      <c r="BD52" s="1184"/>
      <c r="BE52" s="1184"/>
      <c r="BF52" s="1184"/>
      <c r="BG52" s="1184"/>
      <c r="BH52" s="52"/>
      <c r="BI52" s="1184" t="str">
        <f ca="1">PRCP_y10</f>
        <v>2019-20</v>
      </c>
      <c r="BJ52" s="1184"/>
      <c r="BK52" s="1184"/>
      <c r="BL52" s="1184"/>
      <c r="BM52" s="1184"/>
      <c r="BN52" s="1184"/>
      <c r="BO52" s="1184"/>
      <c r="BP52" s="1184"/>
      <c r="BQ52" s="27"/>
      <c r="BR52" s="27"/>
      <c r="BS52" s="27"/>
      <c r="BT52" s="27"/>
      <c r="BU52" s="27"/>
      <c r="BV52" s="27"/>
      <c r="BW52" s="27"/>
      <c r="BX52" s="27"/>
      <c r="BY52" s="27"/>
      <c r="BZ52" s="27"/>
      <c r="CA52" s="27"/>
      <c r="CB52" s="28"/>
      <c r="CC52" s="28"/>
    </row>
    <row r="53" spans="4:81" ht="15.75" hidden="1">
      <c r="D53" s="28"/>
      <c r="E53" s="28"/>
      <c r="F53" s="28"/>
      <c r="G53" s="28"/>
      <c r="H53" s="27"/>
      <c r="I53" s="27"/>
      <c r="J53" s="27"/>
      <c r="K53" s="27"/>
      <c r="L53" s="27"/>
      <c r="M53" s="29"/>
      <c r="N53" s="29"/>
      <c r="O53" s="29"/>
      <c r="P53" s="29"/>
      <c r="Q53" s="29"/>
      <c r="R53" s="29"/>
      <c r="S53" s="29"/>
      <c r="T53" s="29"/>
      <c r="U53" s="29"/>
      <c r="V53" s="29"/>
      <c r="W53" s="29"/>
      <c r="X53" s="29"/>
      <c r="Y53" s="1184" t="str">
        <f ca="1">PRCP_y11</f>
        <v>2020-21</v>
      </c>
      <c r="Z53" s="1184"/>
      <c r="AA53" s="1184"/>
      <c r="AB53" s="1184"/>
      <c r="AC53" s="1184"/>
      <c r="AD53" s="1184"/>
      <c r="AE53" s="1184"/>
      <c r="AF53" s="1184"/>
      <c r="AG53" s="51"/>
      <c r="AH53" s="1184" t="str">
        <f ca="1">PRCP_y12</f>
        <v>2021-22</v>
      </c>
      <c r="AI53" s="1184"/>
      <c r="AJ53" s="1184"/>
      <c r="AK53" s="1184"/>
      <c r="AL53" s="1184"/>
      <c r="AM53" s="1184"/>
      <c r="AN53" s="1184"/>
      <c r="AO53" s="1184"/>
      <c r="AP53" s="52"/>
      <c r="AQ53" s="1184" t="str">
        <f ca="1">PRCP_y13</f>
        <v>2022-23</v>
      </c>
      <c r="AR53" s="1184"/>
      <c r="AS53" s="1184"/>
      <c r="AT53" s="1184"/>
      <c r="AU53" s="1184"/>
      <c r="AV53" s="1184"/>
      <c r="AW53" s="1184"/>
      <c r="AX53" s="1184"/>
      <c r="AY53" s="52"/>
      <c r="AZ53" s="1184" t="str">
        <f ca="1">PRCP_y14</f>
        <v>2023-24</v>
      </c>
      <c r="BA53" s="1184"/>
      <c r="BB53" s="1184"/>
      <c r="BC53" s="1184"/>
      <c r="BD53" s="1184"/>
      <c r="BE53" s="1184"/>
      <c r="BF53" s="1184"/>
      <c r="BG53" s="1184"/>
      <c r="BH53" s="52"/>
      <c r="BI53" s="1184" t="str">
        <f ca="1">PRCP_y15</f>
        <v>2024-25</v>
      </c>
      <c r="BJ53" s="1184"/>
      <c r="BK53" s="1184"/>
      <c r="BL53" s="1184"/>
      <c r="BM53" s="1184"/>
      <c r="BN53" s="1184"/>
      <c r="BO53" s="1184"/>
      <c r="BP53" s="1184"/>
      <c r="BQ53" s="27"/>
      <c r="BR53" s="27"/>
      <c r="BS53" s="27"/>
      <c r="BT53" s="27"/>
      <c r="BU53" s="27"/>
      <c r="BV53" s="27"/>
      <c r="BW53" s="27"/>
      <c r="BX53" s="27"/>
      <c r="BY53" s="27"/>
      <c r="BZ53" s="27"/>
      <c r="CA53" s="27"/>
      <c r="CB53" s="28"/>
      <c r="CC53" s="28"/>
    </row>
    <row r="54" spans="4:81" hidden="1">
      <c r="D54" s="28"/>
      <c r="E54" s="28"/>
      <c r="F54" s="28"/>
      <c r="G54" s="28"/>
      <c r="H54" s="27"/>
      <c r="I54" s="27"/>
      <c r="J54" s="27"/>
      <c r="K54" s="27"/>
      <c r="L54" s="27"/>
      <c r="M54" s="29"/>
      <c r="N54" s="29"/>
      <c r="O54" s="29"/>
      <c r="P54" s="29"/>
      <c r="Q54" s="29"/>
      <c r="R54" s="29"/>
      <c r="S54" s="29"/>
      <c r="T54" s="29"/>
      <c r="U54" s="29"/>
      <c r="V54" s="29"/>
      <c r="W54" s="29"/>
      <c r="X54" s="29"/>
      <c r="Y54" s="29"/>
      <c r="Z54" s="29"/>
      <c r="AA54" s="29"/>
      <c r="AB54" s="31"/>
      <c r="AC54" s="31"/>
      <c r="AD54" s="31"/>
      <c r="AE54" s="31"/>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8"/>
      <c r="CC54" s="28"/>
    </row>
    <row r="55" spans="4:81" ht="21.75" customHeight="1">
      <c r="D55" s="62"/>
      <c r="E55" s="1180" t="s">
        <v>104</v>
      </c>
      <c r="F55" s="1180"/>
      <c r="G55" s="1180"/>
      <c r="H55" s="1180"/>
      <c r="I55" s="1180"/>
      <c r="J55" s="1180"/>
      <c r="K55" s="1180"/>
      <c r="L55" s="28"/>
      <c r="M55" s="1189" t="s">
        <v>1225</v>
      </c>
      <c r="N55" s="1189"/>
      <c r="O55" s="1189"/>
      <c r="P55" s="1189"/>
      <c r="Q55" s="1189"/>
      <c r="R55" s="1189"/>
      <c r="S55" s="1189"/>
      <c r="T55" s="1189"/>
      <c r="U55" s="1189"/>
      <c r="V55" s="1189"/>
      <c r="W55" s="29"/>
      <c r="X55" s="29"/>
      <c r="Y55" s="1190" t="s">
        <v>6</v>
      </c>
      <c r="Z55" s="1190"/>
      <c r="AA55" s="1190"/>
      <c r="AB55" s="1190"/>
      <c r="AC55" s="1190"/>
      <c r="AD55" s="1190"/>
      <c r="AE55" s="1190"/>
      <c r="AF55" s="1190"/>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8"/>
      <c r="CC55" s="28"/>
    </row>
    <row r="56" spans="4:81" ht="37.5" customHeight="1">
      <c r="D56" s="62"/>
      <c r="E56" s="1180"/>
      <c r="F56" s="1180"/>
      <c r="G56" s="1180"/>
      <c r="H56" s="1180"/>
      <c r="I56" s="1180"/>
      <c r="J56" s="1180"/>
      <c r="K56" s="1180"/>
      <c r="L56" s="28"/>
      <c r="M56" s="29"/>
      <c r="N56" s="29"/>
      <c r="O56" s="29"/>
      <c r="P56" s="29"/>
      <c r="Q56" s="29"/>
      <c r="R56" s="29"/>
      <c r="S56" s="29"/>
      <c r="T56" s="29"/>
      <c r="U56" s="29"/>
      <c r="V56" s="29"/>
      <c r="W56" s="29"/>
      <c r="X56" s="29"/>
      <c r="Y56" s="29"/>
      <c r="Z56" s="29"/>
      <c r="AA56" s="29"/>
      <c r="AB56" s="31"/>
      <c r="AC56" s="31"/>
      <c r="AD56" s="31"/>
      <c r="AE56" s="31"/>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8"/>
      <c r="CC56" s="28"/>
    </row>
    <row r="57" spans="4:81" ht="18" hidden="1" customHeight="1">
      <c r="D57" s="62"/>
      <c r="E57" s="1180"/>
      <c r="F57" s="1180"/>
      <c r="G57" s="1180"/>
      <c r="H57" s="1180"/>
      <c r="I57" s="1180"/>
      <c r="J57" s="1180"/>
      <c r="K57" s="1180"/>
      <c r="L57" s="28"/>
      <c r="M57" s="1189" t="s">
        <v>37</v>
      </c>
      <c r="N57" s="1189"/>
      <c r="O57" s="1189"/>
      <c r="P57" s="1189"/>
      <c r="Q57" s="1189"/>
      <c r="R57" s="1189"/>
      <c r="S57" s="1189"/>
      <c r="T57" s="1189"/>
      <c r="U57" s="1189"/>
      <c r="V57" s="1189"/>
      <c r="W57" s="29"/>
      <c r="X57" s="29"/>
      <c r="Y57" s="1194" t="str">
        <f>CRY</f>
        <v>2024-25</v>
      </c>
      <c r="Z57" s="1194"/>
      <c r="AA57" s="1194"/>
      <c r="AB57" s="1194"/>
      <c r="AC57" s="1194"/>
      <c r="AD57" s="1194"/>
      <c r="AE57" s="1194"/>
      <c r="AF57" s="1194"/>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8"/>
      <c r="CC57" s="62"/>
    </row>
    <row r="58" spans="4:81" s="1104" customFormat="1" hidden="1">
      <c r="D58" s="28"/>
      <c r="E58" s="28"/>
      <c r="F58" s="28"/>
      <c r="G58" s="28"/>
      <c r="H58" s="28"/>
      <c r="I58" s="28"/>
      <c r="J58" s="28"/>
      <c r="K58" s="28"/>
      <c r="L58" s="28"/>
      <c r="M58" s="29"/>
      <c r="N58" s="29"/>
      <c r="O58" s="29"/>
      <c r="P58" s="29"/>
      <c r="Q58" s="29"/>
      <c r="R58" s="29"/>
      <c r="S58" s="29"/>
      <c r="T58" s="29"/>
      <c r="U58" s="29"/>
      <c r="V58" s="29"/>
      <c r="W58" s="29"/>
      <c r="X58" s="29"/>
      <c r="Y58" s="29"/>
      <c r="Z58" s="29"/>
      <c r="AA58" s="29"/>
      <c r="AB58" s="29"/>
      <c r="AC58" s="29"/>
      <c r="AD58" s="29"/>
      <c r="AE58" s="29"/>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row>
    <row r="59" spans="4:81" s="1104" customFormat="1">
      <c r="D59" s="35"/>
      <c r="E59" s="35"/>
      <c r="F59" s="35"/>
      <c r="G59" s="35"/>
      <c r="H59" s="35"/>
      <c r="I59" s="35"/>
      <c r="J59" s="35"/>
      <c r="K59" s="35"/>
      <c r="L59" s="35"/>
      <c r="M59" s="36"/>
      <c r="N59" s="36"/>
      <c r="O59" s="36"/>
      <c r="P59" s="36"/>
      <c r="Q59" s="36"/>
      <c r="R59" s="36"/>
      <c r="S59" s="36"/>
      <c r="T59" s="36"/>
      <c r="U59" s="36"/>
      <c r="V59" s="36"/>
      <c r="W59" s="36"/>
      <c r="X59" s="36"/>
      <c r="Y59" s="36"/>
      <c r="Z59" s="36"/>
      <c r="AA59" s="36"/>
      <c r="AB59" s="36"/>
      <c r="AC59" s="36"/>
      <c r="AD59" s="36"/>
      <c r="AE59" s="36"/>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row>
    <row r="60" spans="4:81" ht="15.75" customHeight="1">
      <c r="D60" s="28"/>
      <c r="E60" s="28"/>
      <c r="F60" s="28"/>
      <c r="G60" s="28"/>
      <c r="H60" s="32"/>
      <c r="I60" s="32"/>
      <c r="J60" s="32"/>
      <c r="K60" s="32"/>
      <c r="L60" s="27"/>
      <c r="M60" s="29"/>
      <c r="N60" s="29"/>
      <c r="O60" s="29"/>
      <c r="P60" s="29"/>
      <c r="Q60" s="29"/>
      <c r="R60" s="29"/>
      <c r="S60" s="29"/>
      <c r="T60" s="29"/>
      <c r="U60" s="29"/>
      <c r="V60" s="29"/>
      <c r="W60" s="29"/>
      <c r="X60" s="29"/>
      <c r="Y60" s="29"/>
      <c r="Z60" s="29"/>
      <c r="AA60" s="29"/>
      <c r="AB60" s="31"/>
      <c r="AC60" s="31"/>
      <c r="AD60" s="31"/>
      <c r="AE60" s="31"/>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8"/>
      <c r="CC60" s="28"/>
    </row>
    <row r="61" spans="4:81" ht="30">
      <c r="D61" s="46" t="s">
        <v>40</v>
      </c>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row>
    <row r="62" spans="4:81" ht="18">
      <c r="D62" s="28"/>
      <c r="E62" s="28"/>
      <c r="F62" s="28"/>
      <c r="G62" s="28"/>
      <c r="H62" s="32"/>
      <c r="I62" s="32"/>
      <c r="J62" s="32"/>
      <c r="K62" s="32"/>
      <c r="L62" s="27"/>
      <c r="M62" s="29"/>
      <c r="N62" s="29"/>
      <c r="O62" s="29"/>
      <c r="P62" s="29"/>
      <c r="Q62" s="29"/>
      <c r="R62" s="29"/>
      <c r="S62" s="29"/>
      <c r="T62" s="29"/>
      <c r="U62" s="29"/>
      <c r="V62" s="29"/>
      <c r="W62" s="29"/>
      <c r="X62" s="29"/>
      <c r="Y62" s="29"/>
      <c r="Z62" s="29"/>
      <c r="AA62" s="29"/>
      <c r="AB62" s="31"/>
      <c r="AC62" s="31"/>
      <c r="AD62" s="31"/>
      <c r="AE62" s="31"/>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8"/>
      <c r="CC62" s="28"/>
    </row>
    <row r="63" spans="4:81" ht="18">
      <c r="D63" s="28"/>
      <c r="E63" s="28"/>
      <c r="F63" s="28"/>
      <c r="G63" s="28"/>
      <c r="H63" s="32"/>
      <c r="I63" s="32"/>
      <c r="J63" s="32"/>
      <c r="K63" s="32"/>
      <c r="L63" s="27"/>
      <c r="M63" s="1189" t="s">
        <v>105</v>
      </c>
      <c r="N63" s="1189"/>
      <c r="O63" s="1189"/>
      <c r="P63" s="1189"/>
      <c r="Q63" s="1189"/>
      <c r="R63" s="1189"/>
      <c r="S63" s="1189"/>
      <c r="T63" s="1189"/>
      <c r="U63" s="1189"/>
      <c r="V63" s="1189"/>
      <c r="W63" s="27"/>
      <c r="X63" s="27"/>
      <c r="Y63" s="1191" t="s">
        <v>131</v>
      </c>
      <c r="Z63" s="1191"/>
      <c r="AA63" s="1191"/>
      <c r="AB63" s="1191"/>
      <c r="AC63" s="1191"/>
      <c r="AD63" s="1191"/>
      <c r="AE63" s="1191"/>
      <c r="AF63" s="1191"/>
      <c r="AG63" s="1191"/>
      <c r="AH63" s="1191"/>
      <c r="AI63" s="1191"/>
      <c r="AJ63" s="1191"/>
      <c r="AK63" s="1191"/>
      <c r="AL63" s="1191"/>
      <c r="AM63" s="1191"/>
      <c r="AN63" s="1191"/>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8"/>
      <c r="CC63" s="28"/>
    </row>
    <row r="64" spans="4:81" ht="18">
      <c r="D64" s="28"/>
      <c r="E64" s="28"/>
      <c r="F64" s="28"/>
      <c r="G64" s="28"/>
      <c r="H64" s="32"/>
      <c r="I64" s="32"/>
      <c r="J64" s="32"/>
      <c r="K64" s="32"/>
      <c r="L64" s="27"/>
      <c r="M64" s="29"/>
      <c r="N64" s="29"/>
      <c r="O64" s="29"/>
      <c r="P64" s="29"/>
      <c r="Q64" s="29"/>
      <c r="R64" s="29"/>
      <c r="S64" s="29"/>
      <c r="T64" s="29"/>
      <c r="U64" s="29"/>
      <c r="V64" s="29"/>
      <c r="W64" s="29"/>
      <c r="X64" s="29"/>
      <c r="Y64" s="29"/>
      <c r="Z64" s="29"/>
      <c r="AA64" s="29"/>
      <c r="AB64" s="31"/>
      <c r="AC64" s="31"/>
      <c r="AD64" s="31"/>
      <c r="AE64" s="31"/>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8"/>
      <c r="CC64" s="28"/>
    </row>
    <row r="65" spans="4:81" ht="15.75" customHeight="1">
      <c r="D65" s="61"/>
      <c r="E65" s="61"/>
      <c r="F65" s="61"/>
      <c r="G65" s="61"/>
      <c r="H65" s="61"/>
      <c r="I65" s="61"/>
      <c r="J65" s="29"/>
      <c r="K65" s="29"/>
      <c r="L65" s="29"/>
      <c r="M65" s="1189" t="s">
        <v>15</v>
      </c>
      <c r="N65" s="1189"/>
      <c r="O65" s="1189"/>
      <c r="P65" s="1189"/>
      <c r="Q65" s="1189"/>
      <c r="R65" s="1189"/>
      <c r="S65" s="1189"/>
      <c r="T65" s="1189"/>
      <c r="U65" s="1189"/>
      <c r="V65" s="1189"/>
      <c r="W65" s="27"/>
      <c r="X65" s="27"/>
      <c r="Y65" s="1195" t="s">
        <v>4</v>
      </c>
      <c r="Z65" s="1195"/>
      <c r="AA65" s="1195"/>
      <c r="AB65" s="1195"/>
      <c r="AC65" s="1195"/>
      <c r="AD65" s="1195"/>
      <c r="AE65" s="1195"/>
      <c r="AF65" s="1195"/>
      <c r="AG65" s="1195"/>
      <c r="AH65" s="1195"/>
      <c r="AI65" s="1195"/>
      <c r="AJ65" s="1195"/>
      <c r="AK65" s="1195"/>
      <c r="AL65" s="1195"/>
      <c r="AM65" s="1195"/>
      <c r="AN65" s="1195"/>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8"/>
      <c r="CC65" s="28"/>
    </row>
    <row r="66" spans="4:81" ht="15" customHeight="1">
      <c r="D66" s="61"/>
      <c r="E66" s="61"/>
      <c r="F66" s="61"/>
      <c r="G66" s="61"/>
      <c r="H66" s="61"/>
      <c r="I66" s="61"/>
      <c r="J66" s="29"/>
      <c r="K66" s="29"/>
      <c r="L66" s="29"/>
      <c r="M66" s="29"/>
      <c r="N66" s="29"/>
      <c r="O66" s="29"/>
      <c r="P66" s="29"/>
      <c r="Q66" s="29"/>
      <c r="R66" s="31"/>
      <c r="S66" s="31"/>
      <c r="T66" s="31"/>
      <c r="U66" s="31"/>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8"/>
      <c r="CC66" s="28"/>
    </row>
    <row r="67" spans="4:81" ht="15.75" customHeight="1">
      <c r="D67" s="61"/>
      <c r="E67" s="61"/>
      <c r="F67" s="61"/>
      <c r="G67" s="61"/>
      <c r="H67" s="61"/>
      <c r="I67" s="61"/>
      <c r="J67" s="61"/>
      <c r="K67" s="61" t="s">
        <v>41</v>
      </c>
      <c r="L67" s="29"/>
      <c r="M67" s="1189" t="s">
        <v>38</v>
      </c>
      <c r="N67" s="1189"/>
      <c r="O67" s="1189"/>
      <c r="P67" s="1189"/>
      <c r="Q67" s="1189"/>
      <c r="R67" s="1189"/>
      <c r="S67" s="1189"/>
      <c r="T67" s="1189"/>
      <c r="U67" s="1189"/>
      <c r="V67" s="1189"/>
      <c r="W67" s="27"/>
      <c r="X67" s="27"/>
      <c r="Y67" s="1195" t="s">
        <v>2</v>
      </c>
      <c r="Z67" s="1195"/>
      <c r="AA67" s="1195"/>
      <c r="AB67" s="1195"/>
      <c r="AC67" s="1195"/>
      <c r="AD67" s="1195"/>
      <c r="AE67" s="1195"/>
      <c r="AF67" s="1195"/>
      <c r="AG67" s="1195"/>
      <c r="AH67" s="1195"/>
      <c r="AI67" s="1195"/>
      <c r="AJ67" s="1195"/>
      <c r="AK67" s="1195"/>
      <c r="AL67" s="1195"/>
      <c r="AM67" s="1195"/>
      <c r="AN67" s="1195"/>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8"/>
      <c r="CA67" s="28"/>
      <c r="CB67" s="29"/>
      <c r="CC67" s="61"/>
    </row>
    <row r="68" spans="4:81" ht="15" customHeight="1">
      <c r="D68" s="61"/>
      <c r="E68" s="61"/>
      <c r="F68" s="61"/>
      <c r="G68" s="61"/>
      <c r="H68" s="61"/>
      <c r="I68" s="61"/>
      <c r="J68" s="29"/>
      <c r="K68" s="29"/>
      <c r="L68" s="29"/>
      <c r="M68" s="29"/>
      <c r="N68" s="29"/>
      <c r="O68" s="29"/>
      <c r="P68" s="29"/>
      <c r="Q68" s="29"/>
      <c r="R68" s="31"/>
      <c r="S68" s="31"/>
      <c r="T68" s="31"/>
      <c r="U68" s="31"/>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8"/>
      <c r="CA68" s="28"/>
      <c r="CB68" s="29"/>
      <c r="CC68" s="61"/>
    </row>
    <row r="69" spans="4:81" ht="15.75" customHeight="1">
      <c r="D69" s="61"/>
      <c r="E69" s="61"/>
      <c r="F69" s="61"/>
      <c r="G69" s="61"/>
      <c r="H69" s="61"/>
      <c r="I69" s="61"/>
      <c r="J69" s="29"/>
      <c r="K69" s="29"/>
      <c r="L69" s="29"/>
      <c r="M69" s="1189" t="s">
        <v>39</v>
      </c>
      <c r="N69" s="1189"/>
      <c r="O69" s="1189"/>
      <c r="P69" s="1189"/>
      <c r="Q69" s="1189"/>
      <c r="R69" s="1189"/>
      <c r="S69" s="1189"/>
      <c r="T69" s="1189"/>
      <c r="U69" s="1189"/>
      <c r="V69" s="1189"/>
      <c r="W69" s="27"/>
      <c r="X69" s="27"/>
      <c r="Y69" s="1195" t="s">
        <v>3</v>
      </c>
      <c r="Z69" s="1195"/>
      <c r="AA69" s="1195"/>
      <c r="AB69" s="1195"/>
      <c r="AC69" s="1195"/>
      <c r="AD69" s="1195"/>
      <c r="AE69" s="1195"/>
      <c r="AF69" s="1195"/>
      <c r="AG69" s="1195"/>
      <c r="AH69" s="1195"/>
      <c r="AI69" s="1195"/>
      <c r="AJ69" s="1195"/>
      <c r="AK69" s="1195"/>
      <c r="AL69" s="1195"/>
      <c r="AM69" s="1195"/>
      <c r="AN69" s="1195"/>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8"/>
      <c r="CA69" s="28"/>
      <c r="CB69" s="29"/>
      <c r="CC69" s="61"/>
    </row>
    <row r="70" spans="4:81" ht="15" customHeight="1">
      <c r="D70" s="61"/>
      <c r="E70" s="61"/>
      <c r="F70" s="61"/>
      <c r="G70" s="61"/>
      <c r="H70" s="61"/>
      <c r="I70" s="61"/>
      <c r="J70" s="29"/>
      <c r="K70" s="29"/>
      <c r="L70" s="29"/>
      <c r="M70" s="29"/>
      <c r="N70" s="29"/>
      <c r="O70" s="29"/>
      <c r="P70" s="29"/>
      <c r="Q70" s="29"/>
      <c r="R70" s="31"/>
      <c r="S70" s="31"/>
      <c r="T70" s="31"/>
      <c r="U70" s="31"/>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8"/>
      <c r="CA70" s="28"/>
      <c r="CB70" s="29"/>
      <c r="CC70" s="61"/>
    </row>
    <row r="71" spans="4:81" ht="15" customHeight="1">
      <c r="D71" s="61"/>
      <c r="E71" s="61"/>
      <c r="F71" s="61"/>
      <c r="G71" s="61"/>
      <c r="H71" s="61"/>
      <c r="I71" s="61"/>
      <c r="J71" s="29"/>
      <c r="K71" s="29"/>
      <c r="L71" s="29"/>
      <c r="M71" s="1197" t="s">
        <v>1226</v>
      </c>
      <c r="N71" s="1197"/>
      <c r="O71" s="1197"/>
      <c r="P71" s="1197"/>
      <c r="Q71" s="1197"/>
      <c r="R71" s="1197"/>
      <c r="S71" s="1197"/>
      <c r="T71" s="1197"/>
      <c r="U71" s="1197"/>
      <c r="V71" s="1197"/>
      <c r="W71" s="27"/>
      <c r="X71" s="27"/>
      <c r="Y71" s="1196" t="s">
        <v>16</v>
      </c>
      <c r="Z71" s="1196"/>
      <c r="AA71" s="1196"/>
      <c r="AB71" s="1196"/>
      <c r="AC71" s="1196"/>
      <c r="AD71" s="1196"/>
      <c r="AE71" s="1196"/>
      <c r="AF71" s="1196"/>
      <c r="AG71" s="1196"/>
      <c r="AH71" s="1196"/>
      <c r="AI71" s="1196"/>
      <c r="AJ71" s="1196"/>
      <c r="AK71" s="1196"/>
      <c r="AL71" s="1196"/>
      <c r="AM71" s="1196"/>
      <c r="AN71" s="1196"/>
      <c r="AO71" s="1196"/>
      <c r="AP71" s="1196"/>
      <c r="AQ71" s="1196"/>
      <c r="AR71" s="1196"/>
      <c r="AS71" s="1196"/>
      <c r="AT71" s="1196"/>
      <c r="AU71" s="1196"/>
      <c r="AV71" s="1196"/>
      <c r="AW71" s="1196"/>
      <c r="AX71" s="1196"/>
      <c r="AY71" s="1196"/>
      <c r="AZ71" s="1196"/>
      <c r="BA71" s="1196"/>
      <c r="BB71" s="1196"/>
      <c r="BC71" s="1196"/>
      <c r="BD71" s="1196"/>
      <c r="BE71" s="1196"/>
      <c r="BF71" s="1196"/>
      <c r="BG71" s="1196"/>
      <c r="BH71" s="1196"/>
      <c r="BI71" s="1196"/>
      <c r="BJ71" s="1196"/>
      <c r="BK71" s="1196"/>
      <c r="BL71" s="1196"/>
      <c r="BM71" s="1196"/>
      <c r="BN71" s="1196"/>
      <c r="BO71" s="1196"/>
      <c r="BP71" s="1196"/>
      <c r="BQ71" s="1196"/>
      <c r="BR71" s="27"/>
      <c r="BS71" s="27"/>
      <c r="BT71" s="27"/>
      <c r="BU71" s="27"/>
      <c r="BV71" s="27"/>
      <c r="BW71" s="27"/>
      <c r="BX71" s="27"/>
      <c r="BY71" s="27"/>
      <c r="BZ71" s="28"/>
      <c r="CA71" s="28"/>
      <c r="CB71" s="29"/>
      <c r="CC71" s="61"/>
    </row>
    <row r="72" spans="4:81" ht="15" customHeight="1">
      <c r="D72" s="61"/>
      <c r="E72" s="61"/>
      <c r="F72" s="61"/>
      <c r="G72" s="61"/>
      <c r="H72" s="61"/>
      <c r="I72" s="61"/>
      <c r="J72" s="29"/>
      <c r="K72" s="29"/>
      <c r="L72" s="29"/>
      <c r="M72" s="1197"/>
      <c r="N72" s="1197"/>
      <c r="O72" s="1197"/>
      <c r="P72" s="1197"/>
      <c r="Q72" s="1197"/>
      <c r="R72" s="1197"/>
      <c r="S72" s="1197"/>
      <c r="T72" s="1197"/>
      <c r="U72" s="1197"/>
      <c r="V72" s="1197"/>
      <c r="W72" s="27"/>
      <c r="X72" s="27"/>
      <c r="Y72" s="1196"/>
      <c r="Z72" s="1196"/>
      <c r="AA72" s="1196"/>
      <c r="AB72" s="1196"/>
      <c r="AC72" s="1196"/>
      <c r="AD72" s="1196"/>
      <c r="AE72" s="1196"/>
      <c r="AF72" s="1196"/>
      <c r="AG72" s="1196"/>
      <c r="AH72" s="1196"/>
      <c r="AI72" s="1196"/>
      <c r="AJ72" s="1196"/>
      <c r="AK72" s="1196"/>
      <c r="AL72" s="1196"/>
      <c r="AM72" s="1196"/>
      <c r="AN72" s="1196"/>
      <c r="AO72" s="1196"/>
      <c r="AP72" s="1196"/>
      <c r="AQ72" s="1196"/>
      <c r="AR72" s="1196"/>
      <c r="AS72" s="1196"/>
      <c r="AT72" s="1196"/>
      <c r="AU72" s="1196"/>
      <c r="AV72" s="1196"/>
      <c r="AW72" s="1196"/>
      <c r="AX72" s="1196"/>
      <c r="AY72" s="1196"/>
      <c r="AZ72" s="1196"/>
      <c r="BA72" s="1196"/>
      <c r="BB72" s="1196"/>
      <c r="BC72" s="1196"/>
      <c r="BD72" s="1196"/>
      <c r="BE72" s="1196"/>
      <c r="BF72" s="1196"/>
      <c r="BG72" s="1196"/>
      <c r="BH72" s="1196"/>
      <c r="BI72" s="1196"/>
      <c r="BJ72" s="1196"/>
      <c r="BK72" s="1196"/>
      <c r="BL72" s="1196"/>
      <c r="BM72" s="1196"/>
      <c r="BN72" s="1196"/>
      <c r="BO72" s="1196"/>
      <c r="BP72" s="1196"/>
      <c r="BQ72" s="1196"/>
      <c r="BR72" s="27"/>
      <c r="BS72" s="27"/>
      <c r="BT72" s="27"/>
      <c r="BU72" s="27"/>
      <c r="BV72" s="27"/>
      <c r="BW72" s="27"/>
      <c r="BX72" s="27"/>
      <c r="BY72" s="27"/>
      <c r="BZ72" s="28"/>
      <c r="CA72" s="28"/>
      <c r="CB72" s="29"/>
      <c r="CC72" s="61"/>
    </row>
    <row r="73" spans="4:81" ht="15" customHeight="1">
      <c r="D73" s="61"/>
      <c r="E73" s="61"/>
      <c r="F73" s="61"/>
      <c r="G73" s="61"/>
      <c r="H73" s="61"/>
      <c r="I73" s="61"/>
      <c r="J73" s="29"/>
      <c r="K73" s="29"/>
      <c r="L73" s="29"/>
      <c r="M73" s="1197"/>
      <c r="N73" s="1197"/>
      <c r="O73" s="1197"/>
      <c r="P73" s="1197"/>
      <c r="Q73" s="1197"/>
      <c r="R73" s="1197"/>
      <c r="S73" s="1197"/>
      <c r="T73" s="1197"/>
      <c r="U73" s="1197"/>
      <c r="V73" s="1197"/>
      <c r="W73" s="27"/>
      <c r="X73" s="27"/>
      <c r="Y73" s="1196"/>
      <c r="Z73" s="1196"/>
      <c r="AA73" s="1196"/>
      <c r="AB73" s="1196"/>
      <c r="AC73" s="1196"/>
      <c r="AD73" s="1196"/>
      <c r="AE73" s="1196"/>
      <c r="AF73" s="1196"/>
      <c r="AG73" s="1196"/>
      <c r="AH73" s="1196"/>
      <c r="AI73" s="1196"/>
      <c r="AJ73" s="1196"/>
      <c r="AK73" s="1196"/>
      <c r="AL73" s="1196"/>
      <c r="AM73" s="1196"/>
      <c r="AN73" s="1196"/>
      <c r="AO73" s="1196"/>
      <c r="AP73" s="1196"/>
      <c r="AQ73" s="1196"/>
      <c r="AR73" s="1196"/>
      <c r="AS73" s="1196"/>
      <c r="AT73" s="1196"/>
      <c r="AU73" s="1196"/>
      <c r="AV73" s="1196"/>
      <c r="AW73" s="1196"/>
      <c r="AX73" s="1196"/>
      <c r="AY73" s="1196"/>
      <c r="AZ73" s="1196"/>
      <c r="BA73" s="1196"/>
      <c r="BB73" s="1196"/>
      <c r="BC73" s="1196"/>
      <c r="BD73" s="1196"/>
      <c r="BE73" s="1196"/>
      <c r="BF73" s="1196"/>
      <c r="BG73" s="1196"/>
      <c r="BH73" s="1196"/>
      <c r="BI73" s="1196"/>
      <c r="BJ73" s="1196"/>
      <c r="BK73" s="1196"/>
      <c r="BL73" s="1196"/>
      <c r="BM73" s="1196"/>
      <c r="BN73" s="1196"/>
      <c r="BO73" s="1196"/>
      <c r="BP73" s="1196"/>
      <c r="BQ73" s="1196"/>
      <c r="BR73" s="27"/>
      <c r="BS73" s="27"/>
      <c r="BT73" s="27"/>
      <c r="BU73" s="27"/>
      <c r="BV73" s="27"/>
      <c r="BW73" s="27"/>
      <c r="BX73" s="27"/>
      <c r="BY73" s="27"/>
      <c r="BZ73" s="28"/>
      <c r="CA73" s="28"/>
      <c r="CB73" s="29"/>
      <c r="CC73" s="61"/>
    </row>
    <row r="74" spans="4:81" ht="15" customHeight="1">
      <c r="D74" s="61"/>
      <c r="E74" s="61"/>
      <c r="F74" s="61"/>
      <c r="G74" s="61"/>
      <c r="H74" s="61"/>
      <c r="I74" s="61"/>
      <c r="J74" s="29"/>
      <c r="K74" s="29"/>
      <c r="L74" s="29"/>
      <c r="M74" s="29"/>
      <c r="N74" s="29"/>
      <c r="O74" s="29"/>
      <c r="P74" s="29"/>
      <c r="Q74" s="29"/>
      <c r="R74" s="31"/>
      <c r="S74" s="31"/>
      <c r="T74" s="31"/>
      <c r="U74" s="31"/>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8"/>
      <c r="CA74" s="28"/>
      <c r="CB74" s="29"/>
      <c r="CC74" s="61"/>
    </row>
    <row r="75" spans="4:81" ht="15.75" customHeight="1">
      <c r="D75" s="61"/>
      <c r="E75" s="61"/>
      <c r="F75" s="61"/>
      <c r="G75" s="61"/>
      <c r="H75" s="61"/>
      <c r="I75" s="61"/>
      <c r="J75" s="29"/>
      <c r="K75" s="29"/>
      <c r="L75" s="29"/>
      <c r="M75" s="1189" t="s">
        <v>17</v>
      </c>
      <c r="N75" s="1189"/>
      <c r="O75" s="1189"/>
      <c r="P75" s="1189"/>
      <c r="Q75" s="1189"/>
      <c r="R75" s="1189"/>
      <c r="S75" s="1189"/>
      <c r="T75" s="1189"/>
      <c r="U75" s="1189"/>
      <c r="V75" s="1189"/>
      <c r="W75" s="27"/>
      <c r="X75" s="27"/>
      <c r="Y75" s="1192" t="s">
        <v>18</v>
      </c>
      <c r="Z75" s="1193"/>
      <c r="AA75" s="1193"/>
      <c r="AB75" s="1193"/>
      <c r="AC75" s="1193"/>
      <c r="AD75" s="1193"/>
      <c r="AE75" s="1193"/>
      <c r="AF75" s="1193"/>
      <c r="AG75" s="1193"/>
      <c r="AH75" s="1193"/>
      <c r="AI75" s="1193"/>
      <c r="AJ75" s="1193"/>
      <c r="AK75" s="1193"/>
      <c r="AL75" s="1193"/>
      <c r="AM75" s="1193"/>
      <c r="AN75" s="1193"/>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8"/>
      <c r="CA75" s="28"/>
      <c r="CB75" s="29"/>
      <c r="CC75" s="61"/>
    </row>
    <row r="76" spans="4:81">
      <c r="D76" s="29"/>
      <c r="E76" s="29"/>
      <c r="F76" s="29"/>
      <c r="G76" s="29"/>
      <c r="H76" s="29"/>
      <c r="I76" s="29"/>
      <c r="J76" s="29"/>
      <c r="K76" s="29"/>
      <c r="L76" s="29"/>
      <c r="M76" s="29"/>
      <c r="N76" s="29"/>
      <c r="O76" s="29"/>
      <c r="P76" s="29"/>
      <c r="Q76" s="29"/>
      <c r="R76" s="31"/>
      <c r="S76" s="31"/>
      <c r="T76" s="31"/>
      <c r="U76" s="31"/>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8"/>
      <c r="CA76" s="28"/>
      <c r="CB76" s="29"/>
      <c r="CC76" s="29"/>
    </row>
    <row r="77" spans="4:81">
      <c r="D77" s="29"/>
      <c r="E77" s="29"/>
      <c r="F77" s="29"/>
      <c r="G77" s="29"/>
      <c r="H77" s="29"/>
      <c r="I77" s="29"/>
      <c r="J77" s="29"/>
      <c r="K77" s="29"/>
      <c r="L77" s="29"/>
      <c r="M77" s="29"/>
      <c r="N77" s="29"/>
      <c r="O77" s="29"/>
      <c r="P77" s="29"/>
      <c r="Q77" s="29"/>
      <c r="R77" s="31"/>
      <c r="S77" s="31"/>
      <c r="T77" s="31"/>
      <c r="U77" s="31"/>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8"/>
      <c r="CA77" s="28"/>
      <c r="CB77" s="29"/>
      <c r="CC77" s="29"/>
    </row>
    <row r="78" spans="4:81" ht="15.75">
      <c r="D78" s="24"/>
      <c r="E78" s="24"/>
      <c r="F78" s="25"/>
      <c r="G78" s="25"/>
      <c r="H78" s="25"/>
      <c r="I78" s="25"/>
      <c r="J78" s="25"/>
      <c r="K78" s="25"/>
      <c r="L78" s="25"/>
      <c r="M78" s="25"/>
      <c r="N78" s="25"/>
      <c r="O78" s="25"/>
      <c r="P78" s="25"/>
      <c r="Q78" s="25"/>
      <c r="R78" s="25"/>
      <c r="S78" s="25"/>
      <c r="T78" s="25"/>
      <c r="U78" s="25"/>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10"/>
      <c r="CA78" s="10"/>
      <c r="CB78" s="24"/>
      <c r="CC78" s="24"/>
    </row>
  </sheetData>
  <mergeCells count="104">
    <mergeCell ref="Y63:AN63"/>
    <mergeCell ref="M75:V75"/>
    <mergeCell ref="Y75:AN75"/>
    <mergeCell ref="M57:V57"/>
    <mergeCell ref="M65:V65"/>
    <mergeCell ref="M67:V67"/>
    <mergeCell ref="Y57:AF57"/>
    <mergeCell ref="M63:V63"/>
    <mergeCell ref="Y33:AT33"/>
    <mergeCell ref="Y34:AT34"/>
    <mergeCell ref="Y35:AT35"/>
    <mergeCell ref="Y45:AF45"/>
    <mergeCell ref="AH45:AO45"/>
    <mergeCell ref="AQ45:AX45"/>
    <mergeCell ref="Y65:AN65"/>
    <mergeCell ref="Y67:AN67"/>
    <mergeCell ref="Y69:AN69"/>
    <mergeCell ref="Y71:BQ73"/>
    <mergeCell ref="M69:V69"/>
    <mergeCell ref="M71:V73"/>
    <mergeCell ref="BI51:BP51"/>
    <mergeCell ref="M43:V43"/>
    <mergeCell ref="M47:V47"/>
    <mergeCell ref="Y43:AF43"/>
    <mergeCell ref="M51:V51"/>
    <mergeCell ref="M55:V55"/>
    <mergeCell ref="AH47:AO47"/>
    <mergeCell ref="Y47:AF47"/>
    <mergeCell ref="Y51:AF51"/>
    <mergeCell ref="AH43:AO43"/>
    <mergeCell ref="AQ51:AX51"/>
    <mergeCell ref="AZ51:BG51"/>
    <mergeCell ref="AQ43:AX43"/>
    <mergeCell ref="AZ43:BG43"/>
    <mergeCell ref="AH49:AO49"/>
    <mergeCell ref="AQ49:AX49"/>
    <mergeCell ref="AZ49:BG49"/>
    <mergeCell ref="AQ53:AX53"/>
    <mergeCell ref="Y55:AF55"/>
    <mergeCell ref="AH51:AO51"/>
    <mergeCell ref="AH53:AO53"/>
    <mergeCell ref="Y53:AF53"/>
    <mergeCell ref="Y49:AF49"/>
    <mergeCell ref="AZ48:BG48"/>
    <mergeCell ref="AQ48:AX48"/>
    <mergeCell ref="AQ52:AX52"/>
    <mergeCell ref="AZ52:BG52"/>
    <mergeCell ref="BI52:BP52"/>
    <mergeCell ref="BI49:BP49"/>
    <mergeCell ref="BI53:BP53"/>
    <mergeCell ref="AZ53:BG53"/>
    <mergeCell ref="Y16:AT16"/>
    <mergeCell ref="Y26:AM26"/>
    <mergeCell ref="AV24:BB24"/>
    <mergeCell ref="AV25:BB25"/>
    <mergeCell ref="AV33:BB33"/>
    <mergeCell ref="AV35:BB35"/>
    <mergeCell ref="AV34:BB34"/>
    <mergeCell ref="AZ45:BG45"/>
    <mergeCell ref="BI45:BP45"/>
    <mergeCell ref="BI43:BP43"/>
    <mergeCell ref="AK27:AM27"/>
    <mergeCell ref="AV26:BB26"/>
    <mergeCell ref="AV27:BB27"/>
    <mergeCell ref="BI44:BP44"/>
    <mergeCell ref="BD34:BY34"/>
    <mergeCell ref="BD35:BY35"/>
    <mergeCell ref="I34:W34"/>
    <mergeCell ref="I35:W35"/>
    <mergeCell ref="E55:K57"/>
    <mergeCell ref="I17:W17"/>
    <mergeCell ref="Y17:AT17"/>
    <mergeCell ref="I7:BK7"/>
    <mergeCell ref="I26:W26"/>
    <mergeCell ref="Y44:AF44"/>
    <mergeCell ref="AH44:AO44"/>
    <mergeCell ref="AQ44:AX44"/>
    <mergeCell ref="AZ44:BG44"/>
    <mergeCell ref="I33:W33"/>
    <mergeCell ref="I16:W16"/>
    <mergeCell ref="I27:W27"/>
    <mergeCell ref="I25:W25"/>
    <mergeCell ref="BI47:BP47"/>
    <mergeCell ref="AZ47:BG47"/>
    <mergeCell ref="BI48:BP48"/>
    <mergeCell ref="AQ47:AX47"/>
    <mergeCell ref="AH52:AO52"/>
    <mergeCell ref="AH48:AO48"/>
    <mergeCell ref="Y48:AF48"/>
    <mergeCell ref="Y52:AF52"/>
    <mergeCell ref="BD33:BY33"/>
    <mergeCell ref="I4:AS4"/>
    <mergeCell ref="D9:CC9"/>
    <mergeCell ref="BD24:BY24"/>
    <mergeCell ref="BD25:BY25"/>
    <mergeCell ref="BD27:BG27"/>
    <mergeCell ref="BP27:BR27"/>
    <mergeCell ref="BD26:BR26"/>
    <mergeCell ref="Y27:AB27"/>
    <mergeCell ref="Y24:AT24"/>
    <mergeCell ref="Y25:AT25"/>
    <mergeCell ref="I24:W24"/>
    <mergeCell ref="I18:W18"/>
    <mergeCell ref="Y18:AJ18"/>
  </mergeCells>
  <conditionalFormatting sqref="Y44">
    <cfRule type="expression" dxfId="52" priority="74">
      <formula>dms_FRCPlength_Num&lt;6</formula>
    </cfRule>
  </conditionalFormatting>
  <conditionalFormatting sqref="Y45">
    <cfRule type="expression" dxfId="51" priority="30">
      <formula>dms_FRCPlength_Num&lt;11</formula>
    </cfRule>
  </conditionalFormatting>
  <conditionalFormatting sqref="Y48">
    <cfRule type="expression" dxfId="50" priority="69">
      <formula>dms_CRCPlength_Num&lt;6</formula>
    </cfRule>
  </conditionalFormatting>
  <conditionalFormatting sqref="Y49">
    <cfRule type="expression" dxfId="49" priority="20">
      <formula>dms_CRCPlength_Num&lt;11</formula>
    </cfRule>
  </conditionalFormatting>
  <conditionalFormatting sqref="Y52">
    <cfRule type="expression" dxfId="48" priority="11">
      <formula>dms_PRCPlength_Num&lt;6</formula>
    </cfRule>
  </conditionalFormatting>
  <conditionalFormatting sqref="Y53">
    <cfRule type="expression" dxfId="47" priority="10">
      <formula>dms_PRCPlength_Num&lt;11</formula>
    </cfRule>
  </conditionalFormatting>
  <conditionalFormatting sqref="Y43:AF43">
    <cfRule type="expression" dxfId="46" priority="32" stopIfTrue="1">
      <formula>(INDEX(dms_Model_Span_List,MATCH(dms_Model,dms_Model_List))&gt;1)</formula>
    </cfRule>
  </conditionalFormatting>
  <conditionalFormatting sqref="Y55:AF55">
    <cfRule type="expression" dxfId="45" priority="44" stopIfTrue="1">
      <formula>(INDEX(dms_Model_Span_List,MATCH(dms_Model,dms_Model_List))=1)</formula>
    </cfRule>
  </conditionalFormatting>
  <conditionalFormatting sqref="Y69:AN69">
    <cfRule type="cellIs" dxfId="44" priority="31" operator="equal">
      <formula>"Confidential"</formula>
    </cfRule>
  </conditionalFormatting>
  <conditionalFormatting sqref="AH44">
    <cfRule type="expression" dxfId="43" priority="73">
      <formula>dms_FRCPlength_Num&lt;7</formula>
    </cfRule>
  </conditionalFormatting>
  <conditionalFormatting sqref="AH45">
    <cfRule type="expression" dxfId="42" priority="15">
      <formula>dms_FRCPlength_Num&lt;12</formula>
    </cfRule>
  </conditionalFormatting>
  <conditionalFormatting sqref="AH48">
    <cfRule type="expression" dxfId="41" priority="24">
      <formula>dms_CRCPlength_Num&lt;7</formula>
    </cfRule>
  </conditionalFormatting>
  <conditionalFormatting sqref="AH49">
    <cfRule type="expression" dxfId="40" priority="19">
      <formula>dms_CRCPlength_Num&lt;12</formula>
    </cfRule>
  </conditionalFormatting>
  <conditionalFormatting sqref="AH52">
    <cfRule type="expression" dxfId="39" priority="9">
      <formula>dms_PRCPlength_Num&lt;7</formula>
    </cfRule>
  </conditionalFormatting>
  <conditionalFormatting sqref="AH53">
    <cfRule type="expression" dxfId="38" priority="5">
      <formula>dms_PRCPlength_Num&lt;12</formula>
    </cfRule>
  </conditionalFormatting>
  <conditionalFormatting sqref="AQ44">
    <cfRule type="expression" dxfId="37" priority="72">
      <formula>dms_FRCPlength_Num&lt;8</formula>
    </cfRule>
  </conditionalFormatting>
  <conditionalFormatting sqref="AQ45">
    <cfRule type="expression" dxfId="36" priority="14">
      <formula>dms_FRCPlength_Num&lt;13</formula>
    </cfRule>
  </conditionalFormatting>
  <conditionalFormatting sqref="AQ48">
    <cfRule type="expression" dxfId="35" priority="23">
      <formula>dms_CRCPlength_Num&lt;8</formula>
    </cfRule>
  </conditionalFormatting>
  <conditionalFormatting sqref="AQ49">
    <cfRule type="expression" dxfId="34" priority="18">
      <formula>dms_CRCPlength_Num&lt;13</formula>
    </cfRule>
  </conditionalFormatting>
  <conditionalFormatting sqref="AQ52">
    <cfRule type="expression" dxfId="33" priority="8">
      <formula>dms_PRCPlength_Num&lt;8</formula>
    </cfRule>
  </conditionalFormatting>
  <conditionalFormatting sqref="AQ53">
    <cfRule type="expression" dxfId="32" priority="4">
      <formula>dms_PRCPlength_Num&lt;13</formula>
    </cfRule>
  </conditionalFormatting>
  <conditionalFormatting sqref="AZ44">
    <cfRule type="expression" dxfId="31" priority="25">
      <formula>dms_FRCPlength_Num&lt;9</formula>
    </cfRule>
  </conditionalFormatting>
  <conditionalFormatting sqref="AZ45">
    <cfRule type="expression" dxfId="30" priority="13">
      <formula>dms_FRCPlength_Num&lt;14</formula>
    </cfRule>
  </conditionalFormatting>
  <conditionalFormatting sqref="AZ48">
    <cfRule type="expression" dxfId="29" priority="22">
      <formula>dms_CRCPlength_Num&lt;9</formula>
    </cfRule>
  </conditionalFormatting>
  <conditionalFormatting sqref="AZ49">
    <cfRule type="expression" dxfId="28" priority="17">
      <formula>dms_CRCPlength_Num&lt;14</formula>
    </cfRule>
  </conditionalFormatting>
  <conditionalFormatting sqref="AZ52">
    <cfRule type="expression" dxfId="27" priority="7">
      <formula>dms_PRCPlength_Num&lt;9</formula>
    </cfRule>
  </conditionalFormatting>
  <conditionalFormatting sqref="AZ53">
    <cfRule type="expression" dxfId="26" priority="3">
      <formula>dms_PRCPlength_Num&lt;14</formula>
    </cfRule>
  </conditionalFormatting>
  <conditionalFormatting sqref="BI43">
    <cfRule type="expression" dxfId="25" priority="1">
      <formula>dms_FRCPlength_Num&lt;5</formula>
    </cfRule>
  </conditionalFormatting>
  <conditionalFormatting sqref="BI44">
    <cfRule type="expression" dxfId="24" priority="70">
      <formula>dms_FRCPlength_Num&lt;10</formula>
    </cfRule>
  </conditionalFormatting>
  <conditionalFormatting sqref="BI45">
    <cfRule type="expression" dxfId="23" priority="12">
      <formula>dms_FRCPlength_Num&lt;15</formula>
    </cfRule>
  </conditionalFormatting>
  <conditionalFormatting sqref="BI48">
    <cfRule type="expression" dxfId="22" priority="21">
      <formula>dms_CRCPlength_Num&lt;10</formula>
    </cfRule>
  </conditionalFormatting>
  <conditionalFormatting sqref="BI49">
    <cfRule type="expression" dxfId="21" priority="16">
      <formula>dms_CRCPlength_Num&lt;15</formula>
    </cfRule>
  </conditionalFormatting>
  <conditionalFormatting sqref="BI52">
    <cfRule type="expression" dxfId="20" priority="6">
      <formula>dms_PRCPlength_Num&lt;10</formula>
    </cfRule>
  </conditionalFormatting>
  <conditionalFormatting sqref="BI53">
    <cfRule type="expression" dxfId="19" priority="2">
      <formula>dms_PRCPlength_Num&lt;15</formula>
    </cfRule>
  </conditionalFormatting>
  <dataValidations xWindow="1211" yWindow="807" count="6">
    <dataValidation type="list" operator="lessThanOrEqual" showInputMessage="1" showErrorMessage="1" prompt="Please use drop down to select correct business name. ABN will auto populate." sqref="Y16:AA16" xr:uid="{00000000-0002-0000-0600-000000000000}">
      <formula1>dms_TradingName_List</formula1>
    </dataValidation>
    <dataValidation type="list" allowBlank="1" showInputMessage="1" showErrorMessage="1" sqref="Y65:AN65" xr:uid="{00000000-0002-0000-0600-000001000000}">
      <formula1>dms_SourceList</formula1>
    </dataValidation>
    <dataValidation type="list" allowBlank="1" showInputMessage="1" showErrorMessage="1" sqref="Y67:AN67" xr:uid="{00000000-0002-0000-0600-000002000000}">
      <formula1>dms_DataQuality_List</formula1>
    </dataValidation>
    <dataValidation type="list" allowBlank="1" showInputMessage="1" showErrorMessage="1" sqref="Y69:AN69" xr:uid="{00000000-0002-0000-0600-000003000000}">
      <formula1>dms_Confid_status_List</formula1>
    </dataValidation>
    <dataValidation allowBlank="1" showInputMessage="1" showErrorMessage="1" promptTitle="Submission Date" prompt="-- enter date file submitted to AER -- " sqref="Y75:AN75" xr:uid="{00000000-0002-0000-0600-000004000000}"/>
    <dataValidation type="list" allowBlank="1" showInputMessage="1" showErrorMessage="1" sqref="Y43:AF43 Y55:AF55 Y57:AF57" xr:uid="{00000000-0002-0000-0600-000005000000}">
      <formula1>INDIRECT(dms_RPT)</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6A8D3-9655-4231-AF91-FD41F1581B5B}">
  <dimension ref="B1:I20"/>
  <sheetViews>
    <sheetView workbookViewId="0"/>
  </sheetViews>
  <sheetFormatPr defaultColWidth="9.140625" defaultRowHeight="15"/>
  <cols>
    <col min="1" max="1" width="2.140625" style="1051" customWidth="1"/>
    <col min="2" max="2" width="31" style="1051" customWidth="1"/>
    <col min="3" max="3" width="73.5703125" style="1051" customWidth="1"/>
    <col min="4" max="5" width="16" style="1051" customWidth="1"/>
    <col min="6" max="6" width="17.85546875" style="1051" customWidth="1"/>
    <col min="7" max="7" width="20.42578125" style="1051" customWidth="1"/>
    <col min="8" max="16384" width="9.140625" style="1051"/>
  </cols>
  <sheetData>
    <row r="1" spans="2:9" ht="21">
      <c r="B1" s="1083"/>
      <c r="C1" s="1084" t="s">
        <v>1223</v>
      </c>
      <c r="D1" s="75"/>
      <c r="E1" s="75"/>
      <c r="F1" s="75"/>
      <c r="G1" s="75"/>
    </row>
    <row r="2" spans="2:9" ht="21">
      <c r="B2" s="76"/>
      <c r="C2" s="1085" t="s">
        <v>1244</v>
      </c>
      <c r="D2" s="76"/>
      <c r="E2" s="75"/>
      <c r="F2" s="75"/>
      <c r="G2" s="75"/>
    </row>
    <row r="3" spans="2:9" ht="21">
      <c r="B3" s="75"/>
      <c r="C3" s="1086" t="s">
        <v>1245</v>
      </c>
      <c r="D3" s="75"/>
      <c r="E3" s="1087"/>
      <c r="F3" s="1087"/>
      <c r="G3" s="1087"/>
    </row>
    <row r="4" spans="2:9" ht="18.75">
      <c r="B4" s="1148"/>
      <c r="C4" s="1148" t="s">
        <v>1232</v>
      </c>
      <c r="D4" s="1148"/>
      <c r="E4" s="1148"/>
      <c r="F4" s="1148"/>
      <c r="G4" s="1148"/>
    </row>
    <row r="5" spans="2:9" ht="11.25" customHeight="1"/>
    <row r="6" spans="2:9" ht="23.25" customHeight="1">
      <c r="B6" s="1199" t="s">
        <v>1233</v>
      </c>
      <c r="C6" s="1199"/>
      <c r="D6" s="1199"/>
      <c r="E6" s="1199"/>
      <c r="F6" s="1199"/>
      <c r="G6" s="1199"/>
    </row>
    <row r="7" spans="2:9" ht="23.25" customHeight="1">
      <c r="B7" s="1200" t="s">
        <v>1234</v>
      </c>
      <c r="C7" s="1200"/>
      <c r="D7" s="1200"/>
      <c r="E7" s="1200"/>
      <c r="F7" s="1200"/>
      <c r="G7" s="1200"/>
    </row>
    <row r="8" spans="2:9" ht="12" customHeight="1"/>
    <row r="9" spans="2:9" ht="19.5" customHeight="1">
      <c r="B9" s="1201" t="s">
        <v>1235</v>
      </c>
      <c r="C9" s="1203" t="s">
        <v>1236</v>
      </c>
      <c r="D9" s="1203" t="s">
        <v>1237</v>
      </c>
      <c r="E9" s="1203"/>
      <c r="F9" s="1203" t="s">
        <v>1238</v>
      </c>
      <c r="G9" s="1205"/>
    </row>
    <row r="10" spans="2:9" ht="18.75" customHeight="1">
      <c r="B10" s="1202"/>
      <c r="C10" s="1204"/>
      <c r="D10" s="1093" t="s">
        <v>1239</v>
      </c>
      <c r="E10" s="1093" t="s">
        <v>1240</v>
      </c>
      <c r="F10" s="1093" t="s">
        <v>1241</v>
      </c>
      <c r="G10" s="1094" t="s">
        <v>1242</v>
      </c>
    </row>
    <row r="11" spans="2:9" ht="24.75" customHeight="1">
      <c r="B11" s="1144" t="s">
        <v>1227</v>
      </c>
      <c r="C11" s="1150" t="s">
        <v>1206</v>
      </c>
      <c r="D11" s="1099"/>
      <c r="E11" s="1099"/>
      <c r="F11" s="1088" t="s">
        <v>1230</v>
      </c>
      <c r="G11" s="1100" t="s">
        <v>1231</v>
      </c>
      <c r="I11" s="1089"/>
    </row>
    <row r="12" spans="2:9" ht="24.75" customHeight="1">
      <c r="B12" s="1145" t="s">
        <v>1227</v>
      </c>
      <c r="C12" s="1095" t="s">
        <v>1207</v>
      </c>
      <c r="D12" s="1095"/>
      <c r="E12" s="1095"/>
      <c r="F12" s="1096" t="s">
        <v>1230</v>
      </c>
      <c r="G12" s="1101" t="s">
        <v>1231</v>
      </c>
      <c r="I12" s="1089"/>
    </row>
    <row r="13" spans="2:9" ht="24.75" customHeight="1">
      <c r="B13" s="1146" t="s">
        <v>1227</v>
      </c>
      <c r="C13" s="1091" t="s">
        <v>1208</v>
      </c>
      <c r="D13" s="1091"/>
      <c r="E13" s="1091"/>
      <c r="F13" s="1090" t="s">
        <v>1230</v>
      </c>
      <c r="G13" s="1102" t="s">
        <v>1231</v>
      </c>
      <c r="I13" s="1089"/>
    </row>
    <row r="14" spans="2:9" ht="24.75" customHeight="1">
      <c r="B14" s="1147" t="s">
        <v>1228</v>
      </c>
      <c r="C14" s="1149" t="s">
        <v>1211</v>
      </c>
      <c r="D14" s="1149"/>
      <c r="E14" s="1149"/>
      <c r="F14" s="1092" t="s">
        <v>1230</v>
      </c>
      <c r="G14" s="1103" t="s">
        <v>1231</v>
      </c>
    </row>
    <row r="15" spans="2:9" ht="24.75" customHeight="1">
      <c r="B15" s="1144" t="s">
        <v>1229</v>
      </c>
      <c r="C15" s="1150" t="s">
        <v>1213</v>
      </c>
      <c r="D15" s="1150"/>
      <c r="E15" s="1150"/>
      <c r="F15" s="1088" t="s">
        <v>1230</v>
      </c>
      <c r="G15" s="1100" t="s">
        <v>1231</v>
      </c>
    </row>
    <row r="16" spans="2:9" ht="24.75" customHeight="1">
      <c r="B16" s="1145" t="s">
        <v>1229</v>
      </c>
      <c r="C16" s="1095" t="s">
        <v>1214</v>
      </c>
      <c r="D16" s="1095"/>
      <c r="E16" s="1095"/>
      <c r="F16" s="1096" t="s">
        <v>1230</v>
      </c>
      <c r="G16" s="1101" t="s">
        <v>1231</v>
      </c>
    </row>
    <row r="17" spans="2:7" ht="24.75" customHeight="1">
      <c r="B17" s="1145" t="s">
        <v>1229</v>
      </c>
      <c r="C17" s="1095" t="s">
        <v>1219</v>
      </c>
      <c r="D17" s="1097"/>
      <c r="E17" s="1097"/>
      <c r="F17" s="1096" t="s">
        <v>1230</v>
      </c>
      <c r="G17" s="1101" t="s">
        <v>1231</v>
      </c>
    </row>
    <row r="18" spans="2:7" ht="24.75" customHeight="1">
      <c r="B18" s="1145" t="s">
        <v>1229</v>
      </c>
      <c r="C18" s="1095" t="s">
        <v>1220</v>
      </c>
      <c r="D18" s="1097"/>
      <c r="E18" s="1098"/>
      <c r="F18" s="1096" t="s">
        <v>1230</v>
      </c>
      <c r="G18" s="1101" t="s">
        <v>1231</v>
      </c>
    </row>
    <row r="19" spans="2:7" ht="24.75" customHeight="1">
      <c r="B19" s="1145" t="s">
        <v>1229</v>
      </c>
      <c r="C19" s="1095" t="s">
        <v>1217</v>
      </c>
      <c r="D19" s="1095"/>
      <c r="E19" s="1095"/>
      <c r="F19" s="1096" t="s">
        <v>1230</v>
      </c>
      <c r="G19" s="1101" t="s">
        <v>1231</v>
      </c>
    </row>
    <row r="20" spans="2:7" ht="24.75" customHeight="1">
      <c r="B20" s="1146" t="s">
        <v>1229</v>
      </c>
      <c r="C20" s="1091" t="s">
        <v>1218</v>
      </c>
      <c r="D20" s="1091"/>
      <c r="E20" s="1091"/>
      <c r="F20" s="1090" t="s">
        <v>1230</v>
      </c>
      <c r="G20" s="1102" t="s">
        <v>1231</v>
      </c>
    </row>
  </sheetData>
  <mergeCells count="6">
    <mergeCell ref="B6:G6"/>
    <mergeCell ref="B7:G7"/>
    <mergeCell ref="B9:B10"/>
    <mergeCell ref="C9:C10"/>
    <mergeCell ref="D9:E9"/>
    <mergeCell ref="F9:G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F8F33-3133-4FB8-B342-14B391A9776F}">
  <sheetPr>
    <tabColor rgb="FF11473A"/>
    <pageSetUpPr autoPageBreaks="0"/>
  </sheetPr>
  <dimension ref="B1:U45"/>
  <sheetViews>
    <sheetView zoomScaleNormal="100" workbookViewId="0"/>
  </sheetViews>
  <sheetFormatPr defaultColWidth="9.140625" defaultRowHeight="12.6" customHeight="1"/>
  <cols>
    <col min="1" max="1" width="9.140625" style="129"/>
    <col min="2" max="2" width="20.7109375" style="129" customWidth="1"/>
    <col min="3" max="3" width="1.7109375" style="129" customWidth="1"/>
    <col min="4" max="4" width="80" style="129" customWidth="1"/>
    <col min="5" max="5" width="12.140625" style="129" customWidth="1"/>
    <col min="6" max="6" width="31.42578125" style="129" customWidth="1"/>
    <col min="7" max="7" width="15.7109375" style="129" customWidth="1"/>
    <col min="8" max="19" width="3.7109375" style="129" customWidth="1"/>
    <col min="20" max="20" width="6.85546875" style="129" customWidth="1"/>
    <col min="21" max="27" width="7.85546875" style="129" customWidth="1"/>
    <col min="28" max="16384" width="9.140625" style="129"/>
  </cols>
  <sheetData>
    <row r="1" spans="2:21" ht="18.75" customHeight="1">
      <c r="B1" s="77"/>
      <c r="C1" s="75"/>
      <c r="D1" s="75" t="str">
        <f>dms_SheetHeading1</f>
        <v>ANNUAL INFORMATION ORDER</v>
      </c>
      <c r="E1" s="75"/>
      <c r="F1" s="72"/>
      <c r="H1" s="85" t="s">
        <v>80</v>
      </c>
      <c r="I1" s="85"/>
      <c r="J1" s="138"/>
      <c r="K1" s="138"/>
      <c r="L1" s="138"/>
      <c r="M1" s="138"/>
      <c r="N1" s="84" t="s">
        <v>79</v>
      </c>
      <c r="O1" s="138"/>
      <c r="P1" s="138"/>
      <c r="Q1" s="138"/>
      <c r="R1" s="138"/>
      <c r="S1" s="138"/>
    </row>
    <row r="2" spans="2:21" ht="18.75" customHeight="1">
      <c r="B2" s="78"/>
      <c r="C2" s="76"/>
      <c r="D2" s="76" t="str">
        <f>dms_SheetHeading2</f>
        <v>Australian Distribution Co.</v>
      </c>
      <c r="E2" s="76"/>
      <c r="F2" s="72"/>
      <c r="H2" s="87" t="s">
        <v>81</v>
      </c>
      <c r="I2" s="87"/>
      <c r="J2" s="139"/>
      <c r="K2" s="139"/>
      <c r="L2" s="139"/>
      <c r="M2" s="139"/>
      <c r="N2" s="86" t="s">
        <v>19</v>
      </c>
      <c r="O2" s="139"/>
      <c r="P2" s="139"/>
      <c r="Q2" s="139"/>
      <c r="R2" s="139"/>
      <c r="S2" s="139"/>
    </row>
    <row r="3" spans="2:21" ht="18.75" customHeight="1">
      <c r="B3" s="77"/>
      <c r="C3" s="75"/>
      <c r="D3" s="75" t="str">
        <f>dms_SheetHeading3</f>
        <v>REPORTING STATEMENT: 2024-25</v>
      </c>
      <c r="E3" s="75"/>
      <c r="F3" s="72"/>
      <c r="H3" s="89" t="s">
        <v>82</v>
      </c>
      <c r="I3" s="89"/>
      <c r="J3" s="140"/>
      <c r="K3" s="140"/>
      <c r="L3" s="140"/>
      <c r="M3" s="140"/>
      <c r="N3" s="88" t="s">
        <v>43</v>
      </c>
      <c r="O3" s="140"/>
      <c r="P3" s="140"/>
      <c r="Q3" s="140"/>
      <c r="R3" s="140"/>
      <c r="S3" s="140"/>
    </row>
    <row r="4" spans="2:21" ht="18.75" customHeight="1">
      <c r="B4" s="1049"/>
      <c r="C4" s="1049"/>
      <c r="D4" s="1050" t="s">
        <v>1222</v>
      </c>
      <c r="E4" s="1050"/>
      <c r="F4" s="1050"/>
      <c r="H4" s="114" t="s">
        <v>84</v>
      </c>
      <c r="I4" s="91"/>
      <c r="J4" s="91"/>
      <c r="K4" s="91"/>
      <c r="L4" s="91"/>
      <c r="M4" s="91"/>
      <c r="N4" s="90" t="s">
        <v>83</v>
      </c>
      <c r="O4" s="91"/>
      <c r="P4" s="91"/>
      <c r="Q4" s="91"/>
      <c r="R4" s="91"/>
      <c r="S4" s="91"/>
    </row>
    <row r="5" spans="2:21" ht="14.25" customHeight="1">
      <c r="B5" s="1051"/>
      <c r="C5" s="1051"/>
      <c r="D5" s="1051"/>
      <c r="E5" s="1051"/>
      <c r="F5" s="1051"/>
    </row>
    <row r="6" spans="2:21" ht="18.75">
      <c r="B6" s="1077" t="s">
        <v>1205</v>
      </c>
      <c r="C6" s="1077"/>
      <c r="D6" s="1077"/>
      <c r="E6" s="82"/>
      <c r="F6" s="82"/>
    </row>
    <row r="7" spans="2:21" ht="15">
      <c r="B7" s="1052" t="s">
        <v>96</v>
      </c>
      <c r="C7" s="1052"/>
      <c r="D7" s="1052"/>
      <c r="E7" s="1052"/>
      <c r="F7" s="1052"/>
    </row>
    <row r="8" spans="2:21" ht="15" customHeight="1">
      <c r="B8" s="1053"/>
      <c r="C8" s="1053"/>
      <c r="D8" s="1053"/>
    </row>
    <row r="9" spans="2:21" ht="18" customHeight="1">
      <c r="B9" s="1133"/>
      <c r="C9" s="1133"/>
      <c r="D9" s="1054" t="s">
        <v>1206</v>
      </c>
      <c r="E9" s="1055"/>
      <c r="F9" s="1056"/>
    </row>
    <row r="10" spans="2:21" ht="33.75" customHeight="1">
      <c r="B10" s="1133"/>
      <c r="C10" s="1133"/>
      <c r="D10" s="1135"/>
      <c r="E10" s="1109"/>
      <c r="H10" s="1126" t="s">
        <v>112</v>
      </c>
      <c r="I10" s="156" t="s">
        <v>113</v>
      </c>
      <c r="J10" s="157" t="s">
        <v>114</v>
      </c>
    </row>
    <row r="11" spans="2:21" s="1104" customFormat="1" ht="33" customHeight="1">
      <c r="B11" s="1134"/>
      <c r="D11" s="1110" t="s">
        <v>97</v>
      </c>
      <c r="E11" s="152" t="s">
        <v>123</v>
      </c>
      <c r="F11" s="105" t="s">
        <v>122</v>
      </c>
      <c r="G11" s="129"/>
      <c r="H11" s="1206" t="s">
        <v>89</v>
      </c>
      <c r="I11" s="1207"/>
      <c r="J11" s="1208"/>
      <c r="L11" s="129"/>
      <c r="M11" s="129"/>
      <c r="N11" s="129"/>
      <c r="O11" s="129"/>
      <c r="P11" s="129"/>
      <c r="Q11" s="129"/>
      <c r="R11" s="129"/>
      <c r="S11" s="129"/>
      <c r="T11" s="129"/>
      <c r="U11" s="129"/>
    </row>
    <row r="12" spans="2:21" s="1104" customFormat="1" ht="15" customHeight="1">
      <c r="B12" s="1134"/>
      <c r="C12" s="1095"/>
      <c r="D12" s="99" t="s">
        <v>55</v>
      </c>
      <c r="E12" s="96" t="s">
        <v>63</v>
      </c>
      <c r="F12" s="92"/>
      <c r="G12" s="129"/>
      <c r="H12" s="141" t="str">
        <f t="shared" ref="H12:H18" si="0">IF(ISNONTEXT(F12)=TRUE,"","X")</f>
        <v/>
      </c>
      <c r="I12" s="142" t="str">
        <f t="shared" ref="I12:I18" si="1">IF(F12&gt;=0,"","X")</f>
        <v/>
      </c>
      <c r="J12" s="143" t="str">
        <f t="shared" ref="J12:J18" si="2">IF(F12="","X","")</f>
        <v>X</v>
      </c>
      <c r="L12" s="129"/>
      <c r="M12" s="129"/>
      <c r="N12" s="129"/>
      <c r="O12" s="129"/>
      <c r="P12" s="129"/>
      <c r="Q12" s="129"/>
      <c r="R12" s="129"/>
      <c r="S12" s="129"/>
      <c r="T12" s="129"/>
      <c r="U12" s="129"/>
    </row>
    <row r="13" spans="2:21" s="1104" customFormat="1" ht="15" customHeight="1">
      <c r="B13" s="1134"/>
      <c r="C13" s="1095"/>
      <c r="D13" s="100" t="s">
        <v>98</v>
      </c>
      <c r="E13" s="83" t="s">
        <v>63</v>
      </c>
      <c r="F13" s="93"/>
      <c r="G13" s="129"/>
      <c r="H13" s="141" t="str">
        <f t="shared" si="0"/>
        <v/>
      </c>
      <c r="I13" s="142" t="str">
        <f t="shared" si="1"/>
        <v/>
      </c>
      <c r="J13" s="143" t="str">
        <f t="shared" si="2"/>
        <v>X</v>
      </c>
      <c r="L13" s="129"/>
      <c r="M13" s="129"/>
      <c r="N13" s="129"/>
      <c r="O13" s="129"/>
      <c r="P13" s="129"/>
      <c r="Q13" s="129"/>
      <c r="R13" s="129"/>
      <c r="S13" s="129"/>
      <c r="T13" s="129"/>
      <c r="U13" s="129"/>
    </row>
    <row r="14" spans="2:21" s="1104" customFormat="1" ht="15" customHeight="1">
      <c r="B14" s="1134"/>
      <c r="C14" s="1095"/>
      <c r="D14" s="100" t="s">
        <v>99</v>
      </c>
      <c r="E14" s="83" t="s">
        <v>63</v>
      </c>
      <c r="F14" s="93"/>
      <c r="G14" s="129"/>
      <c r="H14" s="141" t="str">
        <f t="shared" si="0"/>
        <v/>
      </c>
      <c r="I14" s="142" t="str">
        <f t="shared" si="1"/>
        <v/>
      </c>
      <c r="J14" s="143" t="str">
        <f t="shared" si="2"/>
        <v>X</v>
      </c>
      <c r="L14" s="129"/>
      <c r="M14" s="129"/>
      <c r="N14" s="129"/>
      <c r="O14" s="129"/>
      <c r="P14" s="129"/>
      <c r="Q14" s="129"/>
      <c r="R14" s="129"/>
      <c r="S14" s="129"/>
      <c r="T14" s="129"/>
      <c r="U14" s="129"/>
    </row>
    <row r="15" spans="2:21" s="1104" customFormat="1" ht="15" customHeight="1">
      <c r="B15" s="1134"/>
      <c r="C15" s="1095"/>
      <c r="D15" s="104" t="s">
        <v>100</v>
      </c>
      <c r="E15" s="83" t="s">
        <v>63</v>
      </c>
      <c r="F15" s="93"/>
      <c r="G15" s="129"/>
      <c r="H15" s="141" t="str">
        <f t="shared" si="0"/>
        <v/>
      </c>
      <c r="I15" s="142" t="str">
        <f t="shared" si="1"/>
        <v/>
      </c>
      <c r="J15" s="143" t="str">
        <f t="shared" si="2"/>
        <v>X</v>
      </c>
      <c r="L15" s="129"/>
      <c r="M15" s="129"/>
      <c r="N15" s="129"/>
      <c r="O15" s="129"/>
      <c r="P15" s="129"/>
      <c r="Q15" s="129"/>
      <c r="R15" s="129"/>
      <c r="S15" s="129"/>
      <c r="T15" s="129"/>
      <c r="U15" s="129"/>
    </row>
    <row r="16" spans="2:21" s="1104" customFormat="1" ht="15" customHeight="1">
      <c r="B16" s="1134"/>
      <c r="C16" s="1095"/>
      <c r="D16" s="104" t="s">
        <v>101</v>
      </c>
      <c r="E16" s="83" t="s">
        <v>63</v>
      </c>
      <c r="F16" s="93"/>
      <c r="G16" s="129"/>
      <c r="H16" s="141" t="str">
        <f t="shared" si="0"/>
        <v/>
      </c>
      <c r="I16" s="142" t="str">
        <f t="shared" si="1"/>
        <v/>
      </c>
      <c r="J16" s="143" t="str">
        <f t="shared" si="2"/>
        <v>X</v>
      </c>
      <c r="L16" s="129"/>
      <c r="M16" s="129"/>
      <c r="N16" s="129"/>
      <c r="O16" s="129"/>
      <c r="P16" s="129"/>
      <c r="Q16" s="129"/>
      <c r="R16" s="129"/>
      <c r="S16" s="129"/>
      <c r="T16" s="129"/>
      <c r="U16" s="129"/>
    </row>
    <row r="17" spans="2:21" s="1104" customFormat="1" ht="15" customHeight="1">
      <c r="B17" s="1134"/>
      <c r="C17" s="1095"/>
      <c r="D17" s="100" t="s">
        <v>78</v>
      </c>
      <c r="E17" s="83" t="s">
        <v>63</v>
      </c>
      <c r="F17" s="93"/>
      <c r="G17" s="129"/>
      <c r="H17" s="141" t="str">
        <f t="shared" si="0"/>
        <v/>
      </c>
      <c r="I17" s="142" t="str">
        <f t="shared" si="1"/>
        <v/>
      </c>
      <c r="J17" s="143" t="str">
        <f t="shared" si="2"/>
        <v>X</v>
      </c>
      <c r="L17" s="129"/>
      <c r="M17" s="129"/>
      <c r="N17" s="129"/>
      <c r="O17" s="129"/>
      <c r="P17" s="129"/>
      <c r="Q17" s="129"/>
      <c r="R17" s="129"/>
      <c r="S17" s="129"/>
      <c r="T17" s="129"/>
      <c r="U17" s="129"/>
    </row>
    <row r="18" spans="2:21" s="1104" customFormat="1" ht="15" customHeight="1">
      <c r="B18" s="1134"/>
      <c r="C18" s="1095"/>
      <c r="D18" s="127" t="s">
        <v>77</v>
      </c>
      <c r="E18" s="126" t="s">
        <v>63</v>
      </c>
      <c r="F18" s="125"/>
      <c r="G18" s="129"/>
      <c r="H18" s="144" t="str">
        <f t="shared" si="0"/>
        <v/>
      </c>
      <c r="I18" s="145" t="str">
        <f t="shared" si="1"/>
        <v/>
      </c>
      <c r="J18" s="146" t="str">
        <f t="shared" si="2"/>
        <v>X</v>
      </c>
      <c r="L18" s="129"/>
      <c r="M18" s="129"/>
      <c r="N18" s="129"/>
      <c r="O18" s="129"/>
      <c r="P18" s="129"/>
      <c r="Q18" s="129"/>
      <c r="R18" s="129"/>
      <c r="S18" s="129"/>
      <c r="T18" s="129"/>
      <c r="U18" s="129"/>
    </row>
    <row r="19" spans="2:21" s="1104" customFormat="1" ht="15" customHeight="1">
      <c r="B19" s="1134"/>
      <c r="C19" s="1095"/>
      <c r="D19" s="123" t="s">
        <v>76</v>
      </c>
      <c r="E19" s="122"/>
      <c r="F19" s="122">
        <f>SUM(F12:F14)+SUM(F17:F18)</f>
        <v>0</v>
      </c>
      <c r="G19" s="129"/>
      <c r="L19" s="129"/>
      <c r="M19" s="129"/>
      <c r="N19" s="129"/>
      <c r="O19" s="129"/>
      <c r="P19" s="129"/>
      <c r="Q19" s="129"/>
      <c r="R19" s="129"/>
      <c r="S19" s="129"/>
      <c r="T19" s="129"/>
      <c r="U19" s="129"/>
    </row>
    <row r="20" spans="2:21" ht="15"/>
    <row r="21" spans="2:21" ht="18" customHeight="1">
      <c r="B21" s="1107"/>
      <c r="C21" s="67"/>
      <c r="D21" s="1054" t="s">
        <v>1207</v>
      </c>
      <c r="E21" s="1055"/>
      <c r="F21" s="1056"/>
    </row>
    <row r="22" spans="2:21" ht="33.75" customHeight="1">
      <c r="B22" s="1051"/>
      <c r="C22" s="1051"/>
      <c r="D22" s="1136"/>
      <c r="E22" s="1109"/>
      <c r="H22" s="1126" t="s">
        <v>112</v>
      </c>
      <c r="I22" s="156" t="s">
        <v>113</v>
      </c>
      <c r="J22" s="157" t="s">
        <v>114</v>
      </c>
    </row>
    <row r="23" spans="2:21" s="1104" customFormat="1" ht="30" customHeight="1">
      <c r="B23" s="1134"/>
      <c r="D23" s="1137" t="s">
        <v>49</v>
      </c>
      <c r="E23" s="152" t="s">
        <v>123</v>
      </c>
      <c r="F23" s="105" t="s">
        <v>122</v>
      </c>
      <c r="G23" s="129"/>
      <c r="H23" s="1206" t="s">
        <v>115</v>
      </c>
      <c r="I23" s="1207"/>
      <c r="J23" s="1208"/>
      <c r="L23" s="129"/>
      <c r="M23" s="129"/>
      <c r="N23" s="129"/>
      <c r="O23" s="129"/>
      <c r="P23" s="129"/>
      <c r="Q23" s="129"/>
      <c r="R23" s="129"/>
      <c r="S23" s="129"/>
      <c r="T23" s="129"/>
      <c r="U23" s="129"/>
    </row>
    <row r="24" spans="2:21" s="1104" customFormat="1" ht="15" customHeight="1">
      <c r="D24" s="99" t="s">
        <v>95</v>
      </c>
      <c r="E24" s="1138" t="s">
        <v>63</v>
      </c>
      <c r="F24" s="121">
        <f>SUM(F25:F26)</f>
        <v>0</v>
      </c>
      <c r="G24" s="129"/>
      <c r="H24" s="148"/>
      <c r="I24" s="147"/>
      <c r="J24" s="120"/>
      <c r="L24" s="129"/>
      <c r="M24" s="129"/>
      <c r="N24" s="129"/>
      <c r="O24" s="129"/>
      <c r="P24" s="129"/>
      <c r="Q24" s="129"/>
      <c r="R24" s="129"/>
      <c r="S24" s="129"/>
      <c r="T24" s="129"/>
      <c r="U24" s="129"/>
    </row>
    <row r="25" spans="2:21" s="1104" customFormat="1" ht="15" customHeight="1">
      <c r="D25" s="104" t="s">
        <v>102</v>
      </c>
      <c r="E25" s="1139" t="s">
        <v>63</v>
      </c>
      <c r="F25" s="71"/>
      <c r="G25" s="129"/>
      <c r="H25" s="141" t="str">
        <f t="shared" ref="H25:H30" si="3">IF(ISNONTEXT(F25)=TRUE,"","X")</f>
        <v/>
      </c>
      <c r="I25" s="142" t="str">
        <f t="shared" ref="I25:I30" si="4">IF(AND(F25&gt;=0)=TRUE,"","X")</f>
        <v/>
      </c>
      <c r="J25" s="143" t="str">
        <f t="shared" ref="J25:J30" si="5">IF(F25="","X","")</f>
        <v>X</v>
      </c>
      <c r="L25" s="129"/>
      <c r="M25" s="129"/>
      <c r="N25" s="129"/>
      <c r="O25" s="129"/>
      <c r="P25" s="129"/>
      <c r="Q25" s="129"/>
      <c r="R25" s="129"/>
      <c r="S25" s="129"/>
      <c r="T25" s="129"/>
      <c r="U25" s="129"/>
    </row>
    <row r="26" spans="2:21" s="1104" customFormat="1" ht="15" customHeight="1">
      <c r="D26" s="104" t="s">
        <v>103</v>
      </c>
      <c r="E26" s="1139" t="s">
        <v>63</v>
      </c>
      <c r="F26" s="71"/>
      <c r="G26" s="129"/>
      <c r="H26" s="141" t="str">
        <f t="shared" si="3"/>
        <v/>
      </c>
      <c r="I26" s="142" t="str">
        <f t="shared" si="4"/>
        <v/>
      </c>
      <c r="J26" s="143" t="str">
        <f t="shared" si="5"/>
        <v>X</v>
      </c>
      <c r="L26" s="129"/>
      <c r="M26" s="129"/>
      <c r="N26" s="129"/>
      <c r="O26" s="129"/>
      <c r="P26" s="129"/>
      <c r="Q26" s="129"/>
      <c r="R26" s="129"/>
      <c r="S26" s="129"/>
      <c r="T26" s="129"/>
      <c r="U26" s="129"/>
    </row>
    <row r="27" spans="2:21" s="1104" customFormat="1" ht="15" customHeight="1">
      <c r="D27" s="100" t="s">
        <v>94</v>
      </c>
      <c r="E27" s="1139" t="s">
        <v>63</v>
      </c>
      <c r="F27" s="71"/>
      <c r="G27" s="129"/>
      <c r="H27" s="141" t="str">
        <f t="shared" si="3"/>
        <v/>
      </c>
      <c r="I27" s="142" t="str">
        <f t="shared" si="4"/>
        <v/>
      </c>
      <c r="J27" s="143" t="str">
        <f t="shared" si="5"/>
        <v>X</v>
      </c>
      <c r="L27" s="129"/>
      <c r="M27" s="129"/>
      <c r="N27" s="129"/>
      <c r="O27" s="129"/>
      <c r="P27" s="129"/>
      <c r="Q27" s="129"/>
      <c r="R27" s="129"/>
      <c r="S27" s="129"/>
      <c r="T27" s="129"/>
      <c r="U27" s="129"/>
    </row>
    <row r="28" spans="2:21" s="1104" customFormat="1" ht="15" customHeight="1">
      <c r="D28" s="100" t="s">
        <v>56</v>
      </c>
      <c r="E28" s="1139" t="s">
        <v>63</v>
      </c>
      <c r="F28" s="71"/>
      <c r="G28" s="129"/>
      <c r="H28" s="141" t="str">
        <f t="shared" si="3"/>
        <v/>
      </c>
      <c r="I28" s="142" t="str">
        <f t="shared" si="4"/>
        <v/>
      </c>
      <c r="J28" s="143" t="str">
        <f t="shared" si="5"/>
        <v>X</v>
      </c>
      <c r="L28" s="129"/>
      <c r="M28" s="129"/>
      <c r="N28" s="129"/>
      <c r="O28" s="129"/>
      <c r="P28" s="129"/>
      <c r="Q28" s="129"/>
      <c r="R28" s="129"/>
      <c r="S28" s="129"/>
      <c r="T28" s="129"/>
      <c r="U28" s="129"/>
    </row>
    <row r="29" spans="2:21" s="1104" customFormat="1" ht="15" customHeight="1">
      <c r="B29" s="1134"/>
      <c r="D29" s="100" t="s">
        <v>57</v>
      </c>
      <c r="E29" s="1139" t="s">
        <v>63</v>
      </c>
      <c r="F29" s="71"/>
      <c r="G29" s="129"/>
      <c r="H29" s="141" t="str">
        <f t="shared" si="3"/>
        <v/>
      </c>
      <c r="I29" s="142" t="str">
        <f t="shared" si="4"/>
        <v/>
      </c>
      <c r="J29" s="143" t="str">
        <f t="shared" si="5"/>
        <v>X</v>
      </c>
      <c r="L29" s="129"/>
      <c r="M29" s="129"/>
      <c r="N29" s="129"/>
      <c r="O29" s="129"/>
      <c r="P29" s="129"/>
      <c r="Q29" s="129"/>
      <c r="R29" s="129"/>
      <c r="S29" s="129"/>
      <c r="T29" s="129"/>
      <c r="U29" s="129"/>
    </row>
    <row r="30" spans="2:21" s="1104" customFormat="1" ht="15" customHeight="1">
      <c r="B30" s="1134"/>
      <c r="D30" s="100" t="s">
        <v>54</v>
      </c>
      <c r="E30" s="1139" t="s">
        <v>63</v>
      </c>
      <c r="F30" s="71"/>
      <c r="G30" s="129"/>
      <c r="H30" s="144" t="str">
        <f t="shared" si="3"/>
        <v/>
      </c>
      <c r="I30" s="145" t="str">
        <f t="shared" si="4"/>
        <v/>
      </c>
      <c r="J30" s="146" t="str">
        <f t="shared" si="5"/>
        <v>X</v>
      </c>
      <c r="L30" s="129"/>
      <c r="M30" s="129"/>
      <c r="N30" s="129"/>
      <c r="O30" s="129"/>
      <c r="P30" s="129"/>
      <c r="Q30" s="129"/>
      <c r="R30" s="129"/>
      <c r="S30" s="129"/>
      <c r="T30" s="129"/>
      <c r="U30" s="129"/>
    </row>
    <row r="31" spans="2:21" s="1104" customFormat="1" ht="15" customHeight="1">
      <c r="B31" s="1134"/>
      <c r="C31" s="1095"/>
      <c r="D31" s="123" t="s">
        <v>75</v>
      </c>
      <c r="E31" s="122"/>
      <c r="F31" s="122" cm="1">
        <f t="array" ref="F31">SUM(F27:F30+F24)</f>
        <v>0</v>
      </c>
      <c r="G31" s="129"/>
      <c r="L31" s="129"/>
      <c r="M31" s="129"/>
      <c r="N31" s="129"/>
      <c r="O31" s="129"/>
      <c r="P31" s="129"/>
      <c r="Q31" s="129"/>
      <c r="R31" s="129"/>
      <c r="S31" s="129"/>
      <c r="T31" s="129"/>
      <c r="U31" s="129"/>
    </row>
    <row r="32" spans="2:21" s="1104" customFormat="1" ht="15">
      <c r="B32" s="1134"/>
      <c r="G32" s="129"/>
      <c r="L32" s="129"/>
      <c r="M32" s="129"/>
      <c r="N32" s="129"/>
      <c r="O32" s="129"/>
      <c r="P32" s="129"/>
      <c r="Q32" s="129"/>
      <c r="R32" s="129"/>
      <c r="S32" s="129"/>
      <c r="T32" s="129"/>
      <c r="U32" s="129"/>
    </row>
    <row r="33" spans="2:10" ht="18.75">
      <c r="B33" s="1077" t="s">
        <v>1205</v>
      </c>
      <c r="C33" s="1077"/>
      <c r="D33" s="1077"/>
      <c r="E33" s="82"/>
      <c r="F33" s="82"/>
    </row>
    <row r="34" spans="2:10" ht="15">
      <c r="B34" s="1052" t="s">
        <v>1209</v>
      </c>
      <c r="C34" s="1052"/>
      <c r="D34" s="1052"/>
      <c r="E34" s="1052"/>
      <c r="F34" s="1052"/>
    </row>
    <row r="35" spans="2:10" ht="15" customHeight="1">
      <c r="B35" s="1106"/>
      <c r="C35" s="1106"/>
      <c r="D35" s="1125"/>
      <c r="E35" s="1109"/>
      <c r="F35" s="1109"/>
    </row>
    <row r="36" spans="2:10" ht="23.25" customHeight="1">
      <c r="B36" s="1106"/>
      <c r="C36" s="1106"/>
      <c r="D36" s="1054" t="s">
        <v>1208</v>
      </c>
      <c r="E36" s="1055"/>
      <c r="F36" s="1056"/>
    </row>
    <row r="37" spans="2:10" ht="36" customHeight="1">
      <c r="B37" s="1106"/>
      <c r="C37" s="1106"/>
      <c r="D37" s="1106"/>
      <c r="E37" s="1109"/>
      <c r="H37" s="1126" t="s">
        <v>112</v>
      </c>
      <c r="I37" s="156" t="s">
        <v>113</v>
      </c>
      <c r="J37" s="157" t="s">
        <v>114</v>
      </c>
    </row>
    <row r="38" spans="2:10" ht="30">
      <c r="D38" s="1110" t="s">
        <v>85</v>
      </c>
      <c r="E38" s="152" t="s">
        <v>123</v>
      </c>
      <c r="F38" s="105" t="s">
        <v>124</v>
      </c>
      <c r="H38" s="1206" t="s">
        <v>63</v>
      </c>
      <c r="I38" s="1207"/>
      <c r="J38" s="1208"/>
    </row>
    <row r="39" spans="2:10" ht="15" customHeight="1">
      <c r="D39" s="1140" t="s">
        <v>70</v>
      </c>
      <c r="E39" s="1141" t="s">
        <v>63</v>
      </c>
      <c r="F39" s="92"/>
      <c r="H39" s="141" t="str">
        <f t="shared" ref="H39:H44" si="6">IF(ISNONTEXT(F39)=TRUE,"","X")</f>
        <v/>
      </c>
      <c r="I39" s="142" t="str">
        <f t="shared" ref="I39:I44" si="7">IF(AND(F39&gt;=0)=TRUE,"","X")</f>
        <v/>
      </c>
      <c r="J39" s="143" t="str">
        <f t="shared" ref="J39:J44" si="8">IF(F39="","X","")</f>
        <v>X</v>
      </c>
    </row>
    <row r="40" spans="2:10" ht="15" customHeight="1">
      <c r="D40" s="1142" t="s">
        <v>67</v>
      </c>
      <c r="E40" s="1143" t="s">
        <v>63</v>
      </c>
      <c r="F40" s="93"/>
      <c r="H40" s="141" t="str">
        <f t="shared" si="6"/>
        <v/>
      </c>
      <c r="I40" s="142" t="str">
        <f t="shared" si="7"/>
        <v/>
      </c>
      <c r="J40" s="143" t="str">
        <f t="shared" si="8"/>
        <v>X</v>
      </c>
    </row>
    <row r="41" spans="2:10" ht="15" customHeight="1">
      <c r="D41" s="1142" t="s">
        <v>68</v>
      </c>
      <c r="E41" s="1143" t="s">
        <v>63</v>
      </c>
      <c r="F41" s="93"/>
      <c r="H41" s="141" t="str">
        <f t="shared" si="6"/>
        <v/>
      </c>
      <c r="I41" s="142" t="str">
        <f t="shared" si="7"/>
        <v/>
      </c>
      <c r="J41" s="143" t="str">
        <f t="shared" si="8"/>
        <v>X</v>
      </c>
    </row>
    <row r="42" spans="2:10" ht="15" customHeight="1">
      <c r="D42" s="1142" t="s">
        <v>69</v>
      </c>
      <c r="E42" s="1143" t="s">
        <v>63</v>
      </c>
      <c r="F42" s="93"/>
      <c r="H42" s="141" t="str">
        <f t="shared" si="6"/>
        <v/>
      </c>
      <c r="I42" s="142" t="str">
        <f t="shared" si="7"/>
        <v/>
      </c>
      <c r="J42" s="143" t="str">
        <f t="shared" si="8"/>
        <v>X</v>
      </c>
    </row>
    <row r="43" spans="2:10" ht="15" customHeight="1">
      <c r="D43" s="1142" t="s">
        <v>71</v>
      </c>
      <c r="E43" s="1143" t="s">
        <v>63</v>
      </c>
      <c r="F43" s="93"/>
      <c r="H43" s="141" t="str">
        <f t="shared" si="6"/>
        <v/>
      </c>
      <c r="I43" s="142" t="str">
        <f t="shared" si="7"/>
        <v/>
      </c>
      <c r="J43" s="143" t="str">
        <f t="shared" si="8"/>
        <v>X</v>
      </c>
    </row>
    <row r="44" spans="2:10" ht="15" customHeight="1">
      <c r="D44" s="1142" t="s">
        <v>72</v>
      </c>
      <c r="E44" s="1143" t="s">
        <v>63</v>
      </c>
      <c r="F44" s="93"/>
      <c r="H44" s="144" t="str">
        <f t="shared" si="6"/>
        <v/>
      </c>
      <c r="I44" s="145" t="str">
        <f t="shared" si="7"/>
        <v/>
      </c>
      <c r="J44" s="146" t="str">
        <f t="shared" si="8"/>
        <v>X</v>
      </c>
    </row>
    <row r="45" spans="2:10" ht="15" customHeight="1">
      <c r="D45" s="123" t="s">
        <v>89</v>
      </c>
      <c r="E45" s="122"/>
      <c r="F45" s="122">
        <f>SUM(F39:F44)</f>
        <v>0</v>
      </c>
    </row>
  </sheetData>
  <sheetProtection formatColumns="0"/>
  <mergeCells count="3">
    <mergeCell ref="H11:J11"/>
    <mergeCell ref="H23:J23"/>
    <mergeCell ref="H38:J38"/>
  </mergeCells>
  <phoneticPr fontId="147" type="noConversion"/>
  <dataValidations count="1">
    <dataValidation allowBlank="1" showErrorMessage="1" sqref="H39:J44 E7:F7 H24:J30 H12:J18 F38:F45 B7:D8 H10:J10 H22:J22 B34:F34 H37:J37" xr:uid="{6E8D7FA6-BA28-43B9-9F6A-A630F38B86C8}"/>
  </dataValidations>
  <pageMargins left="0.75" right="0.75" top="1" bottom="1" header="0.5" footer="0.5"/>
  <pageSetup paperSize="8" scale="85" orientation="landscape" verticalDpi="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4FA4C-78E8-4110-9360-5161B0467A6D}">
  <sheetPr>
    <tabColor rgb="FF11473A"/>
    <pageSetUpPr autoPageBreaks="0" fitToPage="1"/>
  </sheetPr>
  <dimension ref="B1:R29"/>
  <sheetViews>
    <sheetView zoomScaleNormal="100" workbookViewId="0">
      <selection activeCell="H14" sqref="H14"/>
    </sheetView>
  </sheetViews>
  <sheetFormatPr defaultColWidth="9.140625" defaultRowHeight="15" outlineLevelRow="1"/>
  <cols>
    <col min="1" max="1" width="9.140625" style="129"/>
    <col min="2" max="2" width="21.5703125" style="67" customWidth="1"/>
    <col min="3" max="3" width="1.7109375" style="67" customWidth="1"/>
    <col min="4" max="4" width="84.42578125" style="129" customWidth="1"/>
    <col min="5" max="5" width="10" style="129" customWidth="1"/>
    <col min="6" max="6" width="24.28515625" style="129" customWidth="1"/>
    <col min="7" max="7" width="13.85546875" style="129" customWidth="1"/>
    <col min="8" max="18" width="3.7109375" style="129" customWidth="1"/>
    <col min="19" max="23" width="8.7109375" style="129" customWidth="1"/>
    <col min="24" max="16384" width="9.140625" style="129"/>
  </cols>
  <sheetData>
    <row r="1" spans="2:18" ht="18.75" customHeight="1">
      <c r="B1" s="77"/>
      <c r="C1" s="75"/>
      <c r="D1" s="75" t="str">
        <f>dms_SheetHeading1</f>
        <v>ANNUAL INFORMATION ORDER</v>
      </c>
      <c r="E1" s="75"/>
      <c r="F1" s="66"/>
      <c r="H1" s="85" t="s">
        <v>80</v>
      </c>
      <c r="I1" s="85"/>
      <c r="J1" s="84"/>
      <c r="K1" s="84"/>
      <c r="L1" s="84"/>
      <c r="M1" s="84" t="s">
        <v>79</v>
      </c>
      <c r="N1" s="84"/>
      <c r="O1" s="84"/>
      <c r="P1" s="84"/>
      <c r="Q1" s="84"/>
      <c r="R1" s="84"/>
    </row>
    <row r="2" spans="2:18" ht="18.75" customHeight="1">
      <c r="B2" s="78"/>
      <c r="C2" s="76"/>
      <c r="D2" s="76" t="str">
        <f>dms_SheetHeading2</f>
        <v>Australian Distribution Co.</v>
      </c>
      <c r="E2" s="76"/>
      <c r="F2" s="66"/>
      <c r="H2" s="87" t="s">
        <v>81</v>
      </c>
      <c r="I2" s="87"/>
      <c r="J2" s="86"/>
      <c r="K2" s="153"/>
      <c r="L2" s="153"/>
      <c r="M2" s="153" t="s">
        <v>19</v>
      </c>
      <c r="N2" s="153"/>
      <c r="O2" s="153"/>
      <c r="P2" s="153"/>
      <c r="Q2" s="153"/>
      <c r="R2" s="153"/>
    </row>
    <row r="3" spans="2:18" ht="18.75" customHeight="1">
      <c r="B3" s="77"/>
      <c r="C3" s="75"/>
      <c r="D3" s="75" t="str">
        <f>dms_SheetHeading3</f>
        <v>REPORTING STATEMENT: 2024-25</v>
      </c>
      <c r="E3" s="75"/>
      <c r="F3" s="65"/>
      <c r="H3" s="89" t="s">
        <v>82</v>
      </c>
      <c r="I3" s="89"/>
      <c r="J3" s="88"/>
      <c r="K3" s="154"/>
      <c r="L3" s="154"/>
      <c r="M3" s="154" t="s">
        <v>43</v>
      </c>
      <c r="N3" s="154"/>
      <c r="O3" s="154"/>
      <c r="P3" s="154"/>
      <c r="Q3" s="154"/>
      <c r="R3" s="154"/>
    </row>
    <row r="4" spans="2:18" ht="18.75" customHeight="1">
      <c r="B4" s="80"/>
      <c r="C4" s="80"/>
      <c r="D4" s="68" t="s">
        <v>1215</v>
      </c>
      <c r="E4" s="68"/>
      <c r="F4" s="68"/>
      <c r="H4" s="114" t="s">
        <v>84</v>
      </c>
      <c r="I4" s="91"/>
      <c r="J4" s="90"/>
      <c r="K4" s="90"/>
      <c r="L4" s="90"/>
      <c r="M4" s="90" t="s">
        <v>83</v>
      </c>
      <c r="N4" s="90"/>
      <c r="O4" s="90"/>
      <c r="P4" s="90"/>
      <c r="Q4" s="90"/>
      <c r="R4" s="90"/>
    </row>
    <row r="6" spans="2:18" ht="18.75">
      <c r="B6" s="1077" t="s">
        <v>1210</v>
      </c>
      <c r="C6" s="1077"/>
      <c r="D6" s="1077"/>
      <c r="E6" s="82"/>
      <c r="F6" s="82"/>
    </row>
    <row r="7" spans="2:18" ht="19.5" customHeight="1">
      <c r="B7" s="1052" t="s">
        <v>90</v>
      </c>
      <c r="C7" s="1052"/>
      <c r="D7" s="1052"/>
      <c r="E7" s="1052"/>
      <c r="F7" s="1052"/>
    </row>
    <row r="8" spans="2:18" ht="25.5" customHeight="1">
      <c r="B8" s="1106"/>
      <c r="C8" s="1106"/>
      <c r="D8" s="1106"/>
    </row>
    <row r="9" spans="2:18" ht="18.75" outlineLevel="1">
      <c r="D9" s="1054" t="s">
        <v>1211</v>
      </c>
      <c r="E9" s="1055"/>
      <c r="F9" s="1056"/>
    </row>
    <row r="10" spans="2:18" ht="28.5" customHeight="1" outlineLevel="1">
      <c r="H10" s="1126" t="s">
        <v>112</v>
      </c>
      <c r="I10" s="156" t="s">
        <v>113</v>
      </c>
      <c r="J10" s="157" t="s">
        <v>114</v>
      </c>
    </row>
    <row r="11" spans="2:18" ht="30" outlineLevel="1">
      <c r="B11" s="129"/>
      <c r="C11" s="64"/>
      <c r="D11" s="1110" t="s">
        <v>107</v>
      </c>
      <c r="E11" s="152" t="s">
        <v>123</v>
      </c>
      <c r="F11" s="105" t="s">
        <v>124</v>
      </c>
      <c r="H11" s="1209" t="s">
        <v>63</v>
      </c>
      <c r="I11" s="1210"/>
      <c r="J11" s="1211"/>
      <c r="R11" s="5"/>
    </row>
    <row r="12" spans="2:18" outlineLevel="1">
      <c r="B12" s="1107"/>
      <c r="C12" s="64"/>
      <c r="D12" s="1127" t="s">
        <v>47</v>
      </c>
      <c r="E12" s="1128" t="s">
        <v>63</v>
      </c>
      <c r="F12" s="94"/>
      <c r="H12" s="158" t="str">
        <f>IF(ISNONTEXT(F12)=TRUE,"","X")</f>
        <v/>
      </c>
      <c r="I12" s="159" t="str">
        <f>IF(AND(F12&gt;=0)=TRUE,"","X")</f>
        <v/>
      </c>
      <c r="J12" s="132"/>
      <c r="R12" s="5"/>
    </row>
    <row r="13" spans="2:18" outlineLevel="1">
      <c r="B13" s="1107"/>
      <c r="C13" s="64"/>
      <c r="D13" s="1129" t="s">
        <v>46</v>
      </c>
      <c r="E13" s="1130" t="s">
        <v>63</v>
      </c>
      <c r="F13" s="71"/>
      <c r="H13" s="158" t="str">
        <f>IF(ISNONTEXT(F13)=TRUE,"","X")</f>
        <v/>
      </c>
      <c r="I13" s="159" t="str">
        <f>IF(AND(F13&gt;=0)=TRUE,"","X")</f>
        <v/>
      </c>
      <c r="J13" s="132"/>
      <c r="R13" s="5"/>
    </row>
    <row r="14" spans="2:18" outlineLevel="1">
      <c r="B14" s="1107"/>
      <c r="C14" s="64"/>
      <c r="D14" s="1129" t="s">
        <v>91</v>
      </c>
      <c r="E14" s="1130" t="s">
        <v>63</v>
      </c>
      <c r="F14" s="71"/>
      <c r="H14" s="158" t="str">
        <f t="shared" ref="H14:H18" si="0">IF(ISNONTEXT(F14)=TRUE,"","X")</f>
        <v/>
      </c>
      <c r="I14" s="159" t="str">
        <f t="shared" ref="I14:I18" si="1">IF(AND(F14&gt;=0)=TRUE,"","X")</f>
        <v/>
      </c>
      <c r="J14" s="132"/>
      <c r="R14" s="5"/>
    </row>
    <row r="15" spans="2:18" outlineLevel="1">
      <c r="B15" s="1107"/>
      <c r="C15" s="64"/>
      <c r="D15" s="1129" t="s">
        <v>73</v>
      </c>
      <c r="E15" s="1130" t="s">
        <v>63</v>
      </c>
      <c r="F15" s="71"/>
      <c r="H15" s="158" t="str">
        <f t="shared" si="0"/>
        <v/>
      </c>
      <c r="I15" s="159" t="str">
        <f t="shared" si="1"/>
        <v/>
      </c>
      <c r="J15" s="132"/>
      <c r="R15" s="5"/>
    </row>
    <row r="16" spans="2:18" outlineLevel="1">
      <c r="B16" s="1107"/>
      <c r="C16" s="64"/>
      <c r="D16" s="1129" t="s">
        <v>92</v>
      </c>
      <c r="E16" s="1130" t="s">
        <v>63</v>
      </c>
      <c r="F16" s="71"/>
      <c r="H16" s="158" t="str">
        <f t="shared" si="0"/>
        <v/>
      </c>
      <c r="I16" s="159" t="str">
        <f t="shared" si="1"/>
        <v/>
      </c>
      <c r="J16" s="132"/>
      <c r="R16" s="5"/>
    </row>
    <row r="17" spans="2:18" outlineLevel="1">
      <c r="B17" s="1107"/>
      <c r="C17" s="64"/>
      <c r="D17" s="1129" t="s">
        <v>45</v>
      </c>
      <c r="E17" s="1130" t="s">
        <v>63</v>
      </c>
      <c r="F17" s="71"/>
      <c r="H17" s="158" t="str">
        <f t="shared" si="0"/>
        <v/>
      </c>
      <c r="I17" s="159" t="str">
        <f t="shared" si="1"/>
        <v/>
      </c>
      <c r="J17" s="132"/>
      <c r="R17" s="5"/>
    </row>
    <row r="18" spans="2:18" outlineLevel="1">
      <c r="B18" s="1107"/>
      <c r="C18" s="64"/>
      <c r="D18" s="1129" t="s">
        <v>74</v>
      </c>
      <c r="E18" s="1130" t="s">
        <v>63</v>
      </c>
      <c r="F18" s="71"/>
      <c r="H18" s="158" t="str">
        <f t="shared" si="0"/>
        <v/>
      </c>
      <c r="I18" s="159" t="str">
        <f t="shared" si="1"/>
        <v/>
      </c>
      <c r="J18" s="132"/>
      <c r="R18" s="5"/>
    </row>
    <row r="19" spans="2:18" outlineLevel="1">
      <c r="B19" s="1107"/>
      <c r="C19" s="64"/>
      <c r="D19" s="1131" t="s">
        <v>44</v>
      </c>
      <c r="E19" s="1132" t="s">
        <v>63</v>
      </c>
      <c r="F19" s="113">
        <f>F12+F13-F14+F15-F16-F17+F18</f>
        <v>0</v>
      </c>
      <c r="H19" s="134"/>
      <c r="I19" s="116"/>
      <c r="J19" s="150"/>
      <c r="R19" s="5"/>
    </row>
    <row r="20" spans="2:18" outlineLevel="1">
      <c r="F20" s="5"/>
      <c r="R20" s="5"/>
    </row>
    <row r="21" spans="2:18" outlineLevel="1">
      <c r="B21" s="129"/>
      <c r="C21" s="64"/>
      <c r="D21" s="1110" t="s">
        <v>108</v>
      </c>
      <c r="E21" s="152" t="s">
        <v>123</v>
      </c>
      <c r="F21" s="151"/>
      <c r="R21" s="5"/>
    </row>
    <row r="22" spans="2:18" outlineLevel="1">
      <c r="B22" s="1107"/>
      <c r="C22" s="64"/>
      <c r="D22" s="1127" t="s">
        <v>47</v>
      </c>
      <c r="E22" s="1128" t="s">
        <v>63</v>
      </c>
      <c r="F22" s="94"/>
      <c r="H22" s="161" t="str">
        <f>IF(ISNONTEXT(F22)=TRUE,"","X")</f>
        <v/>
      </c>
      <c r="I22" s="162" t="str">
        <f>IF(AND(F22&gt;=0)=TRUE,"","X")</f>
        <v/>
      </c>
      <c r="J22" s="149"/>
      <c r="R22" s="5"/>
    </row>
    <row r="23" spans="2:18" outlineLevel="1">
      <c r="B23" s="1107"/>
      <c r="C23" s="64"/>
      <c r="D23" s="1129" t="s">
        <v>93</v>
      </c>
      <c r="E23" s="1130" t="s">
        <v>63</v>
      </c>
      <c r="F23" s="71"/>
      <c r="H23" s="158" t="str">
        <f t="shared" ref="H23:H25" si="2">IF(ISNONTEXT(F23)=TRUE,"","X")</f>
        <v/>
      </c>
      <c r="I23" s="159" t="str">
        <f t="shared" ref="I23:I25" si="3">IF(AND(F23&gt;=0)=TRUE,"","X")</f>
        <v/>
      </c>
      <c r="J23" s="132"/>
      <c r="R23" s="5"/>
    </row>
    <row r="24" spans="2:18" outlineLevel="1">
      <c r="B24" s="1107"/>
      <c r="C24" s="64"/>
      <c r="D24" s="1129" t="s">
        <v>73</v>
      </c>
      <c r="E24" s="1130" t="s">
        <v>63</v>
      </c>
      <c r="F24" s="71"/>
      <c r="H24" s="158" t="str">
        <f t="shared" si="2"/>
        <v/>
      </c>
      <c r="I24" s="159" t="str">
        <f t="shared" si="3"/>
        <v/>
      </c>
      <c r="J24" s="132"/>
      <c r="R24" s="5"/>
    </row>
    <row r="25" spans="2:18" outlineLevel="1">
      <c r="B25" s="1107"/>
      <c r="C25" s="64"/>
      <c r="D25" s="1129" t="s">
        <v>45</v>
      </c>
      <c r="E25" s="1130" t="s">
        <v>63</v>
      </c>
      <c r="F25" s="71"/>
      <c r="H25" s="158" t="str">
        <f t="shared" si="2"/>
        <v/>
      </c>
      <c r="I25" s="159" t="str">
        <f t="shared" si="3"/>
        <v/>
      </c>
      <c r="J25" s="132"/>
      <c r="R25" s="5"/>
    </row>
    <row r="26" spans="2:18" outlineLevel="1">
      <c r="B26" s="1107"/>
      <c r="C26" s="64"/>
      <c r="D26" s="1131" t="s">
        <v>44</v>
      </c>
      <c r="E26" s="1132" t="s">
        <v>63</v>
      </c>
      <c r="F26" s="113">
        <f>F22-F23+F24-F25</f>
        <v>0</v>
      </c>
      <c r="H26" s="134"/>
      <c r="I26" s="116"/>
      <c r="J26" s="150"/>
      <c r="R26" s="5"/>
    </row>
    <row r="27" spans="2:18" outlineLevel="1">
      <c r="F27" s="5"/>
      <c r="R27" s="5"/>
    </row>
    <row r="28" spans="2:18" outlineLevel="1">
      <c r="F28" s="5"/>
      <c r="R28" s="5"/>
    </row>
    <row r="29" spans="2:18">
      <c r="F29" s="5"/>
      <c r="R29" s="5"/>
    </row>
  </sheetData>
  <mergeCells count="1">
    <mergeCell ref="H11:J11"/>
  </mergeCells>
  <dataValidations count="1">
    <dataValidation allowBlank="1" showErrorMessage="1" sqref="H22:J26 H10:J20 B7:F7" xr:uid="{9CDB6867-6E79-492B-9829-20396B0734A1}"/>
  </dataValidations>
  <pageMargins left="0.7" right="0.7" top="0.75" bottom="0.75" header="0.3" footer="0.3"/>
  <pageSetup paperSize="8" scale="5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56B0F-CC5C-4DDF-A0C7-51765B94B0FA}">
  <sheetPr>
    <tabColor rgb="FF11473A"/>
    <pageSetUpPr autoPageBreaks="0"/>
  </sheetPr>
  <dimension ref="B1:V67"/>
  <sheetViews>
    <sheetView topLeftCell="A3" workbookViewId="0"/>
  </sheetViews>
  <sheetFormatPr defaultColWidth="9.140625" defaultRowHeight="12.6" customHeight="1"/>
  <cols>
    <col min="1" max="1" width="9.140625" style="129"/>
    <col min="2" max="2" width="20.7109375" style="129" customWidth="1"/>
    <col min="3" max="3" width="1.7109375" style="129" customWidth="1"/>
    <col min="4" max="4" width="75" style="129" customWidth="1"/>
    <col min="5" max="5" width="15.7109375" style="129" customWidth="1"/>
    <col min="6" max="6" width="17.140625" style="129" customWidth="1"/>
    <col min="7" max="8" width="22.7109375" style="129" customWidth="1"/>
    <col min="9" max="9" width="21.7109375" style="129" customWidth="1"/>
    <col min="10" max="22" width="3.7109375" style="129" customWidth="1"/>
    <col min="23" max="16384" width="9.140625" style="129"/>
  </cols>
  <sheetData>
    <row r="1" spans="2:22" ht="18.75" customHeight="1">
      <c r="B1" s="77"/>
      <c r="C1" s="75"/>
      <c r="D1" s="75" t="str">
        <f>dms_SheetHeading1</f>
        <v>ANNUAL INFORMATION ORDER</v>
      </c>
      <c r="E1" s="72"/>
      <c r="F1" s="72"/>
      <c r="G1" s="72"/>
      <c r="H1" s="72"/>
      <c r="J1" s="85" t="s">
        <v>80</v>
      </c>
      <c r="K1" s="85"/>
      <c r="L1" s="85"/>
      <c r="M1" s="85"/>
      <c r="N1" s="84"/>
      <c r="O1" s="84"/>
      <c r="P1" s="84" t="s">
        <v>79</v>
      </c>
      <c r="Q1" s="84"/>
      <c r="R1" s="84"/>
      <c r="S1" s="84"/>
      <c r="T1" s="84"/>
      <c r="U1" s="84"/>
      <c r="V1" s="84"/>
    </row>
    <row r="2" spans="2:22" ht="18.75" customHeight="1">
      <c r="B2" s="78"/>
      <c r="C2" s="76"/>
      <c r="D2" s="76" t="str">
        <f>dms_SheetHeading2</f>
        <v>Australian Distribution Co.</v>
      </c>
      <c r="E2" s="72"/>
      <c r="F2" s="72"/>
      <c r="G2" s="72"/>
      <c r="H2" s="72"/>
      <c r="J2" s="87" t="s">
        <v>81</v>
      </c>
      <c r="K2" s="87"/>
      <c r="L2" s="87"/>
      <c r="M2" s="87"/>
      <c r="N2" s="153"/>
      <c r="O2" s="86"/>
      <c r="P2" s="86" t="s">
        <v>19</v>
      </c>
      <c r="Q2" s="86"/>
      <c r="R2" s="153"/>
      <c r="S2" s="153"/>
      <c r="T2" s="153"/>
      <c r="U2" s="153"/>
      <c r="V2" s="153"/>
    </row>
    <row r="3" spans="2:22" ht="18.75" customHeight="1">
      <c r="B3" s="77"/>
      <c r="C3" s="75"/>
      <c r="D3" s="75" t="str">
        <f>dms_SheetHeading3</f>
        <v>REPORTING STATEMENT: 2024-25</v>
      </c>
      <c r="E3" s="72"/>
      <c r="F3" s="72"/>
      <c r="G3" s="72"/>
      <c r="H3" s="72"/>
      <c r="J3" s="89" t="s">
        <v>82</v>
      </c>
      <c r="K3" s="89"/>
      <c r="L3" s="89"/>
      <c r="M3" s="89"/>
      <c r="N3" s="154"/>
      <c r="O3" s="88"/>
      <c r="P3" s="88" t="s">
        <v>43</v>
      </c>
      <c r="Q3" s="88"/>
      <c r="R3" s="154"/>
      <c r="S3" s="154"/>
      <c r="T3" s="154"/>
      <c r="U3" s="154"/>
      <c r="V3" s="154"/>
    </row>
    <row r="4" spans="2:22" ht="18.75" customHeight="1">
      <c r="B4" s="80"/>
      <c r="C4" s="80"/>
      <c r="D4" s="73" t="s">
        <v>1221</v>
      </c>
      <c r="E4" s="73"/>
      <c r="F4" s="73"/>
      <c r="G4" s="73"/>
      <c r="H4" s="73"/>
      <c r="J4" s="114" t="s">
        <v>84</v>
      </c>
      <c r="K4" s="91"/>
      <c r="L4" s="91"/>
      <c r="M4" s="91"/>
      <c r="N4" s="90"/>
      <c r="O4" s="90"/>
      <c r="P4" s="90" t="s">
        <v>83</v>
      </c>
      <c r="Q4" s="90"/>
      <c r="R4" s="90"/>
      <c r="S4" s="90"/>
      <c r="T4" s="90"/>
      <c r="U4" s="90"/>
      <c r="V4" s="90"/>
    </row>
    <row r="5" spans="2:22" s="1105" customFormat="1" ht="15.75"/>
    <row r="6" spans="2:22" s="1105" customFormat="1" ht="18.75">
      <c r="B6" s="1077" t="s">
        <v>1212</v>
      </c>
      <c r="C6" s="1077"/>
      <c r="D6" s="1077"/>
      <c r="E6" s="82"/>
      <c r="F6" s="82"/>
      <c r="G6" s="82"/>
      <c r="H6" s="82"/>
    </row>
    <row r="7" spans="2:22" s="1105" customFormat="1" ht="15.75">
      <c r="B7" s="1052" t="s">
        <v>87</v>
      </c>
      <c r="C7" s="1052"/>
      <c r="D7" s="1052"/>
      <c r="E7" s="1052"/>
      <c r="F7" s="1052"/>
      <c r="G7" s="1052"/>
      <c r="H7" s="1052"/>
    </row>
    <row r="8" spans="2:22" s="1105" customFormat="1" ht="15.75">
      <c r="B8" s="1052" t="s">
        <v>1216</v>
      </c>
      <c r="C8" s="1052"/>
      <c r="D8" s="1052"/>
      <c r="E8" s="1052"/>
      <c r="F8" s="1052"/>
      <c r="G8" s="1052"/>
      <c r="H8" s="1052"/>
    </row>
    <row r="9" spans="2:22" ht="25.5" customHeight="1">
      <c r="B9" s="1106"/>
      <c r="C9" s="1106"/>
      <c r="D9" s="1108"/>
      <c r="K9" s="63"/>
    </row>
    <row r="10" spans="2:22" ht="18.75">
      <c r="B10" s="1106"/>
      <c r="C10" s="1106"/>
      <c r="D10" s="1054" t="s">
        <v>1213</v>
      </c>
      <c r="E10" s="1055"/>
      <c r="F10" s="1056"/>
      <c r="G10" s="1056"/>
      <c r="H10" s="1056"/>
      <c r="K10" s="63"/>
    </row>
    <row r="11" spans="2:22" ht="18.75">
      <c r="B11" s="1106"/>
      <c r="C11" s="1106"/>
      <c r="D11" s="1054" t="s">
        <v>1214</v>
      </c>
      <c r="E11" s="1055"/>
      <c r="F11" s="1056"/>
      <c r="G11" s="1056"/>
      <c r="H11" s="1056"/>
      <c r="K11" s="63"/>
    </row>
    <row r="12" spans="2:22" ht="18.75">
      <c r="D12" s="1109"/>
      <c r="K12" s="63"/>
    </row>
    <row r="13" spans="2:22" ht="34.5" customHeight="1">
      <c r="F13" s="106" t="s">
        <v>106</v>
      </c>
      <c r="G13" s="107"/>
      <c r="H13" s="108"/>
      <c r="J13" s="1212" t="s">
        <v>116</v>
      </c>
      <c r="K13" s="1213"/>
      <c r="L13" s="1214"/>
      <c r="M13" s="167" t="s">
        <v>112</v>
      </c>
      <c r="N13" s="168" t="s">
        <v>113</v>
      </c>
      <c r="O13" s="175" t="s">
        <v>114</v>
      </c>
      <c r="P13" s="171" t="s">
        <v>117</v>
      </c>
      <c r="Q13" s="167" t="s">
        <v>112</v>
      </c>
      <c r="R13" s="168" t="s">
        <v>113</v>
      </c>
      <c r="S13" s="175" t="s">
        <v>114</v>
      </c>
      <c r="T13" s="171" t="s">
        <v>117</v>
      </c>
    </row>
    <row r="14" spans="2:22" ht="15" customHeight="1">
      <c r="D14" s="1110" t="s">
        <v>65</v>
      </c>
      <c r="E14" s="152" t="s">
        <v>123</v>
      </c>
      <c r="F14" s="110" t="s">
        <v>128</v>
      </c>
      <c r="G14" s="109" t="s">
        <v>126</v>
      </c>
      <c r="H14" s="109" t="s">
        <v>127</v>
      </c>
      <c r="J14" s="1209" t="s">
        <v>118</v>
      </c>
      <c r="K14" s="1233"/>
      <c r="L14" s="1211"/>
      <c r="M14" s="1230" t="s">
        <v>120</v>
      </c>
      <c r="N14" s="1231"/>
      <c r="O14" s="1231"/>
      <c r="P14" s="1232"/>
      <c r="Q14" s="1230" t="s">
        <v>121</v>
      </c>
      <c r="R14" s="1231"/>
      <c r="S14" s="1231"/>
      <c r="T14" s="1232"/>
    </row>
    <row r="15" spans="2:22" ht="15" customHeight="1">
      <c r="B15" s="1107"/>
      <c r="D15" s="97" t="s">
        <v>125</v>
      </c>
      <c r="E15" s="119" t="s">
        <v>63</v>
      </c>
      <c r="F15" s="131">
        <f t="shared" ref="F15:F26" si="0">SUM(G15:H15)</f>
        <v>0</v>
      </c>
      <c r="G15" s="101"/>
      <c r="H15" s="92"/>
      <c r="J15" s="1215" t="s">
        <v>119</v>
      </c>
      <c r="K15" s="1216"/>
      <c r="L15" s="1217"/>
      <c r="M15" s="161" t="str">
        <f t="shared" ref="M15:M26" si="1">IF(ISNONTEXT(G15)=TRUE,"","X")</f>
        <v/>
      </c>
      <c r="N15" s="162" t="str">
        <f t="shared" ref="N15:N26" si="2">IF(G15&gt;=0=TRUE,"","X")</f>
        <v/>
      </c>
      <c r="O15" s="162" t="str">
        <f>IF(ISBLANK(G15),"X","")</f>
        <v>X</v>
      </c>
      <c r="P15" s="163"/>
      <c r="Q15" s="161" t="str">
        <f t="shared" ref="Q15:Q26" si="3">IF(ISNONTEXT(H15)=TRUE,"","X")</f>
        <v/>
      </c>
      <c r="R15" s="162" t="str">
        <f t="shared" ref="R15:R26" si="4">IF(H15&gt;=0=TRUE,"","X")</f>
        <v/>
      </c>
      <c r="S15" s="162" t="str">
        <f>IF(ISBLANK(H15),"X","")</f>
        <v>X</v>
      </c>
      <c r="T15" s="163"/>
    </row>
    <row r="16" spans="2:22" ht="15" customHeight="1">
      <c r="B16" s="1107"/>
      <c r="D16" s="98" t="s">
        <v>125</v>
      </c>
      <c r="E16" s="118" t="s">
        <v>63</v>
      </c>
      <c r="F16" s="130">
        <f t="shared" si="0"/>
        <v>0</v>
      </c>
      <c r="G16" s="102"/>
      <c r="H16" s="93"/>
      <c r="J16" s="1218"/>
      <c r="K16" s="1219"/>
      <c r="L16" s="1220"/>
      <c r="M16" s="158" t="str">
        <f t="shared" si="1"/>
        <v/>
      </c>
      <c r="N16" s="159" t="str">
        <f t="shared" si="2"/>
        <v/>
      </c>
      <c r="O16" s="169"/>
      <c r="P16" s="160" t="str">
        <f t="shared" ref="P16:P26" si="5">IF(AND($D16&lt;&gt;"",LEFT($D16,5)&lt;&gt;"&lt;DNSP",ISBLANK(G16))=TRUE,"X","")</f>
        <v/>
      </c>
      <c r="Q16" s="158" t="str">
        <f t="shared" si="3"/>
        <v/>
      </c>
      <c r="R16" s="159" t="str">
        <f t="shared" si="4"/>
        <v/>
      </c>
      <c r="S16" s="169"/>
      <c r="T16" s="160" t="str">
        <f t="shared" ref="T16:T26" si="6">IF(AND($D16&lt;&gt;"",LEFT($D16,5)&lt;&gt;"&lt;DNSP",ISBLANK(H16))=TRUE,"X","")</f>
        <v/>
      </c>
    </row>
    <row r="17" spans="2:20" ht="15" customHeight="1">
      <c r="B17" s="1107"/>
      <c r="D17" s="98" t="s">
        <v>125</v>
      </c>
      <c r="E17" s="118" t="s">
        <v>63</v>
      </c>
      <c r="F17" s="130">
        <f t="shared" si="0"/>
        <v>0</v>
      </c>
      <c r="G17" s="102"/>
      <c r="H17" s="93"/>
      <c r="J17" s="1218"/>
      <c r="K17" s="1219"/>
      <c r="L17" s="1220"/>
      <c r="M17" s="158" t="str">
        <f t="shared" si="1"/>
        <v/>
      </c>
      <c r="N17" s="159" t="str">
        <f t="shared" si="2"/>
        <v/>
      </c>
      <c r="O17" s="169"/>
      <c r="P17" s="160" t="str">
        <f t="shared" si="5"/>
        <v/>
      </c>
      <c r="Q17" s="158" t="str">
        <f t="shared" si="3"/>
        <v/>
      </c>
      <c r="R17" s="159" t="str">
        <f t="shared" si="4"/>
        <v/>
      </c>
      <c r="S17" s="169"/>
      <c r="T17" s="160" t="str">
        <f t="shared" si="6"/>
        <v/>
      </c>
    </row>
    <row r="18" spans="2:20" ht="15" customHeight="1">
      <c r="B18" s="1107"/>
      <c r="D18" s="98" t="s">
        <v>125</v>
      </c>
      <c r="E18" s="118" t="s">
        <v>63</v>
      </c>
      <c r="F18" s="130">
        <f t="shared" si="0"/>
        <v>0</v>
      </c>
      <c r="G18" s="102"/>
      <c r="H18" s="93"/>
      <c r="J18" s="1218"/>
      <c r="K18" s="1219"/>
      <c r="L18" s="1220"/>
      <c r="M18" s="158" t="str">
        <f t="shared" si="1"/>
        <v/>
      </c>
      <c r="N18" s="159" t="str">
        <f t="shared" si="2"/>
        <v/>
      </c>
      <c r="O18" s="169"/>
      <c r="P18" s="160" t="str">
        <f t="shared" si="5"/>
        <v/>
      </c>
      <c r="Q18" s="158" t="str">
        <f t="shared" si="3"/>
        <v/>
      </c>
      <c r="R18" s="159" t="str">
        <f t="shared" si="4"/>
        <v/>
      </c>
      <c r="S18" s="169"/>
      <c r="T18" s="160" t="str">
        <f t="shared" si="6"/>
        <v/>
      </c>
    </row>
    <row r="19" spans="2:20" ht="15" customHeight="1">
      <c r="B19" s="1107"/>
      <c r="D19" s="98" t="s">
        <v>125</v>
      </c>
      <c r="E19" s="118" t="s">
        <v>63</v>
      </c>
      <c r="F19" s="130">
        <f t="shared" si="0"/>
        <v>0</v>
      </c>
      <c r="G19" s="102"/>
      <c r="H19" s="93"/>
      <c r="J19" s="1218"/>
      <c r="K19" s="1219"/>
      <c r="L19" s="1220"/>
      <c r="M19" s="158" t="str">
        <f t="shared" si="1"/>
        <v/>
      </c>
      <c r="N19" s="159" t="str">
        <f t="shared" si="2"/>
        <v/>
      </c>
      <c r="O19" s="169"/>
      <c r="P19" s="160" t="str">
        <f t="shared" si="5"/>
        <v/>
      </c>
      <c r="Q19" s="158" t="str">
        <f t="shared" si="3"/>
        <v/>
      </c>
      <c r="R19" s="159" t="str">
        <f t="shared" si="4"/>
        <v/>
      </c>
      <c r="S19" s="169"/>
      <c r="T19" s="160" t="str">
        <f t="shared" si="6"/>
        <v/>
      </c>
    </row>
    <row r="20" spans="2:20" ht="15" customHeight="1">
      <c r="B20" s="1107"/>
      <c r="D20" s="98" t="s">
        <v>125</v>
      </c>
      <c r="E20" s="118" t="s">
        <v>63</v>
      </c>
      <c r="F20" s="130">
        <f t="shared" si="0"/>
        <v>0</v>
      </c>
      <c r="G20" s="102"/>
      <c r="H20" s="93"/>
      <c r="J20" s="1218"/>
      <c r="K20" s="1219"/>
      <c r="L20" s="1220"/>
      <c r="M20" s="158" t="str">
        <f t="shared" si="1"/>
        <v/>
      </c>
      <c r="N20" s="159" t="str">
        <f t="shared" si="2"/>
        <v/>
      </c>
      <c r="O20" s="169"/>
      <c r="P20" s="160" t="str">
        <f t="shared" si="5"/>
        <v/>
      </c>
      <c r="Q20" s="158" t="str">
        <f t="shared" si="3"/>
        <v/>
      </c>
      <c r="R20" s="159" t="str">
        <f t="shared" si="4"/>
        <v/>
      </c>
      <c r="S20" s="169"/>
      <c r="T20" s="160" t="str">
        <f t="shared" si="6"/>
        <v/>
      </c>
    </row>
    <row r="21" spans="2:20" ht="15" customHeight="1">
      <c r="B21" s="1107"/>
      <c r="D21" s="98" t="s">
        <v>125</v>
      </c>
      <c r="E21" s="118" t="s">
        <v>63</v>
      </c>
      <c r="F21" s="130">
        <f t="shared" si="0"/>
        <v>0</v>
      </c>
      <c r="G21" s="102"/>
      <c r="H21" s="93"/>
      <c r="J21" s="1218"/>
      <c r="K21" s="1219"/>
      <c r="L21" s="1220"/>
      <c r="M21" s="158" t="str">
        <f t="shared" si="1"/>
        <v/>
      </c>
      <c r="N21" s="159" t="str">
        <f t="shared" si="2"/>
        <v/>
      </c>
      <c r="O21" s="169"/>
      <c r="P21" s="160" t="str">
        <f t="shared" si="5"/>
        <v/>
      </c>
      <c r="Q21" s="158" t="str">
        <f t="shared" si="3"/>
        <v/>
      </c>
      <c r="R21" s="159" t="str">
        <f t="shared" si="4"/>
        <v/>
      </c>
      <c r="S21" s="169"/>
      <c r="T21" s="160" t="str">
        <f t="shared" si="6"/>
        <v/>
      </c>
    </row>
    <row r="22" spans="2:20" ht="15" customHeight="1">
      <c r="B22" s="1107"/>
      <c r="D22" s="98" t="s">
        <v>125</v>
      </c>
      <c r="E22" s="118" t="s">
        <v>63</v>
      </c>
      <c r="F22" s="130">
        <f t="shared" si="0"/>
        <v>0</v>
      </c>
      <c r="G22" s="102"/>
      <c r="H22" s="93"/>
      <c r="J22" s="1218"/>
      <c r="K22" s="1219"/>
      <c r="L22" s="1220"/>
      <c r="M22" s="158" t="str">
        <f t="shared" si="1"/>
        <v/>
      </c>
      <c r="N22" s="159" t="str">
        <f t="shared" si="2"/>
        <v/>
      </c>
      <c r="O22" s="169"/>
      <c r="P22" s="160" t="str">
        <f t="shared" si="5"/>
        <v/>
      </c>
      <c r="Q22" s="158" t="str">
        <f t="shared" si="3"/>
        <v/>
      </c>
      <c r="R22" s="159" t="str">
        <f t="shared" si="4"/>
        <v/>
      </c>
      <c r="S22" s="169"/>
      <c r="T22" s="160" t="str">
        <f t="shared" si="6"/>
        <v/>
      </c>
    </row>
    <row r="23" spans="2:20" ht="15" customHeight="1">
      <c r="B23" s="1107"/>
      <c r="D23" s="98" t="s">
        <v>125</v>
      </c>
      <c r="E23" s="118" t="s">
        <v>63</v>
      </c>
      <c r="F23" s="130">
        <f t="shared" si="0"/>
        <v>0</v>
      </c>
      <c r="G23" s="102"/>
      <c r="H23" s="93"/>
      <c r="J23" s="1218"/>
      <c r="K23" s="1219"/>
      <c r="L23" s="1220"/>
      <c r="M23" s="158" t="str">
        <f t="shared" si="1"/>
        <v/>
      </c>
      <c r="N23" s="159" t="str">
        <f t="shared" si="2"/>
        <v/>
      </c>
      <c r="O23" s="169"/>
      <c r="P23" s="160" t="str">
        <f t="shared" si="5"/>
        <v/>
      </c>
      <c r="Q23" s="158" t="str">
        <f t="shared" si="3"/>
        <v/>
      </c>
      <c r="R23" s="159" t="str">
        <f t="shared" si="4"/>
        <v/>
      </c>
      <c r="S23" s="169"/>
      <c r="T23" s="160" t="str">
        <f t="shared" si="6"/>
        <v/>
      </c>
    </row>
    <row r="24" spans="2:20" ht="15" customHeight="1">
      <c r="B24" s="1107"/>
      <c r="D24" s="98" t="s">
        <v>125</v>
      </c>
      <c r="E24" s="118" t="s">
        <v>63</v>
      </c>
      <c r="F24" s="130">
        <f t="shared" si="0"/>
        <v>0</v>
      </c>
      <c r="G24" s="102"/>
      <c r="H24" s="93"/>
      <c r="J24" s="1218"/>
      <c r="K24" s="1219"/>
      <c r="L24" s="1220"/>
      <c r="M24" s="158" t="str">
        <f t="shared" si="1"/>
        <v/>
      </c>
      <c r="N24" s="159" t="str">
        <f t="shared" si="2"/>
        <v/>
      </c>
      <c r="O24" s="169"/>
      <c r="P24" s="160" t="str">
        <f t="shared" si="5"/>
        <v/>
      </c>
      <c r="Q24" s="158" t="str">
        <f t="shared" si="3"/>
        <v/>
      </c>
      <c r="R24" s="159" t="str">
        <f t="shared" si="4"/>
        <v/>
      </c>
      <c r="S24" s="169"/>
      <c r="T24" s="160" t="str">
        <f t="shared" si="6"/>
        <v/>
      </c>
    </row>
    <row r="25" spans="2:20" ht="15" customHeight="1">
      <c r="B25" s="1107"/>
      <c r="D25" s="98" t="s">
        <v>125</v>
      </c>
      <c r="E25" s="118" t="s">
        <v>63</v>
      </c>
      <c r="F25" s="130">
        <f t="shared" si="0"/>
        <v>0</v>
      </c>
      <c r="G25" s="102"/>
      <c r="H25" s="93"/>
      <c r="J25" s="1218"/>
      <c r="K25" s="1219"/>
      <c r="L25" s="1220"/>
      <c r="M25" s="173" t="str">
        <f t="shared" si="1"/>
        <v/>
      </c>
      <c r="N25" s="172" t="str">
        <f t="shared" si="2"/>
        <v/>
      </c>
      <c r="O25" s="135"/>
      <c r="P25" s="174" t="str">
        <f t="shared" si="5"/>
        <v/>
      </c>
      <c r="Q25" s="173" t="str">
        <f t="shared" si="3"/>
        <v/>
      </c>
      <c r="R25" s="172" t="str">
        <f t="shared" si="4"/>
        <v/>
      </c>
      <c r="S25" s="135"/>
      <c r="T25" s="174" t="str">
        <f t="shared" si="6"/>
        <v/>
      </c>
    </row>
    <row r="26" spans="2:20" ht="15" customHeight="1">
      <c r="B26" s="1107"/>
      <c r="D26" s="98" t="s">
        <v>125</v>
      </c>
      <c r="E26" s="117" t="s">
        <v>63</v>
      </c>
      <c r="F26" s="128">
        <f t="shared" si="0"/>
        <v>0</v>
      </c>
      <c r="G26" s="103"/>
      <c r="H26" s="95"/>
      <c r="J26" s="1221"/>
      <c r="K26" s="1222"/>
      <c r="L26" s="1223"/>
      <c r="M26" s="164" t="str">
        <f t="shared" si="1"/>
        <v/>
      </c>
      <c r="N26" s="165" t="str">
        <f t="shared" si="2"/>
        <v/>
      </c>
      <c r="O26" s="170"/>
      <c r="P26" s="166" t="str">
        <f t="shared" si="5"/>
        <v/>
      </c>
      <c r="Q26" s="164" t="str">
        <f t="shared" si="3"/>
        <v/>
      </c>
      <c r="R26" s="165" t="str">
        <f t="shared" si="4"/>
        <v/>
      </c>
      <c r="S26" s="170"/>
      <c r="T26" s="166" t="str">
        <f t="shared" si="6"/>
        <v/>
      </c>
    </row>
    <row r="27" spans="2:20" ht="15" customHeight="1">
      <c r="B27" s="1107"/>
      <c r="D27" s="136" t="s">
        <v>87</v>
      </c>
      <c r="E27" s="115"/>
      <c r="F27" s="133">
        <f>SUM(F15:F26)</f>
        <v>0</v>
      </c>
      <c r="G27" s="133">
        <f>SUM(G15:G26)</f>
        <v>0</v>
      </c>
      <c r="H27" s="133">
        <f>SUM(H15:H26)</f>
        <v>0</v>
      </c>
    </row>
    <row r="28" spans="2:20" ht="15" customHeight="1">
      <c r="D28" s="1110" t="s">
        <v>86</v>
      </c>
      <c r="E28" s="1106"/>
    </row>
    <row r="29" spans="2:20" ht="15" customHeight="1">
      <c r="B29" s="1107"/>
      <c r="D29" s="97" t="s">
        <v>125</v>
      </c>
      <c r="E29" s="119" t="s">
        <v>63</v>
      </c>
      <c r="F29" s="131">
        <f t="shared" ref="F29:F40" si="7">SUM(G29:H29)</f>
        <v>0</v>
      </c>
      <c r="G29" s="92"/>
      <c r="H29" s="92"/>
      <c r="J29" s="1215" t="s">
        <v>119</v>
      </c>
      <c r="K29" s="1216"/>
      <c r="L29" s="1217"/>
      <c r="M29" s="161" t="str">
        <f>IF(ISNONTEXT(G29)=TRUE,"","X")</f>
        <v/>
      </c>
      <c r="N29" s="162" t="str">
        <f>IF(G29&gt;=0=TRUE,"","X")</f>
        <v/>
      </c>
      <c r="O29" s="162" t="str">
        <f>IF(ISBLANK(G29),"X","")</f>
        <v>X</v>
      </c>
      <c r="P29" s="163"/>
      <c r="Q29" s="161" t="str">
        <f>IF(ISNONTEXT(H29)=TRUE,"","X")</f>
        <v/>
      </c>
      <c r="R29" s="162" t="str">
        <f>IF(H29&gt;=0=TRUE,"","X")</f>
        <v/>
      </c>
      <c r="S29" s="162" t="str">
        <f>IF(ISBLANK(H29),"X","")</f>
        <v>X</v>
      </c>
      <c r="T29" s="163"/>
    </row>
    <row r="30" spans="2:20" ht="15" customHeight="1">
      <c r="B30" s="1107"/>
      <c r="D30" s="98" t="s">
        <v>125</v>
      </c>
      <c r="E30" s="118" t="s">
        <v>63</v>
      </c>
      <c r="F30" s="130">
        <f t="shared" si="7"/>
        <v>0</v>
      </c>
      <c r="G30" s="93"/>
      <c r="H30" s="93"/>
      <c r="J30" s="1218"/>
      <c r="K30" s="1219"/>
      <c r="L30" s="1220"/>
      <c r="M30" s="158" t="str">
        <f>IF(ISNONTEXT(G30)=TRUE,"","X")</f>
        <v/>
      </c>
      <c r="N30" s="159" t="str">
        <f>IF(G30&gt;=0=TRUE,"","X")</f>
        <v/>
      </c>
      <c r="O30" s="169"/>
      <c r="P30" s="160" t="str">
        <f>IF(AND($D30&lt;&gt;"",LEFT($D30,5)&lt;&gt;"&lt;DNSP",ISBLANK(G30))=TRUE,"X","")</f>
        <v/>
      </c>
      <c r="Q30" s="158" t="str">
        <f>IF(ISNONTEXT(H30)=TRUE,"","X")</f>
        <v/>
      </c>
      <c r="R30" s="159" t="str">
        <f>IF(H30&gt;=0=TRUE,"","X")</f>
        <v/>
      </c>
      <c r="S30" s="169"/>
      <c r="T30" s="160" t="str">
        <f>IF(AND($D30&lt;&gt;"",LEFT($D30,5)&lt;&gt;"&lt;DNSP",ISBLANK(H30))=TRUE,"X","")</f>
        <v/>
      </c>
    </row>
    <row r="31" spans="2:20" ht="15" customHeight="1">
      <c r="B31" s="1107"/>
      <c r="D31" s="98" t="s">
        <v>125</v>
      </c>
      <c r="E31" s="118" t="s">
        <v>63</v>
      </c>
      <c r="F31" s="130">
        <f t="shared" si="7"/>
        <v>0</v>
      </c>
      <c r="G31" s="93"/>
      <c r="H31" s="93"/>
      <c r="J31" s="1218"/>
      <c r="K31" s="1219"/>
      <c r="L31" s="1220"/>
      <c r="M31" s="158" t="str">
        <f t="shared" ref="M31:M40" si="8">IF(ISNONTEXT(G31)=TRUE,"","X")</f>
        <v/>
      </c>
      <c r="N31" s="159" t="str">
        <f t="shared" ref="N31:N40" si="9">IF(G31&gt;=0=TRUE,"","X")</f>
        <v/>
      </c>
      <c r="O31" s="169"/>
      <c r="P31" s="160" t="str">
        <f t="shared" ref="P31:P40" si="10">IF(AND($D31&lt;&gt;"",LEFT($D31,5)&lt;&gt;"&lt;DNSP",ISBLANK(G31))=TRUE,"X","")</f>
        <v/>
      </c>
      <c r="Q31" s="158" t="str">
        <f t="shared" ref="Q31:Q40" si="11">IF(ISNONTEXT(H31)=TRUE,"","X")</f>
        <v/>
      </c>
      <c r="R31" s="159" t="str">
        <f t="shared" ref="R31:R40" si="12">IF(H31&gt;=0=TRUE,"","X")</f>
        <v/>
      </c>
      <c r="S31" s="169"/>
      <c r="T31" s="160" t="str">
        <f t="shared" ref="T31:T40" si="13">IF(AND($D31&lt;&gt;"",LEFT($D31,5)&lt;&gt;"&lt;DNSP",ISBLANK(H31))=TRUE,"X","")</f>
        <v/>
      </c>
    </row>
    <row r="32" spans="2:20" ht="15" customHeight="1">
      <c r="B32" s="1107"/>
      <c r="D32" s="98" t="s">
        <v>125</v>
      </c>
      <c r="E32" s="118" t="s">
        <v>63</v>
      </c>
      <c r="F32" s="130">
        <f t="shared" si="7"/>
        <v>0</v>
      </c>
      <c r="G32" s="93"/>
      <c r="H32" s="93"/>
      <c r="J32" s="1218"/>
      <c r="K32" s="1219"/>
      <c r="L32" s="1220"/>
      <c r="M32" s="158" t="str">
        <f t="shared" si="8"/>
        <v/>
      </c>
      <c r="N32" s="159" t="str">
        <f t="shared" si="9"/>
        <v/>
      </c>
      <c r="O32" s="169"/>
      <c r="P32" s="160" t="str">
        <f t="shared" si="10"/>
        <v/>
      </c>
      <c r="Q32" s="158" t="str">
        <f t="shared" si="11"/>
        <v/>
      </c>
      <c r="R32" s="159" t="str">
        <f t="shared" si="12"/>
        <v/>
      </c>
      <c r="S32" s="169"/>
      <c r="T32" s="160" t="str">
        <f t="shared" si="13"/>
        <v/>
      </c>
    </row>
    <row r="33" spans="2:20" ht="15" customHeight="1">
      <c r="B33" s="1107"/>
      <c r="D33" s="98" t="s">
        <v>125</v>
      </c>
      <c r="E33" s="118" t="s">
        <v>63</v>
      </c>
      <c r="F33" s="130">
        <f t="shared" si="7"/>
        <v>0</v>
      </c>
      <c r="G33" s="93"/>
      <c r="H33" s="93"/>
      <c r="J33" s="1218"/>
      <c r="K33" s="1219"/>
      <c r="L33" s="1220"/>
      <c r="M33" s="158" t="str">
        <f t="shared" si="8"/>
        <v/>
      </c>
      <c r="N33" s="159" t="str">
        <f t="shared" si="9"/>
        <v/>
      </c>
      <c r="O33" s="169"/>
      <c r="P33" s="160" t="str">
        <f t="shared" si="10"/>
        <v/>
      </c>
      <c r="Q33" s="158" t="str">
        <f t="shared" si="11"/>
        <v/>
      </c>
      <c r="R33" s="159" t="str">
        <f t="shared" si="12"/>
        <v/>
      </c>
      <c r="S33" s="169"/>
      <c r="T33" s="160" t="str">
        <f t="shared" si="13"/>
        <v/>
      </c>
    </row>
    <row r="34" spans="2:20" ht="15" customHeight="1">
      <c r="B34" s="1107"/>
      <c r="D34" s="98" t="s">
        <v>125</v>
      </c>
      <c r="E34" s="118" t="s">
        <v>63</v>
      </c>
      <c r="F34" s="130">
        <f t="shared" si="7"/>
        <v>0</v>
      </c>
      <c r="G34" s="93"/>
      <c r="H34" s="93"/>
      <c r="J34" s="1218"/>
      <c r="K34" s="1219"/>
      <c r="L34" s="1220"/>
      <c r="M34" s="158" t="str">
        <f t="shared" si="8"/>
        <v/>
      </c>
      <c r="N34" s="159" t="str">
        <f t="shared" si="9"/>
        <v/>
      </c>
      <c r="O34" s="169"/>
      <c r="P34" s="160" t="str">
        <f t="shared" si="10"/>
        <v/>
      </c>
      <c r="Q34" s="158" t="str">
        <f t="shared" si="11"/>
        <v/>
      </c>
      <c r="R34" s="159" t="str">
        <f t="shared" si="12"/>
        <v/>
      </c>
      <c r="S34" s="169"/>
      <c r="T34" s="160" t="str">
        <f t="shared" si="13"/>
        <v/>
      </c>
    </row>
    <row r="35" spans="2:20" ht="15" customHeight="1">
      <c r="B35" s="1107"/>
      <c r="D35" s="98" t="s">
        <v>125</v>
      </c>
      <c r="E35" s="118" t="s">
        <v>63</v>
      </c>
      <c r="F35" s="130">
        <f t="shared" si="7"/>
        <v>0</v>
      </c>
      <c r="G35" s="93"/>
      <c r="H35" s="93"/>
      <c r="J35" s="1218"/>
      <c r="K35" s="1219"/>
      <c r="L35" s="1220"/>
      <c r="M35" s="158" t="str">
        <f t="shared" si="8"/>
        <v/>
      </c>
      <c r="N35" s="159" t="str">
        <f t="shared" si="9"/>
        <v/>
      </c>
      <c r="O35" s="169"/>
      <c r="P35" s="160" t="str">
        <f t="shared" si="10"/>
        <v/>
      </c>
      <c r="Q35" s="158" t="str">
        <f t="shared" si="11"/>
        <v/>
      </c>
      <c r="R35" s="159" t="str">
        <f t="shared" si="12"/>
        <v/>
      </c>
      <c r="S35" s="169"/>
      <c r="T35" s="160" t="str">
        <f t="shared" si="13"/>
        <v/>
      </c>
    </row>
    <row r="36" spans="2:20" ht="15" customHeight="1">
      <c r="B36" s="1107"/>
      <c r="D36" s="98" t="s">
        <v>125</v>
      </c>
      <c r="E36" s="118" t="s">
        <v>63</v>
      </c>
      <c r="F36" s="130">
        <f t="shared" si="7"/>
        <v>0</v>
      </c>
      <c r="G36" s="93"/>
      <c r="H36" s="93"/>
      <c r="J36" s="1218"/>
      <c r="K36" s="1219"/>
      <c r="L36" s="1220"/>
      <c r="M36" s="158" t="str">
        <f t="shared" si="8"/>
        <v/>
      </c>
      <c r="N36" s="159" t="str">
        <f t="shared" si="9"/>
        <v/>
      </c>
      <c r="O36" s="169"/>
      <c r="P36" s="160" t="str">
        <f t="shared" si="10"/>
        <v/>
      </c>
      <c r="Q36" s="158" t="str">
        <f t="shared" si="11"/>
        <v/>
      </c>
      <c r="R36" s="159" t="str">
        <f t="shared" si="12"/>
        <v/>
      </c>
      <c r="S36" s="169"/>
      <c r="T36" s="160" t="str">
        <f t="shared" si="13"/>
        <v/>
      </c>
    </row>
    <row r="37" spans="2:20" ht="15" customHeight="1">
      <c r="B37" s="1107"/>
      <c r="D37" s="98" t="s">
        <v>125</v>
      </c>
      <c r="E37" s="118" t="s">
        <v>63</v>
      </c>
      <c r="F37" s="130">
        <f t="shared" si="7"/>
        <v>0</v>
      </c>
      <c r="G37" s="93"/>
      <c r="H37" s="93"/>
      <c r="J37" s="1218"/>
      <c r="K37" s="1219"/>
      <c r="L37" s="1220"/>
      <c r="M37" s="158" t="str">
        <f t="shared" si="8"/>
        <v/>
      </c>
      <c r="N37" s="159" t="str">
        <f t="shared" si="9"/>
        <v/>
      </c>
      <c r="O37" s="169"/>
      <c r="P37" s="160" t="str">
        <f t="shared" si="10"/>
        <v/>
      </c>
      <c r="Q37" s="158" t="str">
        <f t="shared" si="11"/>
        <v/>
      </c>
      <c r="R37" s="159" t="str">
        <f t="shared" si="12"/>
        <v/>
      </c>
      <c r="S37" s="169"/>
      <c r="T37" s="160" t="str">
        <f t="shared" si="13"/>
        <v/>
      </c>
    </row>
    <row r="38" spans="2:20" ht="15" customHeight="1">
      <c r="B38" s="1107"/>
      <c r="D38" s="98" t="s">
        <v>125</v>
      </c>
      <c r="E38" s="118" t="s">
        <v>63</v>
      </c>
      <c r="F38" s="130">
        <f t="shared" si="7"/>
        <v>0</v>
      </c>
      <c r="G38" s="93"/>
      <c r="H38" s="93"/>
      <c r="J38" s="1218"/>
      <c r="K38" s="1219"/>
      <c r="L38" s="1220"/>
      <c r="M38" s="158" t="str">
        <f t="shared" si="8"/>
        <v/>
      </c>
      <c r="N38" s="159" t="str">
        <f t="shared" si="9"/>
        <v/>
      </c>
      <c r="O38" s="169"/>
      <c r="P38" s="160" t="str">
        <f t="shared" si="10"/>
        <v/>
      </c>
      <c r="Q38" s="158" t="str">
        <f t="shared" si="11"/>
        <v/>
      </c>
      <c r="R38" s="159" t="str">
        <f t="shared" si="12"/>
        <v/>
      </c>
      <c r="S38" s="169"/>
      <c r="T38" s="160" t="str">
        <f t="shared" si="13"/>
        <v/>
      </c>
    </row>
    <row r="39" spans="2:20" ht="15" customHeight="1">
      <c r="B39" s="1107"/>
      <c r="D39" s="98" t="s">
        <v>125</v>
      </c>
      <c r="E39" s="118" t="s">
        <v>63</v>
      </c>
      <c r="F39" s="130">
        <f t="shared" si="7"/>
        <v>0</v>
      </c>
      <c r="G39" s="93"/>
      <c r="H39" s="93"/>
      <c r="J39" s="1218"/>
      <c r="K39" s="1219"/>
      <c r="L39" s="1220"/>
      <c r="M39" s="173" t="str">
        <f t="shared" si="8"/>
        <v/>
      </c>
      <c r="N39" s="172" t="str">
        <f t="shared" si="9"/>
        <v/>
      </c>
      <c r="O39" s="135"/>
      <c r="P39" s="174" t="str">
        <f t="shared" si="10"/>
        <v/>
      </c>
      <c r="Q39" s="173" t="str">
        <f t="shared" si="11"/>
        <v/>
      </c>
      <c r="R39" s="172" t="str">
        <f t="shared" si="12"/>
        <v/>
      </c>
      <c r="S39" s="135"/>
      <c r="T39" s="174" t="str">
        <f t="shared" si="13"/>
        <v/>
      </c>
    </row>
    <row r="40" spans="2:20" ht="15" customHeight="1">
      <c r="B40" s="1107"/>
      <c r="D40" s="1076" t="s">
        <v>125</v>
      </c>
      <c r="E40" s="117" t="s">
        <v>63</v>
      </c>
      <c r="F40" s="128">
        <f t="shared" si="7"/>
        <v>0</v>
      </c>
      <c r="G40" s="95"/>
      <c r="H40" s="95"/>
      <c r="J40" s="1221"/>
      <c r="K40" s="1222"/>
      <c r="L40" s="1223"/>
      <c r="M40" s="164" t="str">
        <f t="shared" si="8"/>
        <v/>
      </c>
      <c r="N40" s="165" t="str">
        <f t="shared" si="9"/>
        <v/>
      </c>
      <c r="O40" s="170"/>
      <c r="P40" s="166" t="str">
        <f t="shared" si="10"/>
        <v/>
      </c>
      <c r="Q40" s="164" t="str">
        <f t="shared" si="11"/>
        <v/>
      </c>
      <c r="R40" s="165" t="str">
        <f t="shared" si="12"/>
        <v/>
      </c>
      <c r="S40" s="170"/>
      <c r="T40" s="166" t="str">
        <f t="shared" si="13"/>
        <v/>
      </c>
    </row>
    <row r="41" spans="2:20" ht="24.75" customHeight="1"/>
    <row r="42" spans="2:20" s="1105" customFormat="1" ht="18.75">
      <c r="B42" s="1077" t="s">
        <v>1212</v>
      </c>
      <c r="C42" s="1077"/>
      <c r="D42" s="1077"/>
      <c r="E42" s="82"/>
      <c r="F42" s="82"/>
      <c r="G42" s="82"/>
      <c r="H42" s="82"/>
    </row>
    <row r="43" spans="2:20" s="1105" customFormat="1" ht="15.75">
      <c r="B43" s="1052" t="s">
        <v>50</v>
      </c>
      <c r="C43" s="1052"/>
      <c r="D43" s="1052"/>
      <c r="E43" s="1052"/>
      <c r="F43" s="1052"/>
      <c r="G43" s="1052"/>
      <c r="H43" s="1052"/>
    </row>
    <row r="44" spans="2:20" ht="15">
      <c r="B44" s="1106"/>
      <c r="C44" s="1106"/>
      <c r="D44" s="1125"/>
    </row>
    <row r="45" spans="2:20" ht="18" customHeight="1">
      <c r="B45" s="1106"/>
      <c r="C45" s="1106"/>
      <c r="D45" s="1054" t="s">
        <v>1219</v>
      </c>
      <c r="E45" s="1055"/>
      <c r="F45" s="1056"/>
      <c r="G45" s="1056"/>
      <c r="H45" s="1056"/>
    </row>
    <row r="47" spans="2:20" ht="30">
      <c r="B47" s="1107"/>
      <c r="C47" s="70"/>
      <c r="E47" s="1111"/>
      <c r="F47" s="106" t="s">
        <v>106</v>
      </c>
      <c r="G47" s="107"/>
      <c r="H47" s="108"/>
      <c r="J47" s="155" t="s">
        <v>112</v>
      </c>
      <c r="K47" s="156" t="s">
        <v>113</v>
      </c>
      <c r="L47" s="157" t="s">
        <v>114</v>
      </c>
      <c r="M47" s="155" t="s">
        <v>112</v>
      </c>
      <c r="N47" s="156" t="s">
        <v>113</v>
      </c>
      <c r="O47" s="157" t="s">
        <v>114</v>
      </c>
    </row>
    <row r="48" spans="2:20" ht="15" customHeight="1">
      <c r="B48" s="1107"/>
      <c r="C48" s="69"/>
      <c r="D48" s="1110" t="s">
        <v>50</v>
      </c>
      <c r="E48" s="1112" t="s">
        <v>123</v>
      </c>
      <c r="F48" s="110" t="s">
        <v>128</v>
      </c>
      <c r="G48" s="110" t="s">
        <v>126</v>
      </c>
      <c r="H48" s="110" t="s">
        <v>127</v>
      </c>
      <c r="J48" s="1227" t="s">
        <v>129</v>
      </c>
      <c r="K48" s="1228"/>
      <c r="L48" s="1229"/>
      <c r="M48" s="1224" t="s">
        <v>130</v>
      </c>
      <c r="N48" s="1225"/>
      <c r="O48" s="1226"/>
    </row>
    <row r="49" spans="2:15" ht="15" customHeight="1">
      <c r="B49" s="1107"/>
      <c r="C49" s="69"/>
      <c r="D49" s="124" t="s">
        <v>109</v>
      </c>
      <c r="E49" s="111" t="s">
        <v>63</v>
      </c>
      <c r="F49" s="1057">
        <f t="shared" ref="F49:F50" si="14">SUM(G49:H49)</f>
        <v>0</v>
      </c>
      <c r="G49" s="94"/>
      <c r="H49" s="92"/>
      <c r="J49" s="158" t="str">
        <f>IF(ISNONTEXT(G49)=TRUE,"","X")</f>
        <v/>
      </c>
      <c r="K49" s="159" t="str">
        <f>IF(AND(G49&gt;=0)=TRUE,"","X")</f>
        <v/>
      </c>
      <c r="L49" s="160" t="str">
        <f>IF(AND(G49&lt;&gt;"")=TRUE,"","X")</f>
        <v>X</v>
      </c>
      <c r="M49" s="158" t="str">
        <f>IF(ISNONTEXT(H49)=TRUE,"","X")</f>
        <v/>
      </c>
      <c r="N49" s="159" t="str">
        <f>IF(AND(H49&gt;=0)=TRUE,"","X")</f>
        <v/>
      </c>
      <c r="O49" s="160" t="str">
        <f>IF(AND(H49&lt;&gt;"")=TRUE,"","X")</f>
        <v>X</v>
      </c>
    </row>
    <row r="50" spans="2:15" ht="15" customHeight="1">
      <c r="B50" s="1107"/>
      <c r="C50" s="69"/>
      <c r="D50" s="137" t="s">
        <v>110</v>
      </c>
      <c r="E50" s="112" t="s">
        <v>63</v>
      </c>
      <c r="F50" s="1058">
        <f t="shared" si="14"/>
        <v>0</v>
      </c>
      <c r="G50" s="1059"/>
      <c r="H50" s="95"/>
      <c r="J50" s="164" t="str">
        <f>IF(ISNONTEXT(G50)=TRUE,"","X")</f>
        <v/>
      </c>
      <c r="K50" s="165" t="str">
        <f>IF(AND(G50&gt;=0)=TRUE,"","X")</f>
        <v/>
      </c>
      <c r="L50" s="166" t="str">
        <f>IF(AND(G50&lt;&gt;"")=TRUE,"","X")</f>
        <v>X</v>
      </c>
      <c r="M50" s="164" t="str">
        <f>IF(ISNONTEXT(H50)=TRUE,"","X")</f>
        <v/>
      </c>
      <c r="N50" s="165" t="str">
        <f>IF(AND(H50&gt;=0)=TRUE,"","X")</f>
        <v/>
      </c>
      <c r="O50" s="166" t="str">
        <f>IF(AND(H50&lt;&gt;"")=TRUE,"","X")</f>
        <v>X</v>
      </c>
    </row>
    <row r="51" spans="2:15" ht="15" customHeight="1">
      <c r="B51" s="69"/>
      <c r="C51" s="69"/>
    </row>
    <row r="52" spans="2:15" ht="18" customHeight="1">
      <c r="B52" s="69"/>
      <c r="C52" s="69"/>
      <c r="D52" s="1054" t="s">
        <v>1220</v>
      </c>
      <c r="E52" s="1055"/>
      <c r="F52" s="1056"/>
      <c r="G52" s="1056"/>
      <c r="H52" s="1056"/>
    </row>
    <row r="53" spans="2:15" ht="12.6" customHeight="1">
      <c r="B53" s="69"/>
      <c r="C53" s="69"/>
      <c r="D53" s="1109"/>
      <c r="F53" s="1117"/>
      <c r="G53" s="1117"/>
      <c r="H53" s="1117"/>
    </row>
    <row r="54" spans="2:15" ht="30">
      <c r="B54" s="69"/>
      <c r="C54" s="69"/>
      <c r="F54" s="106" t="s">
        <v>106</v>
      </c>
      <c r="G54" s="107"/>
      <c r="H54" s="108"/>
      <c r="J54" s="155" t="s">
        <v>112</v>
      </c>
      <c r="K54" s="156" t="s">
        <v>113</v>
      </c>
      <c r="L54" s="157" t="s">
        <v>114</v>
      </c>
      <c r="M54" s="155" t="s">
        <v>112</v>
      </c>
      <c r="N54" s="156" t="s">
        <v>113</v>
      </c>
      <c r="O54" s="157" t="s">
        <v>114</v>
      </c>
    </row>
    <row r="55" spans="2:15" ht="15" customHeight="1">
      <c r="B55" s="69"/>
      <c r="C55" s="69"/>
      <c r="D55" s="1118" t="s">
        <v>88</v>
      </c>
      <c r="E55" s="1112" t="s">
        <v>123</v>
      </c>
      <c r="F55" s="110" t="s">
        <v>128</v>
      </c>
      <c r="G55" s="110" t="s">
        <v>126</v>
      </c>
      <c r="H55" s="110" t="s">
        <v>127</v>
      </c>
      <c r="J55" s="1227" t="s">
        <v>129</v>
      </c>
      <c r="K55" s="1228"/>
      <c r="L55" s="1229"/>
      <c r="M55" s="1224" t="s">
        <v>130</v>
      </c>
      <c r="N55" s="1225"/>
      <c r="O55" s="1226"/>
    </row>
    <row r="56" spans="2:15" ht="15" customHeight="1">
      <c r="B56" s="69"/>
      <c r="C56" s="69"/>
      <c r="D56" s="1119" t="s">
        <v>58</v>
      </c>
      <c r="E56" s="1120" t="s">
        <v>63</v>
      </c>
      <c r="F56" s="1057">
        <f t="shared" ref="F56:F59" si="15">SUM(G56:H56)</f>
        <v>0</v>
      </c>
      <c r="G56" s="94"/>
      <c r="H56" s="92"/>
      <c r="J56" s="158" t="str">
        <f>IF(ISNONTEXT(G56)=TRUE,"","X")</f>
        <v/>
      </c>
      <c r="K56" s="159" t="str">
        <f>IF(AND(G56&gt;=0)=TRUE,"","X")</f>
        <v/>
      </c>
      <c r="L56" s="160" t="str">
        <f>IF(AND(G56&lt;&gt;"")=TRUE,"","X")</f>
        <v>X</v>
      </c>
      <c r="M56" s="158" t="str">
        <f>IF(ISNONTEXT(H56)=TRUE,"","X")</f>
        <v/>
      </c>
      <c r="N56" s="159" t="str">
        <f>IF(AND(H56&gt;=0)=TRUE,"","X")</f>
        <v/>
      </c>
      <c r="O56" s="160" t="str">
        <f>IF(AND(H56&lt;&gt;"")=TRUE,"","X")</f>
        <v>X</v>
      </c>
    </row>
    <row r="57" spans="2:15" ht="15" customHeight="1">
      <c r="D57" s="1121" t="s">
        <v>59</v>
      </c>
      <c r="E57" s="1122" t="s">
        <v>63</v>
      </c>
      <c r="F57" s="1060">
        <f t="shared" si="15"/>
        <v>0</v>
      </c>
      <c r="G57" s="1062"/>
      <c r="H57" s="1063"/>
      <c r="J57" s="158" t="str">
        <f t="shared" ref="J57:J59" si="16">IF(ISNONTEXT(G57)=TRUE,"","X")</f>
        <v/>
      </c>
      <c r="K57" s="159" t="str">
        <f t="shared" ref="K57:K59" si="17">IF(AND(G57&gt;=0)=TRUE,"","X")</f>
        <v/>
      </c>
      <c r="L57" s="160" t="str">
        <f t="shared" ref="L57:L59" si="18">IF(AND(G57&lt;&gt;"")=TRUE,"","X")</f>
        <v>X</v>
      </c>
      <c r="M57" s="158" t="str">
        <f t="shared" ref="M57:M59" si="19">IF(ISNONTEXT(H57)=TRUE,"","X")</f>
        <v/>
      </c>
      <c r="N57" s="159" t="str">
        <f t="shared" ref="N57:N59" si="20">IF(AND(H57&gt;=0)=TRUE,"","X")</f>
        <v/>
      </c>
      <c r="O57" s="160" t="str">
        <f t="shared" ref="O57:O59" si="21">IF(AND(H57&lt;&gt;"")=TRUE,"","X")</f>
        <v>X</v>
      </c>
    </row>
    <row r="58" spans="2:15" ht="15" customHeight="1">
      <c r="D58" s="1121" t="s">
        <v>60</v>
      </c>
      <c r="E58" s="1122" t="s">
        <v>63</v>
      </c>
      <c r="F58" s="1061">
        <f t="shared" si="15"/>
        <v>0</v>
      </c>
      <c r="G58" s="71"/>
      <c r="H58" s="93"/>
      <c r="J58" s="158" t="str">
        <f t="shared" si="16"/>
        <v/>
      </c>
      <c r="K58" s="159" t="str">
        <f t="shared" si="17"/>
        <v/>
      </c>
      <c r="L58" s="160" t="str">
        <f t="shared" si="18"/>
        <v>X</v>
      </c>
      <c r="M58" s="158" t="str">
        <f t="shared" si="19"/>
        <v/>
      </c>
      <c r="N58" s="159" t="str">
        <f t="shared" si="20"/>
        <v/>
      </c>
      <c r="O58" s="160" t="str">
        <f t="shared" si="21"/>
        <v>X</v>
      </c>
    </row>
    <row r="59" spans="2:15" ht="15" customHeight="1">
      <c r="D59" s="1123" t="s">
        <v>61</v>
      </c>
      <c r="E59" s="1124" t="s">
        <v>63</v>
      </c>
      <c r="F59" s="1058">
        <f t="shared" si="15"/>
        <v>0</v>
      </c>
      <c r="G59" s="1059"/>
      <c r="H59" s="95"/>
      <c r="J59" s="164" t="str">
        <f t="shared" si="16"/>
        <v/>
      </c>
      <c r="K59" s="165" t="str">
        <f t="shared" si="17"/>
        <v/>
      </c>
      <c r="L59" s="166" t="str">
        <f t="shared" si="18"/>
        <v>X</v>
      </c>
      <c r="M59" s="164" t="str">
        <f t="shared" si="19"/>
        <v/>
      </c>
      <c r="N59" s="165" t="str">
        <f t="shared" si="20"/>
        <v/>
      </c>
      <c r="O59" s="166" t="str">
        <f t="shared" si="21"/>
        <v>X</v>
      </c>
    </row>
    <row r="60" spans="2:15" ht="18" customHeight="1"/>
    <row r="61" spans="2:15" ht="18" customHeight="1">
      <c r="B61" s="69"/>
      <c r="C61" s="69"/>
      <c r="D61" s="1054" t="s">
        <v>1217</v>
      </c>
      <c r="E61" s="1055"/>
      <c r="F61" s="1056"/>
      <c r="G61" s="1056"/>
      <c r="H61" s="1056"/>
    </row>
    <row r="62" spans="2:15" ht="18" customHeight="1">
      <c r="B62" s="69"/>
      <c r="C62" s="69"/>
      <c r="D62" s="1075" t="s">
        <v>1218</v>
      </c>
      <c r="E62" s="1055"/>
      <c r="F62" s="1056"/>
      <c r="G62" s="1056"/>
      <c r="H62" s="1056"/>
    </row>
    <row r="63" spans="2:15" ht="17.25" customHeight="1">
      <c r="B63" s="69"/>
      <c r="C63" s="69"/>
      <c r="D63" s="1109"/>
      <c r="F63" s="1117"/>
      <c r="G63" s="1117"/>
      <c r="H63" s="1117"/>
    </row>
    <row r="64" spans="2:15" ht="30">
      <c r="B64" s="69"/>
      <c r="C64" s="69"/>
      <c r="F64" s="106" t="s">
        <v>106</v>
      </c>
      <c r="G64" s="107"/>
      <c r="H64" s="108"/>
      <c r="J64" s="155" t="s">
        <v>112</v>
      </c>
      <c r="K64" s="156" t="s">
        <v>113</v>
      </c>
      <c r="L64" s="157" t="s">
        <v>114</v>
      </c>
      <c r="M64" s="155" t="s">
        <v>112</v>
      </c>
      <c r="N64" s="156" t="s">
        <v>113</v>
      </c>
      <c r="O64" s="157" t="s">
        <v>114</v>
      </c>
    </row>
    <row r="65" spans="2:15" ht="15" customHeight="1">
      <c r="B65" s="69"/>
      <c r="C65" s="69"/>
      <c r="D65" s="1110" t="s">
        <v>66</v>
      </c>
      <c r="E65" s="1112" t="s">
        <v>53</v>
      </c>
      <c r="F65" s="110" t="s">
        <v>128</v>
      </c>
      <c r="G65" s="109" t="s">
        <v>126</v>
      </c>
      <c r="H65" s="109" t="s">
        <v>127</v>
      </c>
      <c r="J65" s="1227" t="s">
        <v>129</v>
      </c>
      <c r="K65" s="1228"/>
      <c r="L65" s="1229"/>
      <c r="M65" s="1224" t="s">
        <v>130</v>
      </c>
      <c r="N65" s="1225"/>
      <c r="O65" s="1226"/>
    </row>
    <row r="66" spans="2:15" ht="15" customHeight="1">
      <c r="D66" s="1113" t="s">
        <v>51</v>
      </c>
      <c r="E66" s="1114" t="s">
        <v>63</v>
      </c>
      <c r="F66" s="1057">
        <f t="shared" ref="F66:F67" si="22">SUM(G66:H66)</f>
        <v>0</v>
      </c>
      <c r="G66" s="94"/>
      <c r="H66" s="92"/>
      <c r="J66" s="158" t="str">
        <f>IF(ISNONTEXT(G66)=TRUE,"","X")</f>
        <v/>
      </c>
      <c r="K66" s="159" t="str">
        <f>IF(AND(G66&gt;=0)=TRUE,"","X")</f>
        <v/>
      </c>
      <c r="L66" s="160" t="str">
        <f>IF(AND(G66&lt;&gt;"")=TRUE,"","X")</f>
        <v>X</v>
      </c>
      <c r="M66" s="158" t="str">
        <f>IF(ISNONTEXT(H66)=TRUE,"","X")</f>
        <v/>
      </c>
      <c r="N66" s="159" t="str">
        <f>IF(AND(H66&gt;=0)=TRUE,"","X")</f>
        <v/>
      </c>
      <c r="O66" s="160" t="str">
        <f>IF(AND(H66&lt;&gt;"")=TRUE,"","X")</f>
        <v>X</v>
      </c>
    </row>
    <row r="67" spans="2:15" ht="15" customHeight="1">
      <c r="D67" s="1115" t="s">
        <v>52</v>
      </c>
      <c r="E67" s="1116" t="s">
        <v>63</v>
      </c>
      <c r="F67" s="1058">
        <f t="shared" si="22"/>
        <v>0</v>
      </c>
      <c r="G67" s="1059"/>
      <c r="H67" s="95"/>
      <c r="J67" s="164" t="str">
        <f>IF(ISNONTEXT(G67)=TRUE,"","X")</f>
        <v/>
      </c>
      <c r="K67" s="165" t="str">
        <f>IF(AND(G67&gt;=0)=TRUE,"","X")</f>
        <v/>
      </c>
      <c r="L67" s="166" t="str">
        <f>IF(AND(G67&lt;&gt;"")=TRUE,"","X")</f>
        <v>X</v>
      </c>
      <c r="M67" s="164" t="str">
        <f>IF(ISNONTEXT(H67)=TRUE,"","X")</f>
        <v/>
      </c>
      <c r="N67" s="165" t="str">
        <f>IF(AND(H67&gt;=0)=TRUE,"","X")</f>
        <v/>
      </c>
      <c r="O67" s="166" t="str">
        <f>IF(AND(H67&lt;&gt;"")=TRUE,"","X")</f>
        <v>X</v>
      </c>
    </row>
  </sheetData>
  <sheetProtection formatColumns="0"/>
  <mergeCells count="12">
    <mergeCell ref="J65:L65"/>
    <mergeCell ref="Q14:T14"/>
    <mergeCell ref="J14:L14"/>
    <mergeCell ref="M14:P14"/>
    <mergeCell ref="M65:O65"/>
    <mergeCell ref="J13:L13"/>
    <mergeCell ref="J15:L26"/>
    <mergeCell ref="J29:L40"/>
    <mergeCell ref="M48:O48"/>
    <mergeCell ref="M55:O55"/>
    <mergeCell ref="J48:L48"/>
    <mergeCell ref="J55:L55"/>
  </mergeCells>
  <conditionalFormatting sqref="F56:H59">
    <cfRule type="expression" dxfId="18" priority="3">
      <formula>dms_TradingName="Western Power (D)"</formula>
    </cfRule>
  </conditionalFormatting>
  <dataValidations count="4">
    <dataValidation type="whole" operator="greaterThanOrEqual" allowBlank="1" showErrorMessage="1" error="Must be greater than or equal to zero. NULL is valid if no Business Defined Purpose is listed in the row descriptor." prompt="Must be greater than or equal to zero. NULL is valid if no Business Defined Purpose is listed in the row descriptor." sqref="G15:H26 G29:H40" xr:uid="{AA859075-E087-46CE-93A6-3C625BF83589}">
      <formula1>0</formula1>
    </dataValidation>
    <dataValidation allowBlank="1" sqref="J15 J13 J14:L14 P13 O15:P15 O29:P29 T13 S15:T15 P16:P26 J29 T30:T40 T16:T26 S29:T29 P30:P40" xr:uid="{867CB41A-D628-48EB-A05E-2DA55CEEE577}"/>
    <dataValidation allowBlank="1" showErrorMessage="1" sqref="J15 M13:T13 M16:N26 M14 M15:T15 M29:T29 Q14 P16:R26 J29 J54:J59 M30:N40 T16:T26 K49:L50 T30:T40 P30:R40 J47:J50 M47:O50 K47:L47 M55:O59 K56:L59 K54:O54 J64:J67 M65:O67 K66:L67 K64:O64 B7:B8 B43 D61:D62" xr:uid="{DD9CF42F-0DD5-4CE6-893B-B956126440CE}"/>
    <dataValidation type="textLength" allowBlank="1" showErrorMessage="1" prompt="Categories specified must align with the categories used in the previous relevant year, or an explanation for new categories must be provided" sqref="D14:D40" xr:uid="{CC26C32E-E15D-4756-BB21-95E25571839B}">
      <formula1>0</formula1>
      <formula2>150</formula2>
    </dataValidation>
  </dataValidations>
  <pageMargins left="0.75" right="0.75" top="1" bottom="1" header="0.5" footer="0.5"/>
  <pageSetup paperSize="8" scale="8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454D2-C897-4682-BABF-FEDDF56CD711}">
  <sheetPr codeName="Sheet2">
    <tabColor theme="1"/>
  </sheetPr>
  <dimension ref="B1:CM136"/>
  <sheetViews>
    <sheetView workbookViewId="0"/>
  </sheetViews>
  <sheetFormatPr defaultColWidth="9.140625" defaultRowHeight="15"/>
  <cols>
    <col min="1" max="1" width="9.140625" style="151"/>
    <col min="2" max="2" width="43.5703125" style="151" customWidth="1"/>
    <col min="3" max="3" width="19.5703125" style="151" customWidth="1"/>
    <col min="4" max="5" width="15.5703125" style="151" customWidth="1"/>
    <col min="6" max="6" width="19.42578125" style="151" customWidth="1"/>
    <col min="7" max="7" width="19.85546875" style="151" customWidth="1"/>
    <col min="8" max="8" width="21.5703125" style="151" customWidth="1"/>
    <col min="9" max="10" width="22" style="151" customWidth="1"/>
    <col min="11" max="11" width="21.5703125" style="151" customWidth="1"/>
    <col min="12" max="14" width="22" style="151" customWidth="1"/>
    <col min="15" max="15" width="19.85546875" style="151" customWidth="1"/>
    <col min="16" max="16" width="18" style="151" customWidth="1"/>
    <col min="17" max="17" width="47.140625" style="151" customWidth="1"/>
    <col min="18" max="18" width="17.140625" style="151" customWidth="1"/>
    <col min="19" max="20" width="29" style="151" customWidth="1"/>
    <col min="21" max="21" width="31.42578125" style="151" customWidth="1"/>
    <col min="22" max="22" width="17.7109375" style="151" customWidth="1"/>
    <col min="23" max="23" width="53.28515625" style="151" customWidth="1"/>
    <col min="24" max="24" width="37" style="151" customWidth="1"/>
    <col min="25" max="25" width="17.85546875" style="151" customWidth="1"/>
    <col min="26" max="16384" width="9.140625" style="151"/>
  </cols>
  <sheetData>
    <row r="1" spans="2:25" ht="51" customHeight="1">
      <c r="B1" s="177" t="s">
        <v>132</v>
      </c>
      <c r="C1" s="178"/>
      <c r="D1" s="178"/>
      <c r="E1" s="178"/>
      <c r="F1" s="178"/>
      <c r="G1" s="178"/>
      <c r="H1" s="178"/>
      <c r="I1" s="178"/>
      <c r="J1" s="178"/>
      <c r="K1" s="178"/>
      <c r="L1" s="178"/>
      <c r="M1" s="178"/>
      <c r="N1" s="178"/>
      <c r="O1" s="178"/>
    </row>
    <row r="2" spans="2:25" ht="30" customHeight="1"/>
    <row r="3" spans="2:25">
      <c r="B3" s="151" t="s">
        <v>133</v>
      </c>
    </row>
    <row r="4" spans="2:25" ht="19.5" customHeight="1">
      <c r="B4" s="1235" t="s">
        <v>134</v>
      </c>
      <c r="C4" s="1236"/>
      <c r="D4" s="1236"/>
      <c r="E4" s="1236"/>
      <c r="F4" s="1236"/>
      <c r="G4" s="1236"/>
      <c r="H4" s="1236"/>
      <c r="I4" s="1236"/>
      <c r="J4" s="1236"/>
      <c r="K4" s="1236"/>
      <c r="L4" s="1236"/>
      <c r="M4" s="1236"/>
      <c r="N4" s="1236"/>
      <c r="O4" s="1236"/>
      <c r="P4" s="1236"/>
      <c r="Q4" s="1236"/>
      <c r="R4" s="1236"/>
      <c r="S4" s="1236"/>
      <c r="T4" s="1236"/>
      <c r="U4" s="1236"/>
      <c r="V4" s="1236"/>
      <c r="W4" s="1236"/>
    </row>
    <row r="5" spans="2:25" s="186" customFormat="1" ht="19.5" customHeight="1" thickBot="1">
      <c r="B5" s="179"/>
      <c r="C5" s="180"/>
      <c r="D5" s="180"/>
      <c r="E5" s="180"/>
      <c r="F5" s="181" t="s">
        <v>135</v>
      </c>
      <c r="G5" s="182" t="s">
        <v>136</v>
      </c>
      <c r="H5" s="181" t="s">
        <v>137</v>
      </c>
      <c r="I5" s="181" t="s">
        <v>138</v>
      </c>
      <c r="J5" s="181" t="s">
        <v>139</v>
      </c>
      <c r="K5" s="182" t="s">
        <v>140</v>
      </c>
      <c r="L5" s="182" t="s">
        <v>141</v>
      </c>
      <c r="M5" s="182" t="s">
        <v>142</v>
      </c>
      <c r="N5" s="182" t="s">
        <v>143</v>
      </c>
      <c r="O5" s="183" t="s">
        <v>144</v>
      </c>
      <c r="P5" s="181" t="s">
        <v>145</v>
      </c>
      <c r="Q5" s="182" t="s">
        <v>146</v>
      </c>
      <c r="R5" s="182" t="s">
        <v>147</v>
      </c>
      <c r="S5" s="182" t="s">
        <v>148</v>
      </c>
      <c r="T5" s="182" t="s">
        <v>149</v>
      </c>
      <c r="U5" s="182" t="b">
        <f>INDEX(dms_CF_8.1_Neg, MATCH(dms_TradingName,dms_CF_TradingName))="Y"</f>
        <v>0</v>
      </c>
      <c r="V5" s="181" t="s">
        <v>150</v>
      </c>
      <c r="W5" s="184"/>
      <c r="X5" s="185"/>
      <c r="Y5" s="181" t="s">
        <v>151</v>
      </c>
    </row>
    <row r="6" spans="2:25" s="197" customFormat="1" ht="41.25" customHeight="1" thickBot="1">
      <c r="B6" s="187" t="s">
        <v>152</v>
      </c>
      <c r="C6" s="188" t="s">
        <v>153</v>
      </c>
      <c r="D6" s="189" t="s">
        <v>154</v>
      </c>
      <c r="E6" s="189" t="s">
        <v>155</v>
      </c>
      <c r="F6" s="190" t="s">
        <v>156</v>
      </c>
      <c r="G6" s="190" t="s">
        <v>157</v>
      </c>
      <c r="H6" s="190" t="s">
        <v>158</v>
      </c>
      <c r="I6" s="190" t="s">
        <v>159</v>
      </c>
      <c r="J6" s="190" t="s">
        <v>160</v>
      </c>
      <c r="K6" s="190" t="s">
        <v>161</v>
      </c>
      <c r="L6" s="190" t="s">
        <v>162</v>
      </c>
      <c r="M6" s="190" t="s">
        <v>163</v>
      </c>
      <c r="N6" s="190" t="s">
        <v>164</v>
      </c>
      <c r="O6" s="190" t="s">
        <v>165</v>
      </c>
      <c r="P6" s="190" t="s">
        <v>166</v>
      </c>
      <c r="Q6" s="191" t="s">
        <v>167</v>
      </c>
      <c r="R6" s="192" t="s">
        <v>168</v>
      </c>
      <c r="S6" s="193" t="s">
        <v>169</v>
      </c>
      <c r="T6" s="193" t="s">
        <v>170</v>
      </c>
      <c r="U6" s="193" t="s">
        <v>171</v>
      </c>
      <c r="V6" s="194" t="s">
        <v>172</v>
      </c>
      <c r="W6" s="194" t="s">
        <v>173</v>
      </c>
      <c r="X6" s="195" t="s">
        <v>174</v>
      </c>
      <c r="Y6" s="196" t="s">
        <v>175</v>
      </c>
    </row>
    <row r="7" spans="2:25" ht="17.25" customHeight="1">
      <c r="B7" s="198" t="s">
        <v>176</v>
      </c>
      <c r="C7" s="199" t="s">
        <v>177</v>
      </c>
      <c r="D7" s="199" t="s">
        <v>178</v>
      </c>
      <c r="E7" s="199" t="s">
        <v>179</v>
      </c>
      <c r="F7" s="200" t="s">
        <v>180</v>
      </c>
      <c r="G7" s="201" t="s">
        <v>180</v>
      </c>
      <c r="H7" s="201" t="s">
        <v>180</v>
      </c>
      <c r="I7" s="201" t="s">
        <v>180</v>
      </c>
      <c r="J7" s="201" t="s">
        <v>180</v>
      </c>
      <c r="K7" s="201" t="s">
        <v>180</v>
      </c>
      <c r="L7" s="201" t="s">
        <v>180</v>
      </c>
      <c r="M7" s="201" t="s">
        <v>180</v>
      </c>
      <c r="N7" s="201" t="s">
        <v>180</v>
      </c>
      <c r="O7" s="201" t="s">
        <v>180</v>
      </c>
      <c r="P7" s="200" t="s">
        <v>180</v>
      </c>
      <c r="Q7" s="202" t="s">
        <v>180</v>
      </c>
      <c r="R7" s="200" t="s">
        <v>180</v>
      </c>
      <c r="S7" s="200" t="s">
        <v>180</v>
      </c>
      <c r="T7" s="201" t="s">
        <v>180</v>
      </c>
      <c r="U7" s="201" t="s">
        <v>180</v>
      </c>
      <c r="V7" s="200" t="s">
        <v>180</v>
      </c>
      <c r="W7" s="201" t="s">
        <v>180</v>
      </c>
      <c r="X7" s="203" t="s">
        <v>180</v>
      </c>
      <c r="Y7" s="204" t="s">
        <v>180</v>
      </c>
    </row>
    <row r="8" spans="2:25">
      <c r="B8" s="205" t="s">
        <v>181</v>
      </c>
      <c r="C8" s="206" t="s">
        <v>182</v>
      </c>
      <c r="D8" s="206" t="s">
        <v>178</v>
      </c>
      <c r="E8" s="206" t="s">
        <v>179</v>
      </c>
      <c r="F8" s="207" t="s">
        <v>180</v>
      </c>
      <c r="G8" s="208" t="s">
        <v>180</v>
      </c>
      <c r="H8" s="208" t="s">
        <v>180</v>
      </c>
      <c r="I8" s="208" t="s">
        <v>180</v>
      </c>
      <c r="J8" s="208" t="s">
        <v>180</v>
      </c>
      <c r="K8" s="208" t="s">
        <v>180</v>
      </c>
      <c r="L8" s="208" t="s">
        <v>180</v>
      </c>
      <c r="M8" s="208" t="s">
        <v>180</v>
      </c>
      <c r="N8" s="208" t="s">
        <v>180</v>
      </c>
      <c r="O8" s="208" t="s">
        <v>180</v>
      </c>
      <c r="P8" s="207" t="s">
        <v>180</v>
      </c>
      <c r="Q8" s="207" t="s">
        <v>180</v>
      </c>
      <c r="R8" s="207" t="s">
        <v>180</v>
      </c>
      <c r="S8" s="207" t="s">
        <v>180</v>
      </c>
      <c r="T8" s="208" t="s">
        <v>180</v>
      </c>
      <c r="U8" s="208" t="s">
        <v>180</v>
      </c>
      <c r="V8" s="207" t="s">
        <v>180</v>
      </c>
      <c r="W8" s="209" t="s">
        <v>180</v>
      </c>
      <c r="X8" s="210" t="s">
        <v>180</v>
      </c>
      <c r="Y8" s="211" t="s">
        <v>180</v>
      </c>
    </row>
    <row r="9" spans="2:25">
      <c r="B9" s="212" t="s">
        <v>183</v>
      </c>
      <c r="C9" s="213" t="s">
        <v>184</v>
      </c>
      <c r="D9" s="213" t="s">
        <v>185</v>
      </c>
      <c r="E9" s="213" t="s">
        <v>186</v>
      </c>
      <c r="F9" s="214"/>
      <c r="G9" s="209" t="s">
        <v>187</v>
      </c>
      <c r="H9" s="209" t="s">
        <v>188</v>
      </c>
      <c r="I9" s="209" t="s">
        <v>188</v>
      </c>
      <c r="J9" s="209" t="s">
        <v>188</v>
      </c>
      <c r="K9" s="209" t="s">
        <v>188</v>
      </c>
      <c r="L9" s="209" t="s">
        <v>188</v>
      </c>
      <c r="M9" s="209" t="s">
        <v>188</v>
      </c>
      <c r="N9" s="209" t="s">
        <v>187</v>
      </c>
      <c r="O9" s="209" t="s">
        <v>188</v>
      </c>
      <c r="P9" s="214" t="s">
        <v>188</v>
      </c>
      <c r="Q9" s="214" t="str">
        <f t="shared" ref="Q9:Q24" si="0">IFERROR(IF(_xlfn.SINGLE(dms_MAIFI_Flag)="Yes","N","Y"),"Y")</f>
        <v>Y</v>
      </c>
      <c r="R9" s="214" t="s">
        <v>187</v>
      </c>
      <c r="S9" s="214" t="s">
        <v>188</v>
      </c>
      <c r="T9" s="209" t="s">
        <v>187</v>
      </c>
      <c r="U9" s="209" t="s">
        <v>187</v>
      </c>
      <c r="V9" s="214" t="s">
        <v>188</v>
      </c>
      <c r="W9" s="209" t="str">
        <f t="shared" ref="W9:W24" si="1">IFERROR(LEFT(_xlfn.SINGLE(dms_MAIFI_Flag)),"N")</f>
        <v>N</v>
      </c>
      <c r="X9" s="210" t="str">
        <f>IF('AER CF'!$C7="Vic","Y","N")</f>
        <v>N</v>
      </c>
      <c r="Y9" s="211"/>
    </row>
    <row r="10" spans="2:25">
      <c r="B10" s="215" t="s">
        <v>189</v>
      </c>
      <c r="C10" s="216" t="s">
        <v>184</v>
      </c>
      <c r="D10" s="216" t="s">
        <v>185</v>
      </c>
      <c r="E10" s="216" t="s">
        <v>186</v>
      </c>
      <c r="F10" s="214"/>
      <c r="G10" s="209" t="s">
        <v>187</v>
      </c>
      <c r="H10" s="209" t="s">
        <v>188</v>
      </c>
      <c r="I10" s="209" t="s">
        <v>188</v>
      </c>
      <c r="J10" s="209" t="s">
        <v>188</v>
      </c>
      <c r="K10" s="209" t="s">
        <v>188</v>
      </c>
      <c r="L10" s="209" t="s">
        <v>188</v>
      </c>
      <c r="M10" s="209" t="s">
        <v>188</v>
      </c>
      <c r="N10" s="209" t="s">
        <v>187</v>
      </c>
      <c r="O10" s="209" t="s">
        <v>188</v>
      </c>
      <c r="P10" s="214" t="s">
        <v>188</v>
      </c>
      <c r="Q10" s="214" t="str">
        <f t="shared" si="0"/>
        <v>Y</v>
      </c>
      <c r="R10" s="214" t="s">
        <v>187</v>
      </c>
      <c r="S10" s="214" t="s">
        <v>188</v>
      </c>
      <c r="T10" s="209" t="s">
        <v>187</v>
      </c>
      <c r="U10" s="209" t="s">
        <v>187</v>
      </c>
      <c r="V10" s="214" t="s">
        <v>188</v>
      </c>
      <c r="W10" s="209" t="str">
        <f t="shared" si="1"/>
        <v>N</v>
      </c>
      <c r="X10" s="210" t="str">
        <f>IF('AER CF'!$C8="Vic","Y","N")</f>
        <v>Y</v>
      </c>
      <c r="Y10" s="211"/>
    </row>
    <row r="11" spans="2:25">
      <c r="B11" s="215" t="s">
        <v>190</v>
      </c>
      <c r="C11" s="213" t="s">
        <v>182</v>
      </c>
      <c r="D11" s="213" t="s">
        <v>185</v>
      </c>
      <c r="E11" s="213" t="s">
        <v>186</v>
      </c>
      <c r="F11" s="214"/>
      <c r="G11" s="209" t="s">
        <v>188</v>
      </c>
      <c r="H11" s="209" t="s">
        <v>188</v>
      </c>
      <c r="I11" s="209"/>
      <c r="J11" s="209"/>
      <c r="K11" s="209" t="s">
        <v>188</v>
      </c>
      <c r="L11" s="209" t="s">
        <v>188</v>
      </c>
      <c r="M11" s="209" t="s">
        <v>188</v>
      </c>
      <c r="N11" s="209" t="s">
        <v>188</v>
      </c>
      <c r="O11" s="209" t="s">
        <v>188</v>
      </c>
      <c r="P11" s="214" t="s">
        <v>188</v>
      </c>
      <c r="Q11" s="214" t="str">
        <f t="shared" si="0"/>
        <v>Y</v>
      </c>
      <c r="R11" s="214" t="s">
        <v>188</v>
      </c>
      <c r="S11" s="214" t="s">
        <v>188</v>
      </c>
      <c r="T11" s="209" t="s">
        <v>188</v>
      </c>
      <c r="U11" s="209" t="s">
        <v>187</v>
      </c>
      <c r="V11" s="214" t="s">
        <v>188</v>
      </c>
      <c r="W11" s="209" t="str">
        <f t="shared" si="1"/>
        <v>N</v>
      </c>
      <c r="X11" s="210" t="str">
        <f>IF('AER CF'!$C9="Vic","Y","N")</f>
        <v>N</v>
      </c>
      <c r="Y11" s="211"/>
    </row>
    <row r="12" spans="2:25">
      <c r="B12" s="217" t="s">
        <v>191</v>
      </c>
      <c r="C12" s="218" t="s">
        <v>182</v>
      </c>
      <c r="D12" s="218" t="s">
        <v>185</v>
      </c>
      <c r="E12" s="218" t="s">
        <v>179</v>
      </c>
      <c r="F12" s="214"/>
      <c r="G12" s="209" t="s">
        <v>188</v>
      </c>
      <c r="H12" s="209"/>
      <c r="I12" s="209"/>
      <c r="J12" s="209"/>
      <c r="K12" s="209" t="s">
        <v>188</v>
      </c>
      <c r="L12" s="209" t="s">
        <v>188</v>
      </c>
      <c r="M12" s="209" t="s">
        <v>188</v>
      </c>
      <c r="N12" s="209" t="s">
        <v>188</v>
      </c>
      <c r="O12" s="209" t="s">
        <v>188</v>
      </c>
      <c r="P12" s="214" t="s">
        <v>187</v>
      </c>
      <c r="Q12" s="214" t="str">
        <f t="shared" si="0"/>
        <v>Y</v>
      </c>
      <c r="R12" s="214" t="s">
        <v>188</v>
      </c>
      <c r="S12" s="214" t="s">
        <v>188</v>
      </c>
      <c r="T12" s="209" t="s">
        <v>188</v>
      </c>
      <c r="U12" s="209" t="s">
        <v>187</v>
      </c>
      <c r="V12" s="214" t="s">
        <v>188</v>
      </c>
      <c r="W12" s="209" t="str">
        <f t="shared" si="1"/>
        <v>N</v>
      </c>
      <c r="X12" s="210" t="str">
        <f>IF('AER CF'!$C10="Vic","Y","N")</f>
        <v>N</v>
      </c>
      <c r="Y12" s="211"/>
    </row>
    <row r="13" spans="2:25">
      <c r="B13" s="219" t="s">
        <v>0</v>
      </c>
      <c r="C13" s="220" t="s">
        <v>184</v>
      </c>
      <c r="D13" s="220" t="s">
        <v>185</v>
      </c>
      <c r="E13" s="220" t="s">
        <v>186</v>
      </c>
      <c r="F13" s="214" t="s">
        <v>188</v>
      </c>
      <c r="G13" s="209" t="s">
        <v>188</v>
      </c>
      <c r="H13" s="209" t="s">
        <v>188</v>
      </c>
      <c r="I13" s="209" t="s">
        <v>188</v>
      </c>
      <c r="J13" s="209"/>
      <c r="K13" s="209" t="s">
        <v>188</v>
      </c>
      <c r="L13" s="209" t="s">
        <v>188</v>
      </c>
      <c r="M13" s="209" t="s">
        <v>188</v>
      </c>
      <c r="N13" s="209" t="s">
        <v>188</v>
      </c>
      <c r="O13" s="209" t="s">
        <v>188</v>
      </c>
      <c r="P13" s="214" t="s">
        <v>188</v>
      </c>
      <c r="Q13" s="207" t="str">
        <f t="shared" si="0"/>
        <v>Y</v>
      </c>
      <c r="R13" s="214" t="s">
        <v>188</v>
      </c>
      <c r="S13" s="214" t="s">
        <v>188</v>
      </c>
      <c r="T13" s="209" t="s">
        <v>188</v>
      </c>
      <c r="U13" s="209" t="s">
        <v>188</v>
      </c>
      <c r="V13" s="214" t="s">
        <v>188</v>
      </c>
      <c r="W13" s="209" t="str">
        <f t="shared" si="1"/>
        <v>N</v>
      </c>
      <c r="X13" s="210" t="str">
        <f>IF('AER CF'!$C13="Vic","Y","N")</f>
        <v>N</v>
      </c>
      <c r="Y13" s="211"/>
    </row>
    <row r="14" spans="2:25">
      <c r="B14" s="221" t="s">
        <v>192</v>
      </c>
      <c r="C14" s="220" t="s">
        <v>182</v>
      </c>
      <c r="D14" s="220" t="s">
        <v>185</v>
      </c>
      <c r="E14" s="220" t="s">
        <v>186</v>
      </c>
      <c r="F14" s="214" t="s">
        <v>188</v>
      </c>
      <c r="G14" s="209" t="s">
        <v>188</v>
      </c>
      <c r="H14" s="209" t="s">
        <v>188</v>
      </c>
      <c r="I14" s="209" t="s">
        <v>188</v>
      </c>
      <c r="J14" s="209"/>
      <c r="K14" s="209" t="s">
        <v>188</v>
      </c>
      <c r="L14" s="209" t="s">
        <v>188</v>
      </c>
      <c r="M14" s="209" t="s">
        <v>188</v>
      </c>
      <c r="N14" s="209" t="s">
        <v>188</v>
      </c>
      <c r="O14" s="209" t="s">
        <v>188</v>
      </c>
      <c r="P14" s="214" t="s">
        <v>188</v>
      </c>
      <c r="Q14" s="214" t="str">
        <f t="shared" si="0"/>
        <v>Y</v>
      </c>
      <c r="R14" s="214" t="s">
        <v>188</v>
      </c>
      <c r="S14" s="214" t="s">
        <v>188</v>
      </c>
      <c r="T14" s="209" t="s">
        <v>188</v>
      </c>
      <c r="U14" s="209" t="s">
        <v>188</v>
      </c>
      <c r="V14" s="214" t="s">
        <v>188</v>
      </c>
      <c r="W14" s="209" t="str">
        <f t="shared" si="1"/>
        <v>N</v>
      </c>
      <c r="X14" s="210" t="str">
        <f>IF('AER CF'!$C14="Vic","Y","N")</f>
        <v>Y</v>
      </c>
      <c r="Y14" s="211"/>
    </row>
    <row r="15" spans="2:25">
      <c r="B15" s="212" t="s">
        <v>193</v>
      </c>
      <c r="C15" s="213" t="s">
        <v>182</v>
      </c>
      <c r="D15" s="213" t="s">
        <v>185</v>
      </c>
      <c r="E15" s="213" t="s">
        <v>186</v>
      </c>
      <c r="F15" s="214"/>
      <c r="G15" s="209" t="s">
        <v>188</v>
      </c>
      <c r="H15" s="209" t="s">
        <v>188</v>
      </c>
      <c r="I15" s="209"/>
      <c r="J15" s="209"/>
      <c r="K15" s="209" t="s">
        <v>188</v>
      </c>
      <c r="L15" s="209" t="s">
        <v>188</v>
      </c>
      <c r="M15" s="209" t="s">
        <v>188</v>
      </c>
      <c r="N15" s="209" t="s">
        <v>188</v>
      </c>
      <c r="O15" s="209" t="s">
        <v>188</v>
      </c>
      <c r="P15" s="214" t="s">
        <v>188</v>
      </c>
      <c r="Q15" s="214" t="str">
        <f t="shared" si="0"/>
        <v>Y</v>
      </c>
      <c r="R15" s="214" t="s">
        <v>188</v>
      </c>
      <c r="S15" s="214" t="s">
        <v>188</v>
      </c>
      <c r="T15" s="209" t="s">
        <v>188</v>
      </c>
      <c r="U15" s="209" t="s">
        <v>187</v>
      </c>
      <c r="V15" s="214" t="s">
        <v>188</v>
      </c>
      <c r="W15" s="209" t="str">
        <f t="shared" si="1"/>
        <v>N</v>
      </c>
      <c r="X15" s="210" t="str">
        <f>IF('AER CF'!$C15="Vic","Y","N")</f>
        <v>Y</v>
      </c>
      <c r="Y15" s="211"/>
    </row>
    <row r="16" spans="2:25">
      <c r="B16" s="222" t="s">
        <v>194</v>
      </c>
      <c r="C16" s="223" t="s">
        <v>195</v>
      </c>
      <c r="D16" s="223" t="s">
        <v>185</v>
      </c>
      <c r="E16" s="223" t="s">
        <v>179</v>
      </c>
      <c r="F16" s="214"/>
      <c r="G16" s="209" t="s">
        <v>188</v>
      </c>
      <c r="H16" s="209"/>
      <c r="I16" s="209"/>
      <c r="J16" s="209"/>
      <c r="K16" s="209" t="s">
        <v>188</v>
      </c>
      <c r="L16" s="209" t="s">
        <v>188</v>
      </c>
      <c r="M16" s="209" t="s">
        <v>188</v>
      </c>
      <c r="N16" s="209" t="s">
        <v>188</v>
      </c>
      <c r="O16" s="209" t="s">
        <v>188</v>
      </c>
      <c r="P16" s="214" t="s">
        <v>180</v>
      </c>
      <c r="Q16" s="214" t="str">
        <f t="shared" si="0"/>
        <v>Y</v>
      </c>
      <c r="R16" s="214" t="s">
        <v>188</v>
      </c>
      <c r="S16" s="214" t="s">
        <v>188</v>
      </c>
      <c r="T16" s="209" t="s">
        <v>187</v>
      </c>
      <c r="U16" s="209" t="s">
        <v>187</v>
      </c>
      <c r="V16" s="214" t="s">
        <v>188</v>
      </c>
      <c r="W16" s="209" t="str">
        <f t="shared" si="1"/>
        <v>N</v>
      </c>
      <c r="X16" s="210" t="str">
        <f>IF('AER CF'!$C16="Vic","Y","N")</f>
        <v>N</v>
      </c>
      <c r="Y16" s="211"/>
    </row>
    <row r="17" spans="2:25">
      <c r="B17" s="222" t="s">
        <v>196</v>
      </c>
      <c r="C17" s="218" t="s">
        <v>197</v>
      </c>
      <c r="D17" s="218" t="s">
        <v>185</v>
      </c>
      <c r="E17" s="218" t="s">
        <v>179</v>
      </c>
      <c r="F17" s="214"/>
      <c r="G17" s="209" t="s">
        <v>188</v>
      </c>
      <c r="H17" s="209"/>
      <c r="I17" s="209"/>
      <c r="J17" s="209"/>
      <c r="K17" s="209" t="s">
        <v>188</v>
      </c>
      <c r="L17" s="209" t="s">
        <v>188</v>
      </c>
      <c r="M17" s="209" t="s">
        <v>188</v>
      </c>
      <c r="N17" s="209" t="s">
        <v>188</v>
      </c>
      <c r="O17" s="209" t="s">
        <v>188</v>
      </c>
      <c r="P17" s="214" t="s">
        <v>180</v>
      </c>
      <c r="Q17" s="214" t="str">
        <f t="shared" si="0"/>
        <v>Y</v>
      </c>
      <c r="R17" s="214" t="s">
        <v>188</v>
      </c>
      <c r="S17" s="214" t="s">
        <v>188</v>
      </c>
      <c r="T17" s="209" t="s">
        <v>187</v>
      </c>
      <c r="U17" s="209" t="s">
        <v>187</v>
      </c>
      <c r="V17" s="214" t="s">
        <v>188</v>
      </c>
      <c r="W17" s="209" t="str">
        <f t="shared" si="1"/>
        <v>N</v>
      </c>
      <c r="X17" s="210" t="str">
        <f>IF('AER CF'!$C17="Vic","Y","N")</f>
        <v>N</v>
      </c>
      <c r="Y17" s="211"/>
    </row>
    <row r="18" spans="2:25">
      <c r="B18" s="212" t="s">
        <v>198</v>
      </c>
      <c r="C18" s="224" t="s">
        <v>184</v>
      </c>
      <c r="D18" s="224" t="s">
        <v>185</v>
      </c>
      <c r="E18" s="224" t="s">
        <v>186</v>
      </c>
      <c r="F18" s="214"/>
      <c r="G18" s="209" t="s">
        <v>187</v>
      </c>
      <c r="H18" s="209" t="s">
        <v>188</v>
      </c>
      <c r="I18" s="209" t="s">
        <v>187</v>
      </c>
      <c r="J18" s="209" t="s">
        <v>187</v>
      </c>
      <c r="K18" s="209" t="s">
        <v>188</v>
      </c>
      <c r="L18" s="209" t="s">
        <v>188</v>
      </c>
      <c r="M18" s="209" t="s">
        <v>188</v>
      </c>
      <c r="N18" s="209" t="s">
        <v>187</v>
      </c>
      <c r="O18" s="209" t="s">
        <v>188</v>
      </c>
      <c r="P18" s="214" t="s">
        <v>188</v>
      </c>
      <c r="Q18" s="214" t="str">
        <f t="shared" si="0"/>
        <v>Y</v>
      </c>
      <c r="R18" s="214" t="s">
        <v>187</v>
      </c>
      <c r="S18" s="214" t="s">
        <v>188</v>
      </c>
      <c r="T18" s="209" t="s">
        <v>187</v>
      </c>
      <c r="U18" s="209" t="s">
        <v>187</v>
      </c>
      <c r="V18" s="214" t="s">
        <v>187</v>
      </c>
      <c r="W18" s="209" t="str">
        <f t="shared" si="1"/>
        <v>N</v>
      </c>
      <c r="X18" s="210" t="str">
        <f>IF('AER CF'!$C18="Vic","Y","N")</f>
        <v>N</v>
      </c>
      <c r="Y18" s="211"/>
    </row>
    <row r="19" spans="2:25">
      <c r="B19" s="212" t="s">
        <v>199</v>
      </c>
      <c r="C19" s="213" t="s">
        <v>195</v>
      </c>
      <c r="D19" s="213" t="s">
        <v>185</v>
      </c>
      <c r="E19" s="213" t="s">
        <v>186</v>
      </c>
      <c r="F19" s="214"/>
      <c r="G19" s="209" t="s">
        <v>187</v>
      </c>
      <c r="H19" s="209" t="s">
        <v>188</v>
      </c>
      <c r="I19" s="209"/>
      <c r="J19" s="209"/>
      <c r="K19" s="209" t="s">
        <v>188</v>
      </c>
      <c r="L19" s="209" t="s">
        <v>188</v>
      </c>
      <c r="M19" s="209" t="s">
        <v>188</v>
      </c>
      <c r="N19" s="209" t="s">
        <v>188</v>
      </c>
      <c r="O19" s="209" t="s">
        <v>188</v>
      </c>
      <c r="P19" s="214" t="s">
        <v>188</v>
      </c>
      <c r="Q19" s="214" t="str">
        <f t="shared" si="0"/>
        <v>Y</v>
      </c>
      <c r="R19" s="214" t="s">
        <v>187</v>
      </c>
      <c r="S19" s="214" t="s">
        <v>188</v>
      </c>
      <c r="T19" s="209" t="s">
        <v>187</v>
      </c>
      <c r="U19" s="209" t="s">
        <v>187</v>
      </c>
      <c r="V19" s="214" t="s">
        <v>187</v>
      </c>
      <c r="W19" s="209" t="str">
        <f t="shared" si="1"/>
        <v>N</v>
      </c>
      <c r="X19" s="210" t="str">
        <f>IF('AER CF'!$C19="Vic","Y","N")</f>
        <v>N</v>
      </c>
      <c r="Y19" s="211"/>
    </row>
    <row r="20" spans="2:25">
      <c r="B20" s="212" t="s">
        <v>200</v>
      </c>
      <c r="C20" s="224" t="s">
        <v>195</v>
      </c>
      <c r="D20" s="224" t="s">
        <v>185</v>
      </c>
      <c r="E20" s="224" t="s">
        <v>186</v>
      </c>
      <c r="F20" s="214"/>
      <c r="G20" s="209" t="s">
        <v>187</v>
      </c>
      <c r="H20" s="209" t="s">
        <v>188</v>
      </c>
      <c r="I20" s="209" t="s">
        <v>187</v>
      </c>
      <c r="J20" s="209" t="s">
        <v>187</v>
      </c>
      <c r="K20" s="209" t="s">
        <v>188</v>
      </c>
      <c r="L20" s="209" t="s">
        <v>188</v>
      </c>
      <c r="M20" s="209" t="s">
        <v>188</v>
      </c>
      <c r="N20" s="209" t="s">
        <v>188</v>
      </c>
      <c r="O20" s="209" t="s">
        <v>188</v>
      </c>
      <c r="P20" s="214" t="s">
        <v>188</v>
      </c>
      <c r="Q20" s="214" t="str">
        <f t="shared" si="0"/>
        <v>Y</v>
      </c>
      <c r="R20" s="214" t="s">
        <v>187</v>
      </c>
      <c r="S20" s="214" t="s">
        <v>188</v>
      </c>
      <c r="T20" s="209" t="s">
        <v>187</v>
      </c>
      <c r="U20" s="209" t="s">
        <v>187</v>
      </c>
      <c r="V20" s="214" t="s">
        <v>188</v>
      </c>
      <c r="W20" s="209" t="str">
        <f t="shared" si="1"/>
        <v>N</v>
      </c>
      <c r="X20" s="210" t="str">
        <f>IF('AER CF'!$C20="Vic","Y","N")</f>
        <v>N</v>
      </c>
      <c r="Y20" s="211"/>
    </row>
    <row r="21" spans="2:25">
      <c r="B21" s="212" t="s">
        <v>201</v>
      </c>
      <c r="C21" s="213" t="s">
        <v>184</v>
      </c>
      <c r="D21" s="213" t="s">
        <v>185</v>
      </c>
      <c r="E21" s="213" t="s">
        <v>186</v>
      </c>
      <c r="F21" s="214"/>
      <c r="G21" s="209" t="s">
        <v>187</v>
      </c>
      <c r="H21" s="209" t="s">
        <v>188</v>
      </c>
      <c r="I21" s="209" t="s">
        <v>187</v>
      </c>
      <c r="J21" s="209" t="s">
        <v>187</v>
      </c>
      <c r="K21" s="209" t="s">
        <v>188</v>
      </c>
      <c r="L21" s="209" t="s">
        <v>188</v>
      </c>
      <c r="M21" s="209" t="s">
        <v>188</v>
      </c>
      <c r="N21" s="209" t="s">
        <v>187</v>
      </c>
      <c r="O21" s="209" t="s">
        <v>188</v>
      </c>
      <c r="P21" s="214" t="s">
        <v>188</v>
      </c>
      <c r="Q21" s="214" t="str">
        <f t="shared" si="0"/>
        <v>Y</v>
      </c>
      <c r="R21" s="214" t="s">
        <v>187</v>
      </c>
      <c r="S21" s="214" t="s">
        <v>188</v>
      </c>
      <c r="T21" s="209" t="s">
        <v>187</v>
      </c>
      <c r="U21" s="209" t="s">
        <v>187</v>
      </c>
      <c r="V21" s="214" t="s">
        <v>188</v>
      </c>
      <c r="W21" s="209" t="str">
        <f t="shared" si="1"/>
        <v>N</v>
      </c>
      <c r="X21" s="210" t="str">
        <f>IF('AER CF'!$C21="Vic","Y","N")</f>
        <v>N</v>
      </c>
      <c r="Y21" s="211"/>
    </row>
    <row r="22" spans="2:25">
      <c r="B22" s="212" t="s">
        <v>202</v>
      </c>
      <c r="C22" s="213" t="s">
        <v>203</v>
      </c>
      <c r="D22" s="213" t="s">
        <v>185</v>
      </c>
      <c r="E22" s="213" t="s">
        <v>186</v>
      </c>
      <c r="F22" s="214"/>
      <c r="G22" s="209" t="s">
        <v>187</v>
      </c>
      <c r="H22" s="209" t="s">
        <v>188</v>
      </c>
      <c r="I22" s="209" t="s">
        <v>187</v>
      </c>
      <c r="J22" s="209" t="s">
        <v>187</v>
      </c>
      <c r="K22" s="209" t="s">
        <v>187</v>
      </c>
      <c r="L22" s="209" t="s">
        <v>187</v>
      </c>
      <c r="M22" s="209" t="s">
        <v>188</v>
      </c>
      <c r="N22" s="209" t="s">
        <v>187</v>
      </c>
      <c r="O22" s="209" t="s">
        <v>188</v>
      </c>
      <c r="P22" s="214" t="s">
        <v>187</v>
      </c>
      <c r="Q22" s="214" t="str">
        <f t="shared" si="0"/>
        <v>Y</v>
      </c>
      <c r="R22" s="214" t="s">
        <v>187</v>
      </c>
      <c r="S22" s="214" t="s">
        <v>188</v>
      </c>
      <c r="T22" s="209" t="s">
        <v>187</v>
      </c>
      <c r="U22" s="209" t="s">
        <v>187</v>
      </c>
      <c r="V22" s="214" t="s">
        <v>188</v>
      </c>
      <c r="W22" s="209" t="str">
        <f t="shared" si="1"/>
        <v>N</v>
      </c>
      <c r="X22" s="210" t="str">
        <f>IF('AER CF'!$C22="Vic","Y","N")</f>
        <v>N</v>
      </c>
      <c r="Y22" s="211"/>
    </row>
    <row r="23" spans="2:25">
      <c r="B23" s="212" t="s">
        <v>204</v>
      </c>
      <c r="C23" s="213" t="s">
        <v>203</v>
      </c>
      <c r="D23" s="213" t="s">
        <v>185</v>
      </c>
      <c r="E23" s="213" t="s">
        <v>186</v>
      </c>
      <c r="F23" s="214"/>
      <c r="G23" s="209" t="s">
        <v>187</v>
      </c>
      <c r="H23" s="209" t="s">
        <v>188</v>
      </c>
      <c r="I23" s="209" t="s">
        <v>187</v>
      </c>
      <c r="J23" s="209" t="s">
        <v>187</v>
      </c>
      <c r="K23" s="209" t="s">
        <v>187</v>
      </c>
      <c r="L23" s="209" t="s">
        <v>187</v>
      </c>
      <c r="M23" s="209" t="s">
        <v>188</v>
      </c>
      <c r="N23" s="209" t="s">
        <v>187</v>
      </c>
      <c r="O23" s="209" t="s">
        <v>188</v>
      </c>
      <c r="P23" s="214" t="s">
        <v>187</v>
      </c>
      <c r="Q23" s="214" t="str">
        <f t="shared" si="0"/>
        <v>Y</v>
      </c>
      <c r="R23" s="214" t="s">
        <v>187</v>
      </c>
      <c r="S23" s="214" t="s">
        <v>188</v>
      </c>
      <c r="T23" s="209" t="s">
        <v>187</v>
      </c>
      <c r="U23" s="209" t="s">
        <v>187</v>
      </c>
      <c r="V23" s="214" t="s">
        <v>188</v>
      </c>
      <c r="W23" s="209" t="str">
        <f t="shared" si="1"/>
        <v>N</v>
      </c>
      <c r="X23" s="210" t="str">
        <f>IF('AER CF'!$C23="Vic","Y","N")</f>
        <v>N</v>
      </c>
      <c r="Y23" s="211"/>
    </row>
    <row r="24" spans="2:25">
      <c r="B24" s="212" t="s">
        <v>205</v>
      </c>
      <c r="C24" s="224" t="s">
        <v>182</v>
      </c>
      <c r="D24" s="224" t="s">
        <v>185</v>
      </c>
      <c r="E24" s="224" t="s">
        <v>186</v>
      </c>
      <c r="F24" s="214"/>
      <c r="G24" s="209" t="s">
        <v>188</v>
      </c>
      <c r="H24" s="209" t="s">
        <v>188</v>
      </c>
      <c r="I24" s="209"/>
      <c r="J24" s="209"/>
      <c r="K24" s="209" t="s">
        <v>188</v>
      </c>
      <c r="L24" s="209" t="s">
        <v>188</v>
      </c>
      <c r="M24" s="209" t="s">
        <v>188</v>
      </c>
      <c r="N24" s="209" t="s">
        <v>188</v>
      </c>
      <c r="O24" s="209" t="s">
        <v>188</v>
      </c>
      <c r="P24" s="214" t="s">
        <v>188</v>
      </c>
      <c r="Q24" s="214" t="str">
        <f t="shared" si="0"/>
        <v>Y</v>
      </c>
      <c r="R24" s="214" t="s">
        <v>188</v>
      </c>
      <c r="S24" s="214" t="s">
        <v>188</v>
      </c>
      <c r="T24" s="209" t="s">
        <v>188</v>
      </c>
      <c r="U24" s="209" t="s">
        <v>187</v>
      </c>
      <c r="V24" s="214" t="s">
        <v>188</v>
      </c>
      <c r="W24" s="209" t="str">
        <f t="shared" si="1"/>
        <v>N</v>
      </c>
      <c r="X24" s="210" t="str">
        <f>IF('AER CF'!$C25="Vic","Y","N")</f>
        <v>Y</v>
      </c>
      <c r="Y24" s="211"/>
    </row>
    <row r="25" spans="2:25">
      <c r="B25" s="225" t="s">
        <v>206</v>
      </c>
      <c r="C25" s="226" t="s">
        <v>182</v>
      </c>
      <c r="D25" s="226" t="s">
        <v>178</v>
      </c>
      <c r="E25" s="226" t="s">
        <v>186</v>
      </c>
      <c r="F25" s="214" t="s">
        <v>180</v>
      </c>
      <c r="G25" s="209" t="s">
        <v>180</v>
      </c>
      <c r="H25" s="209" t="s">
        <v>180</v>
      </c>
      <c r="I25" s="209" t="s">
        <v>180</v>
      </c>
      <c r="J25" s="209" t="s">
        <v>180</v>
      </c>
      <c r="K25" s="209" t="s">
        <v>180</v>
      </c>
      <c r="L25" s="209" t="s">
        <v>180</v>
      </c>
      <c r="M25" s="209" t="s">
        <v>180</v>
      </c>
      <c r="N25" s="209" t="s">
        <v>180</v>
      </c>
      <c r="O25" s="209" t="s">
        <v>180</v>
      </c>
      <c r="P25" s="214" t="s">
        <v>180</v>
      </c>
      <c r="Q25" s="207" t="s">
        <v>180</v>
      </c>
      <c r="R25" s="214" t="s">
        <v>180</v>
      </c>
      <c r="S25" s="214" t="s">
        <v>180</v>
      </c>
      <c r="T25" s="209" t="s">
        <v>180</v>
      </c>
      <c r="U25" s="209" t="s">
        <v>180</v>
      </c>
      <c r="V25" s="214" t="s">
        <v>180</v>
      </c>
      <c r="W25" s="209" t="s">
        <v>180</v>
      </c>
      <c r="X25" s="210" t="s">
        <v>180</v>
      </c>
      <c r="Y25" s="211" t="s">
        <v>180</v>
      </c>
    </row>
    <row r="26" spans="2:25">
      <c r="B26" s="222" t="s">
        <v>207</v>
      </c>
      <c r="C26" s="218" t="s">
        <v>197</v>
      </c>
      <c r="D26" s="218" t="s">
        <v>185</v>
      </c>
      <c r="E26" s="218" t="s">
        <v>179</v>
      </c>
      <c r="F26" s="214"/>
      <c r="G26" s="209" t="s">
        <v>188</v>
      </c>
      <c r="H26" s="209"/>
      <c r="I26" s="209"/>
      <c r="J26" s="209"/>
      <c r="K26" s="209" t="s">
        <v>188</v>
      </c>
      <c r="L26" s="209" t="s">
        <v>188</v>
      </c>
      <c r="M26" s="209" t="s">
        <v>188</v>
      </c>
      <c r="N26" s="209" t="s">
        <v>188</v>
      </c>
      <c r="O26" s="209" t="s">
        <v>188</v>
      </c>
      <c r="P26" s="214" t="s">
        <v>180</v>
      </c>
      <c r="Q26" s="214" t="str">
        <f>IFERROR(IF(_xlfn.SINGLE(dms_MAIFI_Flag)="Yes","N","Y"),"Y")</f>
        <v>Y</v>
      </c>
      <c r="R26" s="214" t="s">
        <v>188</v>
      </c>
      <c r="S26" s="214" t="s">
        <v>188</v>
      </c>
      <c r="T26" s="209" t="s">
        <v>187</v>
      </c>
      <c r="U26" s="209" t="s">
        <v>187</v>
      </c>
      <c r="V26" s="214" t="s">
        <v>188</v>
      </c>
      <c r="W26" s="209" t="str">
        <f>IFERROR(LEFT(_xlfn.SINGLE(dms_MAIFI_Flag)),"N")</f>
        <v>N</v>
      </c>
      <c r="X26" s="210" t="str">
        <f>IF('AER CF'!$C26="Vic","Y","N")</f>
        <v>N</v>
      </c>
      <c r="Y26" s="211"/>
    </row>
    <row r="27" spans="2:25">
      <c r="B27" s="212" t="s">
        <v>208</v>
      </c>
      <c r="C27" s="213" t="s">
        <v>177</v>
      </c>
      <c r="D27" s="224" t="s">
        <v>185</v>
      </c>
      <c r="E27" s="224" t="s">
        <v>186</v>
      </c>
      <c r="F27" s="214"/>
      <c r="G27" s="209" t="s">
        <v>188</v>
      </c>
      <c r="H27" s="209" t="s">
        <v>188</v>
      </c>
      <c r="I27" s="209"/>
      <c r="J27" s="209"/>
      <c r="K27" s="209" t="s">
        <v>188</v>
      </c>
      <c r="L27" s="209" t="s">
        <v>187</v>
      </c>
      <c r="M27" s="209" t="s">
        <v>188</v>
      </c>
      <c r="N27" s="209" t="s">
        <v>188</v>
      </c>
      <c r="O27" s="209" t="s">
        <v>188</v>
      </c>
      <c r="P27" s="214" t="s">
        <v>187</v>
      </c>
      <c r="Q27" s="214" t="str">
        <f>IFERROR(IF(_xlfn.SINGLE(dms_MAIFI_Flag)="Yes","N","Y"),"Y")</f>
        <v>Y</v>
      </c>
      <c r="R27" s="214" t="s">
        <v>187</v>
      </c>
      <c r="S27" s="214" t="s">
        <v>187</v>
      </c>
      <c r="T27" s="209" t="s">
        <v>187</v>
      </c>
      <c r="U27" s="209" t="s">
        <v>187</v>
      </c>
      <c r="V27" s="214" t="s">
        <v>188</v>
      </c>
      <c r="W27" s="209" t="str">
        <f>IFERROR(LEFT(_xlfn.SINGLE(dms_MAIFI_Flag)),"N")</f>
        <v>N</v>
      </c>
      <c r="X27" s="210" t="str">
        <f>IF('AER CF'!$C27="Vic","Y","N")</f>
        <v>N</v>
      </c>
      <c r="Y27" s="211"/>
    </row>
    <row r="28" spans="2:25">
      <c r="B28" s="212" t="s">
        <v>209</v>
      </c>
      <c r="C28" s="213" t="s">
        <v>182</v>
      </c>
      <c r="D28" s="213" t="s">
        <v>185</v>
      </c>
      <c r="E28" s="213" t="s">
        <v>186</v>
      </c>
      <c r="F28" s="214"/>
      <c r="G28" s="209" t="s">
        <v>188</v>
      </c>
      <c r="H28" s="209" t="s">
        <v>188</v>
      </c>
      <c r="I28" s="209"/>
      <c r="J28" s="209"/>
      <c r="K28" s="209" t="s">
        <v>188</v>
      </c>
      <c r="L28" s="209" t="s">
        <v>188</v>
      </c>
      <c r="M28" s="209" t="s">
        <v>188</v>
      </c>
      <c r="N28" s="209" t="s">
        <v>188</v>
      </c>
      <c r="O28" s="209" t="s">
        <v>188</v>
      </c>
      <c r="P28" s="214" t="s">
        <v>188</v>
      </c>
      <c r="Q28" s="214" t="str">
        <f>IFERROR(IF(_xlfn.SINGLE(dms_MAIFI_Flag)="Yes","N","Y"),"Y")</f>
        <v>Y</v>
      </c>
      <c r="R28" s="214" t="s">
        <v>188</v>
      </c>
      <c r="S28" s="214" t="s">
        <v>188</v>
      </c>
      <c r="T28" s="209" t="s">
        <v>188</v>
      </c>
      <c r="U28" s="209" t="s">
        <v>187</v>
      </c>
      <c r="V28" s="214" t="s">
        <v>188</v>
      </c>
      <c r="W28" s="209" t="str">
        <f>IFERROR(LEFT(_xlfn.SINGLE(dms_MAIFI_Flag)),"N")</f>
        <v>N</v>
      </c>
      <c r="X28" s="210" t="str">
        <f>IF('AER CF'!$C28="Vic","Y","N")</f>
        <v>Y</v>
      </c>
      <c r="Y28" s="211"/>
    </row>
    <row r="29" spans="2:25">
      <c r="B29" s="222" t="s">
        <v>210</v>
      </c>
      <c r="C29" s="223" t="s">
        <v>195</v>
      </c>
      <c r="D29" s="223" t="s">
        <v>185</v>
      </c>
      <c r="E29" s="223" t="s">
        <v>179</v>
      </c>
      <c r="F29" s="214"/>
      <c r="G29" s="209" t="s">
        <v>188</v>
      </c>
      <c r="H29" s="209"/>
      <c r="I29" s="209"/>
      <c r="J29" s="209"/>
      <c r="K29" s="209" t="s">
        <v>188</v>
      </c>
      <c r="L29" s="209" t="s">
        <v>188</v>
      </c>
      <c r="M29" s="209" t="s">
        <v>188</v>
      </c>
      <c r="N29" s="209" t="s">
        <v>188</v>
      </c>
      <c r="O29" s="209" t="s">
        <v>188</v>
      </c>
      <c r="P29" s="214" t="s">
        <v>180</v>
      </c>
      <c r="Q29" s="214" t="str">
        <f>IFERROR(IF(_xlfn.SINGLE(dms_MAIFI_Flag)="Yes","N","Y"),"Y")</f>
        <v>Y</v>
      </c>
      <c r="R29" s="214" t="s">
        <v>188</v>
      </c>
      <c r="S29" s="214" t="s">
        <v>188</v>
      </c>
      <c r="T29" s="209" t="s">
        <v>187</v>
      </c>
      <c r="U29" s="209" t="s">
        <v>187</v>
      </c>
      <c r="V29" s="214" t="s">
        <v>188</v>
      </c>
      <c r="W29" s="209" t="str">
        <f>IFERROR(LEFT(_xlfn.SINGLE(dms_MAIFI_Flag)),"N")</f>
        <v>N</v>
      </c>
      <c r="X29" s="210" t="str">
        <f>IF('AER CF'!$C29="Vic","Y","N")</f>
        <v>N</v>
      </c>
      <c r="Y29" s="211"/>
    </row>
    <row r="30" spans="2:25">
      <c r="B30" s="227" t="s">
        <v>211</v>
      </c>
      <c r="C30" s="228" t="s">
        <v>195</v>
      </c>
      <c r="D30" s="228" t="s">
        <v>178</v>
      </c>
      <c r="E30" s="228" t="s">
        <v>179</v>
      </c>
      <c r="F30" s="229" t="s">
        <v>180</v>
      </c>
      <c r="G30" s="230" t="s">
        <v>180</v>
      </c>
      <c r="H30" s="230" t="s">
        <v>180</v>
      </c>
      <c r="I30" s="230" t="s">
        <v>180</v>
      </c>
      <c r="J30" s="230" t="s">
        <v>180</v>
      </c>
      <c r="K30" s="230" t="s">
        <v>180</v>
      </c>
      <c r="L30" s="230" t="s">
        <v>180</v>
      </c>
      <c r="M30" s="230" t="s">
        <v>180</v>
      </c>
      <c r="N30" s="230" t="s">
        <v>180</v>
      </c>
      <c r="O30" s="230" t="s">
        <v>180</v>
      </c>
      <c r="P30" s="229" t="s">
        <v>180</v>
      </c>
      <c r="Q30" s="229" t="s">
        <v>180</v>
      </c>
      <c r="R30" s="229" t="s">
        <v>180</v>
      </c>
      <c r="S30" s="229" t="s">
        <v>180</v>
      </c>
      <c r="T30" s="230" t="s">
        <v>180</v>
      </c>
      <c r="U30" s="230" t="s">
        <v>180</v>
      </c>
      <c r="V30" s="229" t="s">
        <v>180</v>
      </c>
      <c r="W30" s="230" t="s">
        <v>180</v>
      </c>
      <c r="X30" s="210" t="s">
        <v>180</v>
      </c>
      <c r="Y30" s="211" t="s">
        <v>180</v>
      </c>
    </row>
    <row r="31" spans="2:25">
      <c r="B31" s="231" t="s">
        <v>212</v>
      </c>
      <c r="C31" s="232" t="s">
        <v>197</v>
      </c>
      <c r="D31" s="232" t="s">
        <v>185</v>
      </c>
      <c r="E31" s="232" t="s">
        <v>186</v>
      </c>
      <c r="F31" s="229"/>
      <c r="G31" s="230" t="s">
        <v>187</v>
      </c>
      <c r="H31" s="230" t="s">
        <v>188</v>
      </c>
      <c r="I31" s="230"/>
      <c r="J31" s="230"/>
      <c r="K31" s="230" t="s">
        <v>188</v>
      </c>
      <c r="L31" s="230" t="s">
        <v>188</v>
      </c>
      <c r="M31" s="230" t="s">
        <v>188</v>
      </c>
      <c r="N31" s="230" t="s">
        <v>188</v>
      </c>
      <c r="O31" s="230" t="s">
        <v>188</v>
      </c>
      <c r="P31" s="229" t="s">
        <v>188</v>
      </c>
      <c r="Q31" s="229" t="str">
        <f>IFERROR(IF(_xlfn.SINGLE(dms_MAIFI_Flag)="Yes","N","Y"),"Y")</f>
        <v>Y</v>
      </c>
      <c r="R31" s="229" t="s">
        <v>187</v>
      </c>
      <c r="S31" s="229" t="s">
        <v>188</v>
      </c>
      <c r="T31" s="230" t="s">
        <v>187</v>
      </c>
      <c r="U31" s="230" t="s">
        <v>188</v>
      </c>
      <c r="V31" s="229" t="s">
        <v>188</v>
      </c>
      <c r="W31" s="230" t="str">
        <f>IFERROR(LEFT(_xlfn.SINGLE(dms_MAIFI_Flag)),"N")</f>
        <v>N</v>
      </c>
      <c r="X31" s="210" t="str">
        <f>IF('AER CF'!$C31="Vic","Y","N")</f>
        <v>N</v>
      </c>
      <c r="Y31" s="211"/>
    </row>
    <row r="32" spans="2:25">
      <c r="B32" s="212" t="s">
        <v>213</v>
      </c>
      <c r="C32" s="233" t="s">
        <v>214</v>
      </c>
      <c r="D32" s="233" t="s">
        <v>185</v>
      </c>
      <c r="E32" s="233" t="s">
        <v>186</v>
      </c>
      <c r="F32" s="229"/>
      <c r="G32" s="230" t="s">
        <v>187</v>
      </c>
      <c r="H32" s="230" t="s">
        <v>188</v>
      </c>
      <c r="I32" s="230"/>
      <c r="J32" s="230"/>
      <c r="K32" s="230" t="s">
        <v>188</v>
      </c>
      <c r="L32" s="230" t="s">
        <v>188</v>
      </c>
      <c r="M32" s="230" t="s">
        <v>188</v>
      </c>
      <c r="N32" s="230" t="s">
        <v>188</v>
      </c>
      <c r="O32" s="230" t="s">
        <v>188</v>
      </c>
      <c r="P32" s="229" t="s">
        <v>188</v>
      </c>
      <c r="Q32" s="229" t="str">
        <f>IFERROR(IF(_xlfn.SINGLE(dms_MAIFI_Flag)="Yes","N","Y"),"Y")</f>
        <v>Y</v>
      </c>
      <c r="R32" s="229" t="s">
        <v>187</v>
      </c>
      <c r="S32" s="229" t="s">
        <v>188</v>
      </c>
      <c r="T32" s="230" t="s">
        <v>187</v>
      </c>
      <c r="U32" s="230" t="s">
        <v>187</v>
      </c>
      <c r="V32" s="229" t="s">
        <v>188</v>
      </c>
      <c r="W32" s="230" t="str">
        <f>IFERROR(LEFT(_xlfn.SINGLE(dms_MAIFI_Flag)),"N")</f>
        <v>N</v>
      </c>
      <c r="X32" s="210" t="str">
        <f>IF('AER CF'!$C32="Vic","Y","N")</f>
        <v>N</v>
      </c>
      <c r="Y32" s="211"/>
    </row>
    <row r="33" spans="2:91">
      <c r="B33" s="222" t="s">
        <v>215</v>
      </c>
      <c r="C33" s="223" t="s">
        <v>214</v>
      </c>
      <c r="D33" s="223" t="s">
        <v>185</v>
      </c>
      <c r="E33" s="223" t="s">
        <v>179</v>
      </c>
      <c r="F33" s="214"/>
      <c r="G33" s="209" t="s">
        <v>188</v>
      </c>
      <c r="H33" s="209"/>
      <c r="I33" s="209"/>
      <c r="J33" s="209"/>
      <c r="K33" s="209" t="s">
        <v>188</v>
      </c>
      <c r="L33" s="209" t="s">
        <v>188</v>
      </c>
      <c r="M33" s="209" t="s">
        <v>188</v>
      </c>
      <c r="N33" s="209" t="s">
        <v>188</v>
      </c>
      <c r="O33" s="209" t="s">
        <v>188</v>
      </c>
      <c r="P33" s="214" t="s">
        <v>180</v>
      </c>
      <c r="Q33" s="214" t="str">
        <f>IFERROR(IF(_xlfn.SINGLE(dms_MAIFI_Flag)="Yes","N","Y"),"Y")</f>
        <v>Y</v>
      </c>
      <c r="R33" s="214" t="s">
        <v>188</v>
      </c>
      <c r="S33" s="214" t="s">
        <v>188</v>
      </c>
      <c r="T33" s="209" t="s">
        <v>187</v>
      </c>
      <c r="U33" s="209" t="s">
        <v>187</v>
      </c>
      <c r="V33" s="214" t="s">
        <v>188</v>
      </c>
      <c r="W33" s="209" t="str">
        <f>IFERROR(LEFT(_xlfn.SINGLE(dms_MAIFI_Flag)),"N")</f>
        <v>N</v>
      </c>
      <c r="X33" s="210" t="str">
        <f>IF('AER CF'!$C33="Vic","Y","N")</f>
        <v>N</v>
      </c>
      <c r="Y33" s="211"/>
    </row>
    <row r="34" spans="2:91">
      <c r="B34" s="222" t="s">
        <v>216</v>
      </c>
      <c r="C34" s="218" t="s">
        <v>184</v>
      </c>
      <c r="D34" s="218" t="s">
        <v>185</v>
      </c>
      <c r="E34" s="218" t="s">
        <v>179</v>
      </c>
      <c r="F34" s="214"/>
      <c r="G34" s="209" t="s">
        <v>188</v>
      </c>
      <c r="H34" s="209"/>
      <c r="I34" s="209"/>
      <c r="J34" s="209"/>
      <c r="K34" s="209" t="s">
        <v>188</v>
      </c>
      <c r="L34" s="209" t="s">
        <v>188</v>
      </c>
      <c r="M34" s="209" t="s">
        <v>188</v>
      </c>
      <c r="N34" s="209" t="s">
        <v>188</v>
      </c>
      <c r="O34" s="209" t="s">
        <v>188</v>
      </c>
      <c r="P34" s="214" t="s">
        <v>180</v>
      </c>
      <c r="Q34" s="214" t="str">
        <f>IFERROR(IF(_xlfn.SINGLE(dms_MAIFI_Flag)="Yes","N","Y"),"Y")</f>
        <v>Y</v>
      </c>
      <c r="R34" s="214" t="s">
        <v>188</v>
      </c>
      <c r="S34" s="214" t="s">
        <v>188</v>
      </c>
      <c r="T34" s="209" t="s">
        <v>187</v>
      </c>
      <c r="U34" s="209" t="s">
        <v>187</v>
      </c>
      <c r="V34" s="214" t="s">
        <v>188</v>
      </c>
      <c r="W34" s="209" t="str">
        <f>IFERROR(LEFT(_xlfn.SINGLE(dms_MAIFI_Flag)),"N")</f>
        <v>N</v>
      </c>
      <c r="X34" s="210" t="str">
        <f>IF('AER CF'!$C34="Vic","Y","N")</f>
        <v>N</v>
      </c>
      <c r="Y34" s="211"/>
    </row>
    <row r="35" spans="2:91" ht="15.75" thickBot="1">
      <c r="B35" s="234" t="s">
        <v>217</v>
      </c>
      <c r="C35" s="235" t="s">
        <v>182</v>
      </c>
      <c r="D35" s="235" t="s">
        <v>185</v>
      </c>
      <c r="E35" s="235" t="s">
        <v>186</v>
      </c>
      <c r="F35" s="236"/>
      <c r="G35" s="237" t="s">
        <v>188</v>
      </c>
      <c r="H35" s="237" t="s">
        <v>188</v>
      </c>
      <c r="I35" s="237"/>
      <c r="J35" s="237"/>
      <c r="K35" s="237" t="s">
        <v>188</v>
      </c>
      <c r="L35" s="237" t="s">
        <v>188</v>
      </c>
      <c r="M35" s="237" t="s">
        <v>188</v>
      </c>
      <c r="N35" s="237" t="s">
        <v>188</v>
      </c>
      <c r="O35" s="237" t="s">
        <v>188</v>
      </c>
      <c r="P35" s="236" t="s">
        <v>188</v>
      </c>
      <c r="Q35" s="236" t="str">
        <f>IFERROR(IF(_xlfn.SINGLE(dms_MAIFI_Flag)="Yes","N","Y"),"Y")</f>
        <v>Y</v>
      </c>
      <c r="R35" s="236" t="s">
        <v>188</v>
      </c>
      <c r="S35" s="236" t="s">
        <v>188</v>
      </c>
      <c r="T35" s="237" t="s">
        <v>188</v>
      </c>
      <c r="U35" s="237" t="s">
        <v>187</v>
      </c>
      <c r="V35" s="236" t="s">
        <v>188</v>
      </c>
      <c r="W35" s="237" t="str">
        <f>IFERROR(LEFT(_xlfn.SINGLE(dms_MAIFI_Flag)),"N")</f>
        <v>N</v>
      </c>
      <c r="X35" s="238" t="str">
        <f>IF('AER CF'!$C35="Vic","Y","N")</f>
        <v>Y</v>
      </c>
      <c r="Y35" s="239"/>
    </row>
    <row r="38" spans="2:91">
      <c r="B38" s="240" t="s">
        <v>19</v>
      </c>
    </row>
    <row r="39" spans="2:91">
      <c r="B39" s="241" t="s">
        <v>43</v>
      </c>
    </row>
    <row r="40" spans="2:91">
      <c r="AM40" s="1234"/>
      <c r="AN40" s="1234"/>
      <c r="AO40" s="1234"/>
      <c r="AP40" s="1234"/>
      <c r="AQ40" s="1234"/>
      <c r="AR40" s="1234"/>
      <c r="AS40" s="1234"/>
      <c r="AT40" s="1234"/>
      <c r="AU40" s="1234"/>
      <c r="AV40" s="1234"/>
      <c r="AW40" s="1234"/>
      <c r="AX40" s="1234"/>
      <c r="AY40" s="1234"/>
      <c r="AZ40" s="1234"/>
      <c r="BA40" s="1234"/>
      <c r="BB40" s="1234"/>
      <c r="BC40" s="1234"/>
      <c r="BD40" s="1234"/>
      <c r="BE40" s="1234"/>
      <c r="BF40" s="1234"/>
      <c r="BG40" s="1234"/>
      <c r="BH40" s="1234"/>
      <c r="BR40" s="1234"/>
      <c r="BS40" s="1234"/>
      <c r="BT40" s="1234"/>
      <c r="BU40" s="1234"/>
      <c r="BV40" s="1234"/>
      <c r="BW40" s="1234"/>
      <c r="BX40" s="1234"/>
      <c r="BY40" s="1234"/>
      <c r="BZ40" s="1234"/>
      <c r="CA40" s="1234"/>
      <c r="CB40" s="1234"/>
      <c r="CC40" s="1234"/>
      <c r="CD40" s="1234"/>
      <c r="CE40" s="1234"/>
      <c r="CF40" s="1234"/>
      <c r="CG40" s="1234"/>
      <c r="CH40" s="1234"/>
      <c r="CI40" s="1234"/>
      <c r="CJ40" s="1234"/>
      <c r="CK40" s="1234"/>
      <c r="CL40" s="1234"/>
      <c r="CM40" s="1234"/>
    </row>
    <row r="41" spans="2:91">
      <c r="B41" s="74" t="s">
        <v>218</v>
      </c>
      <c r="AM41" s="1234"/>
      <c r="AN41" s="1234"/>
      <c r="AO41" s="1234"/>
      <c r="AP41" s="1234"/>
      <c r="AQ41" s="1234"/>
      <c r="AR41" s="1234"/>
      <c r="AS41" s="1234"/>
      <c r="AT41" s="1234"/>
      <c r="AU41" s="1234"/>
      <c r="AV41" s="1234"/>
      <c r="AW41" s="1234"/>
      <c r="AX41" s="1234"/>
      <c r="AY41" s="1234"/>
      <c r="AZ41" s="1234"/>
      <c r="BA41" s="1234"/>
      <c r="BB41" s="1234"/>
      <c r="BC41" s="1234"/>
      <c r="BD41" s="1234"/>
      <c r="BE41" s="1234"/>
      <c r="BF41" s="1234"/>
      <c r="BG41" s="1234"/>
      <c r="BH41" s="1234"/>
      <c r="BR41" s="1234"/>
      <c r="BS41" s="1234"/>
      <c r="BT41" s="1234"/>
      <c r="BU41" s="1234"/>
      <c r="BV41" s="1234"/>
      <c r="BW41" s="1234"/>
      <c r="BX41" s="1234"/>
      <c r="BY41" s="1234"/>
      <c r="BZ41" s="1234"/>
      <c r="CA41" s="1234"/>
      <c r="CB41" s="1234"/>
      <c r="CC41" s="1234"/>
      <c r="CD41" s="1234"/>
      <c r="CE41" s="1234"/>
      <c r="CF41" s="1234"/>
      <c r="CG41" s="1234"/>
      <c r="CH41" s="1234"/>
      <c r="CI41" s="1234"/>
      <c r="CJ41" s="1234"/>
      <c r="CK41" s="1234"/>
      <c r="CL41" s="1234"/>
      <c r="CM41" s="1234"/>
    </row>
    <row r="42" spans="2:91">
      <c r="B42" s="242" t="s">
        <v>219</v>
      </c>
      <c r="C42" s="74"/>
      <c r="D42" s="242"/>
      <c r="E42" s="242"/>
      <c r="F42" s="74" t="s">
        <v>220</v>
      </c>
      <c r="G42" s="74"/>
      <c r="H42" s="74"/>
      <c r="AM42" s="1234"/>
      <c r="AN42" s="1234"/>
      <c r="AO42" s="1234"/>
      <c r="AP42" s="1234"/>
      <c r="AQ42" s="1234"/>
      <c r="AR42" s="1234"/>
      <c r="AS42" s="1234"/>
      <c r="AT42" s="1234"/>
      <c r="AU42" s="1234"/>
      <c r="AV42" s="1234"/>
      <c r="AW42" s="1234"/>
      <c r="AX42" s="1234"/>
      <c r="AY42" s="1234"/>
      <c r="AZ42" s="1234"/>
      <c r="BA42" s="1234"/>
      <c r="BB42" s="1234"/>
      <c r="BC42" s="1234"/>
      <c r="BD42" s="1234"/>
      <c r="BE42" s="1234"/>
      <c r="BF42" s="1234"/>
      <c r="BG42" s="1234"/>
      <c r="BH42" s="1234"/>
      <c r="BR42" s="1234"/>
      <c r="BS42" s="1234"/>
      <c r="BT42" s="1234"/>
      <c r="BU42" s="1234"/>
      <c r="BV42" s="1234"/>
      <c r="BW42" s="1234"/>
      <c r="BX42" s="1234"/>
      <c r="BY42" s="1234"/>
      <c r="BZ42" s="1234"/>
      <c r="CA42" s="1234"/>
      <c r="CB42" s="1234"/>
      <c r="CC42" s="1234"/>
      <c r="CD42" s="1234"/>
      <c r="CE42" s="1234"/>
      <c r="CF42" s="1234"/>
      <c r="CG42" s="1234"/>
      <c r="CH42" s="1234"/>
      <c r="CI42" s="1234"/>
      <c r="CJ42" s="1234"/>
      <c r="CK42" s="1234"/>
      <c r="CL42" s="1234"/>
      <c r="CM42" s="1234"/>
    </row>
    <row r="43" spans="2:91">
      <c r="B43" s="243"/>
      <c r="F43" s="244"/>
    </row>
    <row r="44" spans="2:91">
      <c r="B44" s="243" t="s">
        <v>221</v>
      </c>
      <c r="F44" s="243" t="s">
        <v>222</v>
      </c>
    </row>
    <row r="45" spans="2:91">
      <c r="B45" s="243" t="s">
        <v>223</v>
      </c>
      <c r="F45" s="243" t="s">
        <v>224</v>
      </c>
    </row>
    <row r="46" spans="2:91">
      <c r="B46" s="243" t="s">
        <v>225</v>
      </c>
      <c r="F46" s="243" t="s">
        <v>226</v>
      </c>
    </row>
    <row r="47" spans="2:91">
      <c r="B47" s="243" t="s">
        <v>227</v>
      </c>
      <c r="F47" s="244" t="s">
        <v>228</v>
      </c>
    </row>
    <row r="48" spans="2:91">
      <c r="B48" s="243" t="s">
        <v>229</v>
      </c>
      <c r="F48" s="243" t="s">
        <v>230</v>
      </c>
    </row>
    <row r="49" spans="2:6">
      <c r="B49" s="245" t="s">
        <v>231</v>
      </c>
      <c r="F49" s="245" t="s">
        <v>232</v>
      </c>
    </row>
    <row r="50" spans="2:6">
      <c r="B50" s="243"/>
    </row>
    <row r="52" spans="2:6">
      <c r="B52" s="244" t="s">
        <v>42</v>
      </c>
    </row>
    <row r="53" spans="2:6">
      <c r="B53" s="1" t="s">
        <v>233</v>
      </c>
    </row>
    <row r="54" spans="2:6">
      <c r="B54" s="1" t="s">
        <v>234</v>
      </c>
    </row>
    <row r="57" spans="2:6" ht="21" thickBot="1">
      <c r="B57" s="2" t="s">
        <v>235</v>
      </c>
      <c r="C57" s="246"/>
    </row>
    <row r="58" spans="2:6" ht="16.5" thickBot="1">
      <c r="B58" s="247" t="s">
        <v>236</v>
      </c>
      <c r="C58" s="246" t="s">
        <v>237</v>
      </c>
    </row>
    <row r="59" spans="2:6" ht="15.75">
      <c r="B59" s="248" t="s">
        <v>238</v>
      </c>
      <c r="C59" s="246" t="s">
        <v>239</v>
      </c>
    </row>
    <row r="60" spans="2:6">
      <c r="B60" s="249" t="s">
        <v>240</v>
      </c>
      <c r="C60" s="246" t="s">
        <v>241</v>
      </c>
    </row>
    <row r="61" spans="2:6">
      <c r="B61" s="250" t="s">
        <v>242</v>
      </c>
      <c r="C61" s="246" t="s">
        <v>243</v>
      </c>
    </row>
    <row r="62" spans="2:6">
      <c r="B62" s="251" t="s">
        <v>244</v>
      </c>
      <c r="C62" s="246" t="s">
        <v>245</v>
      </c>
    </row>
    <row r="63" spans="2:6">
      <c r="B63" s="252">
        <v>5.1109999999999998</v>
      </c>
      <c r="C63" s="246" t="s">
        <v>246</v>
      </c>
    </row>
    <row r="64" spans="2:6">
      <c r="B64" s="253">
        <v>5.45E-2</v>
      </c>
      <c r="C64" s="246" t="s">
        <v>247</v>
      </c>
    </row>
    <row r="65" spans="2:3">
      <c r="B65" s="254">
        <v>5.5555000000000003</v>
      </c>
      <c r="C65" s="246" t="s">
        <v>248</v>
      </c>
    </row>
    <row r="66" spans="2:3">
      <c r="B66" s="255" t="s">
        <v>249</v>
      </c>
      <c r="C66" s="246" t="s">
        <v>250</v>
      </c>
    </row>
    <row r="67" spans="2:3">
      <c r="B67" s="256" t="s">
        <v>249</v>
      </c>
      <c r="C67" s="151" t="s">
        <v>251</v>
      </c>
    </row>
    <row r="68" spans="2:3" ht="15.75" thickBot="1">
      <c r="B68" s="257" t="s">
        <v>249</v>
      </c>
      <c r="C68" s="246" t="s">
        <v>252</v>
      </c>
    </row>
    <row r="69" spans="2:3" ht="15.75" thickBot="1">
      <c r="B69" s="258" t="s">
        <v>253</v>
      </c>
      <c r="C69" s="246" t="s">
        <v>254</v>
      </c>
    </row>
    <row r="70" spans="2:3" ht="15.75" thickBot="1">
      <c r="B70" s="259" t="s">
        <v>253</v>
      </c>
      <c r="C70" s="151" t="s">
        <v>255</v>
      </c>
    </row>
    <row r="71" spans="2:3">
      <c r="B71" s="260" t="s">
        <v>256</v>
      </c>
      <c r="C71" s="151" t="s">
        <v>257</v>
      </c>
    </row>
    <row r="72" spans="2:3" ht="15.75" thickBot="1">
      <c r="B72" s="261">
        <v>2019</v>
      </c>
      <c r="C72" s="151" t="s">
        <v>258</v>
      </c>
    </row>
    <row r="73" spans="2:3" ht="15.75" thickBot="1">
      <c r="B73" s="262">
        <v>2019</v>
      </c>
      <c r="C73" s="151" t="s">
        <v>259</v>
      </c>
    </row>
    <row r="74" spans="2:3">
      <c r="B74" s="263" t="s">
        <v>260</v>
      </c>
      <c r="C74" s="151" t="s">
        <v>261</v>
      </c>
    </row>
    <row r="75" spans="2:3" ht="15.75" thickBot="1">
      <c r="B75" s="264">
        <v>2019</v>
      </c>
      <c r="C75" s="151" t="s">
        <v>262</v>
      </c>
    </row>
    <row r="76" spans="2:3" ht="15.75" thickBot="1">
      <c r="B76" s="265">
        <v>2019</v>
      </c>
      <c r="C76" s="151" t="s">
        <v>263</v>
      </c>
    </row>
    <row r="135" spans="3:3">
      <c r="C135" s="266"/>
    </row>
    <row r="136" spans="3:3">
      <c r="C136" s="266"/>
    </row>
  </sheetData>
  <mergeCells count="7">
    <mergeCell ref="AM42:BH42"/>
    <mergeCell ref="BR42:CM42"/>
    <mergeCell ref="B4:W4"/>
    <mergeCell ref="AM40:BH40"/>
    <mergeCell ref="BR40:CM40"/>
    <mergeCell ref="AM41:BH41"/>
    <mergeCell ref="BR41:CM41"/>
  </mergeCells>
  <conditionalFormatting sqref="F7:Y35">
    <cfRule type="cellIs" dxfId="17" priority="1" operator="equal">
      <formula>"Y"</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A2848-EEBE-47B7-A04A-E605C0C0DCE9}">
  <sheetPr codeName="Sheet4">
    <tabColor theme="1"/>
  </sheetPr>
  <dimension ref="B1:CK252"/>
  <sheetViews>
    <sheetView workbookViewId="0"/>
  </sheetViews>
  <sheetFormatPr defaultColWidth="8.7109375" defaultRowHeight="15"/>
  <cols>
    <col min="1" max="1" width="8.7109375" style="151"/>
    <col min="2" max="2" width="47.28515625" style="151" bestFit="1" customWidth="1"/>
    <col min="3" max="3" width="40.7109375" style="151" customWidth="1"/>
    <col min="4" max="4" width="31.42578125" style="151" bestFit="1" customWidth="1"/>
    <col min="5" max="5" width="33.140625" style="151" bestFit="1" customWidth="1"/>
    <col min="6" max="6" width="43.140625" style="151" customWidth="1"/>
    <col min="7" max="7" width="38.7109375" style="151" customWidth="1"/>
    <col min="8" max="8" width="27.42578125" style="151" customWidth="1"/>
    <col min="9" max="9" width="28.140625" style="151" customWidth="1"/>
    <col min="10" max="10" width="35.7109375" style="151" customWidth="1"/>
    <col min="11" max="11" width="31.85546875" style="151" customWidth="1"/>
    <col min="12" max="12" width="37" style="151" customWidth="1"/>
    <col min="13" max="13" width="28.28515625" style="151" customWidth="1"/>
    <col min="14" max="14" width="24.5703125" style="151" bestFit="1" customWidth="1"/>
    <col min="15" max="15" width="33" style="151" customWidth="1"/>
    <col min="16" max="16" width="47" style="151" customWidth="1"/>
    <col min="17" max="17" width="40.140625" style="151" customWidth="1"/>
    <col min="18" max="18" width="24.85546875" style="151" bestFit="1" customWidth="1"/>
    <col min="19" max="19" width="22.7109375" style="151" bestFit="1" customWidth="1"/>
    <col min="20" max="20" width="22" style="151" bestFit="1" customWidth="1"/>
    <col min="21" max="22" width="8.7109375" style="151"/>
    <col min="23" max="23" width="9.140625" style="151" customWidth="1"/>
    <col min="24" max="16384" width="8.7109375" style="151"/>
  </cols>
  <sheetData>
    <row r="1" spans="2:28" ht="51" customHeight="1">
      <c r="B1" s="177" t="s">
        <v>264</v>
      </c>
      <c r="C1" s="178"/>
      <c r="D1" s="178"/>
      <c r="E1" s="178"/>
      <c r="F1" s="178"/>
      <c r="G1" s="178"/>
      <c r="H1" s="178"/>
      <c r="I1" s="178"/>
      <c r="J1" s="178"/>
      <c r="K1" s="178"/>
      <c r="L1" s="178"/>
      <c r="M1" s="178"/>
      <c r="N1" s="178"/>
    </row>
    <row r="2" spans="2:28" ht="30" customHeight="1"/>
    <row r="3" spans="2:28" ht="28.5">
      <c r="B3" s="267" t="s">
        <v>265</v>
      </c>
      <c r="C3" s="267"/>
      <c r="D3" s="267"/>
      <c r="E3" s="267"/>
      <c r="F3" s="267"/>
      <c r="G3" s="267"/>
      <c r="H3" s="267"/>
      <c r="I3" s="267"/>
      <c r="J3" s="267"/>
      <c r="K3" s="267"/>
      <c r="L3" s="267"/>
      <c r="M3" s="267"/>
      <c r="N3" s="267"/>
    </row>
    <row r="4" spans="2:28" ht="30" customHeight="1" thickBot="1"/>
    <row r="5" spans="2:28" ht="29.25" customHeight="1">
      <c r="B5" s="1248" t="s">
        <v>266</v>
      </c>
      <c r="C5" s="268" t="s">
        <v>267</v>
      </c>
      <c r="D5" s="268" t="s">
        <v>268</v>
      </c>
      <c r="E5" s="269"/>
      <c r="W5" s="81"/>
      <c r="X5" s="81"/>
      <c r="AA5" s="270"/>
      <c r="AB5" s="270"/>
    </row>
    <row r="6" spans="2:28" ht="15" customHeight="1">
      <c r="B6" s="1248"/>
      <c r="C6" s="271" t="s">
        <v>269</v>
      </c>
      <c r="D6" s="271" t="s">
        <v>269</v>
      </c>
      <c r="E6" s="269"/>
      <c r="W6" s="81"/>
      <c r="X6" s="81"/>
      <c r="AA6" s="270"/>
      <c r="AB6" s="270"/>
    </row>
    <row r="7" spans="2:28" ht="15" customHeight="1">
      <c r="B7" s="1248"/>
      <c r="C7" s="272" t="s">
        <v>270</v>
      </c>
      <c r="D7" s="273" t="s">
        <v>3</v>
      </c>
      <c r="E7" s="274"/>
      <c r="S7" s="81"/>
      <c r="T7" s="81"/>
      <c r="U7" s="81"/>
      <c r="V7" s="81"/>
      <c r="W7" s="81"/>
      <c r="X7" s="81"/>
    </row>
    <row r="8" spans="2:28" ht="15" customHeight="1">
      <c r="B8" s="1248"/>
      <c r="C8" s="275" t="s">
        <v>271</v>
      </c>
      <c r="D8" s="276" t="s">
        <v>19</v>
      </c>
      <c r="E8" s="274"/>
      <c r="S8" s="81"/>
      <c r="T8" s="81"/>
      <c r="U8" s="81"/>
      <c r="V8" s="81"/>
      <c r="W8" s="81"/>
      <c r="X8" s="81"/>
    </row>
    <row r="9" spans="2:28" ht="15" customHeight="1">
      <c r="B9" s="1248"/>
      <c r="C9" s="275" t="s">
        <v>2</v>
      </c>
      <c r="D9" s="277"/>
      <c r="E9" s="274"/>
      <c r="S9" s="81"/>
      <c r="T9" s="81"/>
      <c r="U9" s="81"/>
      <c r="V9" s="81"/>
      <c r="W9" s="81"/>
      <c r="X9" s="81"/>
    </row>
    <row r="10" spans="2:28" ht="15.75" customHeight="1" thickBot="1">
      <c r="B10" s="1248"/>
      <c r="C10" s="278"/>
      <c r="D10" s="279"/>
      <c r="E10" s="274"/>
      <c r="S10" s="81"/>
      <c r="T10" s="81"/>
      <c r="U10" s="81"/>
      <c r="V10" s="81"/>
      <c r="W10" s="81"/>
      <c r="X10" s="81"/>
    </row>
    <row r="11" spans="2:28" ht="15.75" thickBot="1">
      <c r="B11" s="1248"/>
      <c r="C11" s="246"/>
      <c r="D11" s="280"/>
      <c r="E11" s="274"/>
      <c r="S11" s="81"/>
      <c r="T11" s="81"/>
      <c r="U11" s="81"/>
      <c r="V11" s="81"/>
      <c r="W11" s="81"/>
      <c r="X11" s="81"/>
    </row>
    <row r="12" spans="2:28" ht="86.25" thickBot="1">
      <c r="B12" s="1248"/>
      <c r="C12" s="281" t="s">
        <v>272</v>
      </c>
      <c r="D12" s="281" t="s">
        <v>273</v>
      </c>
      <c r="S12" s="81"/>
      <c r="T12" s="81"/>
      <c r="U12" s="81"/>
      <c r="V12" s="81"/>
      <c r="W12" s="81"/>
      <c r="X12" s="81"/>
    </row>
    <row r="13" spans="2:28" ht="24" customHeight="1" thickBot="1">
      <c r="B13" s="1248"/>
      <c r="C13" s="268" t="s">
        <v>274</v>
      </c>
      <c r="D13" s="268" t="s">
        <v>275</v>
      </c>
      <c r="G13" s="274"/>
      <c r="H13" s="1"/>
      <c r="S13" s="81"/>
      <c r="T13" s="81"/>
      <c r="U13" s="81"/>
      <c r="V13" s="81"/>
      <c r="W13" s="81"/>
      <c r="X13" s="81"/>
    </row>
    <row r="14" spans="2:28">
      <c r="B14" s="1248"/>
      <c r="C14" s="282" t="s">
        <v>269</v>
      </c>
      <c r="D14" s="283" t="s">
        <v>276</v>
      </c>
      <c r="G14" s="274"/>
      <c r="S14" s="81"/>
      <c r="T14" s="81"/>
      <c r="U14" s="81"/>
      <c r="V14" s="81"/>
      <c r="W14" s="81"/>
      <c r="X14" s="81"/>
    </row>
    <row r="15" spans="2:28">
      <c r="B15" s="1248"/>
      <c r="C15" s="276" t="s">
        <v>277</v>
      </c>
      <c r="D15" s="284" t="s">
        <v>278</v>
      </c>
      <c r="H15" s="1"/>
      <c r="S15" s="81"/>
      <c r="T15" s="81"/>
      <c r="U15" s="81"/>
      <c r="V15" s="81"/>
      <c r="W15" s="81"/>
      <c r="X15" s="81"/>
    </row>
    <row r="16" spans="2:28">
      <c r="B16" s="1248"/>
      <c r="C16" s="276" t="s">
        <v>279</v>
      </c>
      <c r="D16" s="284" t="s">
        <v>280</v>
      </c>
      <c r="H16" s="1"/>
      <c r="S16" s="81"/>
      <c r="T16" s="81"/>
      <c r="U16" s="81"/>
      <c r="V16" s="81"/>
      <c r="W16" s="81"/>
      <c r="X16" s="81"/>
    </row>
    <row r="17" spans="2:24" ht="15.75" thickBot="1">
      <c r="B17" s="1248"/>
      <c r="C17" s="276" t="s">
        <v>281</v>
      </c>
      <c r="D17" s="285" t="s">
        <v>282</v>
      </c>
      <c r="H17" s="1"/>
      <c r="S17" s="81"/>
      <c r="T17" s="81"/>
      <c r="U17" s="81"/>
      <c r="V17" s="81"/>
      <c r="W17" s="81"/>
      <c r="X17" s="81"/>
    </row>
    <row r="18" spans="2:24">
      <c r="B18" s="1248"/>
      <c r="C18" s="276" t="s">
        <v>283</v>
      </c>
      <c r="D18" s="246"/>
      <c r="S18" s="81"/>
      <c r="T18" s="81"/>
      <c r="U18" s="81"/>
      <c r="V18" s="81"/>
      <c r="W18" s="81"/>
      <c r="X18" s="81"/>
    </row>
    <row r="19" spans="2:24">
      <c r="B19" s="1248"/>
      <c r="C19" s="276" t="s">
        <v>284</v>
      </c>
      <c r="D19" s="246"/>
      <c r="S19" s="81"/>
      <c r="T19" s="81"/>
      <c r="U19" s="81"/>
      <c r="V19" s="81"/>
      <c r="W19" s="81"/>
      <c r="X19" s="81"/>
    </row>
    <row r="20" spans="2:24">
      <c r="B20" s="1248"/>
      <c r="C20" s="276" t="s">
        <v>285</v>
      </c>
      <c r="D20" s="246"/>
      <c r="J20" s="246"/>
      <c r="L20" s="286"/>
      <c r="O20" s="81"/>
      <c r="P20" s="81"/>
      <c r="Q20" s="81"/>
      <c r="R20" s="81"/>
      <c r="S20" s="81"/>
      <c r="T20" s="81"/>
      <c r="U20" s="81"/>
      <c r="V20" s="81"/>
      <c r="W20" s="81"/>
      <c r="X20" s="81"/>
    </row>
    <row r="21" spans="2:24">
      <c r="B21" s="1248"/>
      <c r="C21" s="276" t="s">
        <v>286</v>
      </c>
      <c r="D21" s="246"/>
      <c r="J21" s="246"/>
      <c r="L21" s="286"/>
      <c r="O21" s="81"/>
      <c r="P21" s="81"/>
      <c r="Q21" s="81"/>
      <c r="R21" s="81"/>
      <c r="S21" s="81"/>
      <c r="T21" s="81"/>
      <c r="U21" s="81"/>
      <c r="V21" s="81"/>
      <c r="W21" s="81"/>
      <c r="X21" s="81"/>
    </row>
    <row r="22" spans="2:24">
      <c r="B22" s="1248"/>
      <c r="C22" s="276" t="s">
        <v>287</v>
      </c>
      <c r="D22" s="246"/>
      <c r="J22" s="246"/>
      <c r="L22" s="286"/>
      <c r="O22" s="81"/>
      <c r="P22" s="81"/>
      <c r="Q22" s="81"/>
      <c r="R22" s="81"/>
      <c r="S22" s="81"/>
      <c r="T22" s="81"/>
      <c r="U22" s="81"/>
      <c r="V22" s="81"/>
      <c r="W22" s="81"/>
    </row>
    <row r="23" spans="2:24">
      <c r="B23" s="1248"/>
      <c r="C23" s="276" t="s">
        <v>288</v>
      </c>
      <c r="D23" s="246"/>
      <c r="J23" s="246"/>
      <c r="L23" s="286"/>
      <c r="O23" s="81"/>
      <c r="P23" s="81"/>
      <c r="Q23" s="81"/>
      <c r="R23" s="81"/>
      <c r="S23" s="81"/>
      <c r="T23" s="81"/>
      <c r="U23" s="81"/>
      <c r="V23" s="81"/>
      <c r="W23" s="81"/>
    </row>
    <row r="24" spans="2:24">
      <c r="B24" s="1248"/>
      <c r="C24" s="276" t="s">
        <v>289</v>
      </c>
      <c r="D24" s="246"/>
      <c r="J24" s="246"/>
      <c r="L24" s="286"/>
      <c r="O24" s="81"/>
      <c r="P24" s="81"/>
      <c r="Q24" s="81"/>
      <c r="R24" s="81"/>
      <c r="S24" s="81"/>
      <c r="T24" s="81"/>
      <c r="U24" s="81"/>
      <c r="V24" s="81"/>
      <c r="W24" s="81"/>
    </row>
    <row r="25" spans="2:24">
      <c r="B25" s="1248"/>
      <c r="C25" s="276" t="s">
        <v>290</v>
      </c>
      <c r="D25" s="246"/>
      <c r="J25" s="246"/>
      <c r="L25" s="286"/>
      <c r="O25" s="81"/>
      <c r="P25" s="81"/>
      <c r="Q25" s="81"/>
      <c r="R25" s="81"/>
      <c r="S25" s="81"/>
      <c r="T25" s="81"/>
      <c r="U25" s="81"/>
      <c r="V25" s="81"/>
      <c r="W25" s="81"/>
    </row>
    <row r="26" spans="2:24">
      <c r="B26" s="1248"/>
      <c r="C26" s="276" t="s">
        <v>291</v>
      </c>
      <c r="D26" s="246"/>
      <c r="J26" s="246"/>
      <c r="L26" s="286"/>
      <c r="O26" s="81"/>
      <c r="P26" s="81"/>
      <c r="Q26" s="81"/>
      <c r="R26" s="81"/>
      <c r="S26" s="81"/>
      <c r="T26" s="81"/>
      <c r="U26" s="81"/>
      <c r="V26" s="81"/>
      <c r="W26" s="81"/>
    </row>
    <row r="27" spans="2:24">
      <c r="B27" s="1248"/>
      <c r="C27" s="276" t="s">
        <v>292</v>
      </c>
      <c r="D27" s="246"/>
      <c r="G27" s="274"/>
      <c r="J27" s="246"/>
      <c r="L27" s="286"/>
      <c r="O27" s="81"/>
      <c r="P27" s="81"/>
      <c r="Q27" s="81"/>
      <c r="R27" s="81"/>
      <c r="S27" s="81"/>
      <c r="T27" s="81"/>
      <c r="U27" s="81"/>
      <c r="V27" s="81"/>
      <c r="W27" s="81"/>
    </row>
    <row r="28" spans="2:24">
      <c r="B28" s="1248"/>
      <c r="C28" s="276" t="s">
        <v>4</v>
      </c>
      <c r="D28" s="246"/>
      <c r="G28" s="274"/>
      <c r="J28" s="246"/>
      <c r="L28" s="286"/>
      <c r="O28" s="81"/>
      <c r="P28" s="81"/>
      <c r="Q28" s="81"/>
      <c r="R28" s="81"/>
      <c r="S28" s="81"/>
      <c r="T28" s="81"/>
      <c r="U28" s="81"/>
      <c r="V28" s="81"/>
      <c r="W28" s="81"/>
    </row>
    <row r="29" spans="2:24" ht="15.75" thickBot="1">
      <c r="B29" s="1248"/>
      <c r="C29" s="287" t="s">
        <v>293</v>
      </c>
      <c r="D29" s="246"/>
      <c r="G29" s="274"/>
      <c r="J29" s="246"/>
      <c r="L29" s="286"/>
      <c r="O29" s="81"/>
      <c r="P29" s="81"/>
      <c r="Q29" s="81"/>
      <c r="R29" s="81"/>
      <c r="S29" s="81"/>
      <c r="T29" s="81"/>
      <c r="U29" s="81"/>
      <c r="V29" s="81"/>
      <c r="W29" s="81"/>
    </row>
    <row r="30" spans="2:24" ht="15" customHeight="1">
      <c r="B30" s="288"/>
      <c r="G30" s="274"/>
      <c r="I30" s="1"/>
      <c r="J30" s="246"/>
      <c r="K30" s="1"/>
      <c r="L30" s="286"/>
      <c r="O30" s="81"/>
      <c r="P30" s="81"/>
      <c r="Q30" s="81"/>
      <c r="R30" s="81"/>
      <c r="S30" s="81"/>
      <c r="T30" s="81"/>
      <c r="U30" s="81"/>
      <c r="V30" s="81"/>
      <c r="W30" s="81"/>
    </row>
    <row r="31" spans="2:24" ht="28.5">
      <c r="B31" s="288"/>
    </row>
    <row r="32" spans="2:24" ht="29.25" thickBot="1">
      <c r="B32" s="288"/>
      <c r="D32" s="246"/>
      <c r="G32" s="274"/>
      <c r="K32" s="289" t="s">
        <v>294</v>
      </c>
      <c r="M32" s="286"/>
      <c r="N32" s="151" t="s">
        <v>295</v>
      </c>
      <c r="P32" s="81"/>
      <c r="Q32" s="81"/>
      <c r="R32" s="81"/>
      <c r="S32" s="81"/>
      <c r="T32" s="81"/>
      <c r="U32" s="81"/>
      <c r="V32" s="81"/>
      <c r="W32" s="81"/>
      <c r="X32" s="81"/>
    </row>
    <row r="33" spans="2:89" ht="30.75" customHeight="1" thickBot="1">
      <c r="B33" s="1249" t="s">
        <v>296</v>
      </c>
      <c r="C33" s="290" t="s">
        <v>297</v>
      </c>
      <c r="D33" s="291" t="s">
        <v>298</v>
      </c>
      <c r="E33" s="290" t="s">
        <v>299</v>
      </c>
      <c r="F33" s="291" t="s">
        <v>300</v>
      </c>
      <c r="G33" s="290" t="s">
        <v>301</v>
      </c>
      <c r="H33" s="292" t="s">
        <v>302</v>
      </c>
      <c r="I33" s="293" t="s">
        <v>303</v>
      </c>
      <c r="J33" s="294" t="s">
        <v>304</v>
      </c>
      <c r="K33" s="295" t="s">
        <v>305</v>
      </c>
      <c r="L33" s="296"/>
      <c r="N33" s="293" t="s">
        <v>306</v>
      </c>
      <c r="R33" s="81"/>
      <c r="S33" s="81"/>
      <c r="T33" s="81"/>
      <c r="U33" s="81"/>
      <c r="V33" s="81"/>
      <c r="W33" s="81"/>
    </row>
    <row r="34" spans="2:89" ht="15" customHeight="1">
      <c r="B34" s="1249"/>
      <c r="C34" s="297" t="s">
        <v>307</v>
      </c>
      <c r="D34" s="298" t="s">
        <v>308</v>
      </c>
      <c r="E34" s="299" t="s">
        <v>309</v>
      </c>
      <c r="F34" s="300" t="s">
        <v>310</v>
      </c>
      <c r="G34" s="301" t="s">
        <v>309</v>
      </c>
      <c r="H34" s="302" t="s">
        <v>311</v>
      </c>
      <c r="I34" s="303" t="s">
        <v>312</v>
      </c>
      <c r="J34" s="304" t="s">
        <v>313</v>
      </c>
      <c r="K34" s="1250" t="s">
        <v>312</v>
      </c>
      <c r="L34" s="305" t="s">
        <v>313</v>
      </c>
      <c r="N34" s="306" t="s">
        <v>314</v>
      </c>
      <c r="R34" s="81"/>
      <c r="S34" s="81"/>
      <c r="T34" s="81"/>
      <c r="U34" s="81"/>
      <c r="V34" s="81"/>
      <c r="W34" s="81"/>
      <c r="AK34" s="1234"/>
      <c r="AL34" s="1234"/>
      <c r="AM34" s="1234"/>
      <c r="AN34" s="1234"/>
      <c r="AO34" s="1234"/>
      <c r="AP34" s="1234"/>
      <c r="AQ34" s="1234"/>
      <c r="AR34" s="1234"/>
      <c r="AS34" s="1234"/>
      <c r="AT34" s="1234"/>
      <c r="AU34" s="1234"/>
      <c r="AV34" s="1234"/>
      <c r="AW34" s="1234"/>
      <c r="AX34" s="1234"/>
      <c r="AY34" s="1234"/>
      <c r="AZ34" s="1234"/>
      <c r="BA34" s="1234"/>
      <c r="BB34" s="1234"/>
      <c r="BC34" s="1234"/>
      <c r="BD34" s="1234"/>
      <c r="BE34" s="1234"/>
      <c r="BF34" s="1234"/>
      <c r="BP34" s="1234"/>
      <c r="BQ34" s="1234"/>
      <c r="BR34" s="1234"/>
      <c r="BS34" s="1234"/>
      <c r="BT34" s="1234"/>
      <c r="BU34" s="1234"/>
      <c r="BV34" s="1234"/>
      <c r="BW34" s="1234"/>
      <c r="BX34" s="1234"/>
      <c r="BY34" s="1234"/>
      <c r="BZ34" s="1234"/>
      <c r="CA34" s="1234"/>
      <c r="CB34" s="1234"/>
      <c r="CC34" s="1234"/>
      <c r="CD34" s="1234"/>
      <c r="CE34" s="1234"/>
      <c r="CF34" s="1234"/>
      <c r="CG34" s="1234"/>
      <c r="CH34" s="1234"/>
      <c r="CI34" s="1234"/>
      <c r="CJ34" s="1234"/>
      <c r="CK34" s="1234"/>
    </row>
    <row r="35" spans="2:89" ht="15" customHeight="1">
      <c r="B35" s="1249"/>
      <c r="C35" s="307" t="s">
        <v>315</v>
      </c>
      <c r="D35" s="308" t="s">
        <v>316</v>
      </c>
      <c r="E35" s="309" t="s">
        <v>317</v>
      </c>
      <c r="F35" s="309" t="s">
        <v>318</v>
      </c>
      <c r="G35" s="310" t="s">
        <v>317</v>
      </c>
      <c r="H35" s="311" t="s">
        <v>319</v>
      </c>
      <c r="I35" s="312" t="s">
        <v>320</v>
      </c>
      <c r="J35" s="313" t="s">
        <v>321</v>
      </c>
      <c r="K35" s="1251"/>
      <c r="L35" s="314" t="s">
        <v>321</v>
      </c>
      <c r="N35" s="315" t="s">
        <v>322</v>
      </c>
      <c r="R35" s="81"/>
      <c r="S35" s="81"/>
      <c r="T35" s="81"/>
      <c r="U35" s="81"/>
      <c r="V35" s="81"/>
      <c r="W35" s="81"/>
      <c r="AK35" s="1234"/>
      <c r="AL35" s="1234"/>
      <c r="AM35" s="1234"/>
      <c r="AN35" s="1234"/>
      <c r="AO35" s="1234"/>
      <c r="AP35" s="1234"/>
      <c r="AQ35" s="1234"/>
      <c r="AR35" s="1234"/>
      <c r="AS35" s="1234"/>
      <c r="AT35" s="1234"/>
      <c r="AU35" s="1234"/>
      <c r="AV35" s="1234"/>
      <c r="AW35" s="1234"/>
      <c r="AX35" s="1234"/>
      <c r="AY35" s="1234"/>
      <c r="AZ35" s="1234"/>
      <c r="BA35" s="1234"/>
      <c r="BB35" s="1234"/>
      <c r="BC35" s="1234"/>
      <c r="BD35" s="1234"/>
      <c r="BE35" s="1234"/>
      <c r="BF35" s="1234"/>
      <c r="BP35" s="1234"/>
      <c r="BQ35" s="1234"/>
      <c r="BR35" s="1234"/>
      <c r="BS35" s="1234"/>
      <c r="BT35" s="1234"/>
      <c r="BU35" s="1234"/>
      <c r="BV35" s="1234"/>
      <c r="BW35" s="1234"/>
      <c r="BX35" s="1234"/>
      <c r="BY35" s="1234"/>
      <c r="BZ35" s="1234"/>
      <c r="CA35" s="1234"/>
      <c r="CB35" s="1234"/>
      <c r="CC35" s="1234"/>
      <c r="CD35" s="1234"/>
      <c r="CE35" s="1234"/>
      <c r="CF35" s="1234"/>
      <c r="CG35" s="1234"/>
      <c r="CH35" s="1234"/>
      <c r="CI35" s="1234"/>
      <c r="CJ35" s="1234"/>
      <c r="CK35" s="1234"/>
    </row>
    <row r="36" spans="2:89" ht="15.75" customHeight="1">
      <c r="B36" s="1249"/>
      <c r="C36" s="307" t="s">
        <v>323</v>
      </c>
      <c r="D36" s="308" t="s">
        <v>324</v>
      </c>
      <c r="E36" s="316" t="s">
        <v>325</v>
      </c>
      <c r="F36" s="309" t="s">
        <v>326</v>
      </c>
      <c r="G36" s="317" t="s">
        <v>325</v>
      </c>
      <c r="H36" s="311" t="s">
        <v>327</v>
      </c>
      <c r="I36" s="312" t="s">
        <v>328</v>
      </c>
      <c r="J36" s="318" t="s">
        <v>328</v>
      </c>
      <c r="K36" s="1252"/>
      <c r="L36" s="319" t="s">
        <v>328</v>
      </c>
      <c r="N36" s="315" t="s">
        <v>329</v>
      </c>
      <c r="R36" s="81"/>
      <c r="S36" s="81"/>
      <c r="T36" s="81"/>
      <c r="U36" s="81"/>
      <c r="V36" s="81"/>
      <c r="W36" s="81"/>
      <c r="AK36" s="1234"/>
      <c r="AL36" s="1234"/>
      <c r="AM36" s="1234"/>
      <c r="AN36" s="1234"/>
      <c r="AO36" s="1234"/>
      <c r="AP36" s="1234"/>
      <c r="AQ36" s="1234"/>
      <c r="AR36" s="1234"/>
      <c r="AS36" s="1234"/>
      <c r="AT36" s="1234"/>
      <c r="AU36" s="1234"/>
      <c r="AV36" s="1234"/>
      <c r="AW36" s="1234"/>
      <c r="AX36" s="1234"/>
      <c r="AY36" s="1234"/>
      <c r="AZ36" s="1234"/>
      <c r="BA36" s="1234"/>
      <c r="BB36" s="1234"/>
      <c r="BC36" s="1234"/>
      <c r="BD36" s="1234"/>
      <c r="BE36" s="1234"/>
      <c r="BF36" s="1234"/>
      <c r="BP36" s="1234"/>
      <c r="BQ36" s="1234"/>
      <c r="BR36" s="1234"/>
      <c r="BS36" s="1234"/>
      <c r="BT36" s="1234"/>
      <c r="BU36" s="1234"/>
      <c r="BV36" s="1234"/>
      <c r="BW36" s="1234"/>
      <c r="BX36" s="1234"/>
      <c r="BY36" s="1234"/>
      <c r="BZ36" s="1234"/>
      <c r="CA36" s="1234"/>
      <c r="CB36" s="1234"/>
      <c r="CC36" s="1234"/>
      <c r="CD36" s="1234"/>
      <c r="CE36" s="1234"/>
      <c r="CF36" s="1234"/>
      <c r="CG36" s="1234"/>
      <c r="CH36" s="1234"/>
      <c r="CI36" s="1234"/>
      <c r="CJ36" s="1234"/>
      <c r="CK36" s="1234"/>
    </row>
    <row r="37" spans="2:89" ht="15.75" customHeight="1">
      <c r="B37" s="1249"/>
      <c r="C37" s="307" t="s">
        <v>328</v>
      </c>
      <c r="D37" s="308" t="s">
        <v>328</v>
      </c>
      <c r="E37" s="316" t="s">
        <v>330</v>
      </c>
      <c r="F37" s="309" t="s">
        <v>331</v>
      </c>
      <c r="G37" s="317" t="s">
        <v>330</v>
      </c>
      <c r="H37" s="311" t="s">
        <v>332</v>
      </c>
      <c r="I37" s="312" t="s">
        <v>333</v>
      </c>
      <c r="J37" s="320" t="s">
        <v>334</v>
      </c>
      <c r="K37" s="1253" t="s">
        <v>320</v>
      </c>
      <c r="L37" s="321" t="s">
        <v>334</v>
      </c>
      <c r="N37" s="315" t="s">
        <v>335</v>
      </c>
      <c r="R37" s="81"/>
      <c r="S37" s="81"/>
      <c r="T37" s="81"/>
      <c r="U37" s="81"/>
      <c r="V37" s="81"/>
      <c r="W37" s="81"/>
    </row>
    <row r="38" spans="2:89" ht="15" customHeight="1">
      <c r="B38" s="1249"/>
      <c r="C38" s="322"/>
      <c r="D38" s="323"/>
      <c r="E38" s="316" t="s">
        <v>336</v>
      </c>
      <c r="F38" s="309" t="s">
        <v>337</v>
      </c>
      <c r="G38" s="317" t="s">
        <v>338</v>
      </c>
      <c r="H38" s="311" t="s">
        <v>339</v>
      </c>
      <c r="I38" s="312" t="s">
        <v>340</v>
      </c>
      <c r="J38" s="324" t="s">
        <v>341</v>
      </c>
      <c r="K38" s="1251"/>
      <c r="L38" s="314" t="s">
        <v>341</v>
      </c>
      <c r="N38" s="315" t="s">
        <v>342</v>
      </c>
      <c r="R38" s="81"/>
      <c r="S38" s="81"/>
      <c r="T38" s="81"/>
      <c r="U38" s="81"/>
      <c r="V38" s="81"/>
      <c r="W38" s="81"/>
    </row>
    <row r="39" spans="2:89" ht="15" customHeight="1">
      <c r="B39" s="1249"/>
      <c r="C39" s="322"/>
      <c r="D39" s="323"/>
      <c r="E39" s="316" t="s">
        <v>343</v>
      </c>
      <c r="F39" s="309" t="s">
        <v>344</v>
      </c>
      <c r="G39" s="317" t="s">
        <v>336</v>
      </c>
      <c r="H39" s="311" t="s">
        <v>345</v>
      </c>
      <c r="I39" s="312" t="s">
        <v>346</v>
      </c>
      <c r="J39" s="324" t="s">
        <v>347</v>
      </c>
      <c r="K39" s="1251"/>
      <c r="L39" s="314" t="s">
        <v>347</v>
      </c>
      <c r="N39" s="315" t="s">
        <v>348</v>
      </c>
      <c r="U39" s="81"/>
      <c r="V39" s="81"/>
      <c r="W39" s="81"/>
    </row>
    <row r="40" spans="2:89" ht="15" customHeight="1">
      <c r="B40" s="1249"/>
      <c r="C40" s="322"/>
      <c r="D40" s="323"/>
      <c r="E40" s="316" t="s">
        <v>349</v>
      </c>
      <c r="F40" s="309" t="s">
        <v>350</v>
      </c>
      <c r="G40" s="317" t="s">
        <v>343</v>
      </c>
      <c r="H40" s="311" t="s">
        <v>351</v>
      </c>
      <c r="I40" s="312" t="s">
        <v>352</v>
      </c>
      <c r="J40" s="324" t="s">
        <v>315</v>
      </c>
      <c r="K40" s="1251"/>
      <c r="L40" s="314" t="s">
        <v>315</v>
      </c>
      <c r="N40" s="315" t="s">
        <v>353</v>
      </c>
      <c r="R40" s="81"/>
      <c r="S40" s="81"/>
      <c r="T40" s="81"/>
      <c r="U40" s="81"/>
      <c r="V40" s="81"/>
      <c r="W40" s="81"/>
    </row>
    <row r="41" spans="2:89" ht="15.75" customHeight="1">
      <c r="B41" s="1249"/>
      <c r="C41" s="322"/>
      <c r="D41" s="323"/>
      <c r="E41" s="325"/>
      <c r="F41" s="309" t="s">
        <v>354</v>
      </c>
      <c r="G41" s="317" t="s">
        <v>349</v>
      </c>
      <c r="H41" s="311" t="s">
        <v>355</v>
      </c>
      <c r="I41" s="312" t="s">
        <v>356</v>
      </c>
      <c r="J41" s="326" t="s">
        <v>357</v>
      </c>
      <c r="K41" s="1252"/>
      <c r="L41" s="319" t="s">
        <v>357</v>
      </c>
      <c r="N41" s="315" t="s">
        <v>358</v>
      </c>
      <c r="R41" s="81"/>
      <c r="S41" s="81"/>
      <c r="T41" s="81"/>
      <c r="U41" s="81"/>
      <c r="V41" s="81"/>
      <c r="W41" s="81"/>
    </row>
    <row r="42" spans="2:89" ht="15" customHeight="1">
      <c r="B42" s="1249"/>
      <c r="C42" s="322"/>
      <c r="D42" s="323"/>
      <c r="E42" s="325"/>
      <c r="F42" s="309" t="s">
        <v>359</v>
      </c>
      <c r="G42" s="327"/>
      <c r="H42" s="311" t="s">
        <v>360</v>
      </c>
      <c r="I42" s="312" t="s">
        <v>332</v>
      </c>
      <c r="J42" s="328" t="s">
        <v>361</v>
      </c>
      <c r="K42" s="329" t="s">
        <v>328</v>
      </c>
      <c r="L42" s="330" t="s">
        <v>361</v>
      </c>
      <c r="N42" s="315" t="s">
        <v>362</v>
      </c>
      <c r="R42" s="81"/>
      <c r="S42" s="81"/>
      <c r="T42" s="81"/>
      <c r="U42" s="81"/>
      <c r="V42" s="81"/>
      <c r="W42" s="81"/>
    </row>
    <row r="43" spans="2:89" ht="15.75" customHeight="1">
      <c r="B43" s="1249"/>
      <c r="C43" s="322"/>
      <c r="D43" s="331"/>
      <c r="E43" s="325"/>
      <c r="F43" s="309" t="s">
        <v>363</v>
      </c>
      <c r="G43" s="327"/>
      <c r="H43" s="311" t="s">
        <v>328</v>
      </c>
      <c r="I43" s="312" t="s">
        <v>311</v>
      </c>
      <c r="J43" s="332" t="s">
        <v>364</v>
      </c>
      <c r="K43" s="333" t="s">
        <v>333</v>
      </c>
      <c r="L43" s="334"/>
      <c r="N43" s="315" t="s">
        <v>365</v>
      </c>
      <c r="R43" s="81"/>
      <c r="S43" s="81"/>
      <c r="T43" s="81"/>
      <c r="U43" s="81"/>
      <c r="V43" s="81"/>
      <c r="W43" s="81"/>
    </row>
    <row r="44" spans="2:89" ht="15.75" customHeight="1" thickBot="1">
      <c r="B44" s="1249"/>
      <c r="C44" s="322"/>
      <c r="D44" s="331"/>
      <c r="E44" s="325"/>
      <c r="F44" s="309" t="s">
        <v>366</v>
      </c>
      <c r="G44" s="327"/>
      <c r="H44" s="322"/>
      <c r="I44" s="312" t="s">
        <v>367</v>
      </c>
      <c r="J44" s="313" t="s">
        <v>368</v>
      </c>
      <c r="K44" s="333" t="s">
        <v>340</v>
      </c>
      <c r="L44" s="334"/>
      <c r="N44" s="315" t="s">
        <v>328</v>
      </c>
      <c r="R44" s="81"/>
      <c r="S44" s="81"/>
      <c r="T44" s="81"/>
      <c r="U44" s="81"/>
      <c r="V44" s="81"/>
      <c r="W44" s="81"/>
    </row>
    <row r="45" spans="2:89" ht="15" customHeight="1">
      <c r="B45" s="1249"/>
      <c r="C45" s="322"/>
      <c r="D45" s="331"/>
      <c r="E45" s="325"/>
      <c r="F45" s="309" t="s">
        <v>369</v>
      </c>
      <c r="G45" s="327"/>
      <c r="H45" s="322"/>
      <c r="I45" s="312" t="s">
        <v>370</v>
      </c>
      <c r="J45" s="335" t="s">
        <v>371</v>
      </c>
      <c r="K45" s="1253" t="s">
        <v>346</v>
      </c>
      <c r="L45" s="336" t="s">
        <v>364</v>
      </c>
      <c r="N45" s="323"/>
      <c r="R45" s="81"/>
      <c r="S45" s="81"/>
      <c r="T45" s="81"/>
      <c r="U45" s="81"/>
      <c r="V45" s="81"/>
      <c r="W45" s="81"/>
    </row>
    <row r="46" spans="2:89" ht="15.75" customHeight="1">
      <c r="B46" s="1249"/>
      <c r="C46" s="322"/>
      <c r="D46" s="331"/>
      <c r="E46" s="325"/>
      <c r="F46" s="309" t="s">
        <v>328</v>
      </c>
      <c r="G46" s="327"/>
      <c r="H46" s="322"/>
      <c r="I46" s="312" t="s">
        <v>372</v>
      </c>
      <c r="J46" s="324" t="s">
        <v>328</v>
      </c>
      <c r="K46" s="1252"/>
      <c r="L46" s="337" t="s">
        <v>368</v>
      </c>
      <c r="N46" s="323"/>
      <c r="R46" s="81"/>
      <c r="S46" s="81"/>
      <c r="T46" s="81"/>
      <c r="U46" s="81"/>
      <c r="V46" s="81"/>
      <c r="W46" s="81"/>
    </row>
    <row r="47" spans="2:89">
      <c r="B47" s="1249"/>
      <c r="C47" s="322"/>
      <c r="D47" s="323"/>
      <c r="E47" s="323"/>
      <c r="F47" s="323"/>
      <c r="G47" s="327"/>
      <c r="H47" s="322"/>
      <c r="I47" s="312" t="s">
        <v>373</v>
      </c>
      <c r="J47" s="324" t="s">
        <v>374</v>
      </c>
      <c r="K47" s="338" t="s">
        <v>352</v>
      </c>
      <c r="L47" s="339" t="s">
        <v>371</v>
      </c>
      <c r="N47" s="323"/>
    </row>
    <row r="48" spans="2:89">
      <c r="B48" s="1249"/>
      <c r="C48" s="322"/>
      <c r="D48" s="323"/>
      <c r="E48" s="323"/>
      <c r="F48" s="323"/>
      <c r="G48" s="327"/>
      <c r="H48" s="322"/>
      <c r="I48" s="312" t="s">
        <v>375</v>
      </c>
      <c r="J48" s="324" t="s">
        <v>376</v>
      </c>
      <c r="K48" s="338"/>
      <c r="L48" s="340" t="s">
        <v>328</v>
      </c>
      <c r="N48" s="323"/>
    </row>
    <row r="49" spans="2:23">
      <c r="B49" s="1249"/>
      <c r="C49" s="322"/>
      <c r="D49" s="323"/>
      <c r="E49" s="323"/>
      <c r="F49" s="323"/>
      <c r="G49" s="327"/>
      <c r="H49" s="322"/>
      <c r="I49" s="312" t="s">
        <v>377</v>
      </c>
      <c r="J49" s="313" t="s">
        <v>378</v>
      </c>
      <c r="K49" s="338"/>
      <c r="L49" s="340" t="s">
        <v>374</v>
      </c>
      <c r="N49" s="323"/>
    </row>
    <row r="50" spans="2:23">
      <c r="B50" s="1249"/>
      <c r="C50" s="322"/>
      <c r="D50" s="323"/>
      <c r="E50" s="323"/>
      <c r="F50" s="323"/>
      <c r="G50" s="327"/>
      <c r="H50" s="322"/>
      <c r="I50" s="323"/>
      <c r="J50" s="328" t="s">
        <v>356</v>
      </c>
      <c r="K50" s="338"/>
      <c r="L50" s="340" t="s">
        <v>376</v>
      </c>
      <c r="N50" s="323"/>
    </row>
    <row r="51" spans="2:23">
      <c r="B51" s="1249"/>
      <c r="C51" s="322"/>
      <c r="D51" s="323"/>
      <c r="E51" s="323"/>
      <c r="F51" s="323"/>
      <c r="G51" s="327"/>
      <c r="H51" s="322"/>
      <c r="I51" s="323"/>
      <c r="J51" s="332" t="s">
        <v>379</v>
      </c>
      <c r="K51" s="329"/>
      <c r="L51" s="337" t="s">
        <v>378</v>
      </c>
      <c r="N51" s="323"/>
    </row>
    <row r="52" spans="2:23">
      <c r="B52" s="1249"/>
      <c r="C52" s="322"/>
      <c r="D52" s="323"/>
      <c r="E52" s="323"/>
      <c r="F52" s="323"/>
      <c r="G52" s="327"/>
      <c r="H52" s="322"/>
      <c r="I52" s="323"/>
      <c r="J52" s="324" t="s">
        <v>380</v>
      </c>
      <c r="K52" s="329" t="s">
        <v>356</v>
      </c>
      <c r="L52" s="341" t="s">
        <v>356</v>
      </c>
      <c r="N52" s="323"/>
    </row>
    <row r="53" spans="2:23">
      <c r="B53" s="1249"/>
      <c r="C53" s="322"/>
      <c r="D53" s="323"/>
      <c r="E53" s="323"/>
      <c r="F53" s="323"/>
      <c r="G53" s="327"/>
      <c r="H53" s="322"/>
      <c r="I53" s="342"/>
      <c r="J53" s="324" t="s">
        <v>381</v>
      </c>
      <c r="K53" s="343" t="s">
        <v>332</v>
      </c>
      <c r="L53" s="344" t="s">
        <v>379</v>
      </c>
      <c r="N53" s="342"/>
      <c r="Q53" s="81"/>
      <c r="R53" s="81"/>
      <c r="S53" s="81"/>
      <c r="T53" s="81"/>
      <c r="U53" s="81"/>
      <c r="V53" s="81"/>
    </row>
    <row r="54" spans="2:23">
      <c r="B54" s="1249"/>
      <c r="C54" s="322"/>
      <c r="D54" s="323"/>
      <c r="E54" s="323"/>
      <c r="F54" s="323"/>
      <c r="G54" s="327"/>
      <c r="H54" s="322"/>
      <c r="I54" s="342"/>
      <c r="J54" s="324" t="s">
        <v>382</v>
      </c>
      <c r="K54" s="343"/>
      <c r="L54" s="340" t="s">
        <v>380</v>
      </c>
      <c r="N54" s="342"/>
      <c r="Q54" s="81"/>
      <c r="R54" s="81"/>
      <c r="S54" s="81"/>
      <c r="T54" s="81"/>
      <c r="U54" s="81"/>
      <c r="V54" s="81"/>
    </row>
    <row r="55" spans="2:23">
      <c r="B55" s="1249"/>
      <c r="C55" s="322"/>
      <c r="D55" s="323"/>
      <c r="E55" s="323"/>
      <c r="F55" s="323"/>
      <c r="G55" s="327"/>
      <c r="H55" s="322"/>
      <c r="I55" s="342"/>
      <c r="J55" s="345"/>
      <c r="K55" s="343"/>
      <c r="L55" s="340" t="s">
        <v>381</v>
      </c>
      <c r="N55" s="342"/>
      <c r="Q55" s="81"/>
      <c r="R55" s="81"/>
      <c r="S55" s="81"/>
      <c r="T55" s="81"/>
      <c r="U55" s="81"/>
      <c r="V55" s="81"/>
    </row>
    <row r="56" spans="2:23" ht="15.75" thickBot="1">
      <c r="B56" s="1249"/>
      <c r="C56" s="346"/>
      <c r="D56" s="347"/>
      <c r="E56" s="347"/>
      <c r="F56" s="347"/>
      <c r="G56" s="348"/>
      <c r="H56" s="346"/>
      <c r="I56" s="349"/>
      <c r="J56" s="350"/>
      <c r="K56" s="351"/>
      <c r="L56" s="337" t="s">
        <v>382</v>
      </c>
      <c r="N56" s="349"/>
      <c r="Q56" s="81"/>
      <c r="R56" s="81"/>
      <c r="S56" s="81"/>
      <c r="T56" s="81"/>
      <c r="U56" s="81"/>
      <c r="V56" s="81"/>
    </row>
    <row r="57" spans="2:23">
      <c r="I57" s="81"/>
      <c r="K57" s="329" t="s">
        <v>311</v>
      </c>
      <c r="L57" s="334"/>
      <c r="Q57" s="81"/>
      <c r="R57" s="81"/>
      <c r="S57" s="81"/>
      <c r="T57" s="81"/>
      <c r="U57" s="81"/>
      <c r="V57" s="81"/>
    </row>
    <row r="58" spans="2:23">
      <c r="I58" s="81"/>
      <c r="K58" s="352" t="s">
        <v>367</v>
      </c>
      <c r="L58" s="334"/>
      <c r="Q58" s="81"/>
      <c r="R58" s="81"/>
      <c r="S58" s="81"/>
      <c r="T58" s="81"/>
      <c r="U58" s="81"/>
      <c r="V58" s="81"/>
    </row>
    <row r="59" spans="2:23" ht="15.75" customHeight="1">
      <c r="I59" s="81"/>
      <c r="K59" s="353" t="s">
        <v>370</v>
      </c>
      <c r="L59" s="334"/>
      <c r="Q59" s="81"/>
      <c r="R59" s="81"/>
      <c r="S59" s="81"/>
      <c r="T59" s="81"/>
      <c r="U59" s="81"/>
      <c r="V59" s="81"/>
    </row>
    <row r="60" spans="2:23">
      <c r="I60" s="81"/>
      <c r="K60" s="353" t="s">
        <v>372</v>
      </c>
      <c r="L60" s="334"/>
      <c r="Q60" s="81"/>
      <c r="R60" s="81"/>
      <c r="S60" s="81"/>
      <c r="T60" s="81"/>
      <c r="U60" s="81"/>
      <c r="V60" s="81"/>
    </row>
    <row r="61" spans="2:23">
      <c r="I61" s="81"/>
      <c r="K61" s="353" t="s">
        <v>373</v>
      </c>
      <c r="L61" s="334"/>
      <c r="Q61" s="81"/>
      <c r="R61" s="81"/>
      <c r="S61" s="81"/>
      <c r="T61" s="81"/>
      <c r="U61" s="81"/>
      <c r="V61" s="81"/>
    </row>
    <row r="62" spans="2:23">
      <c r="I62" s="81"/>
      <c r="K62" s="353" t="s">
        <v>375</v>
      </c>
      <c r="L62" s="334"/>
      <c r="Q62" s="81"/>
      <c r="R62" s="81"/>
      <c r="S62" s="81"/>
      <c r="T62" s="81"/>
      <c r="U62" s="81"/>
      <c r="V62" s="81"/>
    </row>
    <row r="63" spans="2:23" ht="15.75" thickBot="1">
      <c r="I63" s="81"/>
      <c r="K63" s="354" t="s">
        <v>377</v>
      </c>
      <c r="L63" s="355"/>
      <c r="Q63" s="81"/>
      <c r="R63" s="81"/>
      <c r="S63" s="81"/>
      <c r="T63" s="81"/>
      <c r="U63" s="81"/>
      <c r="V63" s="81"/>
    </row>
    <row r="64" spans="2:23">
      <c r="I64" s="81"/>
      <c r="J64" s="81"/>
      <c r="K64" s="81"/>
      <c r="R64" s="81"/>
      <c r="S64" s="81"/>
      <c r="T64" s="81"/>
      <c r="U64" s="81"/>
      <c r="V64" s="81"/>
      <c r="W64" s="81"/>
    </row>
    <row r="65" spans="2:23" ht="29.25" thickBot="1">
      <c r="B65" s="288"/>
      <c r="K65" s="246"/>
      <c r="L65" s="286"/>
      <c r="O65" s="81"/>
      <c r="P65" s="81"/>
      <c r="Q65" s="81"/>
      <c r="R65" s="81"/>
      <c r="S65" s="81"/>
      <c r="T65" s="81"/>
      <c r="U65" s="81"/>
      <c r="V65" s="81"/>
      <c r="W65" s="81"/>
    </row>
    <row r="66" spans="2:23" ht="30.75" thickBot="1">
      <c r="B66" s="1254" t="s">
        <v>383</v>
      </c>
      <c r="C66" s="290" t="s">
        <v>384</v>
      </c>
      <c r="D66" s="291" t="s">
        <v>385</v>
      </c>
      <c r="E66" s="290" t="s">
        <v>386</v>
      </c>
      <c r="F66" s="291" t="s">
        <v>387</v>
      </c>
      <c r="G66" s="290" t="s">
        <v>388</v>
      </c>
      <c r="J66" s="246"/>
      <c r="K66" s="246"/>
      <c r="L66" s="286"/>
      <c r="O66" s="81"/>
      <c r="P66" s="81"/>
      <c r="Q66" s="81"/>
      <c r="R66" s="81"/>
      <c r="S66" s="81"/>
      <c r="T66" s="81"/>
      <c r="U66" s="81"/>
      <c r="V66" s="81"/>
      <c r="W66" s="81"/>
    </row>
    <row r="67" spans="2:23">
      <c r="B67" s="1249"/>
      <c r="C67" s="297" t="s">
        <v>389</v>
      </c>
      <c r="D67" s="298" t="s">
        <v>308</v>
      </c>
      <c r="E67" s="299" t="s">
        <v>309</v>
      </c>
      <c r="F67" s="300" t="s">
        <v>310</v>
      </c>
      <c r="G67" s="356" t="s">
        <v>309</v>
      </c>
    </row>
    <row r="68" spans="2:23">
      <c r="B68" s="1249"/>
      <c r="C68" s="307" t="s">
        <v>323</v>
      </c>
      <c r="D68" s="308" t="s">
        <v>390</v>
      </c>
      <c r="E68" s="309" t="s">
        <v>317</v>
      </c>
      <c r="F68" s="309" t="s">
        <v>318</v>
      </c>
      <c r="G68" s="357" t="s">
        <v>317</v>
      </c>
    </row>
    <row r="69" spans="2:23">
      <c r="B69" s="1249"/>
      <c r="C69" s="307" t="s">
        <v>391</v>
      </c>
      <c r="D69" s="308" t="s">
        <v>392</v>
      </c>
      <c r="E69" s="316" t="s">
        <v>325</v>
      </c>
      <c r="F69" s="309" t="s">
        <v>326</v>
      </c>
      <c r="G69" s="358" t="s">
        <v>325</v>
      </c>
    </row>
    <row r="70" spans="2:23">
      <c r="B70" s="1249"/>
      <c r="C70" s="307" t="s">
        <v>328</v>
      </c>
      <c r="D70" s="308" t="s">
        <v>328</v>
      </c>
      <c r="E70" s="316" t="s">
        <v>330</v>
      </c>
      <c r="F70" s="309" t="s">
        <v>331</v>
      </c>
      <c r="G70" s="358" t="s">
        <v>330</v>
      </c>
    </row>
    <row r="71" spans="2:23">
      <c r="B71" s="1249"/>
      <c r="C71" s="322"/>
      <c r="D71" s="323"/>
      <c r="E71" s="316" t="s">
        <v>393</v>
      </c>
      <c r="F71" s="309" t="s">
        <v>337</v>
      </c>
      <c r="G71" s="358" t="s">
        <v>338</v>
      </c>
    </row>
    <row r="72" spans="2:23">
      <c r="B72" s="1249"/>
      <c r="C72" s="322"/>
      <c r="D72" s="323"/>
      <c r="E72" s="316" t="s">
        <v>336</v>
      </c>
      <c r="F72" s="309" t="s">
        <v>344</v>
      </c>
      <c r="G72" s="358" t="s">
        <v>336</v>
      </c>
    </row>
    <row r="73" spans="2:23">
      <c r="B73" s="1249"/>
      <c r="C73" s="322"/>
      <c r="D73" s="323"/>
      <c r="E73" s="316" t="s">
        <v>343</v>
      </c>
      <c r="F73" s="309" t="s">
        <v>350</v>
      </c>
      <c r="G73" s="358" t="s">
        <v>343</v>
      </c>
    </row>
    <row r="74" spans="2:23">
      <c r="B74" s="1249"/>
      <c r="C74" s="322"/>
      <c r="D74" s="323"/>
      <c r="E74" s="316" t="s">
        <v>349</v>
      </c>
      <c r="F74" s="309" t="s">
        <v>354</v>
      </c>
      <c r="G74" s="358" t="s">
        <v>349</v>
      </c>
    </row>
    <row r="75" spans="2:23">
      <c r="B75" s="1249"/>
      <c r="C75" s="322"/>
      <c r="D75" s="323"/>
      <c r="E75" s="323"/>
      <c r="F75" s="309" t="s">
        <v>359</v>
      </c>
      <c r="G75" s="359"/>
    </row>
    <row r="76" spans="2:23">
      <c r="B76" s="1249"/>
      <c r="C76" s="322"/>
      <c r="D76" s="323"/>
      <c r="E76" s="323"/>
      <c r="F76" s="309" t="s">
        <v>363</v>
      </c>
      <c r="G76" s="359"/>
    </row>
    <row r="77" spans="2:23">
      <c r="B77" s="1249"/>
      <c r="C77" s="322"/>
      <c r="D77" s="323"/>
      <c r="E77" s="323"/>
      <c r="F77" s="309" t="s">
        <v>366</v>
      </c>
      <c r="G77" s="359"/>
    </row>
    <row r="78" spans="2:23">
      <c r="B78" s="1249"/>
      <c r="C78" s="322"/>
      <c r="D78" s="323"/>
      <c r="E78" s="323"/>
      <c r="F78" s="309" t="s">
        <v>369</v>
      </c>
      <c r="G78" s="359"/>
    </row>
    <row r="79" spans="2:23" ht="15.75" thickBot="1">
      <c r="B79" s="1249"/>
      <c r="C79" s="346"/>
      <c r="D79" s="347"/>
      <c r="E79" s="347"/>
      <c r="F79" s="360" t="s">
        <v>328</v>
      </c>
      <c r="G79" s="361"/>
    </row>
    <row r="82" spans="2:21" ht="28.5">
      <c r="B82" s="288"/>
    </row>
    <row r="83" spans="2:21" ht="31.5">
      <c r="B83" s="362" t="s">
        <v>394</v>
      </c>
      <c r="C83" s="363"/>
      <c r="D83" s="363"/>
      <c r="E83" s="363"/>
      <c r="F83" s="363"/>
      <c r="G83" s="363"/>
      <c r="H83" s="363"/>
      <c r="I83" s="363"/>
      <c r="J83" s="363"/>
      <c r="K83" s="363"/>
      <c r="L83" s="363"/>
      <c r="M83" s="363"/>
      <c r="N83" s="363"/>
      <c r="O83" s="363"/>
      <c r="P83" s="363"/>
      <c r="Q83" s="363"/>
    </row>
    <row r="84" spans="2:21" ht="30.75" customHeight="1" thickBot="1">
      <c r="B84" s="288"/>
      <c r="C84" s="81"/>
      <c r="D84" s="364"/>
      <c r="E84" s="364"/>
      <c r="F84" s="364"/>
      <c r="G84" s="364"/>
      <c r="H84" s="81"/>
      <c r="I84" s="81"/>
      <c r="J84" s="81"/>
      <c r="K84" s="81"/>
      <c r="L84" s="81"/>
      <c r="M84" s="365" t="s">
        <v>395</v>
      </c>
      <c r="N84" s="366"/>
      <c r="O84" s="366"/>
      <c r="P84" s="366"/>
      <c r="Q84" s="366"/>
      <c r="U84" s="81"/>
    </row>
    <row r="85" spans="2:21" s="372" customFormat="1" ht="42" customHeight="1" thickBot="1">
      <c r="B85" s="1254" t="s">
        <v>396</v>
      </c>
      <c r="C85" s="367" t="s">
        <v>397</v>
      </c>
      <c r="D85" s="368" t="s">
        <v>398</v>
      </c>
      <c r="E85" s="369" t="s">
        <v>399</v>
      </c>
      <c r="F85" s="368" t="s">
        <v>400</v>
      </c>
      <c r="G85" s="368" t="s">
        <v>401</v>
      </c>
      <c r="H85" s="368" t="s">
        <v>402</v>
      </c>
      <c r="I85" s="368" t="s">
        <v>403</v>
      </c>
      <c r="J85" s="368" t="s">
        <v>404</v>
      </c>
      <c r="K85" s="370" t="s">
        <v>405</v>
      </c>
      <c r="L85" s="371" t="s">
        <v>406</v>
      </c>
      <c r="M85" s="368" t="s">
        <v>407</v>
      </c>
      <c r="N85" s="368" t="s">
        <v>408</v>
      </c>
      <c r="O85" s="368" t="s">
        <v>409</v>
      </c>
      <c r="P85" s="368" t="s">
        <v>410</v>
      </c>
      <c r="Q85" s="368"/>
      <c r="U85" s="373"/>
    </row>
    <row r="86" spans="2:21" ht="15" customHeight="1">
      <c r="B86" s="1249"/>
      <c r="C86" s="374" t="s">
        <v>411</v>
      </c>
      <c r="D86" s="375" t="s">
        <v>412</v>
      </c>
      <c r="E86" s="375" t="s">
        <v>412</v>
      </c>
      <c r="F86" s="375" t="s">
        <v>412</v>
      </c>
      <c r="G86" s="375" t="s">
        <v>412</v>
      </c>
      <c r="H86" s="376" t="s">
        <v>413</v>
      </c>
      <c r="I86" s="376" t="s">
        <v>413</v>
      </c>
      <c r="J86" s="376" t="s">
        <v>414</v>
      </c>
      <c r="K86" s="377" t="s">
        <v>412</v>
      </c>
      <c r="L86" s="378" t="s">
        <v>415</v>
      </c>
      <c r="M86" s="379" t="s">
        <v>416</v>
      </c>
      <c r="N86" s="380" t="s">
        <v>417</v>
      </c>
      <c r="O86" s="376" t="s">
        <v>418</v>
      </c>
      <c r="P86" s="376" t="s">
        <v>419</v>
      </c>
      <c r="Q86" s="376"/>
      <c r="U86" s="81"/>
    </row>
    <row r="87" spans="2:21" ht="15" customHeight="1">
      <c r="B87" s="1249"/>
      <c r="C87" s="381" t="s">
        <v>411</v>
      </c>
      <c r="D87" s="382" t="s">
        <v>412</v>
      </c>
      <c r="E87" s="382" t="s">
        <v>412</v>
      </c>
      <c r="F87" s="382" t="s">
        <v>412</v>
      </c>
      <c r="G87" s="382" t="s">
        <v>412</v>
      </c>
      <c r="H87" s="383" t="s">
        <v>412</v>
      </c>
      <c r="I87" s="383" t="s">
        <v>412</v>
      </c>
      <c r="J87" s="383" t="s">
        <v>420</v>
      </c>
      <c r="K87" s="384" t="s">
        <v>412</v>
      </c>
      <c r="L87" s="385" t="s">
        <v>412</v>
      </c>
      <c r="M87" s="386" t="s">
        <v>416</v>
      </c>
      <c r="N87" s="387" t="s">
        <v>416</v>
      </c>
      <c r="O87" s="383" t="s">
        <v>421</v>
      </c>
      <c r="P87" s="383" t="s">
        <v>422</v>
      </c>
      <c r="Q87" s="383"/>
      <c r="U87" s="81"/>
    </row>
    <row r="88" spans="2:21" ht="15" customHeight="1">
      <c r="B88" s="1249"/>
      <c r="C88" s="381" t="s">
        <v>411</v>
      </c>
      <c r="D88" s="382" t="s">
        <v>423</v>
      </c>
      <c r="E88" s="382" t="s">
        <v>423</v>
      </c>
      <c r="F88" s="382" t="s">
        <v>423</v>
      </c>
      <c r="G88" s="382" t="s">
        <v>423</v>
      </c>
      <c r="H88" s="383" t="s">
        <v>413</v>
      </c>
      <c r="I88" s="383" t="s">
        <v>413</v>
      </c>
      <c r="J88" s="383" t="s">
        <v>424</v>
      </c>
      <c r="K88" s="384" t="s">
        <v>412</v>
      </c>
      <c r="L88" s="385" t="s">
        <v>425</v>
      </c>
      <c r="M88" s="386" t="s">
        <v>416</v>
      </c>
      <c r="N88" s="387" t="s">
        <v>416</v>
      </c>
      <c r="O88" s="383" t="s">
        <v>422</v>
      </c>
      <c r="P88" s="383" t="s">
        <v>422</v>
      </c>
      <c r="Q88" s="383"/>
      <c r="U88" s="81"/>
    </row>
    <row r="89" spans="2:21" ht="15" customHeight="1">
      <c r="B89" s="1249"/>
      <c r="C89" s="381" t="s">
        <v>411</v>
      </c>
      <c r="D89" s="382" t="s">
        <v>412</v>
      </c>
      <c r="E89" s="382" t="s">
        <v>412</v>
      </c>
      <c r="F89" s="382" t="s">
        <v>412</v>
      </c>
      <c r="G89" s="382" t="s">
        <v>412</v>
      </c>
      <c r="H89" s="383" t="s">
        <v>413</v>
      </c>
      <c r="I89" s="383" t="s">
        <v>413</v>
      </c>
      <c r="J89" s="383" t="s">
        <v>426</v>
      </c>
      <c r="K89" s="384" t="s">
        <v>425</v>
      </c>
      <c r="L89" s="385" t="s">
        <v>412</v>
      </c>
      <c r="M89" s="386" t="s">
        <v>413</v>
      </c>
      <c r="N89" s="388"/>
      <c r="O89" s="389"/>
      <c r="U89" s="81"/>
    </row>
    <row r="90" spans="2:21" ht="15" customHeight="1">
      <c r="B90" s="1249"/>
      <c r="C90" s="381" t="s">
        <v>427</v>
      </c>
      <c r="D90" s="382" t="s">
        <v>428</v>
      </c>
      <c r="E90" s="382" t="s">
        <v>428</v>
      </c>
      <c r="F90" s="382" t="s">
        <v>428</v>
      </c>
      <c r="G90" s="382" t="s">
        <v>428</v>
      </c>
      <c r="H90" s="383" t="s">
        <v>412</v>
      </c>
      <c r="I90" s="383" t="s">
        <v>412</v>
      </c>
      <c r="J90" s="383" t="s">
        <v>429</v>
      </c>
      <c r="K90" s="390"/>
      <c r="L90" s="391"/>
      <c r="M90" s="392"/>
      <c r="N90" s="388"/>
      <c r="O90" s="389"/>
      <c r="P90" s="389"/>
      <c r="Q90" s="389"/>
      <c r="U90" s="81"/>
    </row>
    <row r="91" spans="2:21" ht="15" customHeight="1">
      <c r="B91" s="1249"/>
      <c r="C91" s="381" t="s">
        <v>427</v>
      </c>
      <c r="D91" s="382" t="s">
        <v>430</v>
      </c>
      <c r="E91" s="382" t="s">
        <v>430</v>
      </c>
      <c r="F91" s="382" t="s">
        <v>430</v>
      </c>
      <c r="G91" s="382" t="s">
        <v>430</v>
      </c>
      <c r="H91" s="383" t="s">
        <v>431</v>
      </c>
      <c r="I91" s="383" t="s">
        <v>431</v>
      </c>
      <c r="J91" s="383" t="s">
        <v>432</v>
      </c>
      <c r="K91" s="390"/>
      <c r="L91" s="391"/>
      <c r="M91" s="392"/>
      <c r="N91" s="388"/>
      <c r="O91" s="389"/>
      <c r="P91" s="389"/>
      <c r="Q91" s="389"/>
      <c r="U91" s="81"/>
    </row>
    <row r="92" spans="2:21" ht="15" customHeight="1">
      <c r="B92" s="1249"/>
      <c r="C92" s="381" t="s">
        <v>427</v>
      </c>
      <c r="D92" s="382" t="s">
        <v>428</v>
      </c>
      <c r="E92" s="382" t="s">
        <v>428</v>
      </c>
      <c r="F92" s="382" t="s">
        <v>428</v>
      </c>
      <c r="G92" s="382" t="s">
        <v>428</v>
      </c>
      <c r="H92" s="393"/>
      <c r="I92" s="393"/>
      <c r="J92" s="393"/>
      <c r="K92" s="390"/>
      <c r="L92" s="391"/>
      <c r="M92" s="392"/>
      <c r="N92" s="388"/>
      <c r="O92" s="389"/>
      <c r="P92" s="389"/>
      <c r="Q92" s="389"/>
      <c r="U92" s="81"/>
    </row>
    <row r="93" spans="2:21" ht="15.75" customHeight="1">
      <c r="B93" s="1249"/>
      <c r="C93" s="394"/>
      <c r="D93" s="382" t="s">
        <v>430</v>
      </c>
      <c r="E93" s="382" t="s">
        <v>430</v>
      </c>
      <c r="F93" s="382" t="s">
        <v>430</v>
      </c>
      <c r="G93" s="382" t="s">
        <v>430</v>
      </c>
      <c r="H93" s="393"/>
      <c r="I93" s="393"/>
      <c r="J93" s="393"/>
      <c r="K93" s="390"/>
      <c r="L93" s="391"/>
      <c r="M93" s="392"/>
      <c r="N93" s="388"/>
      <c r="O93" s="389"/>
      <c r="P93" s="389"/>
      <c r="Q93" s="389"/>
      <c r="U93" s="81"/>
    </row>
    <row r="94" spans="2:21" ht="15" customHeight="1">
      <c r="B94" s="1249"/>
      <c r="C94" s="394"/>
      <c r="D94" s="382" t="s">
        <v>428</v>
      </c>
      <c r="E94" s="382" t="s">
        <v>428</v>
      </c>
      <c r="F94" s="382" t="s">
        <v>428</v>
      </c>
      <c r="G94" s="382" t="s">
        <v>428</v>
      </c>
      <c r="H94" s="393"/>
      <c r="I94" s="393"/>
      <c r="J94" s="393"/>
      <c r="K94" s="390"/>
      <c r="L94" s="391"/>
      <c r="M94" s="392"/>
      <c r="N94" s="388"/>
      <c r="O94" s="389"/>
      <c r="P94" s="389"/>
      <c r="Q94" s="389"/>
      <c r="U94" s="81"/>
    </row>
    <row r="95" spans="2:21" ht="15" customHeight="1">
      <c r="B95" s="1249"/>
      <c r="C95" s="394"/>
      <c r="D95" s="382" t="s">
        <v>412</v>
      </c>
      <c r="E95" s="393"/>
      <c r="F95" s="382" t="s">
        <v>425</v>
      </c>
      <c r="G95" s="393"/>
      <c r="H95" s="393"/>
      <c r="I95" s="393"/>
      <c r="J95" s="393"/>
      <c r="K95" s="390"/>
      <c r="L95" s="391"/>
      <c r="M95" s="392"/>
      <c r="N95" s="388"/>
      <c r="O95" s="389"/>
      <c r="P95" s="389"/>
      <c r="Q95" s="389"/>
      <c r="U95" s="81"/>
    </row>
    <row r="96" spans="2:21" ht="15" customHeight="1">
      <c r="B96" s="1249"/>
      <c r="C96" s="394"/>
      <c r="D96" s="382" t="s">
        <v>412</v>
      </c>
      <c r="E96" s="393"/>
      <c r="F96" s="393"/>
      <c r="G96" s="393"/>
      <c r="H96" s="393"/>
      <c r="I96" s="393"/>
      <c r="J96" s="393"/>
      <c r="K96" s="390"/>
      <c r="L96" s="391"/>
      <c r="M96" s="392"/>
      <c r="N96" s="388"/>
      <c r="O96" s="389"/>
      <c r="P96" s="389"/>
      <c r="Q96" s="389"/>
      <c r="U96" s="81"/>
    </row>
    <row r="97" spans="2:23" ht="15" customHeight="1">
      <c r="B97" s="1249"/>
      <c r="C97" s="394"/>
      <c r="D97" s="382" t="s">
        <v>412</v>
      </c>
      <c r="E97" s="393"/>
      <c r="F97" s="393"/>
      <c r="G97" s="393"/>
      <c r="H97" s="393"/>
      <c r="I97" s="393"/>
      <c r="J97" s="393"/>
      <c r="K97" s="390"/>
      <c r="L97" s="391"/>
      <c r="M97" s="392"/>
      <c r="N97" s="388"/>
      <c r="O97" s="389"/>
      <c r="P97" s="389"/>
      <c r="Q97" s="389"/>
      <c r="U97" s="81"/>
    </row>
    <row r="98" spans="2:23" ht="15.75" thickBot="1">
      <c r="B98" s="1249"/>
      <c r="C98" s="395"/>
      <c r="D98" s="396" t="s">
        <v>425</v>
      </c>
      <c r="E98" s="397"/>
      <c r="F98" s="397"/>
      <c r="G98" s="397"/>
      <c r="H98" s="397"/>
      <c r="I98" s="397"/>
      <c r="J98" s="397"/>
      <c r="K98" s="398"/>
      <c r="L98" s="399"/>
      <c r="M98" s="400"/>
      <c r="N98" s="401"/>
      <c r="O98" s="402"/>
      <c r="P98" s="402"/>
      <c r="Q98" s="402"/>
      <c r="U98" s="81"/>
    </row>
    <row r="99" spans="2:23" ht="28.5">
      <c r="B99" s="288"/>
      <c r="E99" s="269"/>
      <c r="F99" s="81"/>
      <c r="G99" s="81"/>
      <c r="H99" s="403"/>
      <c r="I99" s="81"/>
      <c r="J99" s="81"/>
      <c r="K99" s="81"/>
      <c r="L99" s="81"/>
      <c r="M99" s="81"/>
      <c r="W99" s="81"/>
    </row>
    <row r="100" spans="2:23" ht="29.25" thickBot="1">
      <c r="B100" s="404"/>
    </row>
    <row r="101" spans="2:23" ht="25.5" customHeight="1" thickBot="1">
      <c r="B101" s="1249" t="s">
        <v>433</v>
      </c>
      <c r="C101" s="405" t="s">
        <v>402</v>
      </c>
    </row>
    <row r="102" spans="2:23" ht="15" customHeight="1">
      <c r="B102" s="1249"/>
      <c r="C102" s="406" t="s">
        <v>413</v>
      </c>
    </row>
    <row r="103" spans="2:23" ht="15" customHeight="1">
      <c r="B103" s="1249"/>
      <c r="C103" s="407" t="s">
        <v>412</v>
      </c>
    </row>
    <row r="104" spans="2:23" ht="15" customHeight="1">
      <c r="B104" s="1249"/>
      <c r="C104" s="407" t="s">
        <v>413</v>
      </c>
    </row>
    <row r="105" spans="2:23" ht="15" customHeight="1">
      <c r="B105" s="1249"/>
      <c r="C105" s="407" t="s">
        <v>412</v>
      </c>
    </row>
    <row r="106" spans="2:23" ht="15" customHeight="1">
      <c r="B106" s="1249"/>
      <c r="C106" s="407" t="s">
        <v>413</v>
      </c>
    </row>
    <row r="107" spans="2:23" ht="15" customHeight="1">
      <c r="B107" s="1249"/>
      <c r="C107" s="407" t="s">
        <v>434</v>
      </c>
    </row>
    <row r="108" spans="2:23" ht="15.75" customHeight="1" thickBot="1">
      <c r="B108" s="1249"/>
      <c r="C108" s="408" t="s">
        <v>431</v>
      </c>
    </row>
    <row r="109" spans="2:23" ht="15" customHeight="1"/>
    <row r="110" spans="2:23" ht="15" customHeight="1" thickBot="1"/>
    <row r="111" spans="2:23" ht="15" customHeight="1" thickBot="1">
      <c r="B111" s="1249" t="s">
        <v>435</v>
      </c>
      <c r="C111" s="409" t="s">
        <v>436</v>
      </c>
    </row>
    <row r="112" spans="2:23" ht="15" customHeight="1">
      <c r="B112" s="1249"/>
      <c r="C112" s="410" t="s">
        <v>412</v>
      </c>
    </row>
    <row r="113" spans="2:7" ht="15" customHeight="1">
      <c r="B113" s="1249"/>
      <c r="C113" s="411" t="s">
        <v>412</v>
      </c>
    </row>
    <row r="114" spans="2:7" ht="15" customHeight="1">
      <c r="B114" s="1249"/>
      <c r="C114" s="411" t="s">
        <v>412</v>
      </c>
    </row>
    <row r="115" spans="2:7" ht="15" customHeight="1">
      <c r="B115" s="1249"/>
      <c r="C115" s="411" t="s">
        <v>412</v>
      </c>
    </row>
    <row r="116" spans="2:7" ht="15" customHeight="1" thickBot="1">
      <c r="B116" s="1249"/>
      <c r="C116" s="412" t="s">
        <v>437</v>
      </c>
    </row>
    <row r="117" spans="2:7" ht="15" customHeight="1"/>
    <row r="118" spans="2:7" ht="28.5">
      <c r="B118" s="404"/>
    </row>
    <row r="119" spans="2:7" ht="15.75" customHeight="1" thickBot="1">
      <c r="B119" s="1246" t="s">
        <v>438</v>
      </c>
      <c r="C119" s="413" t="s">
        <v>439</v>
      </c>
      <c r="D119" s="414" t="s">
        <v>440</v>
      </c>
      <c r="E119" s="414" t="s">
        <v>441</v>
      </c>
      <c r="F119" s="414" t="s">
        <v>442</v>
      </c>
      <c r="G119" s="415" t="s">
        <v>443</v>
      </c>
    </row>
    <row r="120" spans="2:7" ht="26.25" customHeight="1">
      <c r="B120" s="1247"/>
      <c r="C120" s="416" t="s">
        <v>444</v>
      </c>
      <c r="D120" s="417" t="s">
        <v>444</v>
      </c>
      <c r="E120" s="418" t="s">
        <v>445</v>
      </c>
      <c r="F120" s="418" t="s">
        <v>446</v>
      </c>
      <c r="G120" s="419" t="s">
        <v>413</v>
      </c>
    </row>
    <row r="121" spans="2:7" ht="15.75" customHeight="1">
      <c r="B121" s="1247"/>
      <c r="C121" s="420" t="s">
        <v>444</v>
      </c>
      <c r="D121" s="421" t="s">
        <v>444</v>
      </c>
      <c r="E121" s="421" t="s">
        <v>447</v>
      </c>
      <c r="F121" s="421" t="s">
        <v>448</v>
      </c>
      <c r="G121" s="422"/>
    </row>
    <row r="122" spans="2:7" ht="15" customHeight="1">
      <c r="B122" s="1247"/>
      <c r="C122" s="420" t="s">
        <v>449</v>
      </c>
      <c r="D122" s="421" t="s">
        <v>449</v>
      </c>
      <c r="E122" s="421" t="s">
        <v>450</v>
      </c>
      <c r="F122" s="421" t="s">
        <v>448</v>
      </c>
      <c r="G122" s="422"/>
    </row>
    <row r="123" spans="2:7" ht="15" customHeight="1">
      <c r="B123" s="1247"/>
      <c r="C123" s="420" t="s">
        <v>449</v>
      </c>
      <c r="D123" s="421" t="s">
        <v>449</v>
      </c>
      <c r="E123" s="323"/>
      <c r="F123" s="421" t="s">
        <v>448</v>
      </c>
      <c r="G123" s="422"/>
    </row>
    <row r="124" spans="2:7" ht="15" customHeight="1">
      <c r="B124" s="1247"/>
      <c r="C124" s="423"/>
      <c r="D124" s="323"/>
      <c r="E124" s="323"/>
      <c r="F124" s="421" t="s">
        <v>448</v>
      </c>
      <c r="G124" s="422"/>
    </row>
    <row r="125" spans="2:7" ht="15" customHeight="1">
      <c r="B125" s="1247"/>
      <c r="C125" s="423"/>
      <c r="D125" s="323"/>
      <c r="E125" s="323"/>
      <c r="F125" s="421" t="s">
        <v>451</v>
      </c>
      <c r="G125" s="422"/>
    </row>
    <row r="126" spans="2:7" ht="15" customHeight="1">
      <c r="B126" s="1247"/>
      <c r="C126" s="423"/>
      <c r="D126" s="323"/>
      <c r="E126" s="323"/>
      <c r="F126" s="421" t="s">
        <v>451</v>
      </c>
      <c r="G126" s="422"/>
    </row>
    <row r="127" spans="2:7" ht="15" customHeight="1">
      <c r="B127" s="1247"/>
      <c r="C127" s="322"/>
      <c r="D127" s="323"/>
      <c r="E127" s="323"/>
      <c r="F127" s="421" t="s">
        <v>452</v>
      </c>
      <c r="G127" s="422"/>
    </row>
    <row r="128" spans="2:7" ht="15" customHeight="1">
      <c r="B128" s="1247"/>
      <c r="C128" s="322"/>
      <c r="D128" s="323"/>
      <c r="E128" s="323"/>
      <c r="F128" s="421" t="s">
        <v>452</v>
      </c>
      <c r="G128" s="422"/>
    </row>
    <row r="129" spans="2:7" ht="15.75" customHeight="1">
      <c r="B129" s="1247"/>
      <c r="C129" s="322"/>
      <c r="D129" s="323"/>
      <c r="E129" s="323"/>
      <c r="F129" s="421" t="s">
        <v>453</v>
      </c>
      <c r="G129" s="422"/>
    </row>
    <row r="130" spans="2:7" ht="15" customHeight="1">
      <c r="B130" s="1247"/>
      <c r="C130" s="322"/>
      <c r="D130" s="323"/>
      <c r="E130" s="323"/>
      <c r="F130" s="421" t="s">
        <v>453</v>
      </c>
      <c r="G130" s="422"/>
    </row>
    <row r="131" spans="2:7" ht="15" customHeight="1">
      <c r="B131" s="1247"/>
      <c r="C131" s="322"/>
      <c r="D131" s="323"/>
      <c r="E131" s="323"/>
      <c r="F131" s="421" t="s">
        <v>454</v>
      </c>
      <c r="G131" s="422"/>
    </row>
    <row r="132" spans="2:7" ht="15" customHeight="1">
      <c r="B132" s="1247"/>
      <c r="C132" s="322"/>
      <c r="D132" s="323"/>
      <c r="E132" s="323"/>
      <c r="F132" s="421" t="s">
        <v>413</v>
      </c>
      <c r="G132" s="422"/>
    </row>
    <row r="133" spans="2:7" ht="15.75" customHeight="1" thickBot="1">
      <c r="B133" s="1247"/>
      <c r="C133" s="346"/>
      <c r="D133" s="347"/>
      <c r="E133" s="347"/>
      <c r="F133" s="424" t="s">
        <v>454</v>
      </c>
      <c r="G133" s="425"/>
    </row>
    <row r="134" spans="2:7" ht="28.5">
      <c r="B134" s="426"/>
      <c r="G134" s="427"/>
    </row>
    <row r="135" spans="2:7" ht="29.25" thickBot="1">
      <c r="B135" s="426"/>
      <c r="C135" s="428" t="s">
        <v>455</v>
      </c>
      <c r="D135" s="428"/>
      <c r="E135" s="428"/>
      <c r="F135" s="428"/>
      <c r="G135" s="427"/>
    </row>
    <row r="136" spans="2:7" ht="15.75" customHeight="1" thickBot="1">
      <c r="B136" s="1238" t="s">
        <v>456</v>
      </c>
      <c r="C136" s="429" t="s">
        <v>439</v>
      </c>
      <c r="D136" s="430"/>
      <c r="E136" s="430" t="s">
        <v>441</v>
      </c>
      <c r="F136" s="431" t="s">
        <v>442</v>
      </c>
      <c r="G136" s="427"/>
    </row>
    <row r="137" spans="2:7" ht="15" customHeight="1">
      <c r="B137" s="1239"/>
      <c r="C137" s="432" t="s">
        <v>446</v>
      </c>
      <c r="D137" s="433"/>
      <c r="E137" s="418" t="s">
        <v>448</v>
      </c>
      <c r="F137" s="434" t="s">
        <v>413</v>
      </c>
      <c r="G137" s="427"/>
    </row>
    <row r="138" spans="2:7" ht="15" customHeight="1">
      <c r="B138" s="1239"/>
      <c r="C138" s="435" t="s">
        <v>416</v>
      </c>
      <c r="D138" s="323"/>
      <c r="E138" s="421" t="s">
        <v>451</v>
      </c>
      <c r="F138" s="436" t="s">
        <v>446</v>
      </c>
      <c r="G138" s="427"/>
    </row>
    <row r="139" spans="2:7" ht="15" customHeight="1">
      <c r="B139" s="1239"/>
      <c r="C139" s="435" t="s">
        <v>416</v>
      </c>
      <c r="D139" s="323"/>
      <c r="E139" s="421" t="s">
        <v>452</v>
      </c>
      <c r="F139" s="436" t="s">
        <v>413</v>
      </c>
      <c r="G139" s="427"/>
    </row>
    <row r="140" spans="2:7" ht="15" customHeight="1">
      <c r="B140" s="1239"/>
      <c r="C140" s="435" t="s">
        <v>446</v>
      </c>
      <c r="D140" s="323"/>
      <c r="E140" s="421" t="s">
        <v>453</v>
      </c>
      <c r="F140" s="436" t="s">
        <v>416</v>
      </c>
      <c r="G140" s="427"/>
    </row>
    <row r="141" spans="2:7" ht="15" customHeight="1">
      <c r="B141" s="1239"/>
      <c r="C141" s="435" t="s">
        <v>416</v>
      </c>
      <c r="D141" s="323"/>
      <c r="E141" s="421" t="s">
        <v>448</v>
      </c>
      <c r="F141" s="437"/>
      <c r="G141" s="427"/>
    </row>
    <row r="142" spans="2:7" ht="15.75" customHeight="1">
      <c r="B142" s="1239"/>
      <c r="C142" s="435" t="s">
        <v>416</v>
      </c>
      <c r="D142" s="323"/>
      <c r="E142" s="421" t="s">
        <v>413</v>
      </c>
      <c r="F142" s="437"/>
      <c r="G142" s="427"/>
    </row>
    <row r="143" spans="2:7" ht="15" customHeight="1">
      <c r="B143" s="1239"/>
      <c r="C143" s="435" t="s">
        <v>446</v>
      </c>
      <c r="D143" s="323"/>
      <c r="E143" s="421" t="s">
        <v>413</v>
      </c>
      <c r="F143" s="437"/>
      <c r="G143" s="427"/>
    </row>
    <row r="144" spans="2:7" ht="15" customHeight="1">
      <c r="B144" s="1239"/>
      <c r="C144" s="435" t="s">
        <v>416</v>
      </c>
      <c r="D144" s="323"/>
      <c r="E144" s="421" t="s">
        <v>448</v>
      </c>
      <c r="F144" s="437"/>
      <c r="G144" s="427"/>
    </row>
    <row r="145" spans="2:7" ht="15" customHeight="1">
      <c r="B145" s="1239"/>
      <c r="C145" s="435" t="s">
        <v>416</v>
      </c>
      <c r="D145" s="323"/>
      <c r="E145" s="323"/>
      <c r="F145" s="437"/>
      <c r="G145" s="427"/>
    </row>
    <row r="146" spans="2:7" ht="15" customHeight="1">
      <c r="B146" s="1239"/>
      <c r="C146" s="435" t="s">
        <v>446</v>
      </c>
      <c r="D146" s="323"/>
      <c r="E146" s="323"/>
      <c r="F146" s="437"/>
      <c r="G146" s="427"/>
    </row>
    <row r="147" spans="2:7" ht="15" customHeight="1">
      <c r="B147" s="1239"/>
      <c r="C147" s="435" t="s">
        <v>416</v>
      </c>
      <c r="D147" s="323"/>
      <c r="E147" s="323"/>
      <c r="F147" s="437"/>
      <c r="G147" s="427"/>
    </row>
    <row r="148" spans="2:7" ht="15" customHeight="1">
      <c r="B148" s="1239"/>
      <c r="C148" s="435" t="s">
        <v>446</v>
      </c>
      <c r="D148" s="323"/>
      <c r="E148" s="323"/>
      <c r="F148" s="437"/>
      <c r="G148" s="427"/>
    </row>
    <row r="149" spans="2:7" ht="15" customHeight="1">
      <c r="B149" s="1239"/>
      <c r="C149" s="435" t="s">
        <v>416</v>
      </c>
      <c r="D149" s="323"/>
      <c r="E149" s="323"/>
      <c r="F149" s="437"/>
      <c r="G149" s="427"/>
    </row>
    <row r="150" spans="2:7" ht="15" customHeight="1">
      <c r="B150" s="1239"/>
      <c r="C150" s="435" t="s">
        <v>446</v>
      </c>
      <c r="D150" s="323"/>
      <c r="E150" s="323"/>
      <c r="F150" s="437"/>
      <c r="G150" s="427"/>
    </row>
    <row r="151" spans="2:7" ht="27" customHeight="1">
      <c r="B151" s="1240"/>
      <c r="C151" s="438" t="s">
        <v>416</v>
      </c>
      <c r="D151" s="439"/>
      <c r="E151" s="439"/>
      <c r="F151" s="440"/>
      <c r="G151" s="441"/>
    </row>
    <row r="152" spans="2:7" ht="29.25" thickBot="1">
      <c r="B152" s="288"/>
    </row>
    <row r="153" spans="2:7" ht="15.75" customHeight="1" thickBot="1">
      <c r="B153" s="1241" t="s">
        <v>457</v>
      </c>
      <c r="C153" s="442" t="s">
        <v>458</v>
      </c>
    </row>
    <row r="154" spans="2:7" ht="15" customHeight="1">
      <c r="B154" s="1241"/>
      <c r="C154" s="443" t="s">
        <v>459</v>
      </c>
    </row>
    <row r="155" spans="2:7" ht="15" customHeight="1">
      <c r="B155" s="1241"/>
      <c r="C155" s="443" t="s">
        <v>460</v>
      </c>
    </row>
    <row r="156" spans="2:7" ht="15" customHeight="1">
      <c r="B156" s="1241"/>
      <c r="C156" s="443" t="s">
        <v>460</v>
      </c>
    </row>
    <row r="157" spans="2:7" ht="15" customHeight="1">
      <c r="B157" s="1241"/>
      <c r="C157" s="443" t="s">
        <v>460</v>
      </c>
    </row>
    <row r="158" spans="2:7" ht="15" customHeight="1">
      <c r="B158" s="1241"/>
      <c r="C158" s="443" t="s">
        <v>460</v>
      </c>
    </row>
    <row r="159" spans="2:7" ht="15.75" customHeight="1" thickBot="1">
      <c r="B159" s="1241"/>
      <c r="C159" s="444" t="s">
        <v>460</v>
      </c>
    </row>
    <row r="160" spans="2:7" ht="29.25" thickBot="1">
      <c r="B160" s="288"/>
    </row>
    <row r="161" spans="2:6" ht="15.75" thickBot="1">
      <c r="B161" s="1242" t="s">
        <v>461</v>
      </c>
      <c r="C161" s="445" t="s">
        <v>462</v>
      </c>
      <c r="D161" s="446" t="s">
        <v>463</v>
      </c>
      <c r="E161" s="446" t="s">
        <v>464</v>
      </c>
      <c r="F161" s="447" t="s">
        <v>465</v>
      </c>
    </row>
    <row r="162" spans="2:6">
      <c r="B162" s="1243"/>
      <c r="C162" s="448" t="s">
        <v>416</v>
      </c>
      <c r="D162" s="449" t="s">
        <v>416</v>
      </c>
      <c r="E162" s="450" t="s">
        <v>466</v>
      </c>
      <c r="F162" s="451"/>
    </row>
    <row r="163" spans="2:6" ht="15" customHeight="1">
      <c r="B163" s="1243"/>
      <c r="C163" s="452" t="s">
        <v>416</v>
      </c>
      <c r="D163" s="453" t="s">
        <v>416</v>
      </c>
      <c r="E163" s="323" t="s">
        <v>467</v>
      </c>
      <c r="F163" s="454"/>
    </row>
    <row r="164" spans="2:6" ht="15" customHeight="1">
      <c r="B164" s="1243"/>
      <c r="C164" s="452" t="s">
        <v>416</v>
      </c>
      <c r="D164" s="453" t="s">
        <v>416</v>
      </c>
      <c r="E164" s="323"/>
      <c r="F164" s="454"/>
    </row>
    <row r="165" spans="2:6" ht="15" customHeight="1">
      <c r="B165" s="1243"/>
      <c r="C165" s="452" t="s">
        <v>416</v>
      </c>
      <c r="D165" s="453" t="s">
        <v>416</v>
      </c>
      <c r="E165" s="323"/>
      <c r="F165" s="454"/>
    </row>
    <row r="166" spans="2:6" ht="15" customHeight="1">
      <c r="B166" s="1243"/>
      <c r="C166" s="452" t="s">
        <v>416</v>
      </c>
      <c r="D166" s="453" t="s">
        <v>437</v>
      </c>
      <c r="E166" s="323"/>
      <c r="F166" s="454"/>
    </row>
    <row r="167" spans="2:6" ht="15" customHeight="1">
      <c r="B167" s="1243"/>
      <c r="C167" s="452" t="s">
        <v>416</v>
      </c>
      <c r="D167" s="323"/>
      <c r="E167" s="323"/>
      <c r="F167" s="454"/>
    </row>
    <row r="168" spans="2:6" ht="15" customHeight="1">
      <c r="B168" s="1243"/>
      <c r="C168" s="452" t="s">
        <v>416</v>
      </c>
      <c r="D168" s="323"/>
      <c r="E168" s="323"/>
      <c r="F168" s="454"/>
    </row>
    <row r="169" spans="2:6" ht="15" customHeight="1">
      <c r="B169" s="1243"/>
      <c r="C169" s="452" t="s">
        <v>416</v>
      </c>
      <c r="D169" s="323"/>
      <c r="E169" s="323"/>
      <c r="F169" s="454"/>
    </row>
    <row r="170" spans="2:6" ht="15" customHeight="1">
      <c r="B170" s="1243"/>
      <c r="C170" s="452" t="s">
        <v>416</v>
      </c>
      <c r="D170" s="323"/>
      <c r="E170" s="323"/>
      <c r="F170" s="454"/>
    </row>
    <row r="171" spans="2:6" ht="15" customHeight="1">
      <c r="B171" s="1243"/>
      <c r="C171" s="452" t="s">
        <v>416</v>
      </c>
      <c r="D171" s="323"/>
      <c r="E171" s="323"/>
      <c r="F171" s="454"/>
    </row>
    <row r="172" spans="2:6" ht="15" customHeight="1">
      <c r="B172" s="1243"/>
      <c r="C172" s="452" t="s">
        <v>416</v>
      </c>
      <c r="D172" s="323"/>
      <c r="E172" s="323"/>
      <c r="F172" s="454"/>
    </row>
    <row r="173" spans="2:6" ht="15" customHeight="1">
      <c r="B173" s="1243"/>
      <c r="C173" s="452" t="s">
        <v>416</v>
      </c>
      <c r="D173" s="323"/>
      <c r="E173" s="323"/>
      <c r="F173" s="454"/>
    </row>
    <row r="174" spans="2:6" ht="15" customHeight="1">
      <c r="B174" s="1243"/>
      <c r="C174" s="452" t="s">
        <v>437</v>
      </c>
      <c r="D174" s="323"/>
      <c r="E174" s="323"/>
      <c r="F174" s="454"/>
    </row>
    <row r="175" spans="2:6" ht="15.75" customHeight="1" thickBot="1">
      <c r="B175" s="1243"/>
      <c r="C175" s="455" t="s">
        <v>437</v>
      </c>
      <c r="D175" s="347" t="s">
        <v>468</v>
      </c>
      <c r="E175" s="347"/>
      <c r="F175" s="456"/>
    </row>
    <row r="176" spans="2:6" ht="29.25" thickBot="1">
      <c r="B176" s="288"/>
    </row>
    <row r="177" spans="2:23" ht="15.75" customHeight="1" thickBot="1">
      <c r="B177" s="1244" t="s">
        <v>469</v>
      </c>
      <c r="C177" s="457" t="s">
        <v>470</v>
      </c>
      <c r="D177" s="458" t="s">
        <v>471</v>
      </c>
      <c r="E177" s="459" t="s">
        <v>472</v>
      </c>
    </row>
    <row r="178" spans="2:23" ht="15.75" customHeight="1" thickBot="1">
      <c r="B178" s="1245"/>
      <c r="C178" s="460" t="s">
        <v>459</v>
      </c>
      <c r="D178" s="461" t="s">
        <v>473</v>
      </c>
      <c r="E178" s="462" t="s">
        <v>474</v>
      </c>
    </row>
    <row r="179" spans="2:23" ht="29.25" thickBot="1">
      <c r="B179" s="288"/>
      <c r="C179" s="463"/>
      <c r="D179" s="81"/>
      <c r="E179" s="464"/>
    </row>
    <row r="180" spans="2:23" ht="15.75" customHeight="1" thickBot="1">
      <c r="B180" s="1244" t="s">
        <v>475</v>
      </c>
      <c r="C180" s="465" t="s">
        <v>476</v>
      </c>
      <c r="D180" s="466" t="s">
        <v>477</v>
      </c>
      <c r="E180" s="467" t="s">
        <v>478</v>
      </c>
    </row>
    <row r="181" spans="2:23" ht="15" customHeight="1">
      <c r="B181" s="1244"/>
      <c r="C181" s="468" t="s">
        <v>459</v>
      </c>
      <c r="D181" s="469" t="s">
        <v>459</v>
      </c>
      <c r="E181" s="470" t="s">
        <v>479</v>
      </c>
    </row>
    <row r="182" spans="2:23" ht="26.25" customHeight="1">
      <c r="B182" s="1244"/>
      <c r="C182" s="471" t="s">
        <v>460</v>
      </c>
      <c r="D182" s="472" t="s">
        <v>460</v>
      </c>
      <c r="E182" s="473"/>
    </row>
    <row r="183" spans="2:23" ht="26.25" customHeight="1">
      <c r="B183" s="1244"/>
      <c r="C183" s="471" t="s">
        <v>460</v>
      </c>
      <c r="D183" s="472" t="s">
        <v>460</v>
      </c>
      <c r="E183" s="473"/>
    </row>
    <row r="184" spans="2:23" ht="26.25" customHeight="1">
      <c r="B184" s="1244"/>
      <c r="C184" s="471" t="s">
        <v>460</v>
      </c>
      <c r="D184" s="472" t="s">
        <v>460</v>
      </c>
      <c r="E184" s="473"/>
    </row>
    <row r="185" spans="2:23" ht="27" customHeight="1" thickBot="1">
      <c r="B185" s="1244"/>
      <c r="C185" s="474" t="s">
        <v>460</v>
      </c>
      <c r="D185" s="475"/>
      <c r="E185" s="476"/>
    </row>
    <row r="186" spans="2:23" ht="28.5">
      <c r="B186" s="288"/>
    </row>
    <row r="187" spans="2:23" ht="28.5">
      <c r="B187" s="288"/>
    </row>
    <row r="188" spans="2:23" ht="31.5">
      <c r="B188" s="362" t="s">
        <v>480</v>
      </c>
      <c r="C188" s="363"/>
      <c r="D188" s="363"/>
      <c r="E188" s="363"/>
      <c r="F188" s="363"/>
      <c r="G188" s="363"/>
      <c r="H188" s="363"/>
      <c r="I188" s="363"/>
      <c r="J188" s="363"/>
      <c r="K188" s="363"/>
      <c r="L188" s="363"/>
      <c r="M188" s="363"/>
      <c r="N188" s="363"/>
      <c r="O188" s="363"/>
    </row>
    <row r="189" spans="2:23" ht="15.75" thickBot="1"/>
    <row r="190" spans="2:23" ht="15.75" thickBot="1">
      <c r="B190" s="477" t="s">
        <v>481</v>
      </c>
      <c r="C190" s="478"/>
      <c r="D190" s="478"/>
      <c r="E190" s="478"/>
      <c r="F190" s="479"/>
      <c r="R190" s="81"/>
      <c r="S190" s="81"/>
      <c r="T190" s="81"/>
      <c r="U190" s="81"/>
      <c r="V190" s="81"/>
      <c r="W190" s="81"/>
    </row>
    <row r="191" spans="2:23" ht="15.75" thickBot="1">
      <c r="D191" s="480"/>
      <c r="E191" s="481"/>
      <c r="F191" s="81"/>
      <c r="Q191" s="81"/>
      <c r="R191" s="81"/>
      <c r="S191" s="81"/>
      <c r="T191" s="81"/>
      <c r="U191" s="81"/>
      <c r="V191" s="81"/>
      <c r="W191" s="81"/>
    </row>
    <row r="192" spans="2:23" ht="30.75" customHeight="1" thickBot="1">
      <c r="B192" s="1237" t="s">
        <v>482</v>
      </c>
      <c r="C192" s="482" t="s">
        <v>483</v>
      </c>
      <c r="D192" s="483" t="s">
        <v>484</v>
      </c>
      <c r="E192" s="483" t="s">
        <v>485</v>
      </c>
      <c r="F192" s="484" t="s">
        <v>486</v>
      </c>
      <c r="G192" s="485"/>
      <c r="Q192" s="81"/>
      <c r="R192" s="81"/>
      <c r="S192" s="81"/>
      <c r="T192" s="81"/>
      <c r="U192" s="81"/>
      <c r="V192" s="81"/>
      <c r="W192" s="81"/>
    </row>
    <row r="193" spans="2:23" ht="45.75" customHeight="1" thickBot="1">
      <c r="B193" s="1237"/>
      <c r="C193" s="486" t="s">
        <v>487</v>
      </c>
      <c r="D193" s="487" t="s">
        <v>488</v>
      </c>
      <c r="E193" s="488" t="s">
        <v>489</v>
      </c>
      <c r="F193" s="489" t="s">
        <v>490</v>
      </c>
      <c r="G193" s="81"/>
      <c r="Q193" s="81"/>
      <c r="R193" s="81"/>
      <c r="S193" s="81"/>
      <c r="T193" s="81"/>
      <c r="U193" s="81"/>
      <c r="V193" s="81"/>
      <c r="W193" s="81"/>
    </row>
    <row r="194" spans="2:23">
      <c r="C194" s="81"/>
      <c r="D194" s="81"/>
      <c r="E194" s="269"/>
      <c r="F194" s="81"/>
      <c r="G194" s="81"/>
      <c r="Q194" s="81"/>
      <c r="R194" s="81"/>
      <c r="S194" s="81"/>
      <c r="T194" s="81"/>
      <c r="U194" s="81"/>
      <c r="V194" s="81"/>
      <c r="W194" s="81"/>
    </row>
    <row r="195" spans="2:23" ht="15.75" thickBot="1">
      <c r="G195" s="81"/>
      <c r="Q195" s="81"/>
      <c r="R195" s="81"/>
      <c r="S195" s="81"/>
      <c r="T195" s="81"/>
      <c r="U195" s="81"/>
      <c r="V195" s="81"/>
      <c r="W195" s="81"/>
    </row>
    <row r="196" spans="2:23" ht="30" customHeight="1" thickBot="1">
      <c r="B196" s="1237" t="s">
        <v>491</v>
      </c>
      <c r="C196" s="490" t="s">
        <v>492</v>
      </c>
      <c r="D196" s="491" t="s">
        <v>493</v>
      </c>
      <c r="E196" s="492" t="s">
        <v>494</v>
      </c>
      <c r="G196" s="81"/>
      <c r="Q196" s="81"/>
      <c r="R196" s="81"/>
      <c r="S196" s="81"/>
      <c r="T196" s="81"/>
      <c r="U196" s="81"/>
      <c r="V196" s="81"/>
      <c r="W196" s="81"/>
    </row>
    <row r="197" spans="2:23" ht="51.75" thickBot="1">
      <c r="B197" s="1237"/>
      <c r="C197" s="493" t="s">
        <v>495</v>
      </c>
      <c r="D197" s="494" t="s">
        <v>496</v>
      </c>
      <c r="E197" s="495" t="str">
        <f ca="1">dms_060701_StartDateTxt</f>
        <v>1-Jul-2013</v>
      </c>
      <c r="Q197" s="81"/>
      <c r="R197" s="81"/>
      <c r="S197" s="81"/>
      <c r="T197" s="81"/>
      <c r="U197" s="81"/>
      <c r="V197" s="81"/>
      <c r="W197" s="81"/>
    </row>
    <row r="198" spans="2:23">
      <c r="C198" s="81"/>
      <c r="D198" s="81"/>
      <c r="E198" s="269"/>
      <c r="G198" s="81"/>
      <c r="Q198" s="81"/>
      <c r="R198" s="81"/>
      <c r="S198" s="81"/>
      <c r="T198" s="81"/>
      <c r="U198" s="81"/>
      <c r="V198" s="81"/>
      <c r="W198" s="81"/>
    </row>
    <row r="199" spans="2:23" ht="15.75" thickBot="1">
      <c r="C199" s="81"/>
      <c r="P199" s="81"/>
      <c r="Q199" s="81"/>
      <c r="R199" s="81"/>
      <c r="S199" s="81"/>
      <c r="T199" s="81"/>
      <c r="U199" s="81"/>
      <c r="V199" s="81"/>
      <c r="W199" s="81"/>
    </row>
    <row r="200" spans="2:23" ht="22.5" customHeight="1" thickBot="1">
      <c r="B200" s="1237" t="s">
        <v>497</v>
      </c>
      <c r="C200" s="496" t="s">
        <v>498</v>
      </c>
      <c r="D200" s="497" t="s">
        <v>499</v>
      </c>
      <c r="E200" s="497" t="s">
        <v>500</v>
      </c>
      <c r="F200" s="498" t="s">
        <v>501</v>
      </c>
      <c r="Q200" s="81"/>
      <c r="R200" s="81"/>
      <c r="S200" s="81"/>
      <c r="T200" s="81"/>
      <c r="U200" s="81"/>
      <c r="V200" s="81"/>
      <c r="W200" s="81"/>
    </row>
    <row r="201" spans="2:23" ht="22.5" customHeight="1" thickBot="1">
      <c r="B201" s="1237"/>
      <c r="C201" s="493" t="s">
        <v>502</v>
      </c>
      <c r="D201" s="494" t="s">
        <v>503</v>
      </c>
      <c r="E201" s="499" t="s">
        <v>504</v>
      </c>
      <c r="F201" s="500" t="s">
        <v>505</v>
      </c>
      <c r="Q201" s="81"/>
      <c r="R201" s="81"/>
      <c r="S201" s="81"/>
      <c r="T201" s="81"/>
      <c r="U201" s="81"/>
      <c r="V201" s="81"/>
      <c r="W201" s="81"/>
    </row>
    <row r="202" spans="2:23">
      <c r="B202" s="81"/>
      <c r="C202" s="81"/>
      <c r="D202" s="81"/>
      <c r="E202" s="269"/>
      <c r="F202" s="81"/>
      <c r="Q202" s="81"/>
      <c r="R202" s="81"/>
      <c r="S202" s="81"/>
      <c r="T202" s="81"/>
      <c r="U202" s="81"/>
      <c r="V202" s="81"/>
      <c r="W202" s="81"/>
    </row>
    <row r="203" spans="2:23" ht="15.75" thickBot="1">
      <c r="C203" s="81"/>
      <c r="Q203" s="81"/>
      <c r="R203" s="81"/>
      <c r="S203" s="81"/>
      <c r="T203" s="81"/>
      <c r="U203" s="81"/>
      <c r="V203" s="81"/>
      <c r="W203" s="81"/>
    </row>
    <row r="204" spans="2:23" ht="36" customHeight="1" thickBot="1">
      <c r="B204" s="501" t="s">
        <v>506</v>
      </c>
      <c r="C204" s="502" t="s">
        <v>507</v>
      </c>
      <c r="D204" s="503" t="s">
        <v>508</v>
      </c>
      <c r="E204" s="504" t="s">
        <v>509</v>
      </c>
      <c r="Q204" s="81"/>
      <c r="R204" s="81"/>
      <c r="S204" s="81"/>
      <c r="T204" s="81"/>
      <c r="U204" s="81"/>
      <c r="V204" s="81"/>
      <c r="W204" s="81"/>
    </row>
    <row r="206" spans="2:23">
      <c r="C206" s="81"/>
      <c r="P206" s="81"/>
      <c r="Q206" s="81"/>
      <c r="R206" s="81"/>
      <c r="S206" s="81"/>
      <c r="T206" s="81"/>
      <c r="U206" s="81"/>
      <c r="V206" s="81"/>
      <c r="W206" s="81"/>
    </row>
    <row r="207" spans="2:23" s="81" customFormat="1" ht="21.75" customHeight="1">
      <c r="B207" s="505" t="s">
        <v>510</v>
      </c>
      <c r="C207" s="506"/>
      <c r="D207" s="506"/>
      <c r="E207" s="506"/>
      <c r="F207" s="506"/>
      <c r="G207" s="506"/>
      <c r="H207" s="506"/>
      <c r="I207" s="506"/>
      <c r="J207" s="506"/>
      <c r="K207" s="506"/>
      <c r="L207" s="506"/>
      <c r="M207" s="506"/>
      <c r="N207" s="506"/>
      <c r="O207" s="506"/>
    </row>
    <row r="208" spans="2:23" ht="15.75" thickBot="1">
      <c r="B208" s="507"/>
      <c r="C208" s="81"/>
      <c r="F208" s="274"/>
      <c r="K208" s="1"/>
      <c r="P208" s="81"/>
      <c r="Q208" s="81"/>
      <c r="R208" s="81"/>
      <c r="S208" s="81"/>
      <c r="T208" s="81"/>
      <c r="U208" s="81"/>
      <c r="V208" s="81"/>
      <c r="W208" s="81"/>
    </row>
    <row r="209" spans="2:23" ht="15" customHeight="1" thickBot="1">
      <c r="B209" s="1237" t="s">
        <v>511</v>
      </c>
      <c r="C209" s="508" t="s">
        <v>512</v>
      </c>
      <c r="D209" s="509" t="str">
        <f>INDEX(dms_FeederName_1,MATCH(dms_TradingName,dms_TradingName_List))</f>
        <v>CBD</v>
      </c>
      <c r="E209" s="510" t="str">
        <f>INDEX(dms_FeederName_1,MATCH(dms_TradingName,dms_TradingName_List))</f>
        <v>CBD</v>
      </c>
      <c r="F209" s="511" t="str">
        <f>INDEX(dms_FeederName_2,MATCH(dms_TradingName,dms_TradingName_List))</f>
        <v>Urban</v>
      </c>
      <c r="G209" s="512" t="str">
        <f>INDEX(dms_FeederName_2,MATCH(dms_TradingName,dms_TradingName_List))</f>
        <v>Urban</v>
      </c>
      <c r="H209" s="510" t="str">
        <f>INDEX(dms_FeederName_3,MATCH(dms_TradingName,dms_TradingName_List))</f>
        <v>Short rural</v>
      </c>
      <c r="I209" s="510" t="str">
        <f>INDEX(dms_FeederName_3,MATCH(dms_TradingName,dms_TradingName_List))</f>
        <v>Short rural</v>
      </c>
      <c r="J209" s="512" t="str">
        <f>INDEX(dms_FeederName_4,MATCH(dms_TradingName,dms_TradingName_List))</f>
        <v>Long rural</v>
      </c>
      <c r="K209" s="512" t="str">
        <f>INDEX(dms_FeederName_4,MATCH(dms_TradingName,dms_TradingName_List))</f>
        <v>Long rural</v>
      </c>
      <c r="L209" s="510" t="str">
        <f>IF((INDEX(dms_FeederName_5,MATCH(dms_TradingName,dms_TradingName_List))=0),"Network",(INDEX(dms_FeederName_5,MATCH(dms_TradingName,dms_TradingName_List))))</f>
        <v>Network</v>
      </c>
      <c r="M209" s="510" t="str">
        <f>IF((INDEX(dms_FeederName_5,MATCH(dms_TradingName,dms_TradingName_List))=0),"Network",(INDEX(dms_FeederName_5,MATCH(dms_TradingName,dms_TradingName_List))))</f>
        <v>Network</v>
      </c>
      <c r="N209" s="510" t="s">
        <v>513</v>
      </c>
      <c r="O209" s="510" t="s">
        <v>513</v>
      </c>
      <c r="P209" s="81"/>
      <c r="Q209" s="81"/>
      <c r="R209" s="81"/>
      <c r="S209" s="81"/>
      <c r="T209" s="81"/>
      <c r="U209" s="81"/>
      <c r="V209" s="81"/>
      <c r="W209" s="81"/>
    </row>
    <row r="210" spans="2:23" ht="15.75" thickBot="1">
      <c r="B210" s="1237"/>
      <c r="C210" s="513"/>
      <c r="D210" s="514"/>
      <c r="F210" s="274"/>
      <c r="N210" s="515"/>
      <c r="P210" s="81"/>
      <c r="Q210" s="81"/>
      <c r="R210" s="81"/>
      <c r="S210" s="81"/>
      <c r="T210" s="81"/>
      <c r="U210" s="81"/>
      <c r="V210" s="81"/>
      <c r="W210" s="81"/>
    </row>
    <row r="211" spans="2:23" ht="26.25" thickBot="1">
      <c r="B211" s="1237"/>
      <c r="C211" s="508" t="s">
        <v>514</v>
      </c>
      <c r="D211" s="516" t="s">
        <v>515</v>
      </c>
      <c r="E211" s="517" t="s">
        <v>516</v>
      </c>
      <c r="F211" s="518" t="s">
        <v>515</v>
      </c>
      <c r="G211" s="517" t="s">
        <v>516</v>
      </c>
      <c r="H211" s="517" t="s">
        <v>515</v>
      </c>
      <c r="I211" s="517" t="s">
        <v>516</v>
      </c>
      <c r="J211" s="517" t="s">
        <v>515</v>
      </c>
      <c r="K211" s="517" t="s">
        <v>516</v>
      </c>
      <c r="L211" s="517" t="s">
        <v>515</v>
      </c>
      <c r="M211" s="519" t="s">
        <v>516</v>
      </c>
      <c r="N211" s="517" t="s">
        <v>515</v>
      </c>
      <c r="O211" s="519" t="s">
        <v>516</v>
      </c>
      <c r="P211" s="81"/>
      <c r="Q211" s="81"/>
      <c r="R211" s="81"/>
      <c r="S211" s="81"/>
      <c r="T211" s="81"/>
      <c r="U211" s="81"/>
      <c r="V211" s="81"/>
      <c r="W211" s="81"/>
    </row>
    <row r="212" spans="2:23">
      <c r="B212" s="1237"/>
      <c r="C212" s="81"/>
      <c r="D212" s="520" t="s">
        <v>517</v>
      </c>
      <c r="F212" s="274"/>
      <c r="P212" s="81"/>
      <c r="Q212" s="81"/>
      <c r="R212" s="81"/>
      <c r="S212" s="81"/>
      <c r="T212" s="81"/>
      <c r="U212" s="81"/>
      <c r="V212" s="81"/>
      <c r="W212" s="81"/>
    </row>
    <row r="213" spans="2:23">
      <c r="B213" s="1237"/>
      <c r="C213" s="81"/>
      <c r="F213" s="274"/>
      <c r="P213" s="81"/>
      <c r="Q213" s="81"/>
      <c r="R213" s="81"/>
      <c r="S213" s="81"/>
      <c r="T213" s="81"/>
      <c r="U213" s="81"/>
      <c r="V213" s="81"/>
      <c r="W213" s="81"/>
    </row>
    <row r="214" spans="2:23">
      <c r="B214" s="1237"/>
      <c r="C214" s="521" t="s">
        <v>518</v>
      </c>
      <c r="D214" s="522" t="str">
        <f>INDEX(dms_FeederName_1,MATCH(dms_TradingName,dms_TradingName_List))</f>
        <v>CBD</v>
      </c>
      <c r="E214" s="522" t="str">
        <f>INDEX(dms_FeederName_2,MATCH(dms_TradingName,dms_TradingName_List))</f>
        <v>Urban</v>
      </c>
      <c r="F214" s="522" t="str">
        <f>INDEX(dms_FeederName_3,MATCH(dms_TradingName,dms_TradingName_List))</f>
        <v>Short rural</v>
      </c>
      <c r="G214" s="522" t="str">
        <f>INDEX(dms_FeederName_4,MATCH(dms_TradingName,dms_TradingName_List))</f>
        <v>Long rural</v>
      </c>
      <c r="H214" s="523" t="str">
        <f>IF(INDEX(dms_FeederName_5,MATCH(dms_TradingName,dms_TradingName_List))=0," ",INDEX(dms_FeederName_5,MATCH(dms_TradingName,dms_TradingName_List)))</f>
        <v xml:space="preserve"> </v>
      </c>
      <c r="Q214" s="81"/>
      <c r="R214" s="81"/>
      <c r="S214" s="81"/>
      <c r="T214" s="81"/>
      <c r="U214" s="81"/>
      <c r="V214" s="81"/>
      <c r="W214" s="81"/>
    </row>
    <row r="215" spans="2:23">
      <c r="I215" s="524"/>
      <c r="J215" s="243"/>
      <c r="Q215" s="81"/>
      <c r="R215" s="81"/>
      <c r="S215" s="81"/>
      <c r="T215" s="81"/>
      <c r="U215" s="81"/>
      <c r="V215" s="81"/>
      <c r="W215" s="81"/>
    </row>
    <row r="216" spans="2:23">
      <c r="D216" s="151" t="str" cm="1">
        <f t="array" ref="D216:D220">TRANSPOSE(dms_0603_FeederList)</f>
        <v>CBD</v>
      </c>
      <c r="I216" s="524"/>
      <c r="J216" s="243"/>
      <c r="Q216" s="81"/>
      <c r="R216" s="81"/>
      <c r="S216" s="81"/>
      <c r="T216" s="81"/>
      <c r="U216" s="81"/>
      <c r="V216" s="81"/>
      <c r="W216" s="81"/>
    </row>
    <row r="217" spans="2:23">
      <c r="D217" s="151" t="str">
        <v>Urban</v>
      </c>
      <c r="I217" s="524"/>
      <c r="J217" s="243"/>
      <c r="Q217" s="81"/>
      <c r="R217" s="81"/>
      <c r="S217" s="81"/>
      <c r="T217" s="81"/>
      <c r="U217" s="81"/>
      <c r="V217" s="81"/>
      <c r="W217" s="81"/>
    </row>
    <row r="218" spans="2:23">
      <c r="D218" s="151" t="str">
        <v>Short rural</v>
      </c>
      <c r="I218" s="524"/>
      <c r="J218" s="243"/>
      <c r="Q218" s="81"/>
      <c r="R218" s="81"/>
      <c r="S218" s="81"/>
      <c r="T218" s="81"/>
      <c r="U218" s="81"/>
      <c r="V218" s="81"/>
      <c r="W218" s="81"/>
    </row>
    <row r="219" spans="2:23">
      <c r="D219" s="151" t="str">
        <v>Long rural</v>
      </c>
      <c r="I219" s="524"/>
      <c r="J219" s="243"/>
      <c r="Q219" s="81"/>
      <c r="R219" s="81"/>
      <c r="S219" s="81"/>
      <c r="T219" s="81"/>
      <c r="U219" s="81"/>
      <c r="V219" s="81"/>
      <c r="W219" s="81"/>
    </row>
    <row r="220" spans="2:23">
      <c r="D220" s="151" t="str">
        <v xml:space="preserve"> </v>
      </c>
      <c r="E220" s="274"/>
      <c r="Q220" s="81"/>
      <c r="R220" s="81"/>
      <c r="S220" s="81"/>
      <c r="T220" s="81"/>
      <c r="U220" s="81"/>
      <c r="V220" s="81"/>
      <c r="W220" s="81"/>
    </row>
    <row r="221" spans="2:23" ht="29.25" customHeight="1">
      <c r="B221" s="505" t="s">
        <v>519</v>
      </c>
      <c r="C221" s="505" t="s">
        <v>519</v>
      </c>
      <c r="D221" s="505"/>
      <c r="E221" s="505"/>
      <c r="F221" s="505"/>
      <c r="G221" s="505"/>
      <c r="H221" s="505"/>
      <c r="I221" s="505"/>
      <c r="J221" s="505"/>
      <c r="K221" s="505"/>
      <c r="L221" s="505"/>
      <c r="M221" s="505"/>
      <c r="Q221" s="81"/>
      <c r="R221" s="81"/>
      <c r="S221" s="81"/>
      <c r="T221" s="81"/>
      <c r="U221" s="81"/>
      <c r="V221" s="81"/>
      <c r="W221" s="81"/>
    </row>
    <row r="222" spans="2:23" ht="15.75" customHeight="1">
      <c r="B222" s="525"/>
      <c r="E222" s="274"/>
      <c r="Q222" s="81"/>
      <c r="R222" s="81"/>
      <c r="S222" s="81"/>
      <c r="T222" s="81"/>
      <c r="U222" s="81"/>
      <c r="V222" s="81"/>
      <c r="W222" s="81"/>
    </row>
    <row r="223" spans="2:23">
      <c r="B223" s="525"/>
      <c r="E223" s="274"/>
      <c r="Q223" s="81"/>
      <c r="R223" s="81"/>
      <c r="S223" s="81"/>
      <c r="T223" s="81"/>
      <c r="U223" s="81"/>
      <c r="V223" s="81"/>
      <c r="W223" s="81"/>
    </row>
    <row r="224" spans="2:23">
      <c r="B224" s="526" t="s">
        <v>520</v>
      </c>
      <c r="C224" s="151" t="s">
        <v>521</v>
      </c>
      <c r="D224" s="151" t="s">
        <v>522</v>
      </c>
      <c r="E224" s="274" t="s">
        <v>523</v>
      </c>
      <c r="Q224" s="81"/>
      <c r="R224" s="81"/>
      <c r="S224" s="81"/>
      <c r="T224" s="81"/>
      <c r="U224" s="81"/>
      <c r="V224" s="81"/>
      <c r="W224" s="81"/>
    </row>
    <row r="225" spans="2:23">
      <c r="B225" s="527"/>
      <c r="C225" s="151" t="s">
        <v>524</v>
      </c>
      <c r="E225" s="274"/>
      <c r="Q225" s="81"/>
      <c r="R225" s="81"/>
      <c r="S225" s="81"/>
      <c r="T225" s="81"/>
      <c r="U225" s="81"/>
      <c r="V225" s="81"/>
      <c r="W225" s="81"/>
    </row>
    <row r="226" spans="2:23">
      <c r="B226" s="525"/>
      <c r="E226" s="274"/>
      <c r="Q226" s="81"/>
      <c r="R226" s="81"/>
      <c r="S226" s="81"/>
      <c r="T226" s="81"/>
      <c r="U226" s="81"/>
      <c r="V226" s="81"/>
      <c r="W226" s="81"/>
    </row>
    <row r="227" spans="2:23">
      <c r="B227" s="525"/>
      <c r="D227" s="270"/>
      <c r="E227" s="528"/>
      <c r="F227" s="270"/>
      <c r="G227" s="270"/>
      <c r="H227" s="270"/>
      <c r="I227" s="270"/>
      <c r="J227" s="270"/>
      <c r="K227" s="270"/>
      <c r="L227" s="270"/>
      <c r="M227" s="529"/>
      <c r="Q227" s="81"/>
      <c r="R227" s="81"/>
      <c r="S227" s="81"/>
      <c r="T227" s="81"/>
      <c r="U227" s="81"/>
      <c r="V227" s="81"/>
      <c r="W227" s="81"/>
    </row>
    <row r="228" spans="2:23">
      <c r="B228" s="530" t="s">
        <v>525</v>
      </c>
      <c r="C228" s="270" t="s">
        <v>526</v>
      </c>
      <c r="D228" s="270" t="s">
        <v>527</v>
      </c>
      <c r="E228" s="528" t="s">
        <v>528</v>
      </c>
      <c r="F228" s="270" t="s">
        <v>529</v>
      </c>
      <c r="G228" s="270" t="s">
        <v>530</v>
      </c>
      <c r="H228" s="270" t="s">
        <v>531</v>
      </c>
      <c r="I228" s="270" t="s">
        <v>532</v>
      </c>
      <c r="J228" s="270" t="s">
        <v>533</v>
      </c>
      <c r="K228" s="270" t="s">
        <v>534</v>
      </c>
      <c r="L228" s="270" t="s">
        <v>535</v>
      </c>
      <c r="M228" s="529"/>
      <c r="Q228" s="81"/>
      <c r="R228" s="81"/>
      <c r="S228" s="81"/>
      <c r="T228" s="81"/>
      <c r="U228" s="81"/>
      <c r="V228" s="81"/>
      <c r="W228" s="81"/>
    </row>
    <row r="229" spans="2:23">
      <c r="B229" s="527"/>
      <c r="C229" s="151" t="s">
        <v>536</v>
      </c>
      <c r="E229" s="274"/>
      <c r="Q229" s="81"/>
      <c r="R229" s="81"/>
      <c r="S229" s="81"/>
      <c r="T229" s="81"/>
      <c r="U229" s="81"/>
      <c r="V229" s="81"/>
      <c r="W229" s="81"/>
    </row>
    <row r="230" spans="2:23">
      <c r="B230" s="525"/>
      <c r="C230" s="246"/>
      <c r="E230" s="274"/>
      <c r="H230" s="246"/>
      <c r="I230" s="531"/>
      <c r="J230" s="246"/>
      <c r="K230" s="246"/>
      <c r="L230" s="286"/>
      <c r="Q230" s="81"/>
      <c r="R230" s="81"/>
      <c r="S230" s="81"/>
      <c r="T230" s="81"/>
      <c r="U230" s="81"/>
      <c r="V230" s="81"/>
      <c r="W230" s="81"/>
    </row>
    <row r="231" spans="2:23">
      <c r="B231" s="532"/>
      <c r="E231" s="274"/>
      <c r="Q231" s="81"/>
      <c r="R231" s="81"/>
      <c r="S231" s="81"/>
      <c r="T231" s="81"/>
      <c r="U231" s="81"/>
      <c r="V231" s="81"/>
      <c r="W231" s="81"/>
    </row>
    <row r="232" spans="2:23">
      <c r="B232" s="530" t="s">
        <v>537</v>
      </c>
      <c r="C232" s="151" t="s">
        <v>538</v>
      </c>
      <c r="D232" s="151" t="s">
        <v>539</v>
      </c>
      <c r="E232" s="274" t="s">
        <v>540</v>
      </c>
      <c r="F232" s="151" t="s">
        <v>541</v>
      </c>
      <c r="G232" s="151" t="s">
        <v>542</v>
      </c>
      <c r="H232" s="151" t="s">
        <v>543</v>
      </c>
      <c r="I232" s="151" t="s">
        <v>544</v>
      </c>
      <c r="J232" s="151" t="s">
        <v>545</v>
      </c>
      <c r="K232" s="151" t="s">
        <v>546</v>
      </c>
      <c r="L232" s="151" t="s">
        <v>547</v>
      </c>
      <c r="M232" s="151" t="s">
        <v>548</v>
      </c>
      <c r="Q232" s="81"/>
      <c r="R232" s="81"/>
      <c r="S232" s="81"/>
      <c r="T232" s="81"/>
      <c r="U232" s="81"/>
      <c r="V232" s="81"/>
      <c r="W232" s="81"/>
    </row>
    <row r="233" spans="2:23">
      <c r="B233" s="81"/>
      <c r="E233" s="274"/>
      <c r="Q233" s="81"/>
      <c r="R233" s="81"/>
      <c r="S233" s="81"/>
      <c r="T233" s="81"/>
      <c r="U233" s="81"/>
      <c r="V233" s="81"/>
      <c r="W233" s="81"/>
    </row>
    <row r="234" spans="2:23">
      <c r="Q234" s="81"/>
      <c r="R234" s="81"/>
      <c r="S234" s="81"/>
      <c r="T234" s="81"/>
      <c r="U234" s="81"/>
      <c r="V234" s="81"/>
      <c r="W234" s="81"/>
    </row>
    <row r="235" spans="2:23">
      <c r="Q235" s="81"/>
      <c r="R235" s="81"/>
      <c r="S235" s="81"/>
      <c r="T235" s="81"/>
      <c r="U235" s="81"/>
      <c r="V235" s="81"/>
      <c r="W235" s="81"/>
    </row>
    <row r="236" spans="2:23">
      <c r="B236" s="530" t="s">
        <v>549</v>
      </c>
      <c r="C236" s="151" t="s">
        <v>550</v>
      </c>
      <c r="D236" s="151" t="s">
        <v>551</v>
      </c>
      <c r="E236" s="533" t="s">
        <v>552</v>
      </c>
      <c r="F236" s="531" t="s">
        <v>553</v>
      </c>
      <c r="G236" s="246" t="s">
        <v>554</v>
      </c>
      <c r="H236" s="246" t="s">
        <v>555</v>
      </c>
      <c r="I236" s="286" t="s">
        <v>556</v>
      </c>
      <c r="L236" s="81"/>
      <c r="M236" s="81"/>
      <c r="N236" s="81"/>
      <c r="Q236" s="81"/>
      <c r="R236" s="81"/>
      <c r="S236" s="81"/>
      <c r="T236" s="81"/>
      <c r="U236" s="81"/>
      <c r="V236" s="81"/>
      <c r="W236" s="81"/>
    </row>
    <row r="237" spans="2:23">
      <c r="B237" s="246"/>
      <c r="C237" s="246"/>
      <c r="E237" s="274"/>
      <c r="H237" s="246"/>
      <c r="I237" s="531"/>
      <c r="J237" s="246"/>
      <c r="K237" s="246"/>
      <c r="L237" s="286"/>
      <c r="Q237" s="81"/>
      <c r="R237" s="81"/>
      <c r="S237" s="81"/>
      <c r="T237" s="81"/>
      <c r="U237" s="81"/>
      <c r="V237" s="81"/>
      <c r="W237" s="81"/>
    </row>
    <row r="238" spans="2:23">
      <c r="B238" s="246"/>
      <c r="C238" s="246"/>
      <c r="E238" s="274"/>
      <c r="H238" s="246"/>
      <c r="I238" s="531"/>
      <c r="J238" s="246"/>
      <c r="K238" s="246"/>
      <c r="L238" s="286"/>
      <c r="O238" s="81"/>
      <c r="P238" s="81"/>
      <c r="Q238" s="81"/>
      <c r="R238" s="81"/>
      <c r="S238" s="81"/>
      <c r="T238" s="81"/>
      <c r="U238" s="81"/>
      <c r="V238" s="81"/>
      <c r="W238" s="81"/>
    </row>
    <row r="239" spans="2:23">
      <c r="B239" s="246"/>
      <c r="C239" s="246"/>
      <c r="E239" s="274"/>
      <c r="H239" s="246"/>
      <c r="I239" s="531"/>
      <c r="J239" s="246"/>
      <c r="K239" s="246"/>
      <c r="L239" s="286"/>
      <c r="O239" s="81"/>
      <c r="P239" s="81"/>
      <c r="Q239" s="81"/>
      <c r="R239" s="81"/>
      <c r="S239" s="81"/>
      <c r="T239" s="81"/>
      <c r="U239" s="81"/>
      <c r="V239" s="81"/>
      <c r="W239" s="81"/>
    </row>
    <row r="240" spans="2:23">
      <c r="B240" s="246"/>
      <c r="C240" s="246"/>
      <c r="E240" s="274"/>
      <c r="H240" s="246"/>
      <c r="I240" s="531"/>
      <c r="J240" s="246"/>
      <c r="K240" s="246"/>
      <c r="L240" s="286"/>
      <c r="O240" s="81"/>
      <c r="P240" s="81"/>
      <c r="Q240" s="81"/>
      <c r="R240" s="81"/>
      <c r="S240" s="81"/>
      <c r="T240" s="81"/>
      <c r="U240" s="81"/>
      <c r="V240" s="81"/>
      <c r="W240" s="81"/>
    </row>
    <row r="241" spans="2:23">
      <c r="B241" s="246"/>
      <c r="C241" s="246"/>
      <c r="E241" s="274"/>
      <c r="H241" s="246"/>
      <c r="I241" s="531"/>
      <c r="J241" s="246"/>
      <c r="K241" s="246"/>
      <c r="L241" s="286"/>
      <c r="O241" s="81"/>
      <c r="P241" s="81"/>
      <c r="Q241" s="81"/>
      <c r="R241" s="81"/>
      <c r="S241" s="81"/>
      <c r="T241" s="81"/>
      <c r="U241" s="81"/>
      <c r="V241" s="81"/>
      <c r="W241" s="81"/>
    </row>
    <row r="242" spans="2:23">
      <c r="B242" s="246"/>
      <c r="C242" s="246"/>
      <c r="E242" s="274"/>
      <c r="H242" s="246"/>
      <c r="I242" s="531"/>
      <c r="J242" s="246"/>
      <c r="K242" s="246"/>
      <c r="L242" s="286"/>
      <c r="O242" s="81"/>
      <c r="P242" s="81"/>
      <c r="Q242" s="81"/>
      <c r="R242" s="81"/>
      <c r="S242" s="81"/>
      <c r="T242" s="81"/>
      <c r="U242" s="81"/>
      <c r="V242" s="81"/>
      <c r="W242" s="81"/>
    </row>
    <row r="243" spans="2:23">
      <c r="B243" s="246"/>
      <c r="C243" s="246"/>
      <c r="E243" s="274"/>
      <c r="H243" s="246"/>
      <c r="I243" s="531"/>
      <c r="J243" s="246"/>
      <c r="K243" s="246"/>
      <c r="L243" s="286"/>
      <c r="O243" s="81"/>
      <c r="P243" s="81"/>
      <c r="Q243" s="81"/>
      <c r="R243" s="81"/>
      <c r="S243" s="81"/>
      <c r="T243" s="81"/>
      <c r="U243" s="81"/>
      <c r="V243" s="81"/>
      <c r="W243" s="81"/>
    </row>
    <row r="244" spans="2:23">
      <c r="D244" s="534"/>
    </row>
    <row r="246" spans="2:23">
      <c r="D246" s="1"/>
    </row>
    <row r="252" spans="2:23">
      <c r="D252" s="1"/>
    </row>
  </sheetData>
  <mergeCells count="25">
    <mergeCell ref="BP34:CK34"/>
    <mergeCell ref="AK35:BF35"/>
    <mergeCell ref="BP35:CK35"/>
    <mergeCell ref="AK36:BF36"/>
    <mergeCell ref="BP36:CK36"/>
    <mergeCell ref="B119:B133"/>
    <mergeCell ref="B5:B29"/>
    <mergeCell ref="B33:B56"/>
    <mergeCell ref="K34:K36"/>
    <mergeCell ref="AK34:BF34"/>
    <mergeCell ref="K37:K41"/>
    <mergeCell ref="K45:K46"/>
    <mergeCell ref="B66:B79"/>
    <mergeCell ref="B85:B98"/>
    <mergeCell ref="B101:B108"/>
    <mergeCell ref="B111:B116"/>
    <mergeCell ref="B196:B197"/>
    <mergeCell ref="B200:B201"/>
    <mergeCell ref="B209:B214"/>
    <mergeCell ref="B136:B151"/>
    <mergeCell ref="B153:B159"/>
    <mergeCell ref="B161:B175"/>
    <mergeCell ref="B177:B178"/>
    <mergeCell ref="B180:B185"/>
    <mergeCell ref="B192:B19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25539-CAF3-42B1-9B9E-488362B4129A}">
  <sheetPr codeName="Sheet3">
    <tabColor theme="1"/>
  </sheetPr>
  <dimension ref="A1:CE118"/>
  <sheetViews>
    <sheetView workbookViewId="0"/>
  </sheetViews>
  <sheetFormatPr defaultColWidth="9.140625" defaultRowHeight="15"/>
  <cols>
    <col min="1" max="1" width="16.7109375" style="151" customWidth="1"/>
    <col min="2" max="2" width="33.85546875" style="246" customWidth="1"/>
    <col min="3" max="3" width="60.5703125" style="246" customWidth="1"/>
    <col min="4" max="4" width="38.85546875" style="151" customWidth="1"/>
    <col min="5" max="5" width="27" style="274" customWidth="1"/>
    <col min="6" max="6" width="22.140625" style="151" customWidth="1"/>
    <col min="7" max="7" width="27.28515625" style="151" customWidth="1"/>
    <col min="8" max="8" width="28.28515625" style="246" customWidth="1"/>
    <col min="9" max="9" width="19" style="531" customWidth="1"/>
    <col min="10" max="10" width="25.7109375" style="246" customWidth="1"/>
    <col min="11" max="11" width="27.85546875" style="246" customWidth="1"/>
    <col min="12" max="12" width="27.5703125" style="286" customWidth="1"/>
    <col min="13" max="13" width="27.85546875" style="151" customWidth="1"/>
    <col min="14" max="14" width="21" style="151" customWidth="1"/>
    <col min="15" max="15" width="21" style="81" customWidth="1"/>
    <col min="16" max="17" width="22.28515625" style="81" customWidth="1"/>
    <col min="18" max="19" width="25" style="81" customWidth="1"/>
    <col min="20" max="20" width="22.5703125" style="81" customWidth="1"/>
    <col min="21" max="22" width="23.85546875" style="81" customWidth="1"/>
    <col min="23" max="23" width="26.42578125" style="151" customWidth="1"/>
    <col min="24" max="24" width="37.85546875" style="151" customWidth="1"/>
    <col min="25" max="25" width="21.28515625" style="151" customWidth="1"/>
    <col min="26" max="27" width="27" style="151" customWidth="1"/>
    <col min="28" max="29" width="30.140625" style="151" customWidth="1"/>
    <col min="30" max="30" width="25.140625" style="151" customWidth="1"/>
    <col min="31" max="31" width="28.85546875" style="151" customWidth="1"/>
    <col min="32" max="32" width="28.5703125" style="151" customWidth="1"/>
    <col min="33" max="33" width="25.140625" style="151" customWidth="1"/>
    <col min="34" max="35" width="30" style="151" customWidth="1"/>
    <col min="36" max="36" width="32" style="151" customWidth="1"/>
    <col min="37" max="37" width="28.5703125" style="151" customWidth="1"/>
    <col min="38" max="16384" width="9.140625" style="151"/>
  </cols>
  <sheetData>
    <row r="1" spans="1:83" ht="51" customHeight="1">
      <c r="B1" s="177" t="s">
        <v>905</v>
      </c>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row>
    <row r="2" spans="1:83" ht="24.75" customHeight="1" thickBot="1">
      <c r="B2" s="151"/>
      <c r="C2" s="151"/>
      <c r="E2" s="151"/>
      <c r="H2" s="151"/>
      <c r="I2" s="151"/>
      <c r="J2" s="151"/>
      <c r="K2" s="151"/>
      <c r="L2" s="151"/>
      <c r="O2" s="151"/>
      <c r="P2" s="151"/>
      <c r="Q2" s="151"/>
      <c r="R2" s="151"/>
      <c r="S2" s="151"/>
      <c r="T2" s="151"/>
      <c r="U2" s="151"/>
      <c r="V2" s="151"/>
    </row>
    <row r="3" spans="1:83" ht="24.75" customHeight="1" thickBot="1">
      <c r="B3" s="673" t="s">
        <v>904</v>
      </c>
      <c r="C3" s="672">
        <v>5</v>
      </c>
      <c r="E3" s="151"/>
      <c r="H3" s="151"/>
      <c r="I3" s="151"/>
      <c r="J3" s="151"/>
      <c r="K3" s="151"/>
      <c r="L3" s="151"/>
      <c r="O3" s="151"/>
      <c r="P3" s="151"/>
      <c r="Q3" s="151"/>
      <c r="R3" s="151"/>
      <c r="S3" s="151"/>
      <c r="T3" s="151"/>
      <c r="U3" s="151"/>
      <c r="V3" s="151"/>
    </row>
    <row r="4" spans="1:83" ht="24.75" customHeight="1" thickBot="1">
      <c r="B4" s="671"/>
      <c r="C4" s="670"/>
      <c r="D4" s="670"/>
      <c r="E4" s="670"/>
      <c r="F4" s="670"/>
      <c r="G4" s="670"/>
      <c r="H4" s="670"/>
      <c r="I4" s="670"/>
      <c r="J4" s="670"/>
      <c r="K4" s="670"/>
      <c r="L4" s="670"/>
      <c r="M4" s="670"/>
      <c r="N4" s="670"/>
      <c r="O4" s="670"/>
      <c r="P4" s="670"/>
      <c r="Q4" s="670"/>
      <c r="R4" s="670"/>
      <c r="S4" s="670"/>
      <c r="T4" s="670"/>
      <c r="U4" s="670"/>
      <c r="V4" s="670"/>
      <c r="W4" s="670"/>
      <c r="X4" s="670"/>
    </row>
    <row r="5" spans="1:83" ht="16.5" thickBot="1">
      <c r="B5" s="669"/>
      <c r="C5" s="668"/>
      <c r="D5" s="668"/>
      <c r="E5" s="668"/>
      <c r="F5" s="668"/>
      <c r="G5" s="668"/>
      <c r="H5" s="668"/>
      <c r="I5" s="668"/>
      <c r="J5" s="668"/>
      <c r="K5" s="668"/>
      <c r="L5" s="668"/>
      <c r="M5" s="668"/>
      <c r="N5" s="668"/>
      <c r="O5" s="668"/>
      <c r="P5" s="668"/>
      <c r="Q5" s="668"/>
      <c r="R5" s="668"/>
      <c r="S5" s="668"/>
      <c r="T5" s="668"/>
      <c r="U5" s="668"/>
      <c r="V5" s="668"/>
      <c r="W5" s="668"/>
      <c r="X5" s="668"/>
      <c r="Y5" s="667"/>
      <c r="Z5" s="1260" t="s">
        <v>903</v>
      </c>
      <c r="AA5" s="1260"/>
      <c r="AB5" s="1260"/>
      <c r="AC5" s="1260"/>
      <c r="AD5" s="1260"/>
      <c r="AE5" s="1260"/>
      <c r="AF5" s="1260"/>
      <c r="AG5" s="1260"/>
      <c r="AH5" s="1260"/>
      <c r="AI5" s="1260"/>
      <c r="AJ5" s="1260"/>
      <c r="AK5" s="1260"/>
      <c r="AL5" s="666"/>
    </row>
    <row r="6" spans="1:83">
      <c r="B6" s="664"/>
      <c r="C6" s="663"/>
      <c r="D6" s="663"/>
      <c r="E6" s="663"/>
      <c r="F6" s="663"/>
      <c r="G6" s="663"/>
      <c r="H6" s="663"/>
      <c r="I6" s="663"/>
      <c r="J6" s="663"/>
      <c r="K6" s="663"/>
      <c r="L6" s="663"/>
      <c r="M6" s="663"/>
      <c r="N6" s="663"/>
      <c r="O6" s="663"/>
      <c r="P6" s="663"/>
      <c r="Q6" s="663"/>
      <c r="R6" s="663"/>
      <c r="S6" s="663"/>
      <c r="T6" s="663"/>
      <c r="U6" s="663"/>
      <c r="V6" s="663"/>
      <c r="W6" s="663"/>
      <c r="X6" s="663"/>
      <c r="Y6" s="662"/>
      <c r="Z6" s="1263" t="s">
        <v>902</v>
      </c>
      <c r="AA6" s="1263"/>
      <c r="AB6" s="1263"/>
      <c r="AC6" s="1263"/>
      <c r="AD6" s="665" t="s">
        <v>213</v>
      </c>
      <c r="AE6" s="1267" t="s">
        <v>901</v>
      </c>
      <c r="AF6" s="1268"/>
      <c r="AG6" s="1268"/>
      <c r="AH6" s="1268"/>
      <c r="AI6" s="1269"/>
      <c r="AJ6" s="1264"/>
      <c r="AK6" s="1264"/>
      <c r="AL6" s="1255"/>
    </row>
    <row r="7" spans="1:83">
      <c r="B7" s="664"/>
      <c r="C7" s="663"/>
      <c r="D7" s="663"/>
      <c r="E7" s="663"/>
      <c r="F7" s="663"/>
      <c r="G7" s="663"/>
      <c r="H7" s="663"/>
      <c r="I7" s="663"/>
      <c r="J7" s="663"/>
      <c r="K7" s="663"/>
      <c r="L7" s="663"/>
      <c r="M7" s="663"/>
      <c r="N7" s="663"/>
      <c r="O7" s="663"/>
      <c r="P7" s="663"/>
      <c r="Q7" s="663"/>
      <c r="R7" s="663"/>
      <c r="S7" s="663"/>
      <c r="T7" s="663"/>
      <c r="U7" s="663"/>
      <c r="V7" s="663"/>
      <c r="W7" s="663"/>
      <c r="X7" s="663"/>
      <c r="Y7" s="662"/>
      <c r="Z7" s="661"/>
      <c r="AA7" s="661"/>
      <c r="AB7" s="661"/>
      <c r="AC7" s="661"/>
      <c r="AD7" s="660"/>
      <c r="AE7" s="1270"/>
      <c r="AF7" s="1271"/>
      <c r="AG7" s="1271"/>
      <c r="AH7" s="1271"/>
      <c r="AI7" s="1272"/>
      <c r="AJ7" s="1265"/>
      <c r="AK7" s="1265"/>
      <c r="AL7" s="1256"/>
    </row>
    <row r="8" spans="1:83" ht="15.75" thickBot="1">
      <c r="B8" s="659"/>
      <c r="C8" s="658"/>
      <c r="D8" s="658"/>
      <c r="E8" s="658"/>
      <c r="F8" s="658"/>
      <c r="G8" s="658"/>
      <c r="H8" s="658"/>
      <c r="I8" s="658"/>
      <c r="J8" s="658"/>
      <c r="K8" s="658"/>
      <c r="L8" s="658"/>
      <c r="M8" s="658"/>
      <c r="N8" s="658"/>
      <c r="O8" s="658"/>
      <c r="P8" s="658"/>
      <c r="Q8" s="658"/>
      <c r="R8" s="658"/>
      <c r="S8" s="658"/>
      <c r="T8" s="658"/>
      <c r="U8" s="658"/>
      <c r="V8" s="658"/>
      <c r="W8" s="658"/>
      <c r="X8" s="658"/>
      <c r="Y8" s="657"/>
      <c r="Z8" s="656" t="s">
        <v>787</v>
      </c>
      <c r="AA8" s="656" t="s">
        <v>786</v>
      </c>
      <c r="AB8" s="656" t="s">
        <v>785</v>
      </c>
      <c r="AC8" s="656" t="s">
        <v>900</v>
      </c>
      <c r="AD8" s="655" t="s">
        <v>899</v>
      </c>
      <c r="AE8" s="1273"/>
      <c r="AF8" s="1274"/>
      <c r="AG8" s="1274"/>
      <c r="AH8" s="1274"/>
      <c r="AI8" s="1275"/>
      <c r="AJ8" s="1266"/>
      <c r="AK8" s="1266"/>
      <c r="AL8" s="1257"/>
    </row>
    <row r="9" spans="1:83" s="373" customFormat="1" ht="40.5" customHeight="1">
      <c r="A9" s="654"/>
      <c r="B9" s="653" t="s">
        <v>898</v>
      </c>
      <c r="C9" s="652" t="s">
        <v>897</v>
      </c>
      <c r="D9" s="651" t="s">
        <v>896</v>
      </c>
      <c r="E9" s="650" t="s">
        <v>895</v>
      </c>
      <c r="F9" s="649" t="s">
        <v>894</v>
      </c>
      <c r="G9" s="648" t="s">
        <v>893</v>
      </c>
      <c r="H9" s="648" t="s">
        <v>892</v>
      </c>
      <c r="I9" s="648" t="s">
        <v>891</v>
      </c>
      <c r="J9" s="648" t="s">
        <v>890</v>
      </c>
      <c r="K9" s="648" t="s">
        <v>889</v>
      </c>
      <c r="L9" s="647" t="s">
        <v>888</v>
      </c>
      <c r="M9" s="646" t="s">
        <v>887</v>
      </c>
      <c r="N9" s="646" t="s">
        <v>886</v>
      </c>
      <c r="O9" s="645" t="s">
        <v>885</v>
      </c>
      <c r="P9" s="644" t="s">
        <v>884</v>
      </c>
      <c r="Q9" s="643" t="s">
        <v>883</v>
      </c>
      <c r="R9" s="643" t="s">
        <v>882</v>
      </c>
      <c r="S9" s="643" t="s">
        <v>881</v>
      </c>
      <c r="T9" s="643" t="s">
        <v>880</v>
      </c>
      <c r="U9" s="642" t="s">
        <v>879</v>
      </c>
      <c r="V9" s="642" t="s">
        <v>878</v>
      </c>
      <c r="W9" s="642" t="s">
        <v>877</v>
      </c>
      <c r="X9" s="642" t="s">
        <v>876</v>
      </c>
      <c r="Y9" s="642" t="s">
        <v>875</v>
      </c>
      <c r="Z9" s="641" t="s">
        <v>874</v>
      </c>
      <c r="AA9" s="641" t="s">
        <v>873</v>
      </c>
      <c r="AB9" s="641" t="s">
        <v>872</v>
      </c>
      <c r="AC9" s="641" t="s">
        <v>871</v>
      </c>
      <c r="AD9" s="641" t="s">
        <v>870</v>
      </c>
      <c r="AE9" s="640" t="s">
        <v>869</v>
      </c>
      <c r="AF9" s="639" t="s">
        <v>868</v>
      </c>
      <c r="AG9" s="639" t="s">
        <v>867</v>
      </c>
      <c r="AH9" s="639" t="s">
        <v>866</v>
      </c>
      <c r="AI9" s="638" t="s">
        <v>865</v>
      </c>
      <c r="AJ9" s="637" t="s">
        <v>864</v>
      </c>
      <c r="AK9" s="637" t="s">
        <v>863</v>
      </c>
      <c r="AL9" s="636" t="s">
        <v>30</v>
      </c>
    </row>
    <row r="10" spans="1:83">
      <c r="B10" s="599" t="s">
        <v>183</v>
      </c>
      <c r="C10" s="598" t="s">
        <v>183</v>
      </c>
      <c r="D10" s="635" t="s">
        <v>861</v>
      </c>
      <c r="E10" s="596" t="s">
        <v>862</v>
      </c>
      <c r="F10" s="595" t="s">
        <v>184</v>
      </c>
      <c r="G10" s="594" t="s">
        <v>185</v>
      </c>
      <c r="H10" s="594" t="s">
        <v>186</v>
      </c>
      <c r="I10" s="592" t="s">
        <v>276</v>
      </c>
      <c r="J10" s="593" t="s">
        <v>747</v>
      </c>
      <c r="K10" s="592" t="s">
        <v>792</v>
      </c>
      <c r="L10" s="591">
        <v>5</v>
      </c>
      <c r="M10" s="602">
        <v>5</v>
      </c>
      <c r="N10" s="601">
        <v>5</v>
      </c>
      <c r="O10" s="588">
        <v>5</v>
      </c>
      <c r="P10" s="587" t="s">
        <v>859</v>
      </c>
      <c r="Q10" s="586"/>
      <c r="R10" s="586" t="s">
        <v>794</v>
      </c>
      <c r="S10" s="586" t="s">
        <v>184</v>
      </c>
      <c r="T10" s="585">
        <v>2000</v>
      </c>
      <c r="U10" s="587" t="s">
        <v>858</v>
      </c>
      <c r="V10" s="586"/>
      <c r="W10" s="586" t="s">
        <v>794</v>
      </c>
      <c r="X10" s="586" t="s">
        <v>184</v>
      </c>
      <c r="Y10" s="585">
        <v>2001</v>
      </c>
      <c r="Z10" s="584" t="s">
        <v>783</v>
      </c>
      <c r="AA10" s="583" t="s">
        <v>783</v>
      </c>
      <c r="AB10" s="583" t="s">
        <v>783</v>
      </c>
      <c r="AC10" s="583" t="s">
        <v>783</v>
      </c>
      <c r="AD10" s="583" t="s">
        <v>788</v>
      </c>
      <c r="AE10" s="584" t="s">
        <v>787</v>
      </c>
      <c r="AF10" s="583" t="s">
        <v>786</v>
      </c>
      <c r="AG10" s="583" t="s">
        <v>785</v>
      </c>
      <c r="AH10" s="583" t="s">
        <v>784</v>
      </c>
      <c r="AI10" s="583"/>
      <c r="AJ10" s="582" t="s">
        <v>788</v>
      </c>
      <c r="AK10" s="581" t="s">
        <v>783</v>
      </c>
      <c r="AL10" s="600" t="str">
        <f t="shared" ref="AL10:AL27" si="0">B10</f>
        <v>Ausgrid</v>
      </c>
    </row>
    <row r="11" spans="1:83">
      <c r="B11" s="599" t="s">
        <v>189</v>
      </c>
      <c r="C11" s="598" t="s">
        <v>189</v>
      </c>
      <c r="D11" s="635" t="s">
        <v>861</v>
      </c>
      <c r="E11" s="596" t="s">
        <v>860</v>
      </c>
      <c r="F11" s="595" t="s">
        <v>184</v>
      </c>
      <c r="G11" s="594" t="s">
        <v>185</v>
      </c>
      <c r="H11" s="594" t="s">
        <v>186</v>
      </c>
      <c r="I11" s="592" t="s">
        <v>276</v>
      </c>
      <c r="J11" s="593" t="s">
        <v>747</v>
      </c>
      <c r="K11" s="592" t="s">
        <v>792</v>
      </c>
      <c r="L11" s="591">
        <v>5</v>
      </c>
      <c r="M11" s="602">
        <v>5</v>
      </c>
      <c r="N11" s="601">
        <v>5</v>
      </c>
      <c r="O11" s="588">
        <v>5</v>
      </c>
      <c r="P11" s="607" t="s">
        <v>859</v>
      </c>
      <c r="Q11" s="606"/>
      <c r="R11" s="606" t="s">
        <v>794</v>
      </c>
      <c r="S11" s="606" t="s">
        <v>184</v>
      </c>
      <c r="T11" s="605">
        <v>2000</v>
      </c>
      <c r="U11" s="607" t="s">
        <v>858</v>
      </c>
      <c r="V11" s="606"/>
      <c r="W11" s="606" t="s">
        <v>794</v>
      </c>
      <c r="X11" s="606" t="s">
        <v>184</v>
      </c>
      <c r="Y11" s="605">
        <v>2001</v>
      </c>
      <c r="Z11" s="604" t="s">
        <v>783</v>
      </c>
      <c r="AA11" s="603" t="s">
        <v>783</v>
      </c>
      <c r="AB11" s="603" t="s">
        <v>783</v>
      </c>
      <c r="AC11" s="603" t="s">
        <v>783</v>
      </c>
      <c r="AD11" s="603" t="s">
        <v>788</v>
      </c>
      <c r="AE11" s="584" t="s">
        <v>787</v>
      </c>
      <c r="AF11" s="583" t="s">
        <v>786</v>
      </c>
      <c r="AG11" s="583" t="s">
        <v>785</v>
      </c>
      <c r="AH11" s="583" t="s">
        <v>784</v>
      </c>
      <c r="AI11" s="583"/>
      <c r="AJ11" s="582" t="s">
        <v>788</v>
      </c>
      <c r="AK11" s="581" t="s">
        <v>788</v>
      </c>
      <c r="AL11" s="600" t="str">
        <f t="shared" si="0"/>
        <v>Ausgrid (Tx Assets)</v>
      </c>
    </row>
    <row r="12" spans="1:83">
      <c r="B12" s="599" t="s">
        <v>190</v>
      </c>
      <c r="C12" s="598" t="s">
        <v>857</v>
      </c>
      <c r="D12" s="597">
        <v>91064651118</v>
      </c>
      <c r="E12" s="596" t="s">
        <v>856</v>
      </c>
      <c r="F12" s="595" t="s">
        <v>182</v>
      </c>
      <c r="G12" s="594" t="s">
        <v>185</v>
      </c>
      <c r="H12" s="594" t="s">
        <v>186</v>
      </c>
      <c r="I12" s="592" t="s">
        <v>276</v>
      </c>
      <c r="J12" s="593" t="s">
        <v>747</v>
      </c>
      <c r="K12" s="592" t="s">
        <v>792</v>
      </c>
      <c r="L12" s="591">
        <v>5</v>
      </c>
      <c r="M12" s="602">
        <v>5</v>
      </c>
      <c r="N12" s="601">
        <v>5</v>
      </c>
      <c r="O12" s="588">
        <v>2</v>
      </c>
      <c r="P12" s="587" t="s">
        <v>855</v>
      </c>
      <c r="Q12" s="586" t="s">
        <v>854</v>
      </c>
      <c r="R12" s="586" t="s">
        <v>853</v>
      </c>
      <c r="S12" s="586" t="s">
        <v>182</v>
      </c>
      <c r="T12" s="585">
        <v>3006</v>
      </c>
      <c r="U12" s="634" t="s">
        <v>852</v>
      </c>
      <c r="V12" s="586"/>
      <c r="W12" s="586" t="s">
        <v>851</v>
      </c>
      <c r="X12" s="586" t="s">
        <v>182</v>
      </c>
      <c r="Y12" s="585">
        <v>8001</v>
      </c>
      <c r="Z12" s="584" t="s">
        <v>788</v>
      </c>
      <c r="AA12" s="583" t="s">
        <v>783</v>
      </c>
      <c r="AB12" s="583" t="s">
        <v>783</v>
      </c>
      <c r="AC12" s="583" t="s">
        <v>783</v>
      </c>
      <c r="AD12" s="583" t="s">
        <v>788</v>
      </c>
      <c r="AE12" s="584" t="s">
        <v>787</v>
      </c>
      <c r="AF12" s="583" t="s">
        <v>786</v>
      </c>
      <c r="AG12" s="583" t="s">
        <v>785</v>
      </c>
      <c r="AH12" s="583" t="s">
        <v>784</v>
      </c>
      <c r="AI12" s="583"/>
      <c r="AJ12" s="582" t="s">
        <v>783</v>
      </c>
      <c r="AK12" s="581" t="s">
        <v>783</v>
      </c>
      <c r="AL12" s="600" t="str">
        <f t="shared" si="0"/>
        <v>AusNet (D)</v>
      </c>
    </row>
    <row r="13" spans="1:83" ht="15" customHeight="1">
      <c r="B13" s="618" t="s">
        <v>0</v>
      </c>
      <c r="C13" s="617" t="s">
        <v>0</v>
      </c>
      <c r="D13" s="616">
        <v>11222333444</v>
      </c>
      <c r="E13" s="615" t="s">
        <v>849</v>
      </c>
      <c r="F13" s="633" t="s">
        <v>184</v>
      </c>
      <c r="G13" s="627" t="s">
        <v>185</v>
      </c>
      <c r="H13" s="627" t="s">
        <v>186</v>
      </c>
      <c r="I13" s="614" t="s">
        <v>276</v>
      </c>
      <c r="J13" s="626" t="s">
        <v>747</v>
      </c>
      <c r="K13" s="614" t="s">
        <v>792</v>
      </c>
      <c r="L13" s="625">
        <v>5</v>
      </c>
      <c r="M13" s="624">
        <v>5</v>
      </c>
      <c r="N13" s="623">
        <v>5</v>
      </c>
      <c r="O13" s="622">
        <v>2</v>
      </c>
      <c r="P13" s="621" t="s">
        <v>848</v>
      </c>
      <c r="Q13" s="620"/>
      <c r="R13" s="620" t="s">
        <v>794</v>
      </c>
      <c r="S13" s="620" t="s">
        <v>184</v>
      </c>
      <c r="T13" s="619">
        <v>2000</v>
      </c>
      <c r="U13" s="621" t="s">
        <v>847</v>
      </c>
      <c r="V13" s="620"/>
      <c r="W13" s="620" t="s">
        <v>794</v>
      </c>
      <c r="X13" s="620" t="s">
        <v>184</v>
      </c>
      <c r="Y13" s="619">
        <v>2000</v>
      </c>
      <c r="Z13" s="604" t="s">
        <v>783</v>
      </c>
      <c r="AA13" s="603" t="s">
        <v>783</v>
      </c>
      <c r="AB13" s="603" t="s">
        <v>783</v>
      </c>
      <c r="AC13" s="603" t="s">
        <v>783</v>
      </c>
      <c r="AD13" s="603" t="s">
        <v>788</v>
      </c>
      <c r="AE13" s="584" t="s">
        <v>787</v>
      </c>
      <c r="AF13" s="583" t="s">
        <v>786</v>
      </c>
      <c r="AG13" s="583" t="s">
        <v>785</v>
      </c>
      <c r="AH13" s="583" t="s">
        <v>784</v>
      </c>
      <c r="AI13" s="583"/>
      <c r="AJ13" s="582" t="s">
        <v>788</v>
      </c>
      <c r="AK13" s="581" t="s">
        <v>783</v>
      </c>
      <c r="AL13" s="613" t="str">
        <f t="shared" si="0"/>
        <v>Australian Distribution Co.</v>
      </c>
    </row>
    <row r="14" spans="1:83">
      <c r="B14" s="618" t="s">
        <v>192</v>
      </c>
      <c r="C14" s="617" t="s">
        <v>850</v>
      </c>
      <c r="D14" s="616">
        <v>11222333444</v>
      </c>
      <c r="E14" s="615" t="s">
        <v>849</v>
      </c>
      <c r="F14" s="628" t="s">
        <v>182</v>
      </c>
      <c r="G14" s="627" t="s">
        <v>185</v>
      </c>
      <c r="H14" s="627" t="s">
        <v>186</v>
      </c>
      <c r="I14" s="627" t="s">
        <v>276</v>
      </c>
      <c r="J14" s="632" t="s">
        <v>747</v>
      </c>
      <c r="K14" s="627" t="s">
        <v>792</v>
      </c>
      <c r="L14" s="631">
        <v>5</v>
      </c>
      <c r="M14" s="630">
        <v>5</v>
      </c>
      <c r="N14" s="629">
        <v>5</v>
      </c>
      <c r="O14" s="622">
        <v>2</v>
      </c>
      <c r="P14" s="621" t="s">
        <v>848</v>
      </c>
      <c r="Q14" s="620"/>
      <c r="R14" s="620" t="s">
        <v>811</v>
      </c>
      <c r="S14" s="620" t="s">
        <v>182</v>
      </c>
      <c r="T14" s="619">
        <v>3000</v>
      </c>
      <c r="U14" s="621" t="s">
        <v>847</v>
      </c>
      <c r="V14" s="620"/>
      <c r="W14" s="620" t="s">
        <v>811</v>
      </c>
      <c r="X14" s="620" t="s">
        <v>182</v>
      </c>
      <c r="Y14" s="619">
        <v>3000</v>
      </c>
      <c r="Z14" s="584" t="s">
        <v>788</v>
      </c>
      <c r="AA14" s="583" t="s">
        <v>788</v>
      </c>
      <c r="AB14" s="583" t="s">
        <v>788</v>
      </c>
      <c r="AC14" s="583" t="s">
        <v>788</v>
      </c>
      <c r="AD14" s="583" t="s">
        <v>788</v>
      </c>
      <c r="AE14" s="584" t="s">
        <v>787</v>
      </c>
      <c r="AF14" s="583" t="s">
        <v>786</v>
      </c>
      <c r="AG14" s="583" t="s">
        <v>785</v>
      </c>
      <c r="AH14" s="583" t="s">
        <v>784</v>
      </c>
      <c r="AI14" s="583"/>
      <c r="AJ14" s="582" t="s">
        <v>783</v>
      </c>
      <c r="AK14" s="581" t="s">
        <v>783</v>
      </c>
      <c r="AL14" s="613" t="str">
        <f t="shared" si="0"/>
        <v>Australian Distribution Co. (Vic)</v>
      </c>
    </row>
    <row r="15" spans="1:83">
      <c r="B15" s="599" t="s">
        <v>193</v>
      </c>
      <c r="C15" s="598" t="s">
        <v>193</v>
      </c>
      <c r="D15" s="597">
        <v>76064651056</v>
      </c>
      <c r="E15" s="596" t="s">
        <v>846</v>
      </c>
      <c r="F15" s="595" t="s">
        <v>182</v>
      </c>
      <c r="G15" s="594" t="s">
        <v>185</v>
      </c>
      <c r="H15" s="594" t="s">
        <v>186</v>
      </c>
      <c r="I15" s="592" t="s">
        <v>276</v>
      </c>
      <c r="J15" s="593" t="s">
        <v>747</v>
      </c>
      <c r="K15" s="592" t="s">
        <v>792</v>
      </c>
      <c r="L15" s="591">
        <v>5</v>
      </c>
      <c r="M15" s="602">
        <v>5</v>
      </c>
      <c r="N15" s="601">
        <v>5</v>
      </c>
      <c r="O15" s="588">
        <v>2</v>
      </c>
      <c r="P15" s="587" t="s">
        <v>813</v>
      </c>
      <c r="Q15" s="586"/>
      <c r="R15" s="586" t="s">
        <v>811</v>
      </c>
      <c r="S15" s="586" t="s">
        <v>182</v>
      </c>
      <c r="T15" s="585">
        <v>3000</v>
      </c>
      <c r="U15" s="587" t="s">
        <v>845</v>
      </c>
      <c r="V15" s="586"/>
      <c r="W15" s="586" t="s">
        <v>811</v>
      </c>
      <c r="X15" s="586" t="s">
        <v>182</v>
      </c>
      <c r="Y15" s="608">
        <v>8001</v>
      </c>
      <c r="Z15" s="584" t="s">
        <v>783</v>
      </c>
      <c r="AA15" s="583" t="s">
        <v>783</v>
      </c>
      <c r="AB15" s="583" t="s">
        <v>788</v>
      </c>
      <c r="AC15" s="583" t="s">
        <v>788</v>
      </c>
      <c r="AD15" s="583" t="s">
        <v>788</v>
      </c>
      <c r="AE15" s="584" t="s">
        <v>787</v>
      </c>
      <c r="AF15" s="583" t="s">
        <v>786</v>
      </c>
      <c r="AG15" s="583" t="s">
        <v>785</v>
      </c>
      <c r="AH15" s="583" t="s">
        <v>784</v>
      </c>
      <c r="AI15" s="583"/>
      <c r="AJ15" s="582" t="s">
        <v>783</v>
      </c>
      <c r="AK15" s="581" t="s">
        <v>783</v>
      </c>
      <c r="AL15" s="600" t="str">
        <f t="shared" si="0"/>
        <v>CitiPower</v>
      </c>
    </row>
    <row r="16" spans="1:83">
      <c r="B16" s="599" t="s">
        <v>198</v>
      </c>
      <c r="C16" s="598" t="s">
        <v>198</v>
      </c>
      <c r="D16" s="597">
        <v>11247365823</v>
      </c>
      <c r="E16" s="596" t="s">
        <v>844</v>
      </c>
      <c r="F16" s="595" t="s">
        <v>184</v>
      </c>
      <c r="G16" s="594" t="s">
        <v>185</v>
      </c>
      <c r="H16" s="594" t="s">
        <v>186</v>
      </c>
      <c r="I16" s="592" t="s">
        <v>276</v>
      </c>
      <c r="J16" s="593" t="s">
        <v>747</v>
      </c>
      <c r="K16" s="592" t="s">
        <v>792</v>
      </c>
      <c r="L16" s="591">
        <v>5</v>
      </c>
      <c r="M16" s="602">
        <v>5</v>
      </c>
      <c r="N16" s="601">
        <v>5</v>
      </c>
      <c r="O16" s="588">
        <v>5</v>
      </c>
      <c r="P16" s="587" t="s">
        <v>843</v>
      </c>
      <c r="Q16" s="586"/>
      <c r="R16" s="586" t="s">
        <v>842</v>
      </c>
      <c r="S16" s="586" t="s">
        <v>184</v>
      </c>
      <c r="T16" s="585">
        <v>2148</v>
      </c>
      <c r="U16" s="587" t="s">
        <v>841</v>
      </c>
      <c r="V16" s="586"/>
      <c r="W16" s="586" t="s">
        <v>840</v>
      </c>
      <c r="X16" s="586" t="s">
        <v>184</v>
      </c>
      <c r="Y16" s="608">
        <v>1730</v>
      </c>
      <c r="Z16" s="584" t="s">
        <v>788</v>
      </c>
      <c r="AA16" s="583" t="s">
        <v>783</v>
      </c>
      <c r="AB16" s="583" t="s">
        <v>783</v>
      </c>
      <c r="AC16" s="583" t="s">
        <v>783</v>
      </c>
      <c r="AD16" s="583" t="s">
        <v>788</v>
      </c>
      <c r="AE16" s="584" t="s">
        <v>787</v>
      </c>
      <c r="AF16" s="583" t="s">
        <v>786</v>
      </c>
      <c r="AG16" s="583" t="s">
        <v>785</v>
      </c>
      <c r="AH16" s="583" t="s">
        <v>784</v>
      </c>
      <c r="AI16" s="583"/>
      <c r="AJ16" s="582" t="s">
        <v>788</v>
      </c>
      <c r="AK16" s="581" t="s">
        <v>783</v>
      </c>
      <c r="AL16" s="600" t="str">
        <f t="shared" si="0"/>
        <v>Endeavour Energy</v>
      </c>
      <c r="AM16" s="244"/>
      <c r="AN16" s="244"/>
      <c r="AO16" s="244"/>
      <c r="AP16" s="244"/>
      <c r="AQ16" s="244"/>
      <c r="AR16" s="244"/>
      <c r="AS16" s="244"/>
      <c r="AT16" s="244"/>
      <c r="AU16" s="244"/>
      <c r="AV16" s="244"/>
      <c r="AW16" s="244"/>
      <c r="AX16" s="244"/>
      <c r="AY16" s="244"/>
      <c r="AZ16" s="244"/>
      <c r="BJ16" s="1258"/>
      <c r="BK16" s="1259"/>
      <c r="BL16" s="1259"/>
      <c r="BM16" s="1259"/>
      <c r="BN16" s="1259"/>
      <c r="BO16" s="1259"/>
      <c r="BP16" s="1259"/>
      <c r="BQ16" s="1259"/>
      <c r="BR16" s="1259"/>
      <c r="BS16" s="1259"/>
      <c r="BT16" s="1259"/>
      <c r="BU16" s="1259"/>
      <c r="BV16" s="1259"/>
      <c r="BW16" s="1259"/>
      <c r="BX16" s="1259"/>
      <c r="BY16" s="1259"/>
      <c r="BZ16" s="1259"/>
      <c r="CA16" s="1259"/>
      <c r="CB16" s="1259"/>
      <c r="CC16" s="1259"/>
      <c r="CD16" s="1259"/>
      <c r="CE16" s="1259"/>
    </row>
    <row r="17" spans="2:38">
      <c r="B17" s="599" t="s">
        <v>199</v>
      </c>
      <c r="C17" s="598" t="s">
        <v>199</v>
      </c>
      <c r="D17" s="597">
        <v>40078849055</v>
      </c>
      <c r="E17" s="596" t="s">
        <v>839</v>
      </c>
      <c r="F17" s="595" t="s">
        <v>195</v>
      </c>
      <c r="G17" s="594" t="s">
        <v>185</v>
      </c>
      <c r="H17" s="594" t="s">
        <v>186</v>
      </c>
      <c r="I17" s="594" t="s">
        <v>276</v>
      </c>
      <c r="J17" s="612" t="s">
        <v>747</v>
      </c>
      <c r="K17" s="594" t="s">
        <v>792</v>
      </c>
      <c r="L17" s="591">
        <v>5</v>
      </c>
      <c r="M17" s="602">
        <v>5</v>
      </c>
      <c r="N17" s="601">
        <v>5</v>
      </c>
      <c r="O17" s="588">
        <v>5</v>
      </c>
      <c r="P17" s="587" t="s">
        <v>838</v>
      </c>
      <c r="Q17" s="586"/>
      <c r="R17" s="586" t="s">
        <v>837</v>
      </c>
      <c r="S17" s="586" t="s">
        <v>195</v>
      </c>
      <c r="T17" s="585">
        <v>4006</v>
      </c>
      <c r="U17" s="587" t="s">
        <v>838</v>
      </c>
      <c r="V17" s="586"/>
      <c r="W17" s="586" t="s">
        <v>837</v>
      </c>
      <c r="X17" s="586" t="s">
        <v>810</v>
      </c>
      <c r="Y17" s="608">
        <v>4006</v>
      </c>
      <c r="Z17" s="584" t="s">
        <v>783</v>
      </c>
      <c r="AA17" s="583" t="s">
        <v>783</v>
      </c>
      <c r="AB17" s="583" t="s">
        <v>783</v>
      </c>
      <c r="AC17" s="583" t="s">
        <v>788</v>
      </c>
      <c r="AD17" s="583" t="s">
        <v>788</v>
      </c>
      <c r="AE17" s="584" t="s">
        <v>787</v>
      </c>
      <c r="AF17" s="583" t="s">
        <v>786</v>
      </c>
      <c r="AG17" s="583" t="s">
        <v>785</v>
      </c>
      <c r="AH17" s="583" t="s">
        <v>784</v>
      </c>
      <c r="AI17" s="583"/>
      <c r="AJ17" s="582" t="s">
        <v>788</v>
      </c>
      <c r="AK17" s="581" t="s">
        <v>783</v>
      </c>
      <c r="AL17" s="600" t="str">
        <f t="shared" si="0"/>
        <v>Energex</v>
      </c>
    </row>
    <row r="18" spans="2:38">
      <c r="B18" s="599" t="s">
        <v>200</v>
      </c>
      <c r="C18" s="598" t="s">
        <v>200</v>
      </c>
      <c r="D18" s="597">
        <v>50087646062</v>
      </c>
      <c r="E18" s="596" t="s">
        <v>836</v>
      </c>
      <c r="F18" s="595" t="s">
        <v>195</v>
      </c>
      <c r="G18" s="594" t="s">
        <v>185</v>
      </c>
      <c r="H18" s="594" t="s">
        <v>186</v>
      </c>
      <c r="I18" s="594" t="s">
        <v>276</v>
      </c>
      <c r="J18" s="612" t="s">
        <v>747</v>
      </c>
      <c r="K18" s="594" t="s">
        <v>792</v>
      </c>
      <c r="L18" s="591">
        <v>5</v>
      </c>
      <c r="M18" s="602">
        <v>5</v>
      </c>
      <c r="N18" s="601">
        <v>5</v>
      </c>
      <c r="O18" s="588">
        <v>5</v>
      </c>
      <c r="P18" s="587" t="s">
        <v>835</v>
      </c>
      <c r="Q18" s="586"/>
      <c r="R18" s="586" t="s">
        <v>834</v>
      </c>
      <c r="S18" s="586" t="s">
        <v>195</v>
      </c>
      <c r="T18" s="585">
        <v>4810</v>
      </c>
      <c r="U18" s="587" t="s">
        <v>833</v>
      </c>
      <c r="V18" s="586"/>
      <c r="W18" s="586" t="s">
        <v>832</v>
      </c>
      <c r="X18" s="586" t="s">
        <v>810</v>
      </c>
      <c r="Y18" s="608">
        <v>4006</v>
      </c>
      <c r="Z18" s="584" t="s">
        <v>788</v>
      </c>
      <c r="AA18" s="583" t="s">
        <v>783</v>
      </c>
      <c r="AB18" s="583" t="s">
        <v>783</v>
      </c>
      <c r="AC18" s="583" t="s">
        <v>783</v>
      </c>
      <c r="AD18" s="583" t="s">
        <v>788</v>
      </c>
      <c r="AE18" s="584" t="s">
        <v>787</v>
      </c>
      <c r="AF18" s="583" t="s">
        <v>786</v>
      </c>
      <c r="AG18" s="583" t="s">
        <v>785</v>
      </c>
      <c r="AH18" s="583" t="s">
        <v>784</v>
      </c>
      <c r="AI18" s="583"/>
      <c r="AJ18" s="582" t="s">
        <v>788</v>
      </c>
      <c r="AK18" s="581" t="s">
        <v>783</v>
      </c>
      <c r="AL18" s="600" t="str">
        <f t="shared" si="0"/>
        <v>Ergon Energy</v>
      </c>
    </row>
    <row r="19" spans="2:38">
      <c r="B19" s="599" t="s">
        <v>201</v>
      </c>
      <c r="C19" s="598" t="s">
        <v>201</v>
      </c>
      <c r="D19" s="597">
        <v>37428185226</v>
      </c>
      <c r="E19" s="596" t="s">
        <v>831</v>
      </c>
      <c r="F19" s="595" t="s">
        <v>184</v>
      </c>
      <c r="G19" s="594" t="s">
        <v>185</v>
      </c>
      <c r="H19" s="594" t="s">
        <v>186</v>
      </c>
      <c r="I19" s="594" t="s">
        <v>276</v>
      </c>
      <c r="J19" s="612" t="s">
        <v>747</v>
      </c>
      <c r="K19" s="594" t="s">
        <v>792</v>
      </c>
      <c r="L19" s="591">
        <v>5</v>
      </c>
      <c r="M19" s="602">
        <v>5</v>
      </c>
      <c r="N19" s="601">
        <v>5</v>
      </c>
      <c r="O19" s="588">
        <v>5</v>
      </c>
      <c r="P19" s="587" t="s">
        <v>830</v>
      </c>
      <c r="Q19" s="586"/>
      <c r="R19" s="586" t="s">
        <v>828</v>
      </c>
      <c r="S19" s="586" t="s">
        <v>184</v>
      </c>
      <c r="T19" s="585">
        <v>2444</v>
      </c>
      <c r="U19" s="587" t="s">
        <v>829</v>
      </c>
      <c r="V19" s="586"/>
      <c r="W19" s="586" t="s">
        <v>828</v>
      </c>
      <c r="X19" s="586" t="s">
        <v>184</v>
      </c>
      <c r="Y19" s="608">
        <v>2444</v>
      </c>
      <c r="Z19" s="584" t="s">
        <v>788</v>
      </c>
      <c r="AA19" s="583" t="s">
        <v>783</v>
      </c>
      <c r="AB19" s="583" t="s">
        <v>783</v>
      </c>
      <c r="AC19" s="583" t="s">
        <v>783</v>
      </c>
      <c r="AD19" s="583" t="s">
        <v>788</v>
      </c>
      <c r="AE19" s="584" t="s">
        <v>787</v>
      </c>
      <c r="AF19" s="583" t="s">
        <v>786</v>
      </c>
      <c r="AG19" s="583" t="s">
        <v>785</v>
      </c>
      <c r="AH19" s="583" t="s">
        <v>784</v>
      </c>
      <c r="AI19" s="583"/>
      <c r="AJ19" s="582" t="s">
        <v>788</v>
      </c>
      <c r="AK19" s="581" t="s">
        <v>783</v>
      </c>
      <c r="AL19" s="600" t="str">
        <f t="shared" si="0"/>
        <v>Essential Energy</v>
      </c>
    </row>
    <row r="20" spans="2:38">
      <c r="B20" s="599" t="s">
        <v>202</v>
      </c>
      <c r="C20" s="598" t="s">
        <v>202</v>
      </c>
      <c r="D20" s="597">
        <v>76670568688</v>
      </c>
      <c r="E20" s="596" t="s">
        <v>827</v>
      </c>
      <c r="F20" s="595" t="s">
        <v>203</v>
      </c>
      <c r="G20" s="594" t="s">
        <v>185</v>
      </c>
      <c r="H20" s="594" t="s">
        <v>186</v>
      </c>
      <c r="I20" s="592" t="s">
        <v>276</v>
      </c>
      <c r="J20" s="593" t="s">
        <v>747</v>
      </c>
      <c r="K20" s="592" t="s">
        <v>792</v>
      </c>
      <c r="L20" s="591">
        <v>5</v>
      </c>
      <c r="M20" s="590">
        <v>5</v>
      </c>
      <c r="N20" s="589">
        <v>5</v>
      </c>
      <c r="O20" s="588">
        <v>5</v>
      </c>
      <c r="P20" s="611" t="s">
        <v>825</v>
      </c>
      <c r="Q20" s="586"/>
      <c r="R20" s="610" t="s">
        <v>823</v>
      </c>
      <c r="S20" s="609" t="s">
        <v>203</v>
      </c>
      <c r="T20" s="585">
        <v>2600</v>
      </c>
      <c r="U20" s="587" t="s">
        <v>824</v>
      </c>
      <c r="V20" s="586"/>
      <c r="W20" s="586" t="s">
        <v>823</v>
      </c>
      <c r="X20" s="586" t="s">
        <v>203</v>
      </c>
      <c r="Y20" s="608">
        <v>2601</v>
      </c>
      <c r="Z20" s="584" t="s">
        <v>788</v>
      </c>
      <c r="AA20" s="583" t="s">
        <v>783</v>
      </c>
      <c r="AB20" s="583" t="s">
        <v>783</v>
      </c>
      <c r="AC20" s="583" t="s">
        <v>788</v>
      </c>
      <c r="AD20" s="583" t="s">
        <v>788</v>
      </c>
      <c r="AE20" s="584" t="s">
        <v>787</v>
      </c>
      <c r="AF20" s="583" t="s">
        <v>786</v>
      </c>
      <c r="AG20" s="583" t="s">
        <v>785</v>
      </c>
      <c r="AH20" s="583" t="s">
        <v>784</v>
      </c>
      <c r="AI20" s="583"/>
      <c r="AJ20" s="582" t="s">
        <v>788</v>
      </c>
      <c r="AK20" s="581" t="s">
        <v>788</v>
      </c>
      <c r="AL20" s="600" t="str">
        <f t="shared" si="0"/>
        <v>Evoenergy Distribution</v>
      </c>
    </row>
    <row r="21" spans="2:38">
      <c r="B21" s="599" t="s">
        <v>204</v>
      </c>
      <c r="C21" s="598" t="s">
        <v>204</v>
      </c>
      <c r="D21" s="597">
        <v>76670568688</v>
      </c>
      <c r="E21" s="596" t="s">
        <v>826</v>
      </c>
      <c r="F21" s="595" t="s">
        <v>203</v>
      </c>
      <c r="G21" s="594" t="s">
        <v>185</v>
      </c>
      <c r="H21" s="594" t="s">
        <v>186</v>
      </c>
      <c r="I21" s="592" t="s">
        <v>276</v>
      </c>
      <c r="J21" s="593" t="s">
        <v>747</v>
      </c>
      <c r="K21" s="592" t="s">
        <v>792</v>
      </c>
      <c r="L21" s="591">
        <v>5</v>
      </c>
      <c r="M21" s="602">
        <v>5</v>
      </c>
      <c r="N21" s="601">
        <v>5</v>
      </c>
      <c r="O21" s="588">
        <v>5</v>
      </c>
      <c r="P21" s="611" t="s">
        <v>825</v>
      </c>
      <c r="Q21" s="586"/>
      <c r="R21" s="610" t="s">
        <v>823</v>
      </c>
      <c r="S21" s="609" t="s">
        <v>203</v>
      </c>
      <c r="T21" s="585">
        <v>2600</v>
      </c>
      <c r="U21" s="587" t="s">
        <v>824</v>
      </c>
      <c r="V21" s="586"/>
      <c r="W21" s="586" t="s">
        <v>823</v>
      </c>
      <c r="X21" s="586" t="s">
        <v>203</v>
      </c>
      <c r="Y21" s="608">
        <v>2601</v>
      </c>
      <c r="Z21" s="584" t="s">
        <v>788</v>
      </c>
      <c r="AA21" s="583" t="s">
        <v>783</v>
      </c>
      <c r="AB21" s="583" t="s">
        <v>783</v>
      </c>
      <c r="AC21" s="583" t="s">
        <v>788</v>
      </c>
      <c r="AD21" s="583" t="s">
        <v>788</v>
      </c>
      <c r="AE21" s="584" t="s">
        <v>787</v>
      </c>
      <c r="AF21" s="583" t="s">
        <v>786</v>
      </c>
      <c r="AG21" s="583" t="s">
        <v>785</v>
      </c>
      <c r="AH21" s="583" t="s">
        <v>784</v>
      </c>
      <c r="AI21" s="583"/>
      <c r="AJ21" s="582" t="s">
        <v>788</v>
      </c>
      <c r="AK21" s="581" t="s">
        <v>788</v>
      </c>
      <c r="AL21" s="600" t="str">
        <f t="shared" si="0"/>
        <v>Evoenergy Distribution (Tx Assets)</v>
      </c>
    </row>
    <row r="22" spans="2:38">
      <c r="B22" s="599" t="s">
        <v>205</v>
      </c>
      <c r="C22" s="598" t="s">
        <v>205</v>
      </c>
      <c r="D22" s="597">
        <v>82064651083</v>
      </c>
      <c r="E22" s="596" t="s">
        <v>822</v>
      </c>
      <c r="F22" s="595" t="s">
        <v>182</v>
      </c>
      <c r="G22" s="594" t="s">
        <v>185</v>
      </c>
      <c r="H22" s="594" t="s">
        <v>186</v>
      </c>
      <c r="I22" s="592" t="s">
        <v>276</v>
      </c>
      <c r="J22" s="593" t="s">
        <v>747</v>
      </c>
      <c r="K22" s="592" t="s">
        <v>792</v>
      </c>
      <c r="L22" s="591">
        <v>5</v>
      </c>
      <c r="M22" s="602">
        <v>5</v>
      </c>
      <c r="N22" s="601">
        <v>5</v>
      </c>
      <c r="O22" s="588">
        <v>2</v>
      </c>
      <c r="P22" s="587" t="s">
        <v>821</v>
      </c>
      <c r="Q22" s="586" t="s">
        <v>820</v>
      </c>
      <c r="R22" s="586" t="s">
        <v>811</v>
      </c>
      <c r="S22" s="586" t="s">
        <v>182</v>
      </c>
      <c r="T22" s="585">
        <v>3000</v>
      </c>
      <c r="U22" s="587" t="s">
        <v>819</v>
      </c>
      <c r="V22" s="586"/>
      <c r="W22" s="586" t="s">
        <v>811</v>
      </c>
      <c r="X22" s="586" t="s">
        <v>182</v>
      </c>
      <c r="Y22" s="608">
        <v>8001</v>
      </c>
      <c r="Z22" s="584" t="s">
        <v>788</v>
      </c>
      <c r="AA22" s="583" t="s">
        <v>783</v>
      </c>
      <c r="AB22" s="583" t="s">
        <v>783</v>
      </c>
      <c r="AC22" s="583" t="s">
        <v>788</v>
      </c>
      <c r="AD22" s="583" t="s">
        <v>788</v>
      </c>
      <c r="AE22" s="584" t="s">
        <v>787</v>
      </c>
      <c r="AF22" s="583" t="s">
        <v>786</v>
      </c>
      <c r="AG22" s="583" t="s">
        <v>785</v>
      </c>
      <c r="AH22" s="583" t="s">
        <v>784</v>
      </c>
      <c r="AI22" s="583"/>
      <c r="AJ22" s="582" t="s">
        <v>783</v>
      </c>
      <c r="AK22" s="581" t="s">
        <v>783</v>
      </c>
      <c r="AL22" s="600" t="str">
        <f t="shared" si="0"/>
        <v>Jemena Electricity</v>
      </c>
    </row>
    <row r="23" spans="2:38">
      <c r="B23" s="599" t="s">
        <v>208</v>
      </c>
      <c r="C23" s="598" t="s">
        <v>818</v>
      </c>
      <c r="D23" s="597">
        <v>15947352360</v>
      </c>
      <c r="E23" s="596" t="s">
        <v>817</v>
      </c>
      <c r="F23" s="595" t="s">
        <v>177</v>
      </c>
      <c r="G23" s="594" t="s">
        <v>185</v>
      </c>
      <c r="H23" s="594" t="s">
        <v>186</v>
      </c>
      <c r="I23" s="592" t="s">
        <v>276</v>
      </c>
      <c r="J23" s="593" t="s">
        <v>747</v>
      </c>
      <c r="K23" s="592" t="s">
        <v>792</v>
      </c>
      <c r="L23" s="591">
        <v>5</v>
      </c>
      <c r="M23" s="590">
        <v>5</v>
      </c>
      <c r="N23" s="589">
        <v>5</v>
      </c>
      <c r="O23" s="588" t="s">
        <v>809</v>
      </c>
      <c r="P23" s="587" t="s">
        <v>816</v>
      </c>
      <c r="Q23" s="586"/>
      <c r="R23" s="586" t="s">
        <v>815</v>
      </c>
      <c r="S23" s="586" t="s">
        <v>177</v>
      </c>
      <c r="T23" s="585">
        <v>801</v>
      </c>
      <c r="U23" s="587" t="s">
        <v>816</v>
      </c>
      <c r="V23" s="586"/>
      <c r="W23" s="586" t="s">
        <v>815</v>
      </c>
      <c r="X23" s="586" t="s">
        <v>177</v>
      </c>
      <c r="Y23" s="585">
        <v>801</v>
      </c>
      <c r="Z23" s="584" t="s">
        <v>783</v>
      </c>
      <c r="AA23" s="583" t="s">
        <v>783</v>
      </c>
      <c r="AB23" s="583" t="s">
        <v>783</v>
      </c>
      <c r="AC23" s="583" t="s">
        <v>783</v>
      </c>
      <c r="AD23" s="583" t="s">
        <v>788</v>
      </c>
      <c r="AE23" s="584" t="s">
        <v>787</v>
      </c>
      <c r="AF23" s="583" t="s">
        <v>786</v>
      </c>
      <c r="AG23" s="583" t="s">
        <v>785</v>
      </c>
      <c r="AH23" s="583" t="s">
        <v>784</v>
      </c>
      <c r="AI23" s="583"/>
      <c r="AJ23" s="582" t="s">
        <v>788</v>
      </c>
      <c r="AK23" s="581" t="s">
        <v>788</v>
      </c>
      <c r="AL23" s="600" t="str">
        <f t="shared" si="0"/>
        <v>Power and Water</v>
      </c>
    </row>
    <row r="24" spans="2:38">
      <c r="B24" s="599" t="s">
        <v>209</v>
      </c>
      <c r="C24" s="598" t="s">
        <v>209</v>
      </c>
      <c r="D24" s="597">
        <v>89064651109</v>
      </c>
      <c r="E24" s="596" t="s">
        <v>814</v>
      </c>
      <c r="F24" s="595" t="s">
        <v>182</v>
      </c>
      <c r="G24" s="594" t="s">
        <v>185</v>
      </c>
      <c r="H24" s="594" t="s">
        <v>186</v>
      </c>
      <c r="I24" s="592" t="s">
        <v>276</v>
      </c>
      <c r="J24" s="593" t="s">
        <v>747</v>
      </c>
      <c r="K24" s="592" t="s">
        <v>792</v>
      </c>
      <c r="L24" s="591">
        <v>5</v>
      </c>
      <c r="M24" s="602">
        <v>5</v>
      </c>
      <c r="N24" s="601">
        <v>5</v>
      </c>
      <c r="O24" s="588">
        <v>2</v>
      </c>
      <c r="P24" s="587" t="s">
        <v>813</v>
      </c>
      <c r="Q24" s="586"/>
      <c r="R24" s="586" t="s">
        <v>811</v>
      </c>
      <c r="S24" s="586" t="s">
        <v>182</v>
      </c>
      <c r="T24" s="585">
        <v>3000</v>
      </c>
      <c r="U24" s="587" t="s">
        <v>812</v>
      </c>
      <c r="V24" s="586"/>
      <c r="W24" s="586" t="s">
        <v>811</v>
      </c>
      <c r="X24" s="586" t="s">
        <v>182</v>
      </c>
      <c r="Y24" s="585">
        <v>8001</v>
      </c>
      <c r="Z24" s="584" t="s">
        <v>788</v>
      </c>
      <c r="AA24" s="583" t="s">
        <v>783</v>
      </c>
      <c r="AB24" s="583" t="s">
        <v>783</v>
      </c>
      <c r="AC24" s="583" t="s">
        <v>783</v>
      </c>
      <c r="AD24" s="583" t="s">
        <v>788</v>
      </c>
      <c r="AE24" s="584" t="s">
        <v>787</v>
      </c>
      <c r="AF24" s="583" t="s">
        <v>786</v>
      </c>
      <c r="AG24" s="583" t="s">
        <v>785</v>
      </c>
      <c r="AH24" s="583" t="s">
        <v>784</v>
      </c>
      <c r="AI24" s="583"/>
      <c r="AJ24" s="582" t="s">
        <v>783</v>
      </c>
      <c r="AK24" s="581" t="s">
        <v>783</v>
      </c>
      <c r="AL24" s="600" t="str">
        <f t="shared" si="0"/>
        <v>Powercor Australia</v>
      </c>
    </row>
    <row r="25" spans="2:38">
      <c r="B25" s="599" t="s">
        <v>212</v>
      </c>
      <c r="C25" s="598" t="s">
        <v>212</v>
      </c>
      <c r="D25" s="597">
        <v>13332330749</v>
      </c>
      <c r="E25" s="596" t="s">
        <v>808</v>
      </c>
      <c r="F25" s="595" t="s">
        <v>197</v>
      </c>
      <c r="G25" s="594" t="s">
        <v>185</v>
      </c>
      <c r="H25" s="594" t="s">
        <v>186</v>
      </c>
      <c r="I25" s="592" t="s">
        <v>276</v>
      </c>
      <c r="J25" s="593" t="s">
        <v>747</v>
      </c>
      <c r="K25" s="592" t="s">
        <v>792</v>
      </c>
      <c r="L25" s="591">
        <v>5</v>
      </c>
      <c r="M25" s="602">
        <v>5</v>
      </c>
      <c r="N25" s="601">
        <v>5</v>
      </c>
      <c r="O25" s="588">
        <v>5</v>
      </c>
      <c r="P25" s="587" t="s">
        <v>807</v>
      </c>
      <c r="Q25" s="586"/>
      <c r="R25" s="586" t="s">
        <v>806</v>
      </c>
      <c r="S25" s="586" t="s">
        <v>197</v>
      </c>
      <c r="T25" s="585">
        <v>5035</v>
      </c>
      <c r="U25" s="587" t="s">
        <v>805</v>
      </c>
      <c r="V25" s="586"/>
      <c r="W25" s="586" t="s">
        <v>804</v>
      </c>
      <c r="X25" s="586" t="s">
        <v>197</v>
      </c>
      <c r="Y25" s="585">
        <v>5000</v>
      </c>
      <c r="Z25" s="584" t="s">
        <v>783</v>
      </c>
      <c r="AA25" s="583" t="s">
        <v>783</v>
      </c>
      <c r="AB25" s="583" t="s">
        <v>783</v>
      </c>
      <c r="AC25" s="583" t="s">
        <v>783</v>
      </c>
      <c r="AD25" s="583" t="s">
        <v>788</v>
      </c>
      <c r="AE25" s="584" t="s">
        <v>787</v>
      </c>
      <c r="AF25" s="583" t="s">
        <v>786</v>
      </c>
      <c r="AG25" s="583" t="s">
        <v>785</v>
      </c>
      <c r="AH25" s="583" t="s">
        <v>784</v>
      </c>
      <c r="AI25" s="583"/>
      <c r="AJ25" s="582" t="s">
        <v>788</v>
      </c>
      <c r="AK25" s="581" t="s">
        <v>783</v>
      </c>
      <c r="AL25" s="600" t="str">
        <f t="shared" si="0"/>
        <v>SA Power Networks</v>
      </c>
    </row>
    <row r="26" spans="2:38">
      <c r="B26" s="599" t="s">
        <v>213</v>
      </c>
      <c r="C26" s="598" t="s">
        <v>213</v>
      </c>
      <c r="D26" s="597">
        <v>24167357299</v>
      </c>
      <c r="E26" s="596" t="s">
        <v>803</v>
      </c>
      <c r="F26" s="595" t="s">
        <v>214</v>
      </c>
      <c r="G26" s="594" t="s">
        <v>185</v>
      </c>
      <c r="H26" s="594" t="s">
        <v>186</v>
      </c>
      <c r="I26" s="592" t="s">
        <v>276</v>
      </c>
      <c r="J26" s="593" t="s">
        <v>747</v>
      </c>
      <c r="K26" s="592" t="s">
        <v>792</v>
      </c>
      <c r="L26" s="591">
        <v>5</v>
      </c>
      <c r="M26" s="602">
        <v>5</v>
      </c>
      <c r="N26" s="601">
        <v>5</v>
      </c>
      <c r="O26" s="588">
        <v>5</v>
      </c>
      <c r="P26" s="587" t="s">
        <v>798</v>
      </c>
      <c r="Q26" s="586"/>
      <c r="R26" s="586" t="s">
        <v>797</v>
      </c>
      <c r="S26" s="586" t="s">
        <v>214</v>
      </c>
      <c r="T26" s="585">
        <v>7008</v>
      </c>
      <c r="U26" s="587" t="s">
        <v>796</v>
      </c>
      <c r="V26" s="586"/>
      <c r="W26" s="586" t="s">
        <v>795</v>
      </c>
      <c r="X26" s="586" t="s">
        <v>214</v>
      </c>
      <c r="Y26" s="585">
        <v>7009</v>
      </c>
      <c r="Z26" s="584" t="s">
        <v>783</v>
      </c>
      <c r="AA26" s="583" t="s">
        <v>783</v>
      </c>
      <c r="AB26" s="583" t="s">
        <v>783</v>
      </c>
      <c r="AC26" s="583" t="s">
        <v>783</v>
      </c>
      <c r="AD26" s="583" t="s">
        <v>783</v>
      </c>
      <c r="AE26" s="584" t="s">
        <v>802</v>
      </c>
      <c r="AF26" s="583" t="s">
        <v>786</v>
      </c>
      <c r="AG26" s="583" t="s">
        <v>801</v>
      </c>
      <c r="AH26" s="583" t="s">
        <v>800</v>
      </c>
      <c r="AI26" s="583" t="s">
        <v>799</v>
      </c>
      <c r="AJ26" s="582" t="s">
        <v>788</v>
      </c>
      <c r="AK26" s="581" t="s">
        <v>783</v>
      </c>
      <c r="AL26" s="600" t="str">
        <f t="shared" si="0"/>
        <v>TasNetworks (D)</v>
      </c>
    </row>
    <row r="27" spans="2:38">
      <c r="B27" s="599" t="s">
        <v>217</v>
      </c>
      <c r="C27" s="598" t="s">
        <v>217</v>
      </c>
      <c r="D27" s="597">
        <v>70064651029</v>
      </c>
      <c r="E27" s="596" t="s">
        <v>793</v>
      </c>
      <c r="F27" s="595" t="s">
        <v>182</v>
      </c>
      <c r="G27" s="594" t="s">
        <v>185</v>
      </c>
      <c r="H27" s="594" t="s">
        <v>186</v>
      </c>
      <c r="I27" s="592" t="s">
        <v>276</v>
      </c>
      <c r="J27" s="593" t="s">
        <v>747</v>
      </c>
      <c r="K27" s="592" t="s">
        <v>792</v>
      </c>
      <c r="L27" s="591">
        <v>5</v>
      </c>
      <c r="M27" s="590">
        <v>5</v>
      </c>
      <c r="N27" s="589">
        <v>5</v>
      </c>
      <c r="O27" s="588">
        <v>2</v>
      </c>
      <c r="P27" s="587" t="s">
        <v>791</v>
      </c>
      <c r="Q27" s="586"/>
      <c r="R27" s="586" t="s">
        <v>789</v>
      </c>
      <c r="S27" s="586" t="s">
        <v>182</v>
      </c>
      <c r="T27" s="585">
        <v>3149</v>
      </c>
      <c r="U27" s="587" t="s">
        <v>790</v>
      </c>
      <c r="V27" s="586"/>
      <c r="W27" s="586" t="s">
        <v>789</v>
      </c>
      <c r="X27" s="586" t="s">
        <v>182</v>
      </c>
      <c r="Y27" s="585">
        <v>3170</v>
      </c>
      <c r="Z27" s="584" t="s">
        <v>788</v>
      </c>
      <c r="AA27" s="583" t="s">
        <v>783</v>
      </c>
      <c r="AB27" s="583" t="s">
        <v>783</v>
      </c>
      <c r="AC27" s="583" t="s">
        <v>788</v>
      </c>
      <c r="AD27" s="583" t="s">
        <v>788</v>
      </c>
      <c r="AE27" s="584" t="s">
        <v>787</v>
      </c>
      <c r="AF27" s="583" t="s">
        <v>786</v>
      </c>
      <c r="AG27" s="583" t="s">
        <v>785</v>
      </c>
      <c r="AH27" s="583" t="s">
        <v>784</v>
      </c>
      <c r="AI27" s="583"/>
      <c r="AJ27" s="582" t="s">
        <v>783</v>
      </c>
      <c r="AK27" s="581" t="s">
        <v>783</v>
      </c>
      <c r="AL27" s="580" t="str">
        <f t="shared" si="0"/>
        <v>United Energy</v>
      </c>
    </row>
    <row r="28" spans="2:38">
      <c r="C28" s="280"/>
      <c r="W28" s="81"/>
    </row>
    <row r="29" spans="2:38" ht="15.75" thickBot="1">
      <c r="C29" s="280"/>
      <c r="H29" s="151"/>
      <c r="I29" s="151"/>
      <c r="J29" s="151"/>
      <c r="K29" s="151"/>
      <c r="W29" s="81"/>
    </row>
    <row r="30" spans="2:38" ht="47.25" customHeight="1" thickBot="1">
      <c r="B30" s="1261" t="s">
        <v>782</v>
      </c>
      <c r="C30" s="1262"/>
      <c r="D30" s="1262"/>
      <c r="E30" s="1262"/>
      <c r="H30" s="151"/>
      <c r="I30" s="151"/>
      <c r="J30" s="151"/>
      <c r="K30" s="151"/>
      <c r="L30" s="246"/>
      <c r="M30" s="246"/>
      <c r="N30" s="286"/>
      <c r="O30" s="151"/>
      <c r="W30" s="81"/>
      <c r="X30" s="81"/>
    </row>
    <row r="31" spans="2:38" ht="31.5" customHeight="1" thickBot="1">
      <c r="B31" s="579" t="s">
        <v>781</v>
      </c>
      <c r="C31" s="579" t="s">
        <v>780</v>
      </c>
      <c r="D31" s="578" t="s">
        <v>779</v>
      </c>
      <c r="E31" s="577" t="s">
        <v>778</v>
      </c>
      <c r="H31" s="151"/>
      <c r="I31" s="151"/>
      <c r="J31" s="151"/>
      <c r="K31" s="151"/>
      <c r="L31" s="576"/>
      <c r="M31" s="576"/>
      <c r="N31" s="575"/>
      <c r="O31" s="151"/>
      <c r="W31" s="81"/>
      <c r="X31" s="81"/>
    </row>
    <row r="32" spans="2:38">
      <c r="B32" s="574" t="s">
        <v>777</v>
      </c>
      <c r="C32" s="573" t="s">
        <v>776</v>
      </c>
      <c r="D32" s="572" t="str">
        <f>IF(dms_MultiYear_ResponseFlag="yes","NEW HISTORICAL ANNUAL REPORTING","ANNUAL REPORTING")</f>
        <v>ANNUAL REPORTING</v>
      </c>
      <c r="E32" s="571">
        <v>1</v>
      </c>
      <c r="H32" s="151"/>
      <c r="I32" s="151"/>
      <c r="J32" s="151"/>
      <c r="K32" s="151"/>
      <c r="L32" s="246"/>
      <c r="M32" s="246"/>
      <c r="N32" s="286"/>
      <c r="O32" s="151"/>
      <c r="W32" s="81"/>
      <c r="X32" s="81"/>
    </row>
    <row r="33" spans="2:24">
      <c r="B33" s="569" t="s">
        <v>775</v>
      </c>
      <c r="C33" s="568" t="s">
        <v>774</v>
      </c>
      <c r="D33" s="567" t="str">
        <f>IF(dms_MultiYear_ResponseFlag="yes","NEW HISTORICAL CATEGORY ANALYSIS","CATEGORY ANALYSIS")</f>
        <v>CATEGORY ANALYSIS</v>
      </c>
      <c r="E33" s="570">
        <v>1</v>
      </c>
      <c r="H33" s="151"/>
      <c r="I33" s="151"/>
      <c r="J33" s="151"/>
      <c r="K33" s="151"/>
      <c r="L33" s="246"/>
      <c r="M33" s="246"/>
      <c r="N33" s="286"/>
      <c r="O33" s="151"/>
      <c r="W33" s="81"/>
      <c r="X33" s="81"/>
    </row>
    <row r="34" spans="2:24">
      <c r="B34" s="569" t="s">
        <v>773</v>
      </c>
      <c r="C34" s="568" t="s">
        <v>772</v>
      </c>
      <c r="D34" s="567" t="s">
        <v>771</v>
      </c>
      <c r="E34" s="570">
        <v>5</v>
      </c>
      <c r="H34" s="151"/>
      <c r="I34" s="151"/>
      <c r="J34" s="151"/>
      <c r="K34" s="151"/>
      <c r="L34" s="151"/>
      <c r="M34" s="246"/>
      <c r="N34" s="286"/>
      <c r="O34" s="151"/>
      <c r="W34" s="81"/>
      <c r="X34" s="81"/>
    </row>
    <row r="35" spans="2:24">
      <c r="B35" s="569" t="s">
        <v>770</v>
      </c>
      <c r="C35" s="568" t="s">
        <v>770</v>
      </c>
      <c r="D35" s="567" t="s">
        <v>770</v>
      </c>
      <c r="E35" s="570">
        <v>5</v>
      </c>
      <c r="H35" s="151"/>
      <c r="I35" s="151"/>
      <c r="J35" s="151"/>
      <c r="K35" s="151"/>
      <c r="L35" s="151"/>
      <c r="M35" s="246"/>
      <c r="N35" s="286"/>
      <c r="O35" s="151"/>
      <c r="W35" s="81"/>
      <c r="X35" s="81"/>
    </row>
    <row r="36" spans="2:24">
      <c r="B36" s="569" t="s">
        <v>1</v>
      </c>
      <c r="C36" s="568" t="s">
        <v>769</v>
      </c>
      <c r="D36" s="567" t="str">
        <f>IF(dms_MultiYear_ResponseFlag="yes","NEW HISTORICAL ECONOMIC BENCHMARKING","ECONOMIC BENCHMARKING")</f>
        <v>ECONOMIC BENCHMARKING</v>
      </c>
      <c r="E36" s="566">
        <v>1</v>
      </c>
      <c r="H36" s="151"/>
      <c r="I36" s="151"/>
      <c r="J36" s="151"/>
      <c r="K36" s="151"/>
      <c r="L36" s="151"/>
      <c r="M36" s="246"/>
      <c r="N36" s="286"/>
      <c r="O36" s="151"/>
      <c r="W36" s="81"/>
      <c r="X36" s="81"/>
    </row>
    <row r="37" spans="2:24">
      <c r="B37" s="569" t="s">
        <v>768</v>
      </c>
      <c r="C37" s="568" t="s">
        <v>767</v>
      </c>
      <c r="D37" s="567" t="s">
        <v>766</v>
      </c>
      <c r="E37" s="566">
        <v>5</v>
      </c>
      <c r="H37" s="151"/>
      <c r="I37" s="151"/>
      <c r="J37" s="151"/>
      <c r="K37" s="151"/>
      <c r="L37" s="151"/>
      <c r="M37" s="246"/>
      <c r="N37" s="286"/>
      <c r="O37" s="151"/>
      <c r="W37" s="81"/>
      <c r="X37" s="81"/>
    </row>
    <row r="38" spans="2:24">
      <c r="B38" s="569" t="s">
        <v>765</v>
      </c>
      <c r="C38" s="568" t="s">
        <v>764</v>
      </c>
      <c r="D38" s="567" t="s">
        <v>763</v>
      </c>
      <c r="E38" s="566">
        <v>5</v>
      </c>
      <c r="H38" s="151"/>
      <c r="I38" s="151"/>
      <c r="J38" s="151"/>
      <c r="K38" s="151"/>
      <c r="L38" s="151"/>
      <c r="M38" s="246"/>
      <c r="N38" s="286"/>
      <c r="O38" s="151"/>
      <c r="W38" s="81"/>
      <c r="X38" s="81"/>
    </row>
    <row r="39" spans="2:24">
      <c r="B39" s="569" t="s">
        <v>762</v>
      </c>
      <c r="C39" s="568" t="s">
        <v>762</v>
      </c>
      <c r="D39" s="567" t="s">
        <v>761</v>
      </c>
      <c r="E39" s="566">
        <v>5</v>
      </c>
      <c r="H39" s="151"/>
      <c r="I39" s="151"/>
      <c r="J39" s="151"/>
      <c r="K39" s="151"/>
      <c r="L39" s="151"/>
      <c r="M39" s="246"/>
      <c r="N39" s="286"/>
      <c r="O39" s="151"/>
      <c r="W39" s="81"/>
      <c r="X39" s="81"/>
    </row>
    <row r="40" spans="2:24">
      <c r="B40" s="569" t="s">
        <v>475</v>
      </c>
      <c r="C40" s="568" t="s">
        <v>760</v>
      </c>
      <c r="D40" s="567" t="s">
        <v>759</v>
      </c>
      <c r="E40" s="566">
        <v>5</v>
      </c>
      <c r="H40" s="151"/>
      <c r="I40" s="151"/>
      <c r="J40" s="151"/>
      <c r="K40" s="151"/>
      <c r="L40" s="151"/>
      <c r="M40" s="246"/>
      <c r="N40" s="286"/>
      <c r="O40" s="151"/>
      <c r="W40" s="81"/>
      <c r="X40" s="81"/>
    </row>
    <row r="41" spans="2:24">
      <c r="B41" s="569" t="s">
        <v>758</v>
      </c>
      <c r="C41" s="568" t="s">
        <v>757</v>
      </c>
      <c r="D41" s="567" t="s">
        <v>756</v>
      </c>
      <c r="E41" s="566">
        <v>5</v>
      </c>
      <c r="H41" s="151"/>
      <c r="I41" s="151"/>
      <c r="J41" s="151"/>
      <c r="K41" s="151"/>
      <c r="L41" s="151"/>
      <c r="M41" s="246"/>
      <c r="N41" s="286"/>
      <c r="O41" s="151"/>
      <c r="W41" s="81"/>
      <c r="X41" s="81"/>
    </row>
    <row r="42" spans="2:24">
      <c r="B42" s="569" t="s">
        <v>755</v>
      </c>
      <c r="C42" s="568" t="s">
        <v>754</v>
      </c>
      <c r="D42" s="567" t="s">
        <v>753</v>
      </c>
      <c r="E42" s="566">
        <v>5</v>
      </c>
      <c r="H42" s="151"/>
      <c r="I42" s="151"/>
      <c r="J42" s="151"/>
      <c r="K42" s="151"/>
      <c r="L42" s="151"/>
      <c r="M42" s="246"/>
      <c r="N42" s="286"/>
      <c r="O42" s="151"/>
      <c r="W42" s="81"/>
      <c r="X42" s="81"/>
    </row>
    <row r="43" spans="2:24">
      <c r="B43" s="569" t="s">
        <v>469</v>
      </c>
      <c r="C43" s="568" t="s">
        <v>752</v>
      </c>
      <c r="D43" s="567" t="s">
        <v>751</v>
      </c>
      <c r="E43" s="566">
        <v>5</v>
      </c>
      <c r="H43" s="151"/>
      <c r="I43" s="151"/>
      <c r="J43" s="151"/>
      <c r="K43" s="151"/>
      <c r="L43" s="151"/>
      <c r="M43" s="246"/>
      <c r="N43" s="286"/>
      <c r="O43" s="151"/>
      <c r="W43" s="81"/>
      <c r="X43" s="81"/>
    </row>
    <row r="44" spans="2:24">
      <c r="B44" s="569" t="s">
        <v>750</v>
      </c>
      <c r="C44" s="568" t="s">
        <v>749</v>
      </c>
      <c r="D44" s="567" t="s">
        <v>748</v>
      </c>
      <c r="E44" s="566">
        <v>1</v>
      </c>
      <c r="H44" s="151"/>
      <c r="I44" s="151"/>
      <c r="J44" s="151"/>
      <c r="K44" s="151"/>
      <c r="L44" s="151"/>
      <c r="M44" s="246"/>
      <c r="N44" s="286"/>
      <c r="O44" s="151"/>
      <c r="W44" s="81"/>
      <c r="X44" s="81"/>
    </row>
    <row r="45" spans="2:24" s="81" customFormat="1">
      <c r="E45" s="269"/>
    </row>
    <row r="46" spans="2:24">
      <c r="B46" s="151"/>
      <c r="C46" s="81"/>
      <c r="D46" s="81"/>
      <c r="E46" s="269"/>
      <c r="F46" s="81"/>
      <c r="G46" s="81"/>
      <c r="H46" s="81"/>
      <c r="I46" s="81"/>
      <c r="J46" s="81"/>
      <c r="K46" s="81"/>
      <c r="L46" s="81"/>
      <c r="O46" s="151"/>
      <c r="P46" s="151"/>
      <c r="Q46" s="151"/>
      <c r="R46" s="151"/>
      <c r="S46" s="151"/>
      <c r="T46" s="151"/>
      <c r="U46" s="151"/>
    </row>
    <row r="47" spans="2:24">
      <c r="C47" s="266"/>
      <c r="E47" s="539"/>
    </row>
    <row r="48" spans="2:24" ht="15.75" thickBot="1">
      <c r="B48" s="565" t="s">
        <v>747</v>
      </c>
      <c r="C48" s="564" t="s">
        <v>746</v>
      </c>
      <c r="E48" s="563" t="s">
        <v>745</v>
      </c>
      <c r="G48" s="563" t="s">
        <v>744</v>
      </c>
      <c r="H48" s="151"/>
      <c r="I48" s="562" t="s">
        <v>743</v>
      </c>
    </row>
    <row r="49" spans="2:12" ht="15.75" thickBot="1">
      <c r="B49" s="561" t="s">
        <v>742</v>
      </c>
      <c r="C49" s="560" t="s">
        <v>741</v>
      </c>
      <c r="D49" s="559" t="s">
        <v>740</v>
      </c>
      <c r="E49" s="557" t="str">
        <f ca="1">INDEX(INDIRECT(dms_RPT),dms_PRCP_start_row)</f>
        <v>2010-11</v>
      </c>
      <c r="F49" s="559" t="s">
        <v>739</v>
      </c>
      <c r="G49" s="557" t="str">
        <f ca="1">INDEX(INDIRECT(dms_RPT),dms_CRCP_start_row)</f>
        <v>2015-16</v>
      </c>
      <c r="H49" s="558" t="str">
        <f>FRCP_y1</f>
        <v>2020-21</v>
      </c>
      <c r="I49" s="557" t="str">
        <f ca="1">INDEX(INDIRECT(dms_RPT),dms_FRCP_start_row)</f>
        <v>2020-21</v>
      </c>
    </row>
    <row r="50" spans="2:12">
      <c r="B50" s="545" t="s">
        <v>738</v>
      </c>
      <c r="C50" s="544" t="s">
        <v>737</v>
      </c>
      <c r="D50" s="553" t="s">
        <v>736</v>
      </c>
      <c r="E50" s="556" t="str">
        <f ca="1">INDEX(INDIRECT(dms_RPT),dms_PRCP_start_row+1)</f>
        <v>2011-12</v>
      </c>
      <c r="F50" s="553" t="s">
        <v>735</v>
      </c>
      <c r="G50" s="552" t="str">
        <f ca="1">INDEX(INDIRECT(dms_RPT),dms_CRCP_start_row+1)</f>
        <v>2016-17</v>
      </c>
      <c r="H50" s="555" t="s">
        <v>734</v>
      </c>
      <c r="I50" s="552" t="str">
        <f ca="1">INDEX(INDIRECT(dms_RPT),dms_FRCP_start_row+1)</f>
        <v>2021-22</v>
      </c>
    </row>
    <row r="51" spans="2:12">
      <c r="B51" s="545" t="s">
        <v>733</v>
      </c>
      <c r="C51" s="544" t="s">
        <v>732</v>
      </c>
      <c r="D51" s="553" t="s">
        <v>731</v>
      </c>
      <c r="E51" s="552" t="str">
        <f ca="1">INDEX(INDIRECT(dms_RPT),dms_PRCP_start_row+2)</f>
        <v>2012-13</v>
      </c>
      <c r="F51" s="553" t="s">
        <v>730</v>
      </c>
      <c r="G51" s="552" t="str">
        <f ca="1">INDEX(INDIRECT(dms_RPT),dms_CRCP_start_row+2)</f>
        <v>2017-18</v>
      </c>
      <c r="H51" s="553" t="s">
        <v>729</v>
      </c>
      <c r="I51" s="552" t="str">
        <f ca="1">INDEX(INDIRECT(dms_RPT),dms_FRCP_start_row+2)</f>
        <v>2022-23</v>
      </c>
    </row>
    <row r="52" spans="2:12">
      <c r="B52" s="545" t="s">
        <v>728</v>
      </c>
      <c r="C52" s="544" t="s">
        <v>727</v>
      </c>
      <c r="D52" s="553" t="s">
        <v>726</v>
      </c>
      <c r="E52" s="552" t="str">
        <f ca="1">INDEX(INDIRECT(dms_RPT),dms_PRCP_start_row+3)</f>
        <v>2013-14</v>
      </c>
      <c r="F52" s="553" t="s">
        <v>725</v>
      </c>
      <c r="G52" s="552" t="str">
        <f ca="1">INDEX(INDIRECT(dms_RPT),dms_CRCP_start_row+3)</f>
        <v>2018-19</v>
      </c>
      <c r="H52" s="553" t="s">
        <v>724</v>
      </c>
      <c r="I52" s="552" t="str">
        <f ca="1">INDEX(INDIRECT(dms_RPT),dms_FRCP_start_row+3)</f>
        <v>2023-24</v>
      </c>
    </row>
    <row r="53" spans="2:12">
      <c r="B53" s="545" t="s">
        <v>723</v>
      </c>
      <c r="C53" s="544" t="s">
        <v>722</v>
      </c>
      <c r="D53" s="553" t="s">
        <v>721</v>
      </c>
      <c r="E53" s="552" t="str">
        <f ca="1">INDEX(INDIRECT(dms_RPT),dms_PRCP_start_row+4)</f>
        <v>2014-15</v>
      </c>
      <c r="F53" s="553" t="s">
        <v>720</v>
      </c>
      <c r="G53" s="552" t="str">
        <f ca="1">INDEX(INDIRECT(dms_RPT),dms_CRCP_start_row+4)</f>
        <v>2019-20</v>
      </c>
      <c r="H53" s="553" t="s">
        <v>719</v>
      </c>
      <c r="I53" s="552" t="str">
        <f ca="1">INDEX(INDIRECT(dms_RPT),dms_FRCP_start_row+4)</f>
        <v>2024-25</v>
      </c>
    </row>
    <row r="54" spans="2:12">
      <c r="B54" s="545" t="s">
        <v>718</v>
      </c>
      <c r="C54" s="544" t="s">
        <v>717</v>
      </c>
      <c r="D54" s="553" t="s">
        <v>716</v>
      </c>
      <c r="E54" s="552" t="str">
        <f ca="1">INDEX(INDIRECT(dms_RPT),dms_PRCP_start_row+5)</f>
        <v>2015-16</v>
      </c>
      <c r="F54" s="553" t="s">
        <v>715</v>
      </c>
      <c r="G54" s="552" t="str">
        <f ca="1">INDEX(INDIRECT(dms_RPT),dms_CRCP_start_row+5)</f>
        <v>2020-21</v>
      </c>
      <c r="H54" s="553" t="s">
        <v>714</v>
      </c>
      <c r="I54" s="552" t="str">
        <f ca="1">INDEX(INDIRECT(dms_RPT),dms_FRCP_start_row+5)</f>
        <v>2025-26</v>
      </c>
    </row>
    <row r="55" spans="2:12">
      <c r="B55" s="545" t="s">
        <v>713</v>
      </c>
      <c r="C55" s="544" t="s">
        <v>712</v>
      </c>
      <c r="D55" s="553" t="s">
        <v>711</v>
      </c>
      <c r="E55" s="552" t="str">
        <f ca="1">INDEX(INDIRECT(dms_RPT),dms_PRCP_start_row+6)</f>
        <v>2016-17</v>
      </c>
      <c r="F55" s="553" t="s">
        <v>710</v>
      </c>
      <c r="G55" s="552" t="str">
        <f ca="1">INDEX(INDIRECT(dms_RPT),dms_CRCP_start_row+6)</f>
        <v>2021-22</v>
      </c>
      <c r="H55" s="553" t="s">
        <v>709</v>
      </c>
      <c r="I55" s="552" t="str">
        <f ca="1">INDEX(INDIRECT(dms_RPT),dms_FRCP_start_row+6)</f>
        <v>2026-27</v>
      </c>
    </row>
    <row r="56" spans="2:12">
      <c r="B56" s="545" t="s">
        <v>708</v>
      </c>
      <c r="C56" s="544" t="s">
        <v>707</v>
      </c>
      <c r="D56" s="553" t="s">
        <v>706</v>
      </c>
      <c r="E56" s="552" t="str">
        <f ca="1">INDEX(INDIRECT(dms_RPT),dms_PRCP_start_row+7)</f>
        <v>2017-18</v>
      </c>
      <c r="F56" s="553" t="s">
        <v>705</v>
      </c>
      <c r="G56" s="552" t="str">
        <f ca="1">INDEX(INDIRECT(dms_RPT),dms_CRCP_start_row+7)</f>
        <v>2022-23</v>
      </c>
      <c r="H56" s="553" t="s">
        <v>704</v>
      </c>
      <c r="I56" s="552" t="str">
        <f ca="1">INDEX(INDIRECT(dms_RPT),dms_FRCP_start_row+7)</f>
        <v>2027-28</v>
      </c>
      <c r="J56" s="151"/>
      <c r="K56" s="151"/>
      <c r="L56" s="151"/>
    </row>
    <row r="57" spans="2:12">
      <c r="B57" s="545" t="s">
        <v>703</v>
      </c>
      <c r="C57" s="544" t="s">
        <v>702</v>
      </c>
      <c r="D57" s="553" t="s">
        <v>701</v>
      </c>
      <c r="E57" s="552" t="str">
        <f ca="1">INDEX(INDIRECT(dms_RPT),dms_PRCP_start_row+8)</f>
        <v>2018-19</v>
      </c>
      <c r="F57" s="553" t="s">
        <v>700</v>
      </c>
      <c r="G57" s="552" t="str">
        <f ca="1">INDEX(INDIRECT(dms_RPT),dms_CRCP_start_row+8)</f>
        <v>2023-24</v>
      </c>
      <c r="H57" s="553" t="s">
        <v>699</v>
      </c>
      <c r="I57" s="552" t="str">
        <f ca="1">INDEX(INDIRECT(dms_RPT),dms_FRCP_start_row+8)</f>
        <v>2028-29</v>
      </c>
      <c r="J57" s="151"/>
      <c r="K57" s="151"/>
      <c r="L57" s="151"/>
    </row>
    <row r="58" spans="2:12">
      <c r="B58" s="545" t="s">
        <v>698</v>
      </c>
      <c r="C58" s="544" t="s">
        <v>697</v>
      </c>
      <c r="D58" s="553" t="s">
        <v>696</v>
      </c>
      <c r="E58" s="552" t="str">
        <f ca="1">INDEX(INDIRECT(dms_RPT),dms_PRCP_start_row+9)</f>
        <v>2019-20</v>
      </c>
      <c r="F58" s="553" t="s">
        <v>695</v>
      </c>
      <c r="G58" s="552" t="str">
        <f ca="1">INDEX(INDIRECT(dms_RPT),dms_CRCP_start_row+9)</f>
        <v>2024-25</v>
      </c>
      <c r="H58" s="553" t="s">
        <v>694</v>
      </c>
      <c r="I58" s="552" t="str">
        <f ca="1">INDEX(INDIRECT(dms_RPT),dms_FRCP_start_row+9)</f>
        <v>2029-30</v>
      </c>
      <c r="J58" s="151"/>
      <c r="K58" s="151"/>
      <c r="L58" s="151"/>
    </row>
    <row r="59" spans="2:12">
      <c r="B59" s="545" t="s">
        <v>693</v>
      </c>
      <c r="C59" s="544" t="s">
        <v>692</v>
      </c>
      <c r="D59" s="553" t="s">
        <v>691</v>
      </c>
      <c r="E59" s="552" t="str">
        <f ca="1">INDEX(INDIRECT(dms_RPT),dms_PRCP_start_row+10)</f>
        <v>2020-21</v>
      </c>
      <c r="F59" s="553" t="s">
        <v>690</v>
      </c>
      <c r="G59" s="552" t="str">
        <f ca="1">INDEX(INDIRECT(dms_RPT),dms_CRCP_start_row+10)</f>
        <v>2025-26</v>
      </c>
      <c r="H59" s="553" t="s">
        <v>689</v>
      </c>
      <c r="I59" s="552" t="str">
        <f ca="1">INDEX(INDIRECT(dms_RPT),dms_FRCP_start_row+10)</f>
        <v>2030-31</v>
      </c>
      <c r="J59" s="151"/>
      <c r="K59" s="151"/>
      <c r="L59" s="151"/>
    </row>
    <row r="60" spans="2:12">
      <c r="B60" s="545" t="s">
        <v>688</v>
      </c>
      <c r="C60" s="544" t="s">
        <v>687</v>
      </c>
      <c r="D60" s="553" t="s">
        <v>686</v>
      </c>
      <c r="E60" s="552" t="str">
        <f ca="1">INDEX(INDIRECT(dms_RPT),dms_PRCP_start_row+11)</f>
        <v>2021-22</v>
      </c>
      <c r="F60" s="553" t="s">
        <v>685</v>
      </c>
      <c r="G60" s="552" t="str">
        <f ca="1">INDEX(INDIRECT(dms_RPT),dms_CRCP_start_row+11)</f>
        <v>2026-27</v>
      </c>
      <c r="H60" s="553" t="s">
        <v>684</v>
      </c>
      <c r="I60" s="552" t="str">
        <f ca="1">INDEX(INDIRECT(dms_RPT),dms_FRCP_start_row+11)</f>
        <v>2031-32</v>
      </c>
      <c r="J60" s="151"/>
      <c r="K60" s="151"/>
      <c r="L60" s="151"/>
    </row>
    <row r="61" spans="2:12">
      <c r="B61" s="545" t="s">
        <v>683</v>
      </c>
      <c r="C61" s="544" t="s">
        <v>682</v>
      </c>
      <c r="D61" s="553" t="s">
        <v>681</v>
      </c>
      <c r="E61" s="552" t="str">
        <f ca="1">INDEX(INDIRECT(dms_RPT),dms_PRCP_start_row+12)</f>
        <v>2022-23</v>
      </c>
      <c r="F61" s="553" t="s">
        <v>680</v>
      </c>
      <c r="G61" s="552" t="str">
        <f ca="1">INDEX(INDIRECT(dms_RPT),dms_CRCP_start_row+12)</f>
        <v>2027-28</v>
      </c>
      <c r="H61" s="553" t="s">
        <v>679</v>
      </c>
      <c r="I61" s="552" t="str">
        <f ca="1">INDEX(INDIRECT(dms_RPT),dms_FRCP_start_row+12)</f>
        <v>2032-33</v>
      </c>
      <c r="J61" s="151"/>
      <c r="K61" s="151"/>
      <c r="L61" s="151"/>
    </row>
    <row r="62" spans="2:12">
      <c r="B62" s="545" t="s">
        <v>678</v>
      </c>
      <c r="C62" s="544" t="s">
        <v>677</v>
      </c>
      <c r="D62" s="554" t="s">
        <v>676</v>
      </c>
      <c r="E62" s="552" t="str">
        <f ca="1">INDEX(INDIRECT(dms_RPT),dms_PRCP_start_row+13)</f>
        <v>2023-24</v>
      </c>
      <c r="F62" s="553" t="s">
        <v>675</v>
      </c>
      <c r="G62" s="552" t="str">
        <f ca="1">INDEX(INDIRECT(dms_RPT),dms_CRCP_start_row+13)</f>
        <v>2028-29</v>
      </c>
      <c r="H62" s="553" t="s">
        <v>674</v>
      </c>
      <c r="I62" s="552" t="str">
        <f ca="1">INDEX(INDIRECT(dms_RPT),dms_FRCP_start_row+13)</f>
        <v>2033-34</v>
      </c>
      <c r="J62" s="151"/>
      <c r="K62" s="151"/>
      <c r="L62" s="151"/>
    </row>
    <row r="63" spans="2:12">
      <c r="B63" s="545" t="s">
        <v>673</v>
      </c>
      <c r="C63" s="544" t="s">
        <v>672</v>
      </c>
      <c r="D63" s="554" t="s">
        <v>671</v>
      </c>
      <c r="E63" s="552" t="str">
        <f ca="1">INDEX(INDIRECT(dms_RPT),dms_PRCP_start_row+14)</f>
        <v>2024-25</v>
      </c>
      <c r="F63" s="553" t="s">
        <v>670</v>
      </c>
      <c r="G63" s="552" t="str">
        <f ca="1">INDEX(INDIRECT(dms_RPT),dms_CRCP_start_row+14)</f>
        <v>2029-30</v>
      </c>
      <c r="H63" s="553" t="s">
        <v>669</v>
      </c>
      <c r="I63" s="552" t="str">
        <f ca="1">INDEX(INDIRECT(dms_RPT),dms_FRCP_start_row+14)</f>
        <v>2034-35</v>
      </c>
      <c r="J63" s="151"/>
      <c r="K63" s="151"/>
      <c r="L63" s="151"/>
    </row>
    <row r="64" spans="2:12">
      <c r="B64" s="545" t="s">
        <v>668</v>
      </c>
      <c r="C64" s="544" t="s">
        <v>667</v>
      </c>
      <c r="D64" s="554" t="s">
        <v>666</v>
      </c>
      <c r="E64" s="552" t="str">
        <f ca="1">INDEX(INDIRECT(dms_RPT),dms_PRCP_start_row+15)</f>
        <v>2025-26</v>
      </c>
      <c r="F64" s="553" t="s">
        <v>665</v>
      </c>
      <c r="G64" s="552" t="str">
        <f ca="1">INDEX(INDIRECT(dms_RPT),dms_CRCP_start_row+15)</f>
        <v>2030-31</v>
      </c>
      <c r="H64" s="553" t="s">
        <v>664</v>
      </c>
      <c r="I64" s="552" t="str">
        <f ca="1">INDEX(INDIRECT(dms_RPT),dms_FRCP_start_row+15)</f>
        <v>2035-36</v>
      </c>
      <c r="J64" s="151"/>
      <c r="K64" s="151"/>
      <c r="L64" s="151"/>
    </row>
    <row r="65" spans="2:12">
      <c r="B65" s="545" t="s">
        <v>663</v>
      </c>
      <c r="C65" s="544" t="s">
        <v>662</v>
      </c>
      <c r="D65" s="554" t="s">
        <v>661</v>
      </c>
      <c r="E65" s="552" t="str">
        <f ca="1">INDEX(INDIRECT(dms_RPT),dms_PRCP_start_row+16)</f>
        <v>2026-27</v>
      </c>
      <c r="F65" s="553" t="s">
        <v>660</v>
      </c>
      <c r="G65" s="552" t="str">
        <f ca="1">INDEX(INDIRECT(dms_RPT),dms_CRCP_start_row+16)</f>
        <v>2031-32</v>
      </c>
      <c r="H65" s="553" t="s">
        <v>659</v>
      </c>
      <c r="I65" s="552" t="str">
        <f ca="1">INDEX(INDIRECT(dms_RPT),dms_FRCP_start_row+16)</f>
        <v>2036-37</v>
      </c>
      <c r="J65" s="151"/>
      <c r="K65" s="151"/>
      <c r="L65" s="151"/>
    </row>
    <row r="66" spans="2:12">
      <c r="B66" s="545" t="s">
        <v>658</v>
      </c>
      <c r="C66" s="544" t="s">
        <v>657</v>
      </c>
      <c r="D66" s="554" t="s">
        <v>656</v>
      </c>
      <c r="E66" s="552" t="str">
        <f ca="1">INDEX(INDIRECT(dms_RPT),dms_PRCP_start_row+17)</f>
        <v>2027-28</v>
      </c>
      <c r="F66" s="553" t="s">
        <v>655</v>
      </c>
      <c r="G66" s="552" t="str">
        <f ca="1">INDEX(INDIRECT(dms_RPT),dms_CRCP_start_row+17)</f>
        <v>2032-33</v>
      </c>
      <c r="H66" s="553" t="s">
        <v>654</v>
      </c>
      <c r="I66" s="552" t="str">
        <f ca="1">INDEX(INDIRECT(dms_RPT),dms_FRCP_start_row+17)</f>
        <v>2037-38</v>
      </c>
      <c r="J66" s="151"/>
      <c r="K66" s="151"/>
      <c r="L66" s="151"/>
    </row>
    <row r="67" spans="2:12">
      <c r="B67" s="545" t="s">
        <v>653</v>
      </c>
      <c r="C67" s="544" t="s">
        <v>652</v>
      </c>
      <c r="D67" s="554" t="s">
        <v>651</v>
      </c>
      <c r="E67" s="552" t="str">
        <f ca="1">INDEX(INDIRECT(dms_RPT),dms_PRCP_start_row+18)</f>
        <v>2028-29</v>
      </c>
      <c r="F67" s="553" t="s">
        <v>650</v>
      </c>
      <c r="G67" s="552" t="str">
        <f ca="1">INDEX(INDIRECT(dms_RPT),dms_CRCP_start_row+18)</f>
        <v>2033-34</v>
      </c>
      <c r="H67" s="553" t="s">
        <v>649</v>
      </c>
      <c r="I67" s="552" t="str">
        <f ca="1">INDEX(INDIRECT(dms_RPT),dms_FRCP_start_row+18)</f>
        <v>2038-39</v>
      </c>
      <c r="J67" s="151"/>
      <c r="K67" s="151"/>
      <c r="L67" s="151"/>
    </row>
    <row r="68" spans="2:12">
      <c r="B68" s="545" t="s">
        <v>648</v>
      </c>
      <c r="C68" s="544" t="s">
        <v>647</v>
      </c>
      <c r="D68" s="554" t="s">
        <v>646</v>
      </c>
      <c r="E68" s="552" t="str">
        <f ca="1">INDEX(INDIRECT(dms_RPT),dms_PRCP_start_row+19)</f>
        <v>2029-30</v>
      </c>
      <c r="F68" s="553" t="s">
        <v>645</v>
      </c>
      <c r="G68" s="552" t="str">
        <f ca="1">INDEX(INDIRECT(dms_RPT),dms_CRCP_start_row+19)</f>
        <v>2034-35</v>
      </c>
      <c r="H68" s="553" t="s">
        <v>644</v>
      </c>
      <c r="I68" s="552" t="str">
        <f ca="1">INDEX(INDIRECT(dms_RPT),dms_FRCP_start_row+19)</f>
        <v>2039-40</v>
      </c>
      <c r="J68" s="151"/>
      <c r="K68" s="151"/>
      <c r="L68" s="151"/>
    </row>
    <row r="69" spans="2:12">
      <c r="B69" s="545" t="s">
        <v>643</v>
      </c>
      <c r="C69" s="544" t="s">
        <v>642</v>
      </c>
      <c r="D69" s="554" t="s">
        <v>641</v>
      </c>
      <c r="E69" s="552" t="str">
        <f ca="1">INDEX(INDIRECT(dms_RPT),dms_PRCP_start_row+20)</f>
        <v>2030-31</v>
      </c>
      <c r="F69" s="553" t="s">
        <v>640</v>
      </c>
      <c r="G69" s="552" t="str">
        <f ca="1">INDEX(INDIRECT(dms_RPT),dms_CRCP_start_row+20)</f>
        <v>2035-36</v>
      </c>
      <c r="H69" s="553" t="s">
        <v>639</v>
      </c>
      <c r="I69" s="552" t="str">
        <f ca="1">INDEX(INDIRECT(dms_RPT),dms_FRCP_start_row+20)</f>
        <v>2040-41</v>
      </c>
      <c r="J69" s="151"/>
      <c r="K69" s="151"/>
      <c r="L69" s="151"/>
    </row>
    <row r="70" spans="2:12">
      <c r="B70" s="545" t="s">
        <v>638</v>
      </c>
      <c r="C70" s="544" t="s">
        <v>637</v>
      </c>
      <c r="D70" s="554" t="s">
        <v>636</v>
      </c>
      <c r="E70" s="552" t="str">
        <f ca="1">INDEX(INDIRECT(dms_RPT),dms_PRCP_start_row+21)</f>
        <v>2031-32</v>
      </c>
      <c r="F70" s="553" t="s">
        <v>635</v>
      </c>
      <c r="G70" s="552" t="str">
        <f ca="1">INDEX(INDIRECT(dms_RPT),dms_CRCP_start_row+21)</f>
        <v>2036-37</v>
      </c>
      <c r="H70" s="553" t="s">
        <v>634</v>
      </c>
      <c r="I70" s="552" t="str">
        <f ca="1">INDEX(INDIRECT(dms_RPT),dms_FRCP_start_row+21)</f>
        <v>2041-42</v>
      </c>
      <c r="J70" s="151"/>
      <c r="K70" s="151"/>
      <c r="L70" s="151"/>
    </row>
    <row r="71" spans="2:12">
      <c r="B71" s="545" t="s">
        <v>633</v>
      </c>
      <c r="C71" s="544">
        <v>2010</v>
      </c>
      <c r="D71" s="554" t="s">
        <v>632</v>
      </c>
      <c r="E71" s="552" t="str">
        <f ca="1">INDEX(INDIRECT(dms_RPT),dms_PRCP_start_row+22)</f>
        <v>2032-33</v>
      </c>
      <c r="F71" s="553" t="s">
        <v>631</v>
      </c>
      <c r="G71" s="552" t="str">
        <f ca="1">INDEX(INDIRECT(dms_RPT),dms_CRCP_start_row+22)</f>
        <v>2037-38</v>
      </c>
      <c r="H71" s="553" t="s">
        <v>630</v>
      </c>
      <c r="I71" s="552" t="str">
        <f ca="1">INDEX(INDIRECT(dms_RPT),dms_FRCP_start_row+22)</f>
        <v>2042-43</v>
      </c>
      <c r="J71" s="151"/>
      <c r="K71" s="151"/>
      <c r="L71" s="151"/>
    </row>
    <row r="72" spans="2:12">
      <c r="B72" s="545" t="s">
        <v>629</v>
      </c>
      <c r="C72" s="544">
        <v>2011</v>
      </c>
      <c r="D72" s="554" t="s">
        <v>628</v>
      </c>
      <c r="E72" s="552" t="str">
        <f ca="1">INDEX(INDIRECT(dms_RPT),dms_PRCP_start_row+23)</f>
        <v>2033-34</v>
      </c>
      <c r="F72" s="553" t="s">
        <v>627</v>
      </c>
      <c r="G72" s="552" t="str">
        <f ca="1">INDEX(INDIRECT(dms_RPT),dms_CRCP_start_row+23)</f>
        <v>2038-39</v>
      </c>
      <c r="H72" s="553" t="s">
        <v>626</v>
      </c>
      <c r="I72" s="552" t="str">
        <f ca="1">INDEX(INDIRECT(dms_RPT),dms_FRCP_start_row+23)</f>
        <v>2043-44</v>
      </c>
      <c r="J72" s="151"/>
      <c r="K72" s="151"/>
      <c r="L72" s="151"/>
    </row>
    <row r="73" spans="2:12" ht="15.75" thickBot="1">
      <c r="B73" s="545" t="s">
        <v>625</v>
      </c>
      <c r="C73" s="544">
        <v>2012</v>
      </c>
      <c r="D73" s="551" t="s">
        <v>624</v>
      </c>
      <c r="E73" s="549" t="str">
        <f ca="1">INDEX(INDIRECT(dms_RPT),dms_PRCP_start_row+24)</f>
        <v>2034-35</v>
      </c>
      <c r="F73" s="550" t="s">
        <v>623</v>
      </c>
      <c r="G73" s="549" t="str">
        <f ca="1">INDEX(INDIRECT(dms_RPT),dms_CRCP_start_row+24)</f>
        <v>2039-40</v>
      </c>
      <c r="H73" s="550" t="s">
        <v>622</v>
      </c>
      <c r="I73" s="549" t="str">
        <f ca="1">INDEX(INDIRECT(dms_RPT),dms_FRCP_start_row+24)</f>
        <v>2044-45</v>
      </c>
      <c r="J73" s="151"/>
      <c r="K73" s="151"/>
      <c r="L73" s="151"/>
    </row>
    <row r="74" spans="2:12">
      <c r="B74" s="545" t="s">
        <v>621</v>
      </c>
      <c r="C74" s="544">
        <v>2013</v>
      </c>
      <c r="E74" s="151"/>
      <c r="H74" s="151"/>
      <c r="I74" s="151"/>
      <c r="J74" s="151"/>
      <c r="K74" s="151"/>
      <c r="L74" s="151"/>
    </row>
    <row r="75" spans="2:12">
      <c r="B75" s="545" t="s">
        <v>620</v>
      </c>
      <c r="C75" s="544">
        <v>2014</v>
      </c>
      <c r="E75" s="151"/>
      <c r="H75" s="151"/>
      <c r="I75" s="151"/>
      <c r="J75" s="151"/>
      <c r="K75" s="151"/>
      <c r="L75" s="151"/>
    </row>
    <row r="76" spans="2:12">
      <c r="B76" s="545" t="s">
        <v>619</v>
      </c>
      <c r="C76" s="544">
        <v>2015</v>
      </c>
      <c r="E76" s="151"/>
      <c r="I76" s="548"/>
    </row>
    <row r="77" spans="2:12">
      <c r="B77" s="545" t="s">
        <v>618</v>
      </c>
      <c r="C77" s="544">
        <v>2016</v>
      </c>
      <c r="E77" s="151"/>
      <c r="I77" s="548"/>
    </row>
    <row r="78" spans="2:12">
      <c r="B78" s="545" t="s">
        <v>617</v>
      </c>
      <c r="C78" s="544">
        <v>2017</v>
      </c>
      <c r="E78" s="151"/>
    </row>
    <row r="79" spans="2:12">
      <c r="B79" s="545" t="s">
        <v>616</v>
      </c>
      <c r="C79" s="544">
        <v>2018</v>
      </c>
      <c r="E79" s="151"/>
    </row>
    <row r="80" spans="2:12">
      <c r="B80" s="545" t="s">
        <v>615</v>
      </c>
      <c r="C80" s="544">
        <v>2019</v>
      </c>
      <c r="E80" s="151"/>
    </row>
    <row r="81" spans="2:9">
      <c r="B81" s="545" t="s">
        <v>614</v>
      </c>
      <c r="C81" s="544">
        <v>2020</v>
      </c>
      <c r="E81" s="151"/>
      <c r="H81" s="151"/>
      <c r="I81" s="151"/>
    </row>
    <row r="82" spans="2:9" ht="15.75" thickBot="1">
      <c r="B82" s="545" t="s">
        <v>5</v>
      </c>
      <c r="C82" s="544">
        <v>2021</v>
      </c>
      <c r="E82" s="151"/>
      <c r="H82" s="151"/>
      <c r="I82" s="151"/>
    </row>
    <row r="83" spans="2:9">
      <c r="B83" s="545" t="s">
        <v>613</v>
      </c>
      <c r="C83" s="544">
        <v>2022</v>
      </c>
      <c r="D83" s="547"/>
      <c r="E83" s="546" t="s">
        <v>612</v>
      </c>
      <c r="H83" s="151"/>
      <c r="I83" s="151"/>
    </row>
    <row r="84" spans="2:9">
      <c r="B84" s="545" t="s">
        <v>611</v>
      </c>
      <c r="C84" s="544">
        <v>2023</v>
      </c>
      <c r="D84" s="543" t="s">
        <v>610</v>
      </c>
      <c r="E84" s="542" t="str">
        <f ca="1">IFERROR(INDEX(INDIRECT(dms_RPT),dms_CRY_start_row),0)</f>
        <v>2024-25</v>
      </c>
      <c r="H84" s="151"/>
      <c r="I84" s="151"/>
    </row>
    <row r="85" spans="2:9">
      <c r="B85" s="545" t="s">
        <v>609</v>
      </c>
      <c r="C85" s="544">
        <v>2024</v>
      </c>
      <c r="D85" s="543" t="s">
        <v>608</v>
      </c>
      <c r="E85" s="542" t="str">
        <f ca="1">IFERROR(INDEX(INDIRECT(dms_RPT),dms_CRY_start_row+1),0)</f>
        <v>2025-26</v>
      </c>
      <c r="H85" s="151"/>
      <c r="I85" s="151"/>
    </row>
    <row r="86" spans="2:9">
      <c r="B86" s="545" t="s">
        <v>6</v>
      </c>
      <c r="C86" s="544">
        <v>2025</v>
      </c>
      <c r="D86" s="543" t="s">
        <v>607</v>
      </c>
      <c r="E86" s="542" t="str">
        <f ca="1">IFERROR(INDEX(INDIRECT(dms_RPT),dms_CRY_start_row+2),0)</f>
        <v>2026-27</v>
      </c>
      <c r="H86" s="151"/>
      <c r="I86" s="151"/>
    </row>
    <row r="87" spans="2:9">
      <c r="B87" s="545" t="s">
        <v>606</v>
      </c>
      <c r="C87" s="544">
        <v>2026</v>
      </c>
      <c r="D87" s="543" t="s">
        <v>605</v>
      </c>
      <c r="E87" s="542" t="str">
        <f ca="1">IFERROR(INDEX(INDIRECT(dms_RPT),dms_CRY_start_row+3),0)</f>
        <v>2027-28</v>
      </c>
      <c r="H87" s="151"/>
      <c r="I87" s="151"/>
    </row>
    <row r="88" spans="2:9">
      <c r="B88" s="545" t="s">
        <v>604</v>
      </c>
      <c r="C88" s="544">
        <v>2027</v>
      </c>
      <c r="D88" s="543" t="s">
        <v>603</v>
      </c>
      <c r="E88" s="542" t="str">
        <f ca="1">IFERROR(INDEX(INDIRECT(dms_RPT),dms_CRY_start_row+4),0)</f>
        <v>2028-29</v>
      </c>
      <c r="H88" s="151"/>
      <c r="I88" s="151"/>
    </row>
    <row r="89" spans="2:9">
      <c r="B89" s="545" t="s">
        <v>602</v>
      </c>
      <c r="C89" s="544">
        <v>2028</v>
      </c>
      <c r="D89" s="543" t="s">
        <v>601</v>
      </c>
      <c r="E89" s="542" t="str">
        <f ca="1">IFERROR(INDEX(INDIRECT(dms_RPT),dms_CRY_start_row+5),0)</f>
        <v>2029-30</v>
      </c>
      <c r="H89" s="151"/>
      <c r="I89" s="151"/>
    </row>
    <row r="90" spans="2:9">
      <c r="B90" s="545" t="s">
        <v>600</v>
      </c>
      <c r="C90" s="544">
        <v>2029</v>
      </c>
      <c r="D90" s="543" t="s">
        <v>599</v>
      </c>
      <c r="E90" s="542" t="str">
        <f ca="1">IFERROR(INDEX(INDIRECT(dms_RPT),dms_CRY_start_row+6),0)</f>
        <v>2030-31</v>
      </c>
      <c r="H90" s="151"/>
      <c r="I90" s="151"/>
    </row>
    <row r="91" spans="2:9">
      <c r="B91" s="545" t="s">
        <v>598</v>
      </c>
      <c r="C91" s="544">
        <v>2030</v>
      </c>
      <c r="D91" s="543" t="s">
        <v>597</v>
      </c>
      <c r="E91" s="542" t="str">
        <f ca="1">IFERROR(INDEX(INDIRECT(dms_RPT),dms_CRY_start_row+7),0)</f>
        <v>2031-32</v>
      </c>
      <c r="H91" s="151"/>
      <c r="I91" s="151"/>
    </row>
    <row r="92" spans="2:9">
      <c r="B92" s="545" t="s">
        <v>596</v>
      </c>
      <c r="C92" s="544">
        <v>2031</v>
      </c>
      <c r="D92" s="543" t="s">
        <v>595</v>
      </c>
      <c r="E92" s="542" t="str">
        <f ca="1">IFERROR(INDEX(INDIRECT(dms_RPT),dms_CRY_start_row+8),0)</f>
        <v>2032-33</v>
      </c>
      <c r="H92" s="151"/>
      <c r="I92" s="151"/>
    </row>
    <row r="93" spans="2:9">
      <c r="B93" s="545" t="s">
        <v>594</v>
      </c>
      <c r="C93" s="544">
        <v>2032</v>
      </c>
      <c r="D93" s="543" t="s">
        <v>593</v>
      </c>
      <c r="E93" s="542" t="str">
        <f ca="1">IFERROR(INDEX(INDIRECT(dms_RPT),dms_CRY_start_row+9),0)</f>
        <v>2033-34</v>
      </c>
      <c r="H93" s="151"/>
      <c r="I93" s="151"/>
    </row>
    <row r="94" spans="2:9">
      <c r="B94" s="545" t="s">
        <v>592</v>
      </c>
      <c r="C94" s="544">
        <v>2033</v>
      </c>
      <c r="D94" s="543" t="s">
        <v>591</v>
      </c>
      <c r="E94" s="542" t="str">
        <f ca="1">IFERROR(INDEX(INDIRECT(dms_RPT),dms_CRY_start_row+10),0)</f>
        <v>2034-35</v>
      </c>
      <c r="H94" s="151"/>
      <c r="I94" s="151"/>
    </row>
    <row r="95" spans="2:9">
      <c r="B95" s="545" t="s">
        <v>590</v>
      </c>
      <c r="C95" s="544">
        <v>2034</v>
      </c>
      <c r="D95" s="543" t="s">
        <v>589</v>
      </c>
      <c r="E95" s="542" t="str">
        <f ca="1">IFERROR(INDEX(INDIRECT(dms_RPT),dms_CRY_start_row+11),0)</f>
        <v>2035-36</v>
      </c>
      <c r="H95" s="151"/>
      <c r="I95" s="151"/>
    </row>
    <row r="96" spans="2:9">
      <c r="B96" s="545" t="s">
        <v>588</v>
      </c>
      <c r="C96" s="544">
        <v>2035</v>
      </c>
      <c r="D96" s="543" t="s">
        <v>587</v>
      </c>
      <c r="E96" s="542" t="str">
        <f ca="1">IFERROR(INDEX(INDIRECT(dms_RPT),dms_CRY_start_row+12),0)</f>
        <v>2036-37</v>
      </c>
      <c r="H96" s="151"/>
      <c r="I96" s="151"/>
    </row>
    <row r="97" spans="2:21">
      <c r="B97" s="545" t="s">
        <v>586</v>
      </c>
      <c r="C97" s="544">
        <v>2036</v>
      </c>
      <c r="D97" s="543" t="s">
        <v>585</v>
      </c>
      <c r="E97" s="542" t="str">
        <f ca="1">IFERROR(INDEX(INDIRECT(dms_RPT),dms_CRY_start_row+13),0)</f>
        <v>2037-38</v>
      </c>
      <c r="H97" s="151"/>
      <c r="I97" s="151"/>
    </row>
    <row r="98" spans="2:21">
      <c r="B98" s="545" t="s">
        <v>584</v>
      </c>
      <c r="C98" s="544">
        <v>2037</v>
      </c>
      <c r="D98" s="543" t="s">
        <v>583</v>
      </c>
      <c r="E98" s="542" t="str">
        <f ca="1">IFERROR(INDEX(INDIRECT(dms_RPT),dms_CRY_start_row+14),0)</f>
        <v>2038-39</v>
      </c>
      <c r="H98" s="151"/>
      <c r="I98" s="151"/>
    </row>
    <row r="99" spans="2:21">
      <c r="B99" s="545" t="s">
        <v>582</v>
      </c>
      <c r="C99" s="544">
        <v>2038</v>
      </c>
      <c r="D99" s="543" t="s">
        <v>581</v>
      </c>
      <c r="E99" s="542" t="str">
        <f ca="1">IFERROR(INDEX(INDIRECT(dms_RPT),dms_CRY_start_row+15),0)</f>
        <v>2039-40</v>
      </c>
      <c r="H99" s="151"/>
      <c r="I99" s="151"/>
    </row>
    <row r="100" spans="2:21">
      <c r="B100" s="545" t="s">
        <v>580</v>
      </c>
      <c r="C100" s="544">
        <v>2039</v>
      </c>
      <c r="D100" s="543" t="s">
        <v>579</v>
      </c>
      <c r="E100" s="542" t="str">
        <f ca="1">IFERROR(INDEX(INDIRECT(dms_RPT),dms_CRY_start_row+16),0)</f>
        <v>2040-41</v>
      </c>
      <c r="H100" s="151"/>
      <c r="I100" s="151"/>
    </row>
    <row r="101" spans="2:21">
      <c r="B101" s="545" t="s">
        <v>578</v>
      </c>
      <c r="C101" s="544">
        <v>2040</v>
      </c>
      <c r="D101" s="543" t="s">
        <v>577</v>
      </c>
      <c r="E101" s="542" t="str">
        <f ca="1">IFERROR(INDEX(INDIRECT(dms_RPT),dms_CRY_start_row+17),0)</f>
        <v>2041-42</v>
      </c>
      <c r="H101" s="151"/>
      <c r="I101" s="151"/>
    </row>
    <row r="102" spans="2:21">
      <c r="B102" s="545" t="s">
        <v>576</v>
      </c>
      <c r="C102" s="544">
        <v>2041</v>
      </c>
      <c r="D102" s="543" t="s">
        <v>575</v>
      </c>
      <c r="E102" s="542" t="str">
        <f ca="1">IFERROR(INDEX(INDIRECT(dms_RPT),dms_CRY_start_row+18),0)</f>
        <v>2042-43</v>
      </c>
      <c r="H102" s="151"/>
      <c r="I102" s="151"/>
    </row>
    <row r="103" spans="2:21">
      <c r="B103" s="545" t="s">
        <v>574</v>
      </c>
      <c r="C103" s="544">
        <v>2042</v>
      </c>
      <c r="D103" s="543" t="s">
        <v>573</v>
      </c>
      <c r="E103" s="542" t="str">
        <f ca="1">IFERROR(INDEX(INDIRECT(dms_RPT),dms_CRY_start_row+19),0)</f>
        <v>2043-44</v>
      </c>
      <c r="H103" s="151"/>
      <c r="I103" s="151"/>
    </row>
    <row r="104" spans="2:21">
      <c r="B104" s="545" t="s">
        <v>572</v>
      </c>
      <c r="C104" s="544">
        <v>2043</v>
      </c>
      <c r="D104" s="543" t="s">
        <v>571</v>
      </c>
      <c r="E104" s="542" t="str">
        <f ca="1">IFERROR(INDEX(INDIRECT(dms_RPT),dms_CRY_start_row+20),0)</f>
        <v>2044-45</v>
      </c>
      <c r="H104" s="151"/>
      <c r="I104" s="151"/>
    </row>
    <row r="105" spans="2:21">
      <c r="B105" s="545" t="s">
        <v>570</v>
      </c>
      <c r="C105" s="544">
        <v>2044</v>
      </c>
      <c r="D105" s="543" t="s">
        <v>569</v>
      </c>
      <c r="E105" s="542" t="str">
        <f ca="1">IFERROR(INDEX(INDIRECT(dms_RPT),dms_CRY_start_row+21),0)</f>
        <v>2045-46</v>
      </c>
      <c r="H105" s="151"/>
      <c r="I105" s="151"/>
    </row>
    <row r="106" spans="2:21">
      <c r="B106" s="545" t="s">
        <v>568</v>
      </c>
      <c r="C106" s="544">
        <v>2045</v>
      </c>
      <c r="D106" s="543" t="s">
        <v>567</v>
      </c>
      <c r="E106" s="542" t="str">
        <f ca="1">IFERROR(INDEX(INDIRECT(dms_RPT),dms_CRY_start_row+22),0)</f>
        <v>2046-47</v>
      </c>
      <c r="H106" s="151"/>
      <c r="I106" s="151"/>
    </row>
    <row r="107" spans="2:21">
      <c r="B107" s="545" t="s">
        <v>566</v>
      </c>
      <c r="C107" s="544">
        <v>2046</v>
      </c>
      <c r="D107" s="543" t="s">
        <v>565</v>
      </c>
      <c r="E107" s="542" t="str">
        <f ca="1">IFERROR(INDEX(INDIRECT(dms_RPT),dms_CRY_start_row+23),0)</f>
        <v>2047-48</v>
      </c>
      <c r="H107" s="151"/>
      <c r="I107" s="151"/>
    </row>
    <row r="108" spans="2:21">
      <c r="B108" s="538" t="s">
        <v>564</v>
      </c>
      <c r="C108" s="537">
        <v>2047</v>
      </c>
      <c r="D108" s="543" t="s">
        <v>563</v>
      </c>
      <c r="E108" s="542" t="str">
        <f ca="1">IFERROR(INDEX(INDIRECT(dms_RPT),dms_CRY_start_row+24),0)</f>
        <v>2048-49</v>
      </c>
      <c r="H108" s="151"/>
      <c r="I108" s="151"/>
    </row>
    <row r="109" spans="2:21" ht="15.75" thickBot="1">
      <c r="B109" s="538" t="s">
        <v>562</v>
      </c>
      <c r="C109" s="537">
        <v>2048</v>
      </c>
      <c r="D109" s="541" t="s">
        <v>561</v>
      </c>
      <c r="E109" s="540" t="str">
        <f ca="1">IFERROR(INDEX(INDIRECT(dms_RPT),dms_CRY_start_row+25),0)</f>
        <v>2049-50</v>
      </c>
    </row>
    <row r="110" spans="2:21">
      <c r="B110" s="538" t="s">
        <v>560</v>
      </c>
      <c r="C110" s="537" t="s">
        <v>559</v>
      </c>
      <c r="E110" s="539"/>
      <c r="O110" s="151"/>
      <c r="P110" s="151"/>
      <c r="Q110" s="151"/>
      <c r="R110" s="151"/>
      <c r="S110" s="151"/>
      <c r="T110" s="151"/>
      <c r="U110" s="151"/>
    </row>
    <row r="111" spans="2:21">
      <c r="B111" s="538" t="s">
        <v>558</v>
      </c>
      <c r="C111" s="537" t="s">
        <v>557</v>
      </c>
      <c r="H111" s="151"/>
      <c r="I111" s="151"/>
      <c r="J111" s="151"/>
      <c r="K111" s="151"/>
      <c r="L111" s="151"/>
      <c r="O111" s="151"/>
      <c r="P111" s="151"/>
      <c r="Q111" s="151"/>
      <c r="R111" s="151"/>
      <c r="S111" s="151"/>
      <c r="T111" s="151"/>
      <c r="U111" s="151"/>
    </row>
    <row r="112" spans="2:21">
      <c r="B112" s="538"/>
      <c r="C112" s="537"/>
      <c r="H112" s="151"/>
      <c r="I112" s="151"/>
      <c r="J112" s="151"/>
      <c r="K112" s="151"/>
      <c r="L112" s="151"/>
      <c r="O112" s="151"/>
      <c r="P112" s="151"/>
      <c r="Q112" s="151"/>
      <c r="R112" s="151"/>
      <c r="S112" s="151"/>
      <c r="T112" s="151"/>
      <c r="U112" s="151"/>
    </row>
    <row r="113" spans="2:12">
      <c r="B113" s="538"/>
      <c r="C113" s="537"/>
      <c r="H113" s="151"/>
      <c r="I113" s="151"/>
      <c r="J113" s="151"/>
      <c r="K113" s="151"/>
      <c r="L113" s="151"/>
    </row>
    <row r="114" spans="2:12">
      <c r="B114" s="538"/>
      <c r="C114" s="537"/>
    </row>
    <row r="115" spans="2:12">
      <c r="B115" s="538"/>
      <c r="C115" s="537"/>
    </row>
    <row r="116" spans="2:12">
      <c r="B116" s="538"/>
      <c r="C116" s="537"/>
    </row>
    <row r="117" spans="2:12">
      <c r="B117" s="538"/>
      <c r="C117" s="537"/>
    </row>
    <row r="118" spans="2:12" ht="15.75" thickBot="1">
      <c r="B118" s="536"/>
      <c r="C118" s="535"/>
    </row>
  </sheetData>
  <mergeCells count="8">
    <mergeCell ref="AL6:AL8"/>
    <mergeCell ref="BJ16:CE16"/>
    <mergeCell ref="Z5:AK5"/>
    <mergeCell ref="B30:E30"/>
    <mergeCell ref="Z6:AC6"/>
    <mergeCell ref="AK6:AK8"/>
    <mergeCell ref="AE6:AI8"/>
    <mergeCell ref="AJ6:AJ8"/>
  </mergeCells>
  <conditionalFormatting sqref="Z10:AD27">
    <cfRule type="containsText" dxfId="16" priority="5" operator="containsText" text="YES">
      <formula>NOT(ISERROR(SEARCH("YES",Z10)))</formula>
    </cfRule>
  </conditionalFormatting>
  <conditionalFormatting sqref="AE10:AJ27">
    <cfRule type="expression" dxfId="15" priority="2">
      <formula>Z10="YES"</formula>
    </cfRule>
  </conditionalFormatting>
  <conditionalFormatting sqref="AK10:AK27">
    <cfRule type="cellIs" dxfId="14" priority="4" operator="equal">
      <formula>"YES"</formula>
    </cfRule>
  </conditionalFormatting>
  <pageMargins left="0.7" right="0.7" top="0.75" bottom="0.75" header="0.3" footer="0.3"/>
  <pageSetup paperSize="9" orientation="portrait" r:id="rId1"/>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B81F9-2B6F-4897-9B74-BCC712520FE3}">
  <sheetPr codeName="Sheet5">
    <tabColor theme="1"/>
    <pageSetUpPr autoPageBreaks="0"/>
  </sheetPr>
  <dimension ref="A1:CL154"/>
  <sheetViews>
    <sheetView workbookViewId="0"/>
  </sheetViews>
  <sheetFormatPr defaultColWidth="9.140625" defaultRowHeight="15"/>
  <cols>
    <col min="1" max="1" width="36.28515625" style="151" customWidth="1"/>
    <col min="2" max="2" width="44.5703125" style="246" customWidth="1"/>
    <col min="3" max="3" width="24.140625" style="246" customWidth="1"/>
    <col min="4" max="4" width="33.42578125" style="246" customWidth="1"/>
    <col min="5" max="7" width="17.28515625" style="246" customWidth="1"/>
    <col min="8" max="9" width="13.28515625" style="246" customWidth="1"/>
    <col min="10" max="12" width="13.7109375" style="151" customWidth="1"/>
    <col min="13" max="16384" width="9.140625" style="246"/>
  </cols>
  <sheetData>
    <row r="1" spans="1:51" s="151" customFormat="1" ht="51" customHeight="1">
      <c r="B1" s="177" t="s">
        <v>906</v>
      </c>
      <c r="C1" s="178"/>
      <c r="D1" s="178"/>
      <c r="E1" s="178"/>
      <c r="F1" s="178"/>
      <c r="G1" s="178"/>
      <c r="H1" s="178"/>
      <c r="I1" s="178"/>
      <c r="J1" s="178"/>
      <c r="K1" s="178"/>
    </row>
    <row r="2" spans="1:51" s="151" customFormat="1" ht="24.75" customHeight="1"/>
    <row r="3" spans="1:51" ht="20.25">
      <c r="B3" s="675" t="s">
        <v>907</v>
      </c>
      <c r="C3" s="676" t="s">
        <v>908</v>
      </c>
      <c r="D3" s="677" t="s">
        <v>909</v>
      </c>
      <c r="E3" s="678"/>
      <c r="F3" s="678"/>
      <c r="G3" s="678"/>
      <c r="H3" s="678"/>
      <c r="I3" s="678"/>
      <c r="J3" s="678"/>
      <c r="K3" s="678"/>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row>
    <row r="4" spans="1:51" ht="15.75" thickBot="1">
      <c r="B4" s="679"/>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row>
    <row r="5" spans="1:51" s="151" customFormat="1">
      <c r="B5" s="680" t="s">
        <v>910</v>
      </c>
      <c r="C5" s="674"/>
      <c r="D5" s="681"/>
      <c r="E5" s="674"/>
      <c r="F5" s="674"/>
      <c r="G5" s="674"/>
      <c r="H5" s="674"/>
      <c r="I5" s="666"/>
    </row>
    <row r="6" spans="1:51" s="151" customFormat="1">
      <c r="B6" s="682" t="s">
        <v>911</v>
      </c>
      <c r="D6" s="246"/>
      <c r="E6" s="246"/>
      <c r="F6" s="246"/>
      <c r="G6" s="246"/>
      <c r="H6" s="246"/>
      <c r="I6" s="683"/>
    </row>
    <row r="7" spans="1:51" s="151" customFormat="1" ht="15.75" thickBot="1">
      <c r="B7" s="684" t="s">
        <v>912</v>
      </c>
      <c r="C7" s="670"/>
      <c r="D7" s="685"/>
      <c r="E7" s="685"/>
      <c r="F7" s="685"/>
      <c r="G7" s="685"/>
      <c r="H7" s="685"/>
      <c r="I7" s="686"/>
    </row>
    <row r="8" spans="1:51" s="151" customFormat="1" ht="15.75" thickBot="1">
      <c r="B8" s="671"/>
      <c r="C8" s="671"/>
      <c r="D8" s="671"/>
      <c r="E8" s="671"/>
      <c r="F8" s="671"/>
      <c r="G8" s="671"/>
      <c r="H8" s="671"/>
      <c r="I8" s="671"/>
    </row>
    <row r="9" spans="1:51" s="151" customFormat="1">
      <c r="A9" s="687"/>
      <c r="B9" s="688" t="s">
        <v>913</v>
      </c>
      <c r="C9" s="689" t="str">
        <f>INDEX(dms_TradingNameFull_List,MATCH(dms_TradingName,dms_TradingName_List))</f>
        <v>Australian Distribution Co.</v>
      </c>
      <c r="D9" s="690"/>
      <c r="E9" s="691" t="s">
        <v>914</v>
      </c>
      <c r="F9" s="692"/>
      <c r="G9" s="692"/>
      <c r="H9" s="692"/>
      <c r="I9" s="693"/>
    </row>
    <row r="10" spans="1:51" s="151" customFormat="1">
      <c r="B10" s="688" t="s">
        <v>915</v>
      </c>
      <c r="C10" s="689" t="str">
        <f>dms_TradingName</f>
        <v>Australian Distribution Co.</v>
      </c>
      <c r="D10" s="690"/>
      <c r="E10" s="691"/>
      <c r="F10" s="692"/>
      <c r="G10" s="692"/>
      <c r="H10" s="692"/>
      <c r="I10" s="693"/>
    </row>
    <row r="11" spans="1:51" s="151" customFormat="1">
      <c r="B11" s="688" t="s">
        <v>916</v>
      </c>
      <c r="C11" s="689" t="str">
        <f>INDEX(dms_UID_List,MATCH(dms_TradingName,dms_TradingName_List))</f>
        <v>UID_123</v>
      </c>
      <c r="D11" s="690"/>
      <c r="E11" s="691"/>
      <c r="F11" s="692"/>
      <c r="G11" s="692"/>
      <c r="H11" s="692"/>
      <c r="I11" s="693"/>
    </row>
    <row r="12" spans="1:51" s="151" customFormat="1">
      <c r="A12" s="694" t="s">
        <v>917</v>
      </c>
      <c r="B12" s="695" t="s">
        <v>918</v>
      </c>
      <c r="C12" s="696" t="s">
        <v>758</v>
      </c>
      <c r="D12" s="697" t="s">
        <v>919</v>
      </c>
      <c r="E12" s="698"/>
      <c r="F12" s="699"/>
      <c r="G12" s="699"/>
      <c r="H12" s="699"/>
      <c r="I12" s="700"/>
    </row>
    <row r="13" spans="1:51" s="151" customFormat="1">
      <c r="A13" s="1280" t="s">
        <v>920</v>
      </c>
      <c r="B13" s="688" t="s">
        <v>15</v>
      </c>
      <c r="C13" s="701" t="s">
        <v>281</v>
      </c>
      <c r="D13" s="691" t="s">
        <v>921</v>
      </c>
      <c r="E13" s="702" t="str">
        <f>IF(dms_Model="Reset", "Make sure you have set Reg Proposal as source","")</f>
        <v>Make sure you have set Reg Proposal as source</v>
      </c>
      <c r="F13" s="692"/>
      <c r="G13" s="692"/>
      <c r="H13" s="692"/>
      <c r="I13" s="693"/>
    </row>
    <row r="14" spans="1:51" s="151" customFormat="1">
      <c r="A14" s="1281"/>
      <c r="B14" s="688" t="s">
        <v>922</v>
      </c>
      <c r="C14" s="689" t="s">
        <v>2</v>
      </c>
      <c r="D14" s="691" t="s">
        <v>923</v>
      </c>
      <c r="E14" s="1283"/>
      <c r="F14" s="1283"/>
      <c r="G14" s="1283"/>
      <c r="H14" s="1283"/>
      <c r="I14" s="1284"/>
    </row>
    <row r="15" spans="1:51" s="151" customFormat="1">
      <c r="A15" s="1281"/>
      <c r="B15" s="688" t="s">
        <v>924</v>
      </c>
      <c r="C15" s="689" t="s">
        <v>3</v>
      </c>
      <c r="D15" s="691" t="s">
        <v>925</v>
      </c>
      <c r="E15" s="703"/>
      <c r="F15" s="703"/>
      <c r="G15" s="703"/>
      <c r="H15" s="703"/>
      <c r="I15" s="704"/>
    </row>
    <row r="16" spans="1:51" s="151" customFormat="1" ht="39" customHeight="1">
      <c r="A16" s="1281"/>
      <c r="B16" s="705" t="s">
        <v>926</v>
      </c>
      <c r="C16" s="1285" t="str">
        <f>dms_Amendment_Text</f>
        <v>.</v>
      </c>
      <c r="D16" s="1285"/>
      <c r="E16" s="1285"/>
      <c r="F16" s="706" t="s">
        <v>927</v>
      </c>
      <c r="G16" s="703"/>
      <c r="H16" s="703"/>
      <c r="I16" s="704"/>
    </row>
    <row r="17" spans="1:11" s="151" customFormat="1" ht="15" customHeight="1" thickBot="1">
      <c r="A17" s="1282"/>
      <c r="B17" s="707" t="s">
        <v>928</v>
      </c>
      <c r="C17" s="708" t="str">
        <f>dms_Typed_Submission_Date</f>
        <v>dd/mm/yy</v>
      </c>
      <c r="D17" s="709" t="s">
        <v>929</v>
      </c>
      <c r="E17" s="710"/>
      <c r="F17" s="711"/>
      <c r="G17" s="711"/>
      <c r="H17" s="711"/>
      <c r="I17" s="712"/>
    </row>
    <row r="18" spans="1:11" s="151" customFormat="1" ht="15" customHeight="1" thickBot="1">
      <c r="B18" s="246"/>
      <c r="C18" s="246"/>
      <c r="D18" s="246"/>
      <c r="E18" s="246"/>
      <c r="F18" s="246"/>
      <c r="G18" s="246"/>
      <c r="H18" s="246"/>
      <c r="I18" s="246"/>
    </row>
    <row r="19" spans="1:11" s="151" customFormat="1" ht="15.75" thickBot="1">
      <c r="A19" s="694" t="s">
        <v>930</v>
      </c>
      <c r="B19" s="713" t="s">
        <v>931</v>
      </c>
      <c r="C19" s="714" t="s">
        <v>932</v>
      </c>
      <c r="D19" s="715"/>
      <c r="E19" s="715"/>
      <c r="F19" s="715"/>
      <c r="G19" s="715"/>
      <c r="H19" s="715"/>
      <c r="I19" s="716"/>
      <c r="J19" s="670"/>
      <c r="K19" s="670"/>
    </row>
    <row r="20" spans="1:11" s="151" customFormat="1">
      <c r="A20" s="1286" t="s">
        <v>933</v>
      </c>
      <c r="B20" s="717" t="s">
        <v>934</v>
      </c>
      <c r="C20" s="718" t="s">
        <v>2</v>
      </c>
      <c r="D20" s="719" t="s">
        <v>935</v>
      </c>
      <c r="E20" s="720" t="s">
        <v>936</v>
      </c>
      <c r="F20" s="721"/>
      <c r="G20" s="721"/>
      <c r="H20" s="721"/>
      <c r="I20" s="721"/>
      <c r="J20" s="722"/>
      <c r="K20" s="723"/>
    </row>
    <row r="21" spans="1:11" s="576" customFormat="1">
      <c r="A21" s="1287"/>
      <c r="B21" s="724" t="s">
        <v>154</v>
      </c>
      <c r="C21" s="725" t="str">
        <f>INDEX(dms_Sector_List,MATCH(dms_TradingName,dms_TradingName_List))</f>
        <v>Electricity</v>
      </c>
      <c r="D21" s="726" t="s">
        <v>937</v>
      </c>
      <c r="E21" s="727" t="s">
        <v>938</v>
      </c>
      <c r="F21" s="728"/>
      <c r="G21" s="728"/>
      <c r="H21" s="728"/>
      <c r="I21" s="728"/>
      <c r="J21" s="729"/>
      <c r="K21" s="730"/>
    </row>
    <row r="22" spans="1:11" s="151" customFormat="1">
      <c r="A22" s="1287"/>
      <c r="B22" s="724" t="s">
        <v>155</v>
      </c>
      <c r="C22" s="731" t="str">
        <f>INDEX(dms_Segment_List,MATCH(dms_TradingName,dms_TradingName_List))</f>
        <v>Distribution</v>
      </c>
      <c r="D22" s="726" t="s">
        <v>939</v>
      </c>
      <c r="E22" s="727" t="s">
        <v>940</v>
      </c>
      <c r="F22" s="728"/>
      <c r="G22" s="728"/>
      <c r="H22" s="728"/>
      <c r="I22" s="728"/>
      <c r="J22" s="729"/>
      <c r="K22" s="730"/>
    </row>
    <row r="23" spans="1:11" s="151" customFormat="1">
      <c r="A23" s="1287"/>
      <c r="B23" s="724" t="s">
        <v>941</v>
      </c>
      <c r="C23" s="725" t="str">
        <f ca="1">IF(dms_MultiYear_Flag=1,LEFT(dms_Specified_FinalYear,2)&amp;RIGHT(dms_Specified_FinalYear,2),dms_RYE_result)</f>
        <v>2025</v>
      </c>
      <c r="D23" s="726" t="s">
        <v>942</v>
      </c>
      <c r="E23" s="727" t="s">
        <v>943</v>
      </c>
      <c r="F23" s="728"/>
      <c r="G23" s="728"/>
      <c r="H23" s="728"/>
      <c r="I23" s="728"/>
      <c r="J23" s="729"/>
      <c r="K23" s="730"/>
    </row>
    <row r="24" spans="1:11" s="151" customFormat="1">
      <c r="A24" s="1287"/>
      <c r="B24" s="724" t="s">
        <v>944</v>
      </c>
      <c r="C24" s="731" t="str">
        <f>INDEX(dms_RPT_List,MATCH(dms_TradingName,dms_TradingName_List))</f>
        <v>Financial</v>
      </c>
      <c r="D24" s="726" t="s">
        <v>945</v>
      </c>
      <c r="E24" s="727" t="s">
        <v>946</v>
      </c>
      <c r="F24" s="728"/>
      <c r="G24" s="728"/>
      <c r="H24" s="728"/>
      <c r="I24" s="728"/>
      <c r="J24" s="729"/>
      <c r="K24" s="730"/>
    </row>
    <row r="25" spans="1:11" ht="18">
      <c r="A25" s="1287"/>
      <c r="B25" s="724" t="s">
        <v>947</v>
      </c>
      <c r="C25" s="732" t="s">
        <v>425</v>
      </c>
      <c r="D25" s="726" t="s">
        <v>948</v>
      </c>
      <c r="E25" s="733" t="str">
        <f>IF(dms_SingleYearModel="yes","This is set to an historical template (EB, CA or ARR), apply UOM Named Range to cell !","This is not an historical template, make sure UOM Named Range is not applied")</f>
        <v>This is not an historical template, make sure UOM Named Range is not applied</v>
      </c>
      <c r="F25" s="734"/>
      <c r="G25" s="734"/>
      <c r="H25" s="734"/>
      <c r="I25" s="734"/>
      <c r="J25" s="735" t="str" cm="1">
        <f t="array" ref="J25">IFERROR(dms_dollar_nom_UOM, "NR not applied")</f>
        <v>NR not applied</v>
      </c>
      <c r="K25" s="736"/>
    </row>
    <row r="26" spans="1:11" s="151" customFormat="1">
      <c r="A26" s="1287"/>
      <c r="B26" s="724" t="s">
        <v>949</v>
      </c>
      <c r="C26" s="731" t="s">
        <v>3</v>
      </c>
      <c r="D26" s="737" t="s">
        <v>950</v>
      </c>
      <c r="E26" s="738" t="s">
        <v>951</v>
      </c>
      <c r="F26" s="728"/>
      <c r="G26" s="728"/>
      <c r="H26" s="728"/>
      <c r="I26" s="728"/>
      <c r="J26" s="729"/>
      <c r="K26" s="730"/>
    </row>
    <row r="27" spans="1:11" s="151" customFormat="1" ht="15.75" customHeight="1" thickBot="1">
      <c r="A27" s="1288"/>
      <c r="B27" s="739" t="s">
        <v>952</v>
      </c>
      <c r="C27" s="740" t="str">
        <f>INDEX(dms_JurisdictionList,MATCH(dms_TradingName,dms_TradingName_List))</f>
        <v>NSW</v>
      </c>
      <c r="D27" s="741" t="s">
        <v>953</v>
      </c>
      <c r="E27" s="742" t="s">
        <v>954</v>
      </c>
      <c r="F27" s="743"/>
      <c r="G27" s="743"/>
      <c r="H27" s="743"/>
      <c r="I27" s="743"/>
      <c r="J27" s="744"/>
      <c r="K27" s="745"/>
    </row>
    <row r="28" spans="1:11" s="151" customFormat="1" ht="22.5" customHeight="1" thickBot="1">
      <c r="A28" s="1289" t="s">
        <v>955</v>
      </c>
      <c r="B28" s="746" t="s">
        <v>956</v>
      </c>
      <c r="C28" s="747"/>
      <c r="D28" s="747"/>
      <c r="E28" s="748"/>
      <c r="F28" s="749"/>
      <c r="G28" s="749"/>
      <c r="H28" s="749"/>
      <c r="I28" s="749"/>
      <c r="J28" s="749"/>
      <c r="K28" s="750"/>
    </row>
    <row r="29" spans="1:11" s="81" customFormat="1" ht="22.5" customHeight="1">
      <c r="A29" s="1290"/>
      <c r="B29" s="751" t="s">
        <v>957</v>
      </c>
      <c r="C29" s="752" t="str">
        <f>IFERROR(CRY,"NO")</f>
        <v>2024-25</v>
      </c>
      <c r="D29" s="753"/>
      <c r="E29" s="754"/>
      <c r="F29" s="754"/>
      <c r="G29" s="754"/>
      <c r="H29" s="754"/>
      <c r="I29" s="754"/>
      <c r="J29" s="754"/>
      <c r="K29" s="755"/>
    </row>
    <row r="30" spans="1:11" s="151" customFormat="1">
      <c r="A30" s="1290"/>
      <c r="B30" s="756" t="s">
        <v>958</v>
      </c>
      <c r="C30" s="732" t="str">
        <f>IFERROR(IF(dms_RPT="calendar",CRY-1,LEFT(CRY,4)),"CRY not present")</f>
        <v>2024</v>
      </c>
      <c r="D30" s="757" t="s">
        <v>959</v>
      </c>
      <c r="E30" s="758" t="s">
        <v>960</v>
      </c>
      <c r="F30" s="757"/>
      <c r="G30" s="757"/>
      <c r="H30" s="757"/>
      <c r="I30" s="757"/>
      <c r="J30" s="759"/>
      <c r="K30" s="760"/>
    </row>
    <row r="31" spans="1:11" s="151" customFormat="1">
      <c r="A31" s="1290"/>
      <c r="B31" s="761" t="s">
        <v>961</v>
      </c>
      <c r="C31" s="731" t="str">
        <f>INDEX(dms_RPTMonth_List,MATCH(dms_TradingName,dms_TradingName_List))</f>
        <v>June</v>
      </c>
      <c r="D31" s="737" t="s">
        <v>962</v>
      </c>
      <c r="E31" s="726" t="s">
        <v>963</v>
      </c>
      <c r="F31" s="737"/>
      <c r="G31" s="737"/>
      <c r="H31" s="737"/>
      <c r="I31" s="737"/>
      <c r="J31" s="762"/>
      <c r="K31" s="763"/>
    </row>
    <row r="32" spans="1:11" s="151" customFormat="1" ht="14.25" customHeight="1">
      <c r="A32" s="1290"/>
      <c r="B32" s="761" t="s">
        <v>964</v>
      </c>
      <c r="C32" s="764" t="str">
        <f ca="1">IF(dms_Model="RFM",dms_DollarReal_Prev, IF(dms_SingleYearModel="yes",CONCATENATE(dms_RPTMonth)&amp;" "&amp;VALUE((LEFT(dms_CRY_start_year,2)&amp;RIGHT(dms_CRY_start_year,2))),CONCATENATE(dms_RPTMonth)&amp;" "&amp;dms_DollarReal_year))</f>
        <v>June 2020</v>
      </c>
      <c r="D32" s="726" t="s">
        <v>965</v>
      </c>
      <c r="E32" s="726" t="s">
        <v>966</v>
      </c>
      <c r="F32" s="737"/>
      <c r="G32" s="737"/>
      <c r="H32" s="737"/>
      <c r="I32" s="737"/>
      <c r="J32" s="762"/>
      <c r="K32" s="763"/>
    </row>
    <row r="33" spans="1:90" s="151" customFormat="1" ht="24" customHeight="1" thickBot="1">
      <c r="A33" s="1291"/>
      <c r="B33" s="765" t="s">
        <v>967</v>
      </c>
      <c r="C33" s="766" t="str">
        <f ca="1">CONCATENATE(dms_RPTMonth)&amp;" "&amp;dms_Previous_DollarReal_year</f>
        <v>June 2015</v>
      </c>
      <c r="D33" s="741" t="s">
        <v>968</v>
      </c>
      <c r="E33" s="741" t="s">
        <v>969</v>
      </c>
      <c r="F33" s="767"/>
      <c r="G33" s="767"/>
      <c r="H33" s="767"/>
      <c r="I33" s="767"/>
      <c r="J33" s="768"/>
      <c r="K33" s="769"/>
    </row>
    <row r="34" spans="1:90" s="151" customFormat="1" ht="24" customHeight="1" thickBot="1">
      <c r="B34" s="770" t="s">
        <v>970</v>
      </c>
      <c r="C34" s="771"/>
      <c r="D34" s="771"/>
      <c r="E34" s="771"/>
      <c r="F34" s="772"/>
      <c r="G34" s="772"/>
      <c r="H34" s="772"/>
      <c r="I34" s="772"/>
      <c r="J34" s="772"/>
      <c r="K34" s="773"/>
      <c r="AL34" s="1234"/>
      <c r="AM34" s="1234"/>
      <c r="AN34" s="1234"/>
      <c r="AO34" s="1234"/>
      <c r="AP34" s="1234"/>
      <c r="AQ34" s="1234"/>
      <c r="AR34" s="1234"/>
      <c r="AS34" s="1234"/>
      <c r="AT34" s="1234"/>
      <c r="AU34" s="1234"/>
      <c r="AV34" s="1234"/>
      <c r="AW34" s="1234"/>
      <c r="AX34" s="1234"/>
      <c r="AY34" s="1234"/>
      <c r="AZ34" s="1234"/>
      <c r="BA34" s="1234"/>
      <c r="BB34" s="1234"/>
      <c r="BC34" s="1234"/>
      <c r="BD34" s="1234"/>
      <c r="BE34" s="1234"/>
      <c r="BF34" s="1234"/>
      <c r="BG34" s="1234"/>
      <c r="BQ34" s="1234"/>
      <c r="BR34" s="1234"/>
      <c r="BS34" s="1234"/>
      <c r="BT34" s="1234"/>
      <c r="BU34" s="1234"/>
      <c r="BV34" s="1234"/>
      <c r="BW34" s="1234"/>
      <c r="BX34" s="1234"/>
      <c r="BY34" s="1234"/>
      <c r="BZ34" s="1234"/>
      <c r="CA34" s="1234"/>
      <c r="CB34" s="1234"/>
      <c r="CC34" s="1234"/>
      <c r="CD34" s="1234"/>
      <c r="CE34" s="1234"/>
      <c r="CF34" s="1234"/>
      <c r="CG34" s="1234"/>
      <c r="CH34" s="1234"/>
      <c r="CI34" s="1234"/>
      <c r="CJ34" s="1234"/>
      <c r="CK34" s="1234"/>
      <c r="CL34" s="1234"/>
    </row>
    <row r="35" spans="1:90" s="81" customFormat="1" ht="30.75" customHeight="1" thickBot="1">
      <c r="B35" s="774" t="s">
        <v>971</v>
      </c>
      <c r="C35" s="775" t="str">
        <f>INDEX(dms_FormControl_List,MATCH(dms_TradingName,dms_TradingName_List))</f>
        <v>Revenue cap</v>
      </c>
      <c r="D35" s="758" t="s">
        <v>972</v>
      </c>
      <c r="E35" s="776" t="s">
        <v>973</v>
      </c>
      <c r="F35" s="777"/>
      <c r="G35" s="777"/>
      <c r="H35" s="777"/>
      <c r="I35" s="777"/>
      <c r="J35" s="778"/>
      <c r="K35" s="779"/>
      <c r="AL35" s="1234"/>
      <c r="AM35" s="1234"/>
      <c r="AN35" s="1234"/>
      <c r="AO35" s="1234"/>
      <c r="AP35" s="1234"/>
      <c r="AQ35" s="1234"/>
      <c r="AR35" s="1234"/>
      <c r="AS35" s="1234"/>
      <c r="AT35" s="1234"/>
      <c r="AU35" s="1234"/>
      <c r="AV35" s="1234"/>
      <c r="AW35" s="1234"/>
      <c r="AX35" s="1234"/>
      <c r="AY35" s="1234"/>
      <c r="AZ35" s="1234"/>
      <c r="BA35" s="1234"/>
      <c r="BB35" s="1234"/>
      <c r="BC35" s="1234"/>
      <c r="BD35" s="1234"/>
      <c r="BE35" s="1234"/>
      <c r="BF35" s="1234"/>
      <c r="BG35" s="1234"/>
      <c r="BQ35" s="1234"/>
      <c r="BR35" s="1234"/>
      <c r="BS35" s="1234"/>
      <c r="BT35" s="1234"/>
      <c r="BU35" s="1234"/>
      <c r="BV35" s="1234"/>
      <c r="BW35" s="1234"/>
      <c r="BX35" s="1234"/>
      <c r="BY35" s="1234"/>
      <c r="BZ35" s="1234"/>
      <c r="CA35" s="1234"/>
      <c r="CB35" s="1234"/>
      <c r="CC35" s="1234"/>
      <c r="CD35" s="1234"/>
      <c r="CE35" s="1234"/>
      <c r="CF35" s="1234"/>
      <c r="CG35" s="1234"/>
      <c r="CH35" s="1234"/>
      <c r="CI35" s="1234"/>
      <c r="CJ35" s="1234"/>
      <c r="CK35" s="1234"/>
      <c r="CL35" s="1234"/>
    </row>
    <row r="36" spans="1:90" s="151" customFormat="1" ht="24" customHeight="1" thickBot="1">
      <c r="A36" s="1278" t="s">
        <v>974</v>
      </c>
      <c r="B36" s="780" t="s">
        <v>975</v>
      </c>
      <c r="C36" s="781"/>
      <c r="D36" s="748"/>
      <c r="E36" s="748"/>
      <c r="F36" s="749"/>
      <c r="G36" s="749"/>
      <c r="H36" s="749"/>
      <c r="I36" s="749"/>
      <c r="J36" s="749"/>
      <c r="K36" s="750"/>
      <c r="AL36" s="1234"/>
      <c r="AM36" s="1234"/>
      <c r="AN36" s="1234"/>
      <c r="AO36" s="1234"/>
      <c r="AP36" s="1234"/>
      <c r="AQ36" s="1234"/>
      <c r="AR36" s="1234"/>
      <c r="AS36" s="1234"/>
      <c r="AT36" s="1234"/>
      <c r="AU36" s="1234"/>
      <c r="AV36" s="1234"/>
      <c r="AW36" s="1234"/>
      <c r="AX36" s="1234"/>
      <c r="AY36" s="1234"/>
      <c r="AZ36" s="1234"/>
      <c r="BA36" s="1234"/>
      <c r="BB36" s="1234"/>
      <c r="BC36" s="1234"/>
      <c r="BD36" s="1234"/>
      <c r="BE36" s="1234"/>
      <c r="BF36" s="1234"/>
      <c r="BG36" s="1234"/>
      <c r="BQ36" s="1234"/>
      <c r="BR36" s="1234"/>
      <c r="BS36" s="1234"/>
      <c r="BT36" s="1234"/>
      <c r="BU36" s="1234"/>
      <c r="BV36" s="1234"/>
      <c r="BW36" s="1234"/>
      <c r="BX36" s="1234"/>
      <c r="BY36" s="1234"/>
      <c r="BZ36" s="1234"/>
      <c r="CA36" s="1234"/>
      <c r="CB36" s="1234"/>
      <c r="CC36" s="1234"/>
      <c r="CD36" s="1234"/>
      <c r="CE36" s="1234"/>
      <c r="CF36" s="1234"/>
      <c r="CG36" s="1234"/>
      <c r="CH36" s="1234"/>
      <c r="CI36" s="1234"/>
      <c r="CJ36" s="1234"/>
      <c r="CK36" s="1234"/>
      <c r="CL36" s="1234"/>
    </row>
    <row r="37" spans="1:90" s="151" customFormat="1">
      <c r="A37" s="1279"/>
      <c r="B37" s="782" t="s">
        <v>976</v>
      </c>
      <c r="C37" s="783" t="str">
        <f>FRCP_y1</f>
        <v>2020-21</v>
      </c>
      <c r="D37" s="784" t="s">
        <v>977</v>
      </c>
      <c r="E37" s="785" t="s">
        <v>978</v>
      </c>
      <c r="F37" s="786"/>
      <c r="G37" s="786"/>
      <c r="H37" s="786"/>
      <c r="I37" s="786"/>
      <c r="J37" s="786"/>
      <c r="K37" s="787"/>
    </row>
    <row r="38" spans="1:90" s="151" customFormat="1">
      <c r="A38" s="1279"/>
      <c r="B38" s="788" t="s">
        <v>979</v>
      </c>
      <c r="C38" s="789" t="str">
        <f>IFERROR(CRY,CRCP_y4)</f>
        <v>2024-25</v>
      </c>
      <c r="D38" s="790" t="s">
        <v>980</v>
      </c>
      <c r="E38" s="791"/>
      <c r="F38" s="792"/>
      <c r="G38" s="792"/>
      <c r="H38" s="792"/>
      <c r="I38" s="792"/>
      <c r="J38" s="792"/>
      <c r="K38" s="793"/>
    </row>
    <row r="39" spans="1:90" s="151" customFormat="1">
      <c r="A39" s="1279"/>
      <c r="B39" s="788" t="s">
        <v>981</v>
      </c>
      <c r="C39" s="789">
        <f ca="1">IFERROR(MATCH(dms_CRY_start_year,INDIRECT(dms_RPT),0),0)</f>
        <v>38</v>
      </c>
      <c r="D39" s="790" t="s">
        <v>982</v>
      </c>
      <c r="E39" s="791"/>
      <c r="F39" s="792"/>
      <c r="G39" s="792"/>
      <c r="H39" s="792"/>
      <c r="I39" s="792"/>
      <c r="J39" s="792"/>
      <c r="K39" s="793"/>
    </row>
    <row r="40" spans="1:90" s="151" customFormat="1">
      <c r="A40" s="1279"/>
      <c r="B40" s="794" t="s">
        <v>983</v>
      </c>
      <c r="C40" s="795">
        <f ca="1">MATCH(dms_start_year,INDIRECT(dms_RPT),0)</f>
        <v>34</v>
      </c>
      <c r="D40" s="796" t="s">
        <v>984</v>
      </c>
      <c r="E40" s="797" t="s">
        <v>985</v>
      </c>
      <c r="F40" s="798"/>
      <c r="G40" s="798"/>
      <c r="H40" s="798"/>
      <c r="I40" s="798"/>
      <c r="J40" s="798"/>
      <c r="K40" s="799"/>
    </row>
    <row r="41" spans="1:90" s="151" customFormat="1">
      <c r="A41" s="1279"/>
      <c r="B41" s="800" t="s">
        <v>986</v>
      </c>
      <c r="C41" s="801">
        <f ca="1">dms_FRCP_start_row-dms_CRCPlength_Num</f>
        <v>29</v>
      </c>
      <c r="D41" s="802" t="s">
        <v>987</v>
      </c>
      <c r="E41" s="803" t="s">
        <v>988</v>
      </c>
      <c r="F41" s="804"/>
      <c r="G41" s="804"/>
      <c r="H41" s="804"/>
      <c r="I41" s="804"/>
      <c r="J41" s="804"/>
      <c r="K41" s="805"/>
    </row>
    <row r="42" spans="1:90" s="151" customFormat="1">
      <c r="A42" s="1279"/>
      <c r="B42" s="800" t="s">
        <v>989</v>
      </c>
      <c r="C42" s="801">
        <f ca="1">dms_FRCP_start_row-dms_CRCPlength_Num-dms_PRCPlength_Num</f>
        <v>24</v>
      </c>
      <c r="D42" s="802" t="s">
        <v>990</v>
      </c>
      <c r="E42" s="803" t="s">
        <v>991</v>
      </c>
      <c r="F42" s="804"/>
      <c r="G42" s="804"/>
      <c r="H42" s="804"/>
      <c r="I42" s="804"/>
      <c r="J42" s="804"/>
      <c r="K42" s="805"/>
    </row>
    <row r="43" spans="1:90" s="151" customFormat="1">
      <c r="A43" s="1279"/>
      <c r="B43" s="806" t="s">
        <v>992</v>
      </c>
      <c r="C43" s="807">
        <f ca="1">dms_FRCP_start_row+(dms_FRCPlength_Num-1)</f>
        <v>38</v>
      </c>
      <c r="D43" s="808" t="s">
        <v>993</v>
      </c>
      <c r="E43" s="809" t="s">
        <v>994</v>
      </c>
      <c r="F43" s="810"/>
      <c r="G43" s="810"/>
      <c r="H43" s="810"/>
      <c r="I43" s="810"/>
      <c r="J43" s="810"/>
      <c r="K43" s="811"/>
    </row>
    <row r="44" spans="1:90" s="151" customFormat="1">
      <c r="A44" s="1279"/>
      <c r="B44" s="794" t="s">
        <v>995</v>
      </c>
      <c r="C44" s="812" t="str">
        <f ca="1">INDEX(INDIRECT(dms_RPT),dms_FRCP_start_row)</f>
        <v>2020-21</v>
      </c>
      <c r="D44" s="796" t="s">
        <v>996</v>
      </c>
      <c r="E44" s="797" t="s">
        <v>997</v>
      </c>
      <c r="F44" s="798"/>
      <c r="G44" s="798"/>
      <c r="H44" s="798"/>
      <c r="I44" s="798"/>
      <c r="J44" s="798"/>
      <c r="K44" s="799"/>
    </row>
    <row r="45" spans="1:90" s="151" customFormat="1">
      <c r="A45" s="1279"/>
      <c r="B45" s="800" t="s">
        <v>998</v>
      </c>
      <c r="C45" s="801" t="str">
        <f ca="1">INDEX(INDIRECT(dms_RPT),dms_CRCP_start_row)</f>
        <v>2015-16</v>
      </c>
      <c r="D45" s="802" t="s">
        <v>999</v>
      </c>
      <c r="E45" s="803" t="s">
        <v>1000</v>
      </c>
      <c r="F45" s="804"/>
      <c r="G45" s="804"/>
      <c r="H45" s="804"/>
      <c r="I45" s="804"/>
      <c r="J45" s="804"/>
      <c r="K45" s="805"/>
    </row>
    <row r="46" spans="1:90" s="151" customFormat="1">
      <c r="A46" s="1279"/>
      <c r="B46" s="813" t="s">
        <v>1001</v>
      </c>
      <c r="C46" s="814" t="str">
        <f ca="1">INDEX(INDIRECT(dms_RPT),dms_PRCP_start_row)</f>
        <v>2010-11</v>
      </c>
      <c r="D46" s="815" t="s">
        <v>1002</v>
      </c>
      <c r="E46" s="809" t="s">
        <v>1003</v>
      </c>
      <c r="F46" s="810"/>
      <c r="G46" s="810"/>
      <c r="H46" s="810"/>
      <c r="I46" s="810"/>
      <c r="J46" s="810"/>
      <c r="K46" s="811"/>
    </row>
    <row r="47" spans="1:90" s="151" customFormat="1">
      <c r="A47" s="1279"/>
      <c r="B47" s="794" t="s">
        <v>1004</v>
      </c>
      <c r="C47" s="812" t="str">
        <f ca="1">INDEX(INDIRECT(dms_RPT),dms_FRCP_start_row+dms_FRCPlength_Num-1)</f>
        <v>2024-25</v>
      </c>
      <c r="D47" s="796" t="s">
        <v>1005</v>
      </c>
      <c r="E47" s="803" t="s">
        <v>1006</v>
      </c>
      <c r="F47" s="804"/>
      <c r="G47" s="804"/>
      <c r="H47" s="804"/>
      <c r="I47" s="804"/>
      <c r="J47" s="804"/>
      <c r="K47" s="805"/>
    </row>
    <row r="48" spans="1:90" s="151" customFormat="1">
      <c r="A48" s="1279"/>
      <c r="B48" s="800" t="s">
        <v>1007</v>
      </c>
      <c r="C48" s="801" t="str">
        <f ca="1">INDEX(INDIRECT(dms_RPT),dms_CRCP_start_row+dms_CRCPlength_Num-1)</f>
        <v>2019-20</v>
      </c>
      <c r="D48" s="802" t="s">
        <v>1008</v>
      </c>
      <c r="E48" s="803" t="s">
        <v>1009</v>
      </c>
      <c r="F48" s="804"/>
      <c r="G48" s="804"/>
      <c r="H48" s="804"/>
      <c r="I48" s="804"/>
      <c r="J48" s="804"/>
      <c r="K48" s="805"/>
    </row>
    <row r="49" spans="1:11" s="151" customFormat="1">
      <c r="A49" s="1279"/>
      <c r="B49" s="813" t="s">
        <v>1010</v>
      </c>
      <c r="C49" s="814" t="str">
        <f ca="1">INDEX(INDIRECT(dms_RPT),dms_PRCP_start_row+dms_FRCPlength_Num-1)</f>
        <v>2014-15</v>
      </c>
      <c r="D49" s="815" t="s">
        <v>1011</v>
      </c>
      <c r="E49" s="809" t="s">
        <v>1012</v>
      </c>
      <c r="F49" s="810"/>
      <c r="G49" s="810"/>
      <c r="H49" s="810"/>
      <c r="I49" s="810"/>
      <c r="J49" s="810"/>
      <c r="K49" s="811"/>
    </row>
    <row r="50" spans="1:11" s="151" customFormat="1">
      <c r="A50" s="1279"/>
      <c r="B50" s="794" t="s">
        <v>1013</v>
      </c>
      <c r="C50" s="812" t="str">
        <f ca="1">INDEX(INDIRECT(dms_RPT),dms_RYE_start_row)</f>
        <v>2024-25</v>
      </c>
      <c r="D50" s="796" t="s">
        <v>1014</v>
      </c>
      <c r="E50" s="803" t="s">
        <v>1015</v>
      </c>
      <c r="F50" s="804"/>
      <c r="G50" s="804"/>
      <c r="H50" s="804"/>
      <c r="I50" s="804"/>
      <c r="J50" s="804"/>
      <c r="K50" s="805"/>
    </row>
    <row r="51" spans="1:11" s="151" customFormat="1">
      <c r="A51" s="1279"/>
      <c r="B51" s="813" t="s">
        <v>1016</v>
      </c>
      <c r="C51" s="816" t="str">
        <f>FRY</f>
        <v>2024-25</v>
      </c>
      <c r="D51" s="815" t="s">
        <v>1017</v>
      </c>
      <c r="E51" s="809" t="s">
        <v>1018</v>
      </c>
      <c r="F51" s="810"/>
      <c r="G51" s="810"/>
      <c r="H51" s="810"/>
      <c r="I51" s="810"/>
      <c r="J51" s="810"/>
      <c r="K51" s="811"/>
    </row>
    <row r="52" spans="1:11" s="151" customFormat="1">
      <c r="A52" s="1279"/>
      <c r="B52" s="788" t="s">
        <v>1019</v>
      </c>
      <c r="C52" s="817" t="str">
        <f ca="1">LEFT(CRCP_final_year,2)&amp;RIGHT(CRCP_final_year,2)</f>
        <v>2020</v>
      </c>
      <c r="D52" s="790" t="s">
        <v>1020</v>
      </c>
      <c r="E52" s="818" t="s">
        <v>1021</v>
      </c>
      <c r="F52" s="819"/>
      <c r="G52" s="819"/>
      <c r="H52" s="819"/>
      <c r="I52" s="819"/>
      <c r="J52" s="819"/>
      <c r="K52" s="820"/>
    </row>
    <row r="53" spans="1:11" s="151" customFormat="1">
      <c r="A53" s="1279"/>
      <c r="B53" s="821" t="s">
        <v>1022</v>
      </c>
      <c r="C53" s="822" t="str">
        <f ca="1">LEFT(PRCP_final_year,2)&amp;RIGHT(PRCP_final_year,2)</f>
        <v>2015</v>
      </c>
      <c r="D53" s="823" t="s">
        <v>1023</v>
      </c>
      <c r="E53" s="809" t="s">
        <v>1024</v>
      </c>
      <c r="F53" s="810"/>
      <c r="G53" s="810"/>
      <c r="H53" s="810"/>
      <c r="I53" s="810"/>
      <c r="J53" s="810"/>
      <c r="K53" s="811"/>
    </row>
    <row r="54" spans="1:11" s="151" customFormat="1">
      <c r="A54" s="1279"/>
      <c r="B54" s="824" t="s">
        <v>1025</v>
      </c>
      <c r="C54" s="825" t="str">
        <f>IFERROR(LEFT(CRY,2)&amp;RIGHT(CRY,2),0)</f>
        <v>2025</v>
      </c>
      <c r="D54" s="826" t="s">
        <v>1026</v>
      </c>
      <c r="E54" s="797" t="s">
        <v>1027</v>
      </c>
      <c r="F54" s="804"/>
      <c r="G54" s="804"/>
      <c r="H54" s="804"/>
      <c r="I54" s="804"/>
      <c r="J54" s="804"/>
      <c r="K54" s="805"/>
    </row>
    <row r="55" spans="1:11" s="151" customFormat="1">
      <c r="A55" s="1279"/>
      <c r="B55" s="800" t="s">
        <v>1028</v>
      </c>
      <c r="C55" s="801" t="str">
        <f ca="1">IF(dms_Model_Span&gt;1,IF(dms_Model="RFM",(LEFT(dms_DollarReal_year,2)&amp;RIGHT(dms_DollarReal_year,2)),(LEFT(dms_Reset_final_year,2)&amp;RIGHT(dms_Reset_final_year,2))),0)</f>
        <v>2025</v>
      </c>
      <c r="D55" s="802" t="s">
        <v>1029</v>
      </c>
      <c r="E55" s="803" t="s">
        <v>1030</v>
      </c>
      <c r="F55" s="804"/>
      <c r="G55" s="804"/>
      <c r="H55" s="804"/>
      <c r="I55" s="804"/>
      <c r="J55" s="804"/>
      <c r="K55" s="805"/>
    </row>
    <row r="56" spans="1:11" s="151" customFormat="1">
      <c r="A56" s="1279"/>
      <c r="B56" s="800" t="s">
        <v>1031</v>
      </c>
      <c r="C56" s="801">
        <f>IF(dms_MultiYear_ResponseFlag="Yes",(LEFT(dms_Specified_FinalYear,2)&amp;RIGHT(dms_Specified_FinalYear,2)),0)</f>
        <v>0</v>
      </c>
      <c r="D56" s="802" t="s">
        <v>1032</v>
      </c>
      <c r="E56" s="803" t="s">
        <v>1033</v>
      </c>
      <c r="F56" s="804"/>
      <c r="G56" s="804"/>
      <c r="H56" s="804"/>
      <c r="I56" s="804"/>
      <c r="J56" s="804"/>
      <c r="K56" s="805"/>
    </row>
    <row r="57" spans="1:11" s="151" customFormat="1">
      <c r="A57" s="1279"/>
      <c r="B57" s="800" t="s">
        <v>1034</v>
      </c>
      <c r="C57" s="801">
        <f>INDEX(dms_Model_Span_List,MATCH(dms_Model,dms_Model_List))</f>
        <v>5</v>
      </c>
      <c r="D57" s="802" t="s">
        <v>1035</v>
      </c>
      <c r="E57" s="803" t="s">
        <v>1036</v>
      </c>
      <c r="F57" s="804"/>
      <c r="G57" s="804"/>
      <c r="H57" s="804"/>
      <c r="I57" s="804"/>
      <c r="J57" s="804"/>
      <c r="K57" s="805"/>
    </row>
    <row r="58" spans="1:11" s="151" customFormat="1">
      <c r="A58" s="1279"/>
      <c r="B58" s="813" t="s">
        <v>1037</v>
      </c>
      <c r="C58" s="814" t="str">
        <f ca="1">IF(dms_MultiYear_ResponseFlag="yes",dms_Specified_RYE,(IF(dms_Model_Span&gt;1,dms_Reset_RYE,dms_CRY_RYE)))</f>
        <v>2025</v>
      </c>
      <c r="D58" s="815" t="s">
        <v>1038</v>
      </c>
      <c r="E58" s="809" t="s">
        <v>1039</v>
      </c>
      <c r="F58" s="810"/>
      <c r="G58" s="810"/>
      <c r="H58" s="810"/>
      <c r="I58" s="810"/>
      <c r="J58" s="810"/>
      <c r="K58" s="811"/>
    </row>
    <row r="59" spans="1:11" s="151" customFormat="1">
      <c r="A59" s="1279"/>
      <c r="B59" s="824" t="s">
        <v>1040</v>
      </c>
      <c r="C59" s="825" t="str">
        <f ca="1">IF(dms_Reset_RYE&gt;0,CONCATENATE(FRCP_y1," to ",FRCP_final_year),0)</f>
        <v>2020-21 to 2024-25</v>
      </c>
      <c r="D59" s="826" t="s">
        <v>1041</v>
      </c>
      <c r="E59" s="803" t="s">
        <v>1042</v>
      </c>
      <c r="F59" s="827"/>
      <c r="G59" s="804"/>
      <c r="H59" s="804"/>
      <c r="I59" s="804"/>
      <c r="J59" s="804"/>
      <c r="K59" s="805"/>
    </row>
    <row r="60" spans="1:11" s="151" customFormat="1">
      <c r="A60" s="1279"/>
      <c r="B60" s="800" t="s">
        <v>1043</v>
      </c>
      <c r="C60" s="801">
        <f>IF(dms_Specified_RYE&gt;0,CONCATENATE(CRY," to ",dms_Specified_FinalYear),0)</f>
        <v>0</v>
      </c>
      <c r="D60" s="802" t="s">
        <v>1044</v>
      </c>
      <c r="E60" s="803" t="s">
        <v>1045</v>
      </c>
      <c r="F60" s="804"/>
      <c r="G60" s="804"/>
      <c r="H60" s="804"/>
      <c r="I60" s="804"/>
      <c r="J60" s="804"/>
      <c r="K60" s="805"/>
    </row>
    <row r="61" spans="1:11" s="151" customFormat="1" ht="15.75" thickBot="1">
      <c r="A61" s="1279"/>
      <c r="B61" s="828" t="s">
        <v>1046</v>
      </c>
      <c r="C61" s="829" t="str">
        <f ca="1">IF(dms_MultiYear_Flag=1,dms_SpecifiedYear_Span,IF(dms_Model_Span&gt;1,dms_y1&amp;" to "&amp;FRCP_final_year,CRY))</f>
        <v>2024-25 to 2024-25</v>
      </c>
      <c r="D61" s="830" t="s">
        <v>1047</v>
      </c>
      <c r="E61" s="831" t="s">
        <v>1048</v>
      </c>
      <c r="F61" s="832"/>
      <c r="G61" s="832"/>
      <c r="H61" s="832"/>
      <c r="I61" s="832"/>
      <c r="J61" s="832"/>
      <c r="K61" s="833"/>
    </row>
    <row r="62" spans="1:11" s="151" customFormat="1" ht="25.5" customHeight="1" thickBot="1">
      <c r="B62" s="780" t="s">
        <v>1049</v>
      </c>
      <c r="C62" s="781"/>
      <c r="D62" s="771"/>
      <c r="E62" s="771"/>
      <c r="F62" s="772"/>
      <c r="G62" s="772"/>
      <c r="H62" s="772"/>
      <c r="I62" s="772"/>
      <c r="J62" s="772"/>
      <c r="K62" s="773"/>
    </row>
    <row r="63" spans="1:11" s="151" customFormat="1" ht="18">
      <c r="B63" s="834" t="s">
        <v>1050</v>
      </c>
      <c r="C63" s="835" t="s">
        <v>932</v>
      </c>
      <c r="D63" s="836"/>
      <c r="E63" s="837"/>
      <c r="F63" s="838"/>
      <c r="G63" s="838"/>
      <c r="H63" s="838"/>
      <c r="I63" s="838"/>
      <c r="J63" s="839"/>
      <c r="K63" s="840"/>
    </row>
    <row r="64" spans="1:11" s="151" customFormat="1">
      <c r="B64" s="841"/>
      <c r="C64" s="842">
        <f>IF(dms_MultiYear_ResponseFlag="No",0,1)</f>
        <v>0</v>
      </c>
      <c r="D64" s="843" t="s">
        <v>1051</v>
      </c>
      <c r="E64" s="844" t="s">
        <v>1052</v>
      </c>
      <c r="F64" s="845"/>
      <c r="G64" s="845"/>
      <c r="H64" s="845"/>
      <c r="I64" s="845"/>
      <c r="J64" s="846"/>
      <c r="K64" s="847"/>
    </row>
    <row r="65" spans="2:11" s="151" customFormat="1" ht="25.5">
      <c r="B65" s="841"/>
      <c r="C65" s="848" t="str">
        <f>IF(dms_MultiYear_Flag=1,FRY,"not a Multiple year submission")</f>
        <v>not a Multiple year submission</v>
      </c>
      <c r="D65" s="843" t="s">
        <v>1053</v>
      </c>
      <c r="E65" s="849" t="s">
        <v>1054</v>
      </c>
      <c r="F65" s="845"/>
      <c r="G65" s="845"/>
      <c r="H65" s="845"/>
      <c r="I65" s="850"/>
      <c r="J65" s="851"/>
      <c r="K65" s="852"/>
    </row>
    <row r="66" spans="2:11" s="151" customFormat="1" ht="15.75" thickBot="1">
      <c r="B66" s="853" t="s">
        <v>1055</v>
      </c>
      <c r="C66" s="854" t="str">
        <f>IFERROR(IF(dms_MultiYear_Flag=1,FRY,CRY),"not an ABC")</f>
        <v>2024-25</v>
      </c>
      <c r="D66" s="855" t="s">
        <v>1056</v>
      </c>
      <c r="E66" s="855" t="s">
        <v>1057</v>
      </c>
      <c r="F66" s="856"/>
      <c r="G66" s="856" t="s">
        <v>1058</v>
      </c>
      <c r="H66" s="856"/>
      <c r="I66" s="856"/>
      <c r="J66" s="857"/>
      <c r="K66" s="858"/>
    </row>
    <row r="67" spans="2:11" s="151" customFormat="1" ht="22.5" customHeight="1" thickBot="1">
      <c r="B67" s="780" t="s">
        <v>1059</v>
      </c>
      <c r="C67" s="781"/>
      <c r="D67" s="781"/>
      <c r="E67" s="781"/>
      <c r="F67" s="859"/>
      <c r="G67" s="859"/>
      <c r="H67" s="859"/>
      <c r="I67" s="859"/>
      <c r="J67" s="859"/>
      <c r="K67" s="860"/>
    </row>
    <row r="68" spans="2:11" s="151" customFormat="1">
      <c r="B68" s="861" t="s">
        <v>1060</v>
      </c>
      <c r="C68" s="862"/>
      <c r="D68" s="863"/>
      <c r="E68" s="864"/>
      <c r="F68" s="865"/>
      <c r="G68" s="865"/>
      <c r="H68" s="865"/>
      <c r="I68" s="865"/>
      <c r="J68" s="866"/>
      <c r="K68" s="867"/>
    </row>
    <row r="69" spans="2:11" s="151" customFormat="1">
      <c r="B69" s="841" t="s">
        <v>1061</v>
      </c>
      <c r="C69" s="868">
        <f>INDEX(dms_PRCPlength_List,MATCH(dms_TradingName,dms_TradingName_List))</f>
        <v>5</v>
      </c>
      <c r="D69" s="836" t="s">
        <v>1062</v>
      </c>
      <c r="E69" s="869" t="s">
        <v>1063</v>
      </c>
      <c r="F69" s="870"/>
      <c r="G69" s="870"/>
      <c r="H69" s="870"/>
      <c r="I69" s="870"/>
      <c r="J69" s="870"/>
      <c r="K69" s="871"/>
    </row>
    <row r="70" spans="2:11" s="151" customFormat="1">
      <c r="B70" s="841" t="s">
        <v>1064</v>
      </c>
      <c r="C70" s="842">
        <f>INDEX(dms_CRCPlength_List,MATCH(dms_TradingName,dms_TradingName_List))</f>
        <v>5</v>
      </c>
      <c r="D70" s="872" t="s">
        <v>1065</v>
      </c>
      <c r="E70" s="873" t="s">
        <v>1066</v>
      </c>
      <c r="F70" s="865"/>
      <c r="G70" s="865"/>
      <c r="H70" s="865"/>
      <c r="I70" s="865"/>
      <c r="J70" s="865"/>
      <c r="K70" s="874"/>
    </row>
    <row r="71" spans="2:11" s="151" customFormat="1">
      <c r="B71" s="875" t="s">
        <v>1067</v>
      </c>
      <c r="C71" s="876">
        <f>INDEX(dms_FRCPlength_List,MATCH(dms_TradingName,dms_TradingName_List))</f>
        <v>5</v>
      </c>
      <c r="D71" s="877" t="s">
        <v>1068</v>
      </c>
      <c r="E71" s="878" t="s">
        <v>1069</v>
      </c>
      <c r="F71" s="879"/>
      <c r="G71" s="879"/>
      <c r="H71" s="879"/>
      <c r="I71" s="879"/>
      <c r="J71" s="879"/>
      <c r="K71" s="880"/>
    </row>
    <row r="72" spans="2:11" s="151" customFormat="1">
      <c r="B72" s="881" t="s">
        <v>1070</v>
      </c>
      <c r="C72" s="863"/>
      <c r="D72" s="863"/>
      <c r="E72" s="864"/>
      <c r="F72" s="865"/>
      <c r="G72" s="865"/>
      <c r="H72" s="865"/>
      <c r="I72" s="865"/>
      <c r="J72" s="866"/>
      <c r="K72" s="867"/>
    </row>
    <row r="73" spans="2:11" s="151" customFormat="1">
      <c r="B73" s="1276" t="s">
        <v>1071</v>
      </c>
      <c r="C73" s="882">
        <f>IF(dms_Model="EB",1,0)</f>
        <v>0</v>
      </c>
      <c r="D73" s="863" t="s">
        <v>1072</v>
      </c>
      <c r="E73" s="864"/>
      <c r="F73" s="865"/>
      <c r="G73" s="865"/>
      <c r="H73" s="865"/>
      <c r="I73" s="865"/>
      <c r="J73" s="866"/>
      <c r="K73" s="867"/>
    </row>
    <row r="74" spans="2:11" s="151" customFormat="1">
      <c r="B74" s="1276"/>
      <c r="C74" s="883">
        <f>IF(dms_Model="CA",1,0)</f>
        <v>0</v>
      </c>
      <c r="D74" s="884" t="s">
        <v>1073</v>
      </c>
      <c r="E74" s="885" t="s">
        <v>1074</v>
      </c>
      <c r="F74" s="886"/>
      <c r="G74" s="886"/>
      <c r="H74" s="886"/>
      <c r="I74" s="886"/>
      <c r="J74" s="887"/>
      <c r="K74" s="888"/>
    </row>
    <row r="75" spans="2:11" s="151" customFormat="1">
      <c r="B75" s="1277"/>
      <c r="C75" s="883">
        <f>IF(dms_Model="ARR",1,0)</f>
        <v>0</v>
      </c>
      <c r="D75" s="884" t="s">
        <v>1075</v>
      </c>
      <c r="E75" s="885"/>
      <c r="F75" s="886"/>
      <c r="G75" s="886"/>
      <c r="H75" s="886"/>
      <c r="I75" s="886"/>
      <c r="J75" s="887"/>
      <c r="K75" s="888"/>
    </row>
    <row r="76" spans="2:11" s="151" customFormat="1">
      <c r="B76" s="889" t="s">
        <v>1076</v>
      </c>
      <c r="C76" s="890" t="str">
        <f>IF(SUM(dms_SingleYear_Model)=1,"yes","no")</f>
        <v>no</v>
      </c>
      <c r="D76" s="885" t="s">
        <v>1077</v>
      </c>
      <c r="E76" s="885" t="s">
        <v>1078</v>
      </c>
      <c r="F76" s="856"/>
      <c r="G76" s="856"/>
      <c r="H76" s="856"/>
      <c r="I76" s="886"/>
      <c r="J76" s="887"/>
      <c r="K76" s="888"/>
    </row>
    <row r="77" spans="2:11" s="151" customFormat="1">
      <c r="B77" s="891" t="s">
        <v>1079</v>
      </c>
      <c r="C77" s="892">
        <f>IF(AND(dms_SingleYearModel="yes",dms_MultiYear_Flag=0),CRY,0)</f>
        <v>0</v>
      </c>
      <c r="D77" s="877" t="s">
        <v>1080</v>
      </c>
      <c r="E77" s="878" t="s">
        <v>1081</v>
      </c>
      <c r="F77" s="893"/>
      <c r="G77" s="893"/>
      <c r="H77" s="893"/>
      <c r="I77" s="893"/>
      <c r="J77" s="893"/>
      <c r="K77" s="894"/>
    </row>
    <row r="78" spans="2:11" s="151" customFormat="1">
      <c r="B78" s="861" t="s">
        <v>1082</v>
      </c>
      <c r="C78" s="854"/>
      <c r="D78" s="872"/>
      <c r="E78" s="873"/>
      <c r="F78" s="865"/>
      <c r="G78" s="865"/>
      <c r="H78" s="865"/>
      <c r="I78" s="865"/>
      <c r="J78" s="865"/>
      <c r="K78" s="874"/>
    </row>
    <row r="79" spans="2:11" s="151" customFormat="1">
      <c r="B79" s="841"/>
      <c r="C79" s="854"/>
      <c r="D79" s="872"/>
      <c r="E79" s="873"/>
      <c r="F79" s="865"/>
      <c r="G79" s="865"/>
      <c r="H79" s="865"/>
      <c r="I79" s="865"/>
      <c r="J79" s="865"/>
      <c r="K79" s="874"/>
    </row>
    <row r="80" spans="2:11" s="151" customFormat="1">
      <c r="B80" s="841" t="s">
        <v>1083</v>
      </c>
      <c r="C80" s="854" t="str">
        <f>IF(dms_Model_Span&gt;1,"yes","no")</f>
        <v>yes</v>
      </c>
      <c r="D80" s="872"/>
      <c r="E80" s="873"/>
      <c r="F80" s="865"/>
      <c r="G80" s="865"/>
      <c r="H80" s="865"/>
      <c r="I80" s="865"/>
      <c r="J80" s="865"/>
      <c r="K80" s="874"/>
    </row>
    <row r="81" spans="2:12" s="151" customFormat="1">
      <c r="B81" s="841" t="s">
        <v>1084</v>
      </c>
      <c r="C81" s="895" t="str">
        <f ca="1">IF(dms_Model_Span&gt;1,dms_Reset_final_year,0)</f>
        <v>2024-25</v>
      </c>
      <c r="D81" s="872" t="s">
        <v>1085</v>
      </c>
      <c r="E81" s="873" t="s">
        <v>1086</v>
      </c>
      <c r="F81" s="865"/>
      <c r="G81" s="865"/>
      <c r="H81" s="865"/>
      <c r="I81" s="865"/>
      <c r="J81" s="865"/>
      <c r="K81" s="874"/>
    </row>
    <row r="82" spans="2:12" s="151" customFormat="1">
      <c r="B82" s="841"/>
      <c r="C82" s="854"/>
      <c r="D82" s="872"/>
      <c r="E82" s="873"/>
      <c r="F82" s="865"/>
      <c r="G82" s="865"/>
      <c r="H82" s="865"/>
      <c r="I82" s="865"/>
      <c r="J82" s="865"/>
      <c r="K82" s="874"/>
    </row>
    <row r="83" spans="2:12" s="151" customFormat="1">
      <c r="B83" s="841" t="s">
        <v>1087</v>
      </c>
      <c r="C83" s="854" t="str">
        <f>IF(dms_MultiYear_Flag=1,"yes","no")</f>
        <v>no</v>
      </c>
      <c r="D83" s="872" t="s">
        <v>1088</v>
      </c>
      <c r="E83" s="873"/>
      <c r="F83" s="865"/>
      <c r="G83" s="865"/>
      <c r="H83" s="865"/>
      <c r="I83" s="865"/>
      <c r="J83" s="865"/>
      <c r="K83" s="874"/>
    </row>
    <row r="84" spans="2:12" s="151" customFormat="1">
      <c r="B84" s="875" t="s">
        <v>1089</v>
      </c>
      <c r="C84" s="896">
        <f>IF(dms_MultiYear_Flag=1,C51,0)</f>
        <v>0</v>
      </c>
      <c r="D84" s="897"/>
      <c r="E84" s="898"/>
      <c r="F84" s="879"/>
      <c r="G84" s="879"/>
      <c r="H84" s="879"/>
      <c r="I84" s="879"/>
      <c r="J84" s="879"/>
      <c r="K84" s="880"/>
    </row>
    <row r="85" spans="2:12" s="151" customFormat="1" ht="15.75" thickBot="1">
      <c r="B85" s="841"/>
      <c r="C85" s="854"/>
      <c r="D85" s="872"/>
      <c r="E85" s="873"/>
      <c r="F85" s="865"/>
      <c r="G85" s="865"/>
      <c r="H85" s="865"/>
      <c r="I85" s="865"/>
      <c r="J85" s="865"/>
      <c r="K85" s="874"/>
    </row>
    <row r="86" spans="2:12" s="151" customFormat="1" ht="28.5" customHeight="1" thickBot="1">
      <c r="B86" s="780" t="s">
        <v>1090</v>
      </c>
      <c r="C86" s="781"/>
      <c r="D86" s="781"/>
      <c r="E86" s="781"/>
      <c r="F86" s="859"/>
      <c r="G86" s="859"/>
      <c r="H86" s="859"/>
      <c r="I86" s="859"/>
      <c r="J86" s="859"/>
      <c r="K86" s="860"/>
    </row>
    <row r="87" spans="2:12" s="81" customFormat="1" ht="24.75" customHeight="1" thickBot="1">
      <c r="B87" s="899" t="s">
        <v>1091</v>
      </c>
      <c r="C87" s="732" t="str">
        <f>IFERROR(IF(dms_Segment="Transmission",dms_Cal_Year_B4_CRY,CRY),"CRY not present")</f>
        <v>2024-25</v>
      </c>
      <c r="D87" s="758" t="s">
        <v>1092</v>
      </c>
      <c r="E87" s="776" t="s">
        <v>1093</v>
      </c>
      <c r="F87" s="777"/>
      <c r="G87" s="777"/>
      <c r="H87" s="777"/>
      <c r="I87" s="777"/>
      <c r="J87" s="778"/>
      <c r="K87" s="779"/>
    </row>
    <row r="88" spans="2:12" s="151" customFormat="1" ht="27" customHeight="1" thickBot="1">
      <c r="B88" s="780" t="s">
        <v>1094</v>
      </c>
      <c r="C88" s="781"/>
      <c r="D88" s="781"/>
      <c r="E88" s="781"/>
      <c r="F88" s="859"/>
      <c r="G88" s="859"/>
      <c r="H88" s="859"/>
      <c r="I88" s="859"/>
      <c r="J88" s="859"/>
      <c r="K88" s="860"/>
    </row>
    <row r="89" spans="2:12" s="151" customFormat="1">
      <c r="B89" s="900" t="s">
        <v>1095</v>
      </c>
      <c r="C89" s="901"/>
      <c r="D89" s="902"/>
      <c r="E89" s="738" t="s">
        <v>1096</v>
      </c>
      <c r="F89" s="903"/>
      <c r="G89" s="903"/>
      <c r="H89" s="903"/>
      <c r="I89" s="903"/>
      <c r="J89" s="903"/>
      <c r="K89" s="904"/>
    </row>
    <row r="90" spans="2:12" s="151" customFormat="1">
      <c r="B90" s="900"/>
      <c r="C90" s="901" t="str">
        <f>IF(dms_Model&lt;&gt;"CA","not a CA","Is a CA")</f>
        <v>not a CA</v>
      </c>
      <c r="D90" s="902"/>
      <c r="E90" s="905" t="s">
        <v>1097</v>
      </c>
      <c r="F90" s="903"/>
      <c r="G90" s="903"/>
      <c r="H90" s="903"/>
      <c r="I90" s="903"/>
      <c r="J90" s="903"/>
      <c r="K90" s="904"/>
    </row>
    <row r="91" spans="2:12" s="151" customFormat="1">
      <c r="B91" s="906" t="s">
        <v>1098</v>
      </c>
      <c r="C91" s="901" t="str">
        <f>IFERROR(IF(INDEX(dms_060301_Avg_Duration_Sustained_Int_Values,1,1)&lt;&gt;"","yes","no"),"no")</f>
        <v>no</v>
      </c>
      <c r="D91" s="902" t="s">
        <v>1099</v>
      </c>
      <c r="E91" s="907" t="s">
        <v>1100</v>
      </c>
      <c r="F91" s="903"/>
      <c r="G91" s="903"/>
      <c r="H91" s="903"/>
      <c r="I91" s="903"/>
      <c r="J91" s="903"/>
      <c r="K91" s="904"/>
    </row>
    <row r="92" spans="2:12" s="151" customFormat="1">
      <c r="B92" s="906"/>
      <c r="C92" s="908" t="str">
        <f>IF(AND(dms_Model="CA",(dms_060301_checkvalue="no")),"error - NR not present","no errors")</f>
        <v>no errors</v>
      </c>
      <c r="D92" s="902"/>
      <c r="E92" s="907" t="s">
        <v>1101</v>
      </c>
      <c r="F92" s="903"/>
      <c r="G92" s="903"/>
      <c r="H92" s="903"/>
      <c r="I92" s="903"/>
      <c r="J92" s="903"/>
      <c r="K92" s="904"/>
    </row>
    <row r="93" spans="2:12" s="151" customFormat="1">
      <c r="B93" s="909" t="s">
        <v>1102</v>
      </c>
      <c r="C93" s="901" t="str">
        <f>IFERROR(IF(dms_Model="CA",LOOKUP(2,1/(dms_060301_Avg_Duration_Sustained_Int_Values&lt;&gt;""),(ROW(dms_060301_Avg_Duration_Sustained_Int_Values))),"not a CA"),"6.3 not present")</f>
        <v>not a CA</v>
      </c>
      <c r="D93" s="902" t="s">
        <v>1103</v>
      </c>
      <c r="E93" s="907" t="s">
        <v>1104</v>
      </c>
      <c r="F93" s="903"/>
      <c r="G93" s="903"/>
      <c r="H93" s="903"/>
      <c r="I93" s="903"/>
      <c r="J93" s="903"/>
      <c r="K93" s="904"/>
    </row>
    <row r="94" spans="2:12" s="151" customFormat="1">
      <c r="B94" s="910" t="s">
        <v>1105</v>
      </c>
      <c r="C94" s="911" t="str">
        <f>IFERROR(IF(dms_Model="CA",(dms_060301_LastRow-15),"not a CA"),"error")</f>
        <v>not a CA</v>
      </c>
      <c r="D94" s="912" t="s">
        <v>1106</v>
      </c>
      <c r="E94" s="913" t="s">
        <v>1107</v>
      </c>
      <c r="F94" s="914"/>
      <c r="G94" s="914"/>
      <c r="H94" s="914"/>
      <c r="I94" s="914"/>
      <c r="J94" s="914"/>
      <c r="K94" s="915"/>
      <c r="L94" s="1"/>
    </row>
    <row r="95" spans="2:12" ht="15.75" thickBot="1">
      <c r="B95" s="916" t="s">
        <v>1108</v>
      </c>
      <c r="C95" s="917">
        <f>INDEX(dms_663_List,MATCH(dms_TradingName,dms_TradingName_List))</f>
        <v>2</v>
      </c>
      <c r="D95" s="918" t="s">
        <v>1109</v>
      </c>
      <c r="E95" s="907" t="s">
        <v>1110</v>
      </c>
      <c r="F95" s="919"/>
      <c r="G95" s="919"/>
      <c r="H95" s="919"/>
      <c r="I95" s="919"/>
      <c r="J95" s="919"/>
      <c r="K95" s="920"/>
    </row>
    <row r="96" spans="2:12" s="151" customFormat="1" ht="21" customHeight="1" thickBot="1">
      <c r="B96" s="780" t="s">
        <v>1111</v>
      </c>
      <c r="C96" s="781"/>
      <c r="D96" s="781"/>
      <c r="E96" s="781"/>
      <c r="F96" s="859"/>
      <c r="G96" s="859"/>
      <c r="H96" s="859"/>
      <c r="I96" s="859"/>
      <c r="J96" s="859"/>
      <c r="K96" s="860"/>
    </row>
    <row r="97" spans="2:12" ht="25.5">
      <c r="B97" s="900" t="s">
        <v>1112</v>
      </c>
      <c r="C97" s="921" t="s">
        <v>1113</v>
      </c>
      <c r="D97" s="922"/>
      <c r="E97" s="923" t="s">
        <v>1114</v>
      </c>
      <c r="F97" s="924"/>
      <c r="G97" s="924"/>
      <c r="H97" s="919"/>
      <c r="I97" s="919"/>
      <c r="J97" s="919"/>
      <c r="K97" s="920"/>
    </row>
    <row r="98" spans="2:12">
      <c r="B98" s="909" t="s">
        <v>1115</v>
      </c>
      <c r="C98" s="921" t="str">
        <f>IFERROR(IF(dms_LeapYear,"yes"),"no")</f>
        <v>no</v>
      </c>
      <c r="D98" s="922"/>
      <c r="E98" s="925"/>
      <c r="F98" s="924"/>
      <c r="G98" s="924"/>
      <c r="H98" s="919"/>
      <c r="I98" s="919"/>
      <c r="J98" s="919"/>
      <c r="K98" s="920"/>
    </row>
    <row r="99" spans="2:12">
      <c r="B99" s="926" t="s">
        <v>1116</v>
      </c>
      <c r="C99" s="927" t="str">
        <f xml:space="preserve">
IFERROR(IF(MONTH(DATE(YEAR(dms_LeapYear),2,29))=2,"is a leap year","not a leap year"),
"dms_LeapYear not present")</f>
        <v>dms_LeapYear not present</v>
      </c>
      <c r="D99" s="918" t="s">
        <v>1117</v>
      </c>
      <c r="E99" s="918" t="s">
        <v>1118</v>
      </c>
      <c r="F99" s="919"/>
      <c r="G99" s="919"/>
      <c r="H99" s="919"/>
      <c r="I99" s="919"/>
      <c r="J99" s="919"/>
      <c r="K99" s="920"/>
    </row>
    <row r="100" spans="2:12">
      <c r="B100" s="926" t="s">
        <v>1119</v>
      </c>
      <c r="C100" s="928">
        <f>IF(dms_LeapYear_Result="is a leap year",1827,1826)</f>
        <v>1826</v>
      </c>
      <c r="D100" s="918" t="s">
        <v>1120</v>
      </c>
      <c r="E100" s="929" t="s">
        <v>1121</v>
      </c>
      <c r="F100" s="919"/>
      <c r="G100" s="919"/>
      <c r="H100" s="728" t="s">
        <v>1122</v>
      </c>
      <c r="I100" s="919"/>
      <c r="J100" s="919"/>
      <c r="K100" s="920"/>
    </row>
    <row r="101" spans="2:12">
      <c r="B101" s="926" t="s">
        <v>1123</v>
      </c>
      <c r="C101" s="928">
        <f>IF(dms_LeapYear_Result="is a leap year",366,365)</f>
        <v>365</v>
      </c>
      <c r="D101" s="918" t="s">
        <v>1124</v>
      </c>
      <c r="E101" s="929" t="s">
        <v>1125</v>
      </c>
      <c r="F101" s="919"/>
      <c r="G101" s="919"/>
      <c r="H101" s="728" t="s">
        <v>1126</v>
      </c>
      <c r="I101" s="919"/>
      <c r="J101" s="919"/>
      <c r="K101" s="920"/>
    </row>
    <row r="102" spans="2:12" ht="15.75" thickBot="1">
      <c r="B102" s="930" t="s">
        <v>1127</v>
      </c>
      <c r="C102" s="931">
        <f>IF(dms_Model="ARR",dms_060701_ARR_MaxRows,IF(dms_Model="Reset",dms_060701_Reset_MaxRows,"not a relevant RIN type"))</f>
        <v>1826</v>
      </c>
      <c r="D102" s="932" t="s">
        <v>1128</v>
      </c>
      <c r="E102" s="933" t="s">
        <v>1129</v>
      </c>
      <c r="F102" s="934"/>
      <c r="G102" s="934"/>
      <c r="H102" s="934"/>
      <c r="I102" s="934"/>
      <c r="J102" s="934"/>
      <c r="K102" s="935"/>
    </row>
    <row r="103" spans="2:12" ht="24" customHeight="1">
      <c r="B103" s="936" t="s">
        <v>1130</v>
      </c>
      <c r="C103" s="937" t="str">
        <f>IF(dms_FifthFeeder_flag_NSP="NO","This NSP has only 4 feeder categories","This NSP has 5 feeder categories")</f>
        <v>This NSP has only 4 feeder categories</v>
      </c>
      <c r="D103" s="938"/>
      <c r="E103" s="939"/>
      <c r="F103" s="940"/>
      <c r="G103" s="940"/>
      <c r="H103" s="940"/>
      <c r="I103" s="940"/>
      <c r="J103" s="940"/>
      <c r="K103" s="941"/>
    </row>
    <row r="104" spans="2:12">
      <c r="B104" s="909" t="s">
        <v>1131</v>
      </c>
      <c r="C104" s="942">
        <f>IF(dms_FifthFeeder_flag_NSP="NO",10,12)</f>
        <v>10</v>
      </c>
      <c r="D104" s="918" t="s">
        <v>1132</v>
      </c>
      <c r="E104" s="907" t="s">
        <v>1133</v>
      </c>
      <c r="F104" s="919"/>
      <c r="G104" s="919"/>
      <c r="H104" s="919"/>
      <c r="I104" s="919"/>
      <c r="J104" s="919"/>
      <c r="K104" s="920"/>
    </row>
    <row r="105" spans="2:12">
      <c r="B105" s="910" t="s">
        <v>1134</v>
      </c>
      <c r="C105" s="943">
        <f>IF(dms_Model="ARR",15,9)</f>
        <v>9</v>
      </c>
      <c r="D105" s="944" t="s">
        <v>1135</v>
      </c>
      <c r="E105" s="945" t="s">
        <v>1136</v>
      </c>
      <c r="F105" s="946"/>
      <c r="G105" s="946"/>
      <c r="H105" s="946"/>
      <c r="I105" s="946"/>
      <c r="J105" s="946"/>
      <c r="K105" s="947"/>
    </row>
    <row r="106" spans="2:12">
      <c r="B106" s="900" t="s">
        <v>1137</v>
      </c>
      <c r="C106" s="948"/>
      <c r="D106" s="949"/>
      <c r="E106" s="738" t="s">
        <v>1138</v>
      </c>
      <c r="F106" s="919"/>
      <c r="G106" s="919"/>
      <c r="H106" s="919"/>
      <c r="I106" s="919"/>
      <c r="J106" s="919"/>
      <c r="K106" s="920"/>
    </row>
    <row r="107" spans="2:12">
      <c r="B107" s="909" t="s">
        <v>1139</v>
      </c>
      <c r="C107" s="948" t="str">
        <f ca="1">IF(dms_SingleYearModel="yes",(CONCATENATE(IF(LEN(CRY)=4,"1-Jan-","1-Jul-"),LEFT(CRY,4))),(CONCATENATE(IF(LEN(PRCP_y4)=4,"1-Jan-","1-Jul-"),LEFT(PRCP_y4,4))))</f>
        <v>1-Jul-2013</v>
      </c>
      <c r="D107" s="918" t="s">
        <v>494</v>
      </c>
      <c r="E107" s="905" t="s">
        <v>1140</v>
      </c>
      <c r="F107" s="919"/>
      <c r="G107" s="919"/>
      <c r="H107" s="919"/>
      <c r="I107" s="919"/>
      <c r="J107" s="919"/>
      <c r="K107" s="920"/>
    </row>
    <row r="108" spans="2:12">
      <c r="B108" s="910" t="s">
        <v>1141</v>
      </c>
      <c r="C108" s="943">
        <f ca="1">DATEVALUE(dms_060701_StartDateTxt)</f>
        <v>41456</v>
      </c>
      <c r="D108" s="944" t="s">
        <v>1142</v>
      </c>
      <c r="E108" s="950" t="s">
        <v>1143</v>
      </c>
      <c r="F108" s="946"/>
      <c r="G108" s="946"/>
      <c r="H108" s="946"/>
      <c r="I108" s="946"/>
      <c r="J108" s="946"/>
      <c r="K108" s="947"/>
      <c r="L108" s="1"/>
    </row>
    <row r="109" spans="2:12" ht="15.75" thickBot="1">
      <c r="B109" s="951" t="s">
        <v>1144</v>
      </c>
      <c r="C109" s="952" t="s">
        <v>788</v>
      </c>
      <c r="D109" s="953" t="s">
        <v>1145</v>
      </c>
      <c r="E109" s="954"/>
      <c r="F109" s="919"/>
      <c r="G109" s="919"/>
      <c r="H109" s="919"/>
      <c r="I109" s="919"/>
      <c r="J109" s="919"/>
      <c r="K109" s="920"/>
      <c r="L109" s="1"/>
    </row>
    <row r="110" spans="2:12" s="151" customFormat="1" ht="15.75" thickBot="1">
      <c r="B110" s="780" t="s">
        <v>1146</v>
      </c>
      <c r="C110" s="781"/>
      <c r="D110" s="781"/>
      <c r="E110" s="781"/>
      <c r="F110" s="859"/>
      <c r="G110" s="859"/>
      <c r="H110" s="859"/>
      <c r="I110" s="859"/>
      <c r="J110" s="859"/>
      <c r="K110" s="860"/>
    </row>
    <row r="111" spans="2:12" ht="38.25">
      <c r="B111" s="955" t="s">
        <v>1147</v>
      </c>
      <c r="C111" s="921" t="s">
        <v>1148</v>
      </c>
      <c r="D111" s="738"/>
      <c r="E111" s="738" t="s">
        <v>1149</v>
      </c>
      <c r="F111" s="956"/>
      <c r="G111" s="956"/>
      <c r="H111" s="956"/>
      <c r="I111" s="956"/>
      <c r="J111" s="956"/>
      <c r="K111" s="957"/>
      <c r="L111" s="1"/>
    </row>
    <row r="112" spans="2:12">
      <c r="B112" s="900" t="s">
        <v>1150</v>
      </c>
      <c r="C112" s="958" t="str">
        <f>IFERROR(IF((_xlfn.SINGLE(ROW(dms_060801_StartCell))-1)=1,"yes","yes"),"no")</f>
        <v>no</v>
      </c>
      <c r="D112" s="959" t="s">
        <v>1151</v>
      </c>
      <c r="E112" s="907" t="s">
        <v>1152</v>
      </c>
      <c r="F112" s="919"/>
      <c r="G112" s="919"/>
      <c r="H112" s="919"/>
      <c r="I112" s="919"/>
      <c r="J112" s="919"/>
      <c r="K112" s="920"/>
      <c r="L112" s="1"/>
    </row>
    <row r="113" spans="2:11">
      <c r="B113" s="909" t="s">
        <v>1153</v>
      </c>
      <c r="C113" s="948">
        <v>12</v>
      </c>
      <c r="D113" s="918" t="s">
        <v>1154</v>
      </c>
      <c r="E113" s="907" t="s">
        <v>1155</v>
      </c>
      <c r="F113" s="919"/>
      <c r="G113" s="919"/>
      <c r="H113" s="919"/>
      <c r="I113" s="919"/>
      <c r="J113" s="919"/>
      <c r="K113" s="920"/>
    </row>
    <row r="114" spans="2:11">
      <c r="B114" s="909" t="s">
        <v>1156</v>
      </c>
      <c r="C114" s="958" t="str">
        <f>IFERROR(IF(_xlfn.SINGLE(dms_060801_StartCell)&lt;&gt;"",IF(dms_Model="ARR",(LOOKUP(2,1/(dms_060801_01_Values&lt;&gt;""),(ROW(dms_060801_01_Values)))),"not an ARR"),0),"0")</f>
        <v>0</v>
      </c>
      <c r="D114" s="918" t="s">
        <v>1157</v>
      </c>
      <c r="E114" s="929" t="s">
        <v>1158</v>
      </c>
      <c r="F114" s="919"/>
      <c r="G114" s="919"/>
      <c r="H114" s="919"/>
      <c r="I114" s="919"/>
      <c r="J114" s="919"/>
      <c r="K114" s="920"/>
    </row>
    <row r="115" spans="2:11" ht="15.75" thickBot="1">
      <c r="B115" s="960" t="s">
        <v>1159</v>
      </c>
      <c r="C115" s="961" t="str">
        <f>IFERROR(IF(dms_Model="ARR",(MAX(0,dms_0608_LastRow-dms_0608_OffsetRows)),"not an ARR"),"0")</f>
        <v>not an ARR</v>
      </c>
      <c r="D115" s="962" t="s">
        <v>1160</v>
      </c>
      <c r="E115" s="963" t="s">
        <v>1161</v>
      </c>
      <c r="F115" s="964"/>
      <c r="G115" s="965"/>
      <c r="H115" s="965"/>
      <c r="I115" s="965"/>
      <c r="J115" s="965"/>
      <c r="K115" s="966"/>
    </row>
    <row r="116" spans="2:11" s="151" customFormat="1" ht="15.75" thickBot="1">
      <c r="B116" s="780" t="s">
        <v>1162</v>
      </c>
      <c r="C116" s="781"/>
      <c r="D116" s="781"/>
      <c r="E116" s="781"/>
      <c r="F116" s="859"/>
      <c r="G116" s="859"/>
      <c r="H116" s="859"/>
      <c r="I116" s="859"/>
      <c r="J116" s="859"/>
      <c r="K116" s="860"/>
    </row>
    <row r="117" spans="2:11">
      <c r="B117" s="900" t="s">
        <v>1163</v>
      </c>
      <c r="C117" s="967"/>
      <c r="D117" s="918"/>
      <c r="E117" s="907"/>
      <c r="F117" s="968"/>
      <c r="G117" s="919"/>
      <c r="H117" s="919"/>
      <c r="I117" s="919"/>
      <c r="J117" s="919"/>
      <c r="K117" s="920"/>
    </row>
    <row r="118" spans="2:11">
      <c r="B118" s="909" t="s">
        <v>1164</v>
      </c>
      <c r="C118" s="948" t="str">
        <f ca="1">LEFT(PRCP_y3,4)</f>
        <v>2012</v>
      </c>
      <c r="D118" s="918" t="s">
        <v>1165</v>
      </c>
      <c r="E118" s="969" t="s">
        <v>1166</v>
      </c>
      <c r="F118" s="919"/>
      <c r="G118" s="919"/>
      <c r="H118" s="919"/>
      <c r="I118" s="919"/>
      <c r="J118" s="919"/>
      <c r="K118" s="920"/>
    </row>
    <row r="119" spans="2:11" ht="15.75" thickBot="1">
      <c r="B119" s="970"/>
      <c r="C119" s="971"/>
      <c r="D119" s="972"/>
      <c r="E119" s="973"/>
      <c r="F119" s="974"/>
      <c r="G119" s="974"/>
      <c r="H119" s="974"/>
      <c r="I119" s="974"/>
      <c r="J119" s="974"/>
      <c r="K119" s="975"/>
    </row>
    <row r="120" spans="2:11" s="151" customFormat="1" ht="15.75" thickBot="1">
      <c r="B120" s="780" t="s">
        <v>1167</v>
      </c>
      <c r="C120" s="781"/>
      <c r="D120" s="781"/>
      <c r="E120" s="781"/>
      <c r="F120" s="859"/>
      <c r="G120" s="859"/>
      <c r="H120" s="859"/>
      <c r="I120" s="859"/>
      <c r="J120" s="859"/>
      <c r="K120" s="860"/>
    </row>
    <row r="121" spans="2:11" s="151" customFormat="1" ht="14.25" customHeight="1">
      <c r="B121" s="976" t="s">
        <v>1168</v>
      </c>
      <c r="C121" s="977" t="s">
        <v>1246</v>
      </c>
      <c r="D121" s="978" t="s">
        <v>1169</v>
      </c>
      <c r="E121" s="979"/>
      <c r="F121" s="980"/>
      <c r="G121" s="980"/>
      <c r="H121" s="980"/>
      <c r="I121" s="980"/>
      <c r="J121" s="980"/>
      <c r="K121" s="981"/>
    </row>
    <row r="122" spans="2:11" s="151" customFormat="1" ht="14.25" customHeight="1">
      <c r="B122" s="982" t="s">
        <v>1170</v>
      </c>
      <c r="C122" s="983" t="str">
        <f>INDEX(dms_Public_Lighting_List,MATCH(dms_TradingName,dms_TradingName_List))</f>
        <v>YES</v>
      </c>
      <c r="D122" s="984" t="s">
        <v>1171</v>
      </c>
      <c r="E122" s="985" t="s">
        <v>1172</v>
      </c>
      <c r="F122" s="986"/>
      <c r="G122" s="986"/>
      <c r="H122" s="986"/>
      <c r="I122" s="986"/>
      <c r="J122" s="986"/>
      <c r="K122" s="987"/>
    </row>
    <row r="123" spans="2:11" ht="15" customHeight="1">
      <c r="B123" s="988" t="s">
        <v>1173</v>
      </c>
      <c r="C123" s="718" t="str">
        <f>INDEX(dms_CBD_flag,MATCH(dms_TradingName,dms_TradingName_List))</f>
        <v>YES</v>
      </c>
      <c r="D123" s="719" t="s">
        <v>1174</v>
      </c>
      <c r="E123" s="719"/>
      <c r="F123" s="989"/>
      <c r="G123" s="989"/>
      <c r="H123" s="989"/>
      <c r="I123" s="989"/>
      <c r="J123" s="989"/>
      <c r="K123" s="990"/>
    </row>
    <row r="124" spans="2:11" ht="15" customHeight="1">
      <c r="B124" s="991" t="s">
        <v>1175</v>
      </c>
      <c r="C124" s="731" t="str">
        <f>INDEX(dms_Urban_flag,MATCH(dms_TradingName,dms_TradingName_List))</f>
        <v>YES</v>
      </c>
      <c r="D124" s="726" t="s">
        <v>1176</v>
      </c>
      <c r="E124" s="726"/>
      <c r="F124" s="737"/>
      <c r="G124" s="737"/>
      <c r="H124" s="737"/>
      <c r="I124" s="737"/>
      <c r="J124" s="737"/>
      <c r="K124" s="992"/>
    </row>
    <row r="125" spans="2:11" ht="15" customHeight="1">
      <c r="B125" s="991" t="s">
        <v>1177</v>
      </c>
      <c r="C125" s="731" t="str">
        <f>INDEX(dms_ShortRural_flag,MATCH(dms_TradingName,dms_TradingName_List))</f>
        <v>YES</v>
      </c>
      <c r="D125" s="726" t="s">
        <v>1178</v>
      </c>
      <c r="E125" s="726"/>
      <c r="F125" s="737"/>
      <c r="G125" s="737"/>
      <c r="H125" s="737"/>
      <c r="I125" s="737"/>
      <c r="J125" s="737"/>
      <c r="K125" s="992"/>
    </row>
    <row r="126" spans="2:11" ht="15" customHeight="1">
      <c r="B126" s="993" t="s">
        <v>1179</v>
      </c>
      <c r="C126" s="994" t="str">
        <f>INDEX(dms_LongRural_flag,MATCH(dms_TradingName,dms_TradingName_List))</f>
        <v>YES</v>
      </c>
      <c r="D126" s="995" t="s">
        <v>1180</v>
      </c>
      <c r="E126" s="995"/>
      <c r="F126" s="996"/>
      <c r="G126" s="996"/>
      <c r="H126" s="996"/>
      <c r="I126" s="996"/>
      <c r="J126" s="996"/>
      <c r="K126" s="997"/>
    </row>
    <row r="127" spans="2:11" ht="15.75" thickBot="1">
      <c r="B127" s="998" t="s">
        <v>1181</v>
      </c>
      <c r="C127" s="999" t="str">
        <f>INDEX(dms_FeederType_5_flag,MATCH(dms_TradingName,dms_TradingName_List))</f>
        <v>NO</v>
      </c>
      <c r="D127" s="962" t="s">
        <v>1182</v>
      </c>
      <c r="E127" s="963" t="s">
        <v>1183</v>
      </c>
      <c r="F127" s="1000"/>
      <c r="G127" s="1000"/>
      <c r="H127" s="1000"/>
      <c r="I127" s="1000"/>
      <c r="J127" s="1000"/>
      <c r="K127" s="1001"/>
    </row>
    <row r="128" spans="2:11" ht="15.75" thickBot="1">
      <c r="B128" s="970"/>
      <c r="C128" s="971"/>
      <c r="D128" s="972"/>
      <c r="E128" s="973"/>
      <c r="F128" s="974"/>
      <c r="G128" s="974"/>
      <c r="H128" s="974"/>
      <c r="I128" s="974"/>
      <c r="J128" s="974"/>
      <c r="K128" s="975"/>
    </row>
    <row r="129" spans="2:11" s="151" customFormat="1" ht="15.75" thickBot="1">
      <c r="B129" s="1002" t="s">
        <v>1184</v>
      </c>
      <c r="C129" s="1003"/>
      <c r="D129" s="1003"/>
      <c r="E129" s="1003"/>
      <c r="F129" s="1004"/>
      <c r="G129" s="1004"/>
      <c r="H129" s="1004"/>
      <c r="I129" s="1004"/>
      <c r="J129" s="1004"/>
      <c r="K129" s="1005"/>
    </row>
    <row r="130" spans="2:11" ht="15.75" thickBot="1">
      <c r="B130" s="1006" t="s">
        <v>1185</v>
      </c>
      <c r="C130" s="1007" t="s">
        <v>788</v>
      </c>
      <c r="D130" s="1008" t="s">
        <v>1186</v>
      </c>
      <c r="E130" s="1009" t="s">
        <v>1187</v>
      </c>
      <c r="F130" s="1010"/>
      <c r="G130" s="1010"/>
      <c r="H130" s="1010"/>
      <c r="I130" s="1010"/>
      <c r="J130" s="1010"/>
      <c r="K130" s="1011"/>
    </row>
    <row r="131" spans="2:11" s="151" customFormat="1" ht="15.75" thickBot="1"/>
    <row r="132" spans="2:11" s="151" customFormat="1" ht="15.75" thickBot="1">
      <c r="B132" s="1002" t="s">
        <v>1188</v>
      </c>
      <c r="C132" s="1003"/>
      <c r="D132" s="1003"/>
      <c r="E132" s="1003"/>
      <c r="F132" s="1004"/>
      <c r="G132" s="1004"/>
      <c r="H132" s="1004"/>
      <c r="I132" s="1004"/>
      <c r="J132" s="1004"/>
      <c r="K132" s="1005"/>
    </row>
    <row r="133" spans="2:11">
      <c r="B133" s="1012" t="s">
        <v>1189</v>
      </c>
      <c r="C133" s="1013" t="s">
        <v>788</v>
      </c>
      <c r="D133" s="726" t="s">
        <v>1190</v>
      </c>
      <c r="E133" s="1014"/>
      <c r="F133" s="1015"/>
      <c r="G133" s="1015"/>
      <c r="H133" s="1015"/>
      <c r="I133" s="1015"/>
      <c r="J133" s="1015"/>
      <c r="K133" s="1016"/>
    </row>
    <row r="134" spans="2:11" s="151" customFormat="1"/>
    <row r="135" spans="2:11" ht="15.75" thickBot="1">
      <c r="B135" s="970"/>
      <c r="C135" s="971"/>
      <c r="D135" s="972"/>
      <c r="E135" s="973"/>
      <c r="F135" s="974"/>
      <c r="G135" s="974"/>
      <c r="H135" s="974"/>
      <c r="I135" s="974"/>
      <c r="J135" s="974"/>
      <c r="K135" s="975"/>
    </row>
    <row r="136" spans="2:11" ht="15.75" thickBot="1">
      <c r="B136" s="1017" t="s">
        <v>1191</v>
      </c>
      <c r="C136" s="1018"/>
      <c r="D136" s="1018"/>
      <c r="E136" s="1018"/>
      <c r="F136" s="1019"/>
      <c r="G136" s="1019"/>
      <c r="H136" s="1019"/>
      <c r="I136" s="1019"/>
      <c r="J136" s="1019"/>
      <c r="K136" s="1020"/>
    </row>
    <row r="137" spans="2:11">
      <c r="B137" s="1021" t="s">
        <v>1192</v>
      </c>
      <c r="C137" s="1013" t="s">
        <v>788</v>
      </c>
      <c r="D137" s="1022" t="s">
        <v>1193</v>
      </c>
      <c r="E137" s="1023"/>
      <c r="F137" s="1024"/>
      <c r="G137" s="1024"/>
      <c r="H137" s="1024"/>
      <c r="I137" s="1024"/>
      <c r="J137" s="1024"/>
      <c r="K137" s="1025"/>
    </row>
    <row r="138" spans="2:11">
      <c r="B138" s="1026"/>
      <c r="C138" s="1027" t="s">
        <v>1194</v>
      </c>
      <c r="D138" s="1028" t="s">
        <v>1195</v>
      </c>
      <c r="E138" s="1029"/>
      <c r="F138" s="1030"/>
      <c r="G138" s="1030"/>
      <c r="H138" s="1030"/>
      <c r="I138" s="1030"/>
      <c r="J138" s="1030"/>
      <c r="K138" s="1031"/>
    </row>
    <row r="139" spans="2:11">
      <c r="B139" s="1026"/>
      <c r="C139" s="1032">
        <v>2013</v>
      </c>
      <c r="D139" s="1033" t="s">
        <v>1196</v>
      </c>
      <c r="E139" s="1034"/>
      <c r="F139" s="1035"/>
      <c r="G139" s="1035"/>
      <c r="H139" s="1035"/>
      <c r="I139" s="1035"/>
      <c r="J139" s="1035"/>
      <c r="K139" s="1036"/>
    </row>
    <row r="140" spans="2:11">
      <c r="B140" s="1026"/>
      <c r="C140" s="1032">
        <v>2014</v>
      </c>
      <c r="D140" s="1033" t="s">
        <v>1197</v>
      </c>
      <c r="E140" s="1034"/>
      <c r="F140" s="1035"/>
      <c r="G140" s="1035"/>
      <c r="H140" s="1035"/>
      <c r="I140" s="1035"/>
      <c r="J140" s="1035"/>
      <c r="K140" s="1036"/>
    </row>
    <row r="141" spans="2:11">
      <c r="B141" s="1026"/>
      <c r="C141" s="1032">
        <v>2015</v>
      </c>
      <c r="D141" s="1033" t="s">
        <v>1198</v>
      </c>
      <c r="E141" s="1034"/>
      <c r="F141" s="1035"/>
      <c r="G141" s="1035"/>
      <c r="H141" s="1035"/>
      <c r="I141" s="1035"/>
      <c r="J141" s="1035"/>
      <c r="K141" s="1036"/>
    </row>
    <row r="142" spans="2:11">
      <c r="B142" s="1026"/>
      <c r="C142" s="1032">
        <v>2016</v>
      </c>
      <c r="D142" s="1033" t="s">
        <v>1199</v>
      </c>
      <c r="E142" s="1034"/>
      <c r="F142" s="1035"/>
      <c r="G142" s="1035"/>
      <c r="H142" s="1035"/>
      <c r="I142" s="1035"/>
      <c r="J142" s="1035"/>
      <c r="K142" s="1036"/>
    </row>
    <row r="143" spans="2:11">
      <c r="B143" s="1037"/>
      <c r="C143" s="1038">
        <v>2017</v>
      </c>
      <c r="D143" s="1039" t="s">
        <v>1200</v>
      </c>
      <c r="E143" s="1040"/>
      <c r="F143" s="1041"/>
      <c r="G143" s="1041"/>
      <c r="H143" s="1041"/>
      <c r="I143" s="1041"/>
      <c r="J143" s="1041"/>
      <c r="K143" s="1042"/>
    </row>
    <row r="144" spans="2:11">
      <c r="B144" s="1037"/>
      <c r="C144" s="1038">
        <v>2018</v>
      </c>
      <c r="D144" s="1039" t="s">
        <v>1201</v>
      </c>
      <c r="E144" s="1040"/>
      <c r="F144" s="1041"/>
      <c r="G144" s="1041"/>
      <c r="H144" s="1041"/>
      <c r="I144" s="1041"/>
      <c r="J144" s="1041"/>
      <c r="K144" s="1042"/>
    </row>
    <row r="145" spans="2:11">
      <c r="B145" s="1037"/>
      <c r="C145" s="1038">
        <v>2019</v>
      </c>
      <c r="D145" s="1039" t="s">
        <v>1202</v>
      </c>
      <c r="E145" s="1040"/>
      <c r="F145" s="1041"/>
      <c r="G145" s="1041"/>
      <c r="H145" s="1041"/>
      <c r="I145" s="1041"/>
      <c r="J145" s="1041"/>
      <c r="K145" s="1042"/>
    </row>
    <row r="146" spans="2:11">
      <c r="B146" s="1037"/>
      <c r="C146" s="1038">
        <v>2020</v>
      </c>
      <c r="D146" s="1039" t="s">
        <v>1203</v>
      </c>
      <c r="E146" s="1040"/>
      <c r="F146" s="1041"/>
      <c r="G146" s="1041"/>
      <c r="H146" s="1041"/>
      <c r="I146" s="1041"/>
      <c r="J146" s="1041"/>
      <c r="K146" s="1042"/>
    </row>
    <row r="147" spans="2:11" ht="15.75" thickBot="1">
      <c r="B147" s="1043"/>
      <c r="C147" s="1044">
        <v>2021</v>
      </c>
      <c r="D147" s="1045" t="s">
        <v>1204</v>
      </c>
      <c r="E147" s="1046"/>
      <c r="F147" s="1047"/>
      <c r="G147" s="1047"/>
      <c r="H147" s="1047"/>
      <c r="I147" s="1047"/>
      <c r="J147" s="1047"/>
      <c r="K147" s="1048"/>
    </row>
    <row r="148" spans="2:11">
      <c r="B148" s="151"/>
      <c r="C148" s="151"/>
    </row>
    <row r="149" spans="2:11">
      <c r="B149" s="151"/>
      <c r="C149" s="151"/>
    </row>
    <row r="150" spans="2:11">
      <c r="B150" s="151"/>
      <c r="C150" s="151"/>
      <c r="D150" s="151"/>
      <c r="E150" s="151"/>
      <c r="F150" s="151"/>
      <c r="G150" s="151"/>
      <c r="H150" s="151"/>
      <c r="I150" s="151"/>
    </row>
    <row r="151" spans="2:11">
      <c r="B151" s="151"/>
      <c r="C151" s="151"/>
      <c r="D151" s="151"/>
      <c r="E151" s="151"/>
      <c r="F151" s="151"/>
      <c r="G151" s="151"/>
      <c r="H151" s="151"/>
      <c r="I151" s="151"/>
    </row>
    <row r="152" spans="2:11">
      <c r="B152" s="151"/>
      <c r="C152" s="151"/>
      <c r="D152" s="151"/>
      <c r="E152" s="151"/>
      <c r="F152" s="151"/>
      <c r="G152" s="151"/>
      <c r="H152" s="151"/>
      <c r="I152" s="151"/>
    </row>
    <row r="153" spans="2:11">
      <c r="B153" s="151"/>
      <c r="C153" s="151"/>
      <c r="D153" s="151"/>
      <c r="E153" s="151"/>
      <c r="F153" s="151"/>
      <c r="G153" s="151"/>
      <c r="H153" s="151"/>
      <c r="I153" s="151"/>
    </row>
    <row r="154" spans="2:11">
      <c r="B154" s="151"/>
      <c r="C154" s="151"/>
      <c r="D154" s="151"/>
      <c r="E154" s="151"/>
      <c r="F154" s="151"/>
      <c r="G154" s="151"/>
      <c r="H154" s="151"/>
      <c r="I154" s="151"/>
    </row>
  </sheetData>
  <sheetProtection formatColumns="0" formatRows="0" insertRows="0" autoFilter="0"/>
  <dataConsolidate/>
  <mergeCells count="13">
    <mergeCell ref="A13:A17"/>
    <mergeCell ref="E14:I14"/>
    <mergeCell ref="C16:E16"/>
    <mergeCell ref="A20:A27"/>
    <mergeCell ref="A28:A33"/>
    <mergeCell ref="B73:B75"/>
    <mergeCell ref="BQ34:CL34"/>
    <mergeCell ref="AL35:BG35"/>
    <mergeCell ref="BQ35:CL35"/>
    <mergeCell ref="A36:A61"/>
    <mergeCell ref="AL36:BG36"/>
    <mergeCell ref="BQ36:CL36"/>
    <mergeCell ref="AL34:BG34"/>
  </mergeCells>
  <conditionalFormatting sqref="B86">
    <cfRule type="expression" dxfId="13" priority="11">
      <formula>dms_Model="EB"</formula>
    </cfRule>
  </conditionalFormatting>
  <conditionalFormatting sqref="B88">
    <cfRule type="expression" dxfId="12" priority="12">
      <formula>dms_Model="CA"</formula>
    </cfRule>
  </conditionalFormatting>
  <conditionalFormatting sqref="B96">
    <cfRule type="expression" dxfId="11" priority="9">
      <formula>IF(OR(dms_Model="ARR",dms_Model="Reset"),"True")</formula>
    </cfRule>
  </conditionalFormatting>
  <conditionalFormatting sqref="B110">
    <cfRule type="expression" dxfId="10" priority="10">
      <formula>dms_Model="ARR"</formula>
    </cfRule>
  </conditionalFormatting>
  <conditionalFormatting sqref="B116">
    <cfRule type="expression" dxfId="9" priority="4">
      <formula>AND(dms_Model="Reset",dms_Segment="Transmission")</formula>
    </cfRule>
  </conditionalFormatting>
  <conditionalFormatting sqref="C25">
    <cfRule type="expression" dxfId="8" priority="14">
      <formula>SUM(dms_SingleYear_Model)&gt;0</formula>
    </cfRule>
  </conditionalFormatting>
  <conditionalFormatting sqref="C63">
    <cfRule type="cellIs" dxfId="7" priority="5" operator="equal">
      <formula>"YES"</formula>
    </cfRule>
  </conditionalFormatting>
  <conditionalFormatting sqref="C65">
    <cfRule type="expression" dxfId="6" priority="13">
      <formula>dms_MultiYear_Flag=1</formula>
    </cfRule>
  </conditionalFormatting>
  <conditionalFormatting sqref="C77">
    <cfRule type="cellIs" dxfId="5" priority="2" operator="greaterThan">
      <formula>0</formula>
    </cfRule>
  </conditionalFormatting>
  <conditionalFormatting sqref="C81 C84">
    <cfRule type="cellIs" dxfId="4" priority="3" operator="greaterThan">
      <formula>0</formula>
    </cfRule>
  </conditionalFormatting>
  <conditionalFormatting sqref="C94">
    <cfRule type="cellIs" dxfId="2" priority="8" operator="equal">
      <formula>"error"</formula>
    </cfRule>
  </conditionalFormatting>
  <conditionalFormatting sqref="C112">
    <cfRule type="cellIs" dxfId="1" priority="1" operator="equal">
      <formula>"no"</formula>
    </cfRule>
  </conditionalFormatting>
  <conditionalFormatting sqref="C133 C137">
    <cfRule type="cellIs" dxfId="0" priority="6" operator="equal">
      <formula>"YES"</formula>
    </cfRule>
  </conditionalFormatting>
  <dataValidations count="9">
    <dataValidation type="list" allowBlank="1" showInputMessage="1" showErrorMessage="1" sqref="C15" xr:uid="{AD68A6B8-2CBB-44D6-8C46-C27B8259F1B3}">
      <formula1>dms_Confid_status_List</formula1>
    </dataValidation>
    <dataValidation type="list" allowBlank="1" showInputMessage="1" showErrorMessage="1" sqref="C130 C137 C133" xr:uid="{2DF7BCE5-B6CE-46DB-9514-F1D5EEE2EC7F}">
      <formula1>"YES, NO"</formula1>
    </dataValidation>
    <dataValidation allowBlank="1" showInputMessage="1" showErrorMessage="1" prompt="If this is a MultiRYE historical ABC RIN then this value is set from the value specified in cell C75 - otherwise it is taken from the values calculated in FRCP_y5 (or whichever is last relevant year)." sqref="C85" xr:uid="{2A7F1317-679F-4C49-85C0-FEDE2F24A8E7}"/>
    <dataValidation type="list" allowBlank="1" showInputMessage="1" showErrorMessage="1" promptTitle="Model" prompt="Make sure corresponding Source type is correctly selected !!!_x000a__x000a_eg: ABC=Reporting, Reset=Regulatory proposal  etc" sqref="C12" xr:uid="{920B0C76-5A49-42E1-AAC2-C13E4B56B322}">
      <formula1>dms_Model_List</formula1>
    </dataValidation>
    <dataValidation type="list" allowBlank="1" showInputMessage="1" showErrorMessage="1" sqref="C14" xr:uid="{9299D243-3482-425C-88C2-B3DC5D5B8485}">
      <formula1>dms_DataQuality_List</formula1>
    </dataValidation>
    <dataValidation type="list" allowBlank="1" showInputMessage="1" showErrorMessage="1" sqref="C24" xr:uid="{6248E055-6EA5-4792-B0E3-F9A99DA67711}">
      <formula1>"Financial, Calendar, Other"</formula1>
    </dataValidation>
    <dataValidation type="list" allowBlank="1" showInputMessage="1" showErrorMessage="1" sqref="C26" xr:uid="{C44D2B07-07CC-46A6-B7EE-305645310C5B}">
      <formula1>"Public, Confidential"</formula1>
    </dataValidation>
    <dataValidation type="list" allowBlank="1" showInputMessage="1" showErrorMessage="1" sqref="C19 C63" xr:uid="{33F44015-A77C-44C9-A0E8-1DB43A3B1150}">
      <formula1>"Yes, No"</formula1>
    </dataValidation>
    <dataValidation type="list" allowBlank="1" showInputMessage="1" showErrorMessage="1" sqref="C13" xr:uid="{10C3264D-BA6D-4BBA-88BA-580F524A4048}">
      <formula1>dms_SourceList</formula1>
    </dataValidation>
  </dataValidations>
  <pageMargins left="0.25" right="0.25" top="0.75" bottom="0.75" header="0.3" footer="0.3"/>
  <pageSetup paperSize="9" scale="90" orientation="landscape" r:id="rId1"/>
  <extLst>
    <ext xmlns:x14="http://schemas.microsoft.com/office/spreadsheetml/2009/9/main" uri="{78C0D931-6437-407d-A8EE-F0AAD7539E65}">
      <x14:conditionalFormattings>
        <x14:conditionalFormatting xmlns:xm="http://schemas.microsoft.com/office/excel/2006/main">
          <x14:cfRule type="containsText" priority="7" operator="containsText" id="{CDFB6A11-6ADE-408F-A3C8-FDAFBAB8EB2A}">
            <xm:f>NOT(ISERROR(SEARCH("error - NR not present",C92)))</xm:f>
            <xm:f>"error - NR not present"</xm:f>
            <x14:dxf>
              <font>
                <color rgb="FF9C0006"/>
              </font>
              <fill>
                <patternFill>
                  <bgColor rgb="FFFFC7CE"/>
                </patternFill>
              </fill>
            </x14:dxf>
          </x14:cfRule>
          <xm:sqref>C92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367</vt:i4>
      </vt:variant>
    </vt:vector>
  </HeadingPairs>
  <TitlesOfParts>
    <vt:vector size="377" baseType="lpstr">
      <vt:lpstr>Contents</vt:lpstr>
      <vt:lpstr>Business &amp; other details</vt:lpstr>
      <vt:lpstr>Assurance requirements by table</vt:lpstr>
      <vt:lpstr>8.1LM Income statement</vt:lpstr>
      <vt:lpstr>3.3LM Assets</vt:lpstr>
      <vt:lpstr>8.4LM Operating expenditure</vt:lpstr>
      <vt:lpstr>AER CF</vt:lpstr>
      <vt:lpstr>AER NRs</vt:lpstr>
      <vt:lpstr>AER lookups</vt:lpstr>
      <vt:lpstr>AER ETL</vt:lpstr>
      <vt:lpstr>ARR</vt:lpstr>
      <vt:lpstr>ARR_Fmt2</vt:lpstr>
      <vt:lpstr>CA</vt:lpstr>
      <vt:lpstr>CA_Fmt2</vt:lpstr>
      <vt:lpstr>Calendar</vt:lpstr>
      <vt:lpstr>CESS</vt:lpstr>
      <vt:lpstr>CESS_Fmt2</vt:lpstr>
      <vt:lpstr>CPI</vt:lpstr>
      <vt:lpstr>CPI_Fmt2</vt:lpstr>
      <vt:lpstr>CRCP_final_year</vt:lpstr>
      <vt:lpstr>CRCP_start_year</vt:lpstr>
      <vt:lpstr>CRCP_y1</vt:lpstr>
      <vt:lpstr>CRCP_y10</vt:lpstr>
      <vt:lpstr>CRCP_y11</vt:lpstr>
      <vt:lpstr>CRCP_y12</vt:lpstr>
      <vt:lpstr>CRCP_y13</vt:lpstr>
      <vt:lpstr>CRCP_y14</vt:lpstr>
      <vt:lpstr>CRCP_y15</vt:lpstr>
      <vt:lpstr>CRCP_y16</vt:lpstr>
      <vt:lpstr>CRCP_y17</vt:lpstr>
      <vt:lpstr>CRCP_y18</vt:lpstr>
      <vt:lpstr>CRCP_y19</vt:lpstr>
      <vt:lpstr>CRCP_y2</vt:lpstr>
      <vt:lpstr>CRCP_y20</vt:lpstr>
      <vt:lpstr>CRCP_y21</vt:lpstr>
      <vt:lpstr>CRCP_y22</vt:lpstr>
      <vt:lpstr>CRCP_y23</vt:lpstr>
      <vt:lpstr>CRCP_y24</vt:lpstr>
      <vt:lpstr>CRCP_y25</vt:lpstr>
      <vt:lpstr>CRCP_y3</vt:lpstr>
      <vt:lpstr>CRCP_y4</vt:lpstr>
      <vt:lpstr>CRCP_y5</vt:lpstr>
      <vt:lpstr>CRCP_y6</vt:lpstr>
      <vt:lpstr>CRCP_y7</vt:lpstr>
      <vt:lpstr>CRCP_y8</vt:lpstr>
      <vt:lpstr>CRCP_y9</vt:lpstr>
      <vt:lpstr>CRY</vt:lpstr>
      <vt:lpstr>dms_020303_01_UOM</vt:lpstr>
      <vt:lpstr>dms_020501_01_UOM</vt:lpstr>
      <vt:lpstr>dms_020501_02_UOM</vt:lpstr>
      <vt:lpstr>dms_020501_03_UOM</vt:lpstr>
      <vt:lpstr>dms_020501_04_UOM</vt:lpstr>
      <vt:lpstr>dms_020603_01_UOM</vt:lpstr>
      <vt:lpstr>dms_020701_01_Rows</vt:lpstr>
      <vt:lpstr>dms_020701_01_UOM</vt:lpstr>
      <vt:lpstr>dms_020701_02_UOM</vt:lpstr>
      <vt:lpstr>dms_0306_Year</vt:lpstr>
      <vt:lpstr>dms_030601_01_UOM</vt:lpstr>
      <vt:lpstr>dms_030601_02_UOM</vt:lpstr>
      <vt:lpstr>dms_030605_UOM</vt:lpstr>
      <vt:lpstr>dms_03060703_UOM</vt:lpstr>
      <vt:lpstr>dms_030701_01_UOM</vt:lpstr>
      <vt:lpstr>dms_030702_01_UOM</vt:lpstr>
      <vt:lpstr>dms_030703_01_UOM</vt:lpstr>
      <vt:lpstr>dms_040102_01_UOM</vt:lpstr>
      <vt:lpstr>dms_040102_04_UOM</vt:lpstr>
      <vt:lpstr>dms_0502_Inst_Year</vt:lpstr>
      <vt:lpstr>dms_060101_Rows</vt:lpstr>
      <vt:lpstr>dms_060101_StartDateTxt</vt:lpstr>
      <vt:lpstr>dms_060101_StartDateVal</vt:lpstr>
      <vt:lpstr>dms_060102_Rows</vt:lpstr>
      <vt:lpstr>dms_0603_FeederList</vt:lpstr>
      <vt:lpstr>dms_060301_Avg_Duration_Sustained_Int_Row</vt:lpstr>
      <vt:lpstr>dms_060301_checkvalue</vt:lpstr>
      <vt:lpstr>dms_060301_CustNo_Affected_Row</vt:lpstr>
      <vt:lpstr>dms_060301_Effect_unplanned_SAIDI_Row</vt:lpstr>
      <vt:lpstr>dms_060301_Effect_unplanned_SAIFI_Row</vt:lpstr>
      <vt:lpstr>dms_060301_LastRow</vt:lpstr>
      <vt:lpstr>dms_060301_MaxRows</vt:lpstr>
      <vt:lpstr>dms_060701_ARR_MaxRows</vt:lpstr>
      <vt:lpstr>dms_060701_Feeder_Header_Lvl4</vt:lpstr>
      <vt:lpstr>dms_060701_MaxCols</vt:lpstr>
      <vt:lpstr>dms_060701_MaxRows</vt:lpstr>
      <vt:lpstr>dms_060701_OffsetRows</vt:lpstr>
      <vt:lpstr>dms_060701_Reset_MaxRows</vt:lpstr>
      <vt:lpstr>dms_060701_Rows</vt:lpstr>
      <vt:lpstr>dms_060701_StartDateTxt</vt:lpstr>
      <vt:lpstr>dms_060701_StartDateVal</vt:lpstr>
      <vt:lpstr>dms_0608_LastRow</vt:lpstr>
      <vt:lpstr>dms_0608_OffsetRows</vt:lpstr>
      <vt:lpstr>dms_060801_01_Rows</vt:lpstr>
      <vt:lpstr>dms_060801_02_Rows</vt:lpstr>
      <vt:lpstr>dms_060801_03_Rows</vt:lpstr>
      <vt:lpstr>dms_060801_04_Rows</vt:lpstr>
      <vt:lpstr>dms_060801_MaxRows</vt:lpstr>
      <vt:lpstr>dms_070904_01_Rows</vt:lpstr>
      <vt:lpstr>dms_070904_Start_Year</vt:lpstr>
      <vt:lpstr>dms_663</vt:lpstr>
      <vt:lpstr>dms_663_List</vt:lpstr>
      <vt:lpstr>dms_ABN_List</vt:lpstr>
      <vt:lpstr>dms_Addr1_List</vt:lpstr>
      <vt:lpstr>dms_Addr2_List</vt:lpstr>
      <vt:lpstr>dms_Amendment_Text</vt:lpstr>
      <vt:lpstr>dms_AmendmentReason</vt:lpstr>
      <vt:lpstr>dms_ARR</vt:lpstr>
      <vt:lpstr>dms_Beg</vt:lpstr>
      <vt:lpstr>dms_CA</vt:lpstr>
      <vt:lpstr>dms_Cal_Year_B4_CRY</vt:lpstr>
      <vt:lpstr>dms_CBD_flag</vt:lpstr>
      <vt:lpstr>dms_CBD_flag_NSP</vt:lpstr>
      <vt:lpstr>dms_CF_3.6.1</vt:lpstr>
      <vt:lpstr>dms_CF_3.6.5</vt:lpstr>
      <vt:lpstr>dms_CF_3.6.6.1</vt:lpstr>
      <vt:lpstr>dms_CF_3.6.6.2</vt:lpstr>
      <vt:lpstr>dms_CF_3.6.6.3</vt:lpstr>
      <vt:lpstr>dms_CF_3.6.7.1</vt:lpstr>
      <vt:lpstr>dms_CF_3.6.7.2</vt:lpstr>
      <vt:lpstr>dms_CF_3.6.7.3</vt:lpstr>
      <vt:lpstr>dms_CF_3.6.7.4</vt:lpstr>
      <vt:lpstr>dms_CF_3.6.8</vt:lpstr>
      <vt:lpstr>dms_CF_4.1</vt:lpstr>
      <vt:lpstr>dms_CF_4.4.1</vt:lpstr>
      <vt:lpstr>dms_CF_6.8</vt:lpstr>
      <vt:lpstr>dms_CF_7.12</vt:lpstr>
      <vt:lpstr>dms_CF_8.1_A</vt:lpstr>
      <vt:lpstr>dms_CF_8.1_B</vt:lpstr>
      <vt:lpstr>dms_CF_8.1_Neg</vt:lpstr>
      <vt:lpstr>dms_CF_F10</vt:lpstr>
      <vt:lpstr>dms_CF_TradingName</vt:lpstr>
      <vt:lpstr>dms_Classification</vt:lpstr>
      <vt:lpstr>dms_Confid_status_List</vt:lpstr>
      <vt:lpstr>dms_ContactEmail</vt:lpstr>
      <vt:lpstr>dms_ContactEmail2</vt:lpstr>
      <vt:lpstr>dms_ContactName1</vt:lpstr>
      <vt:lpstr>dms_ContactName2</vt:lpstr>
      <vt:lpstr>dms_ContactPh1</vt:lpstr>
      <vt:lpstr>dms_ContactPh2</vt:lpstr>
      <vt:lpstr>dms_CRCP_FinalYear_Result</vt:lpstr>
      <vt:lpstr>dms_CRCP_start_row</vt:lpstr>
      <vt:lpstr>dms_CRCPlength_List</vt:lpstr>
      <vt:lpstr>dms_CRCPlength_Num</vt:lpstr>
      <vt:lpstr>dms_CRY_RYE</vt:lpstr>
      <vt:lpstr>dms_CRY_start_row</vt:lpstr>
      <vt:lpstr>dms_CRY_start_year</vt:lpstr>
      <vt:lpstr>dms_DataQuality</vt:lpstr>
      <vt:lpstr>dms_DataQuality_List</vt:lpstr>
      <vt:lpstr>dms_Defined_Names_Used</vt:lpstr>
      <vt:lpstr>dms_DISCARD</vt:lpstr>
      <vt:lpstr>dms_DNSP_020301_ProjectTrigger</vt:lpstr>
      <vt:lpstr>dms_DNSP_020301_ProjectType</vt:lpstr>
      <vt:lpstr>dms_DNSP_020301_SubstationType</vt:lpstr>
      <vt:lpstr>dms_DNSP_020302_ProjectTrigger</vt:lpstr>
      <vt:lpstr>dms_DNSP_020302_ProjectType</vt:lpstr>
      <vt:lpstr>dms_DollarReal</vt:lpstr>
      <vt:lpstr>dms_DollarReal_Prev</vt:lpstr>
      <vt:lpstr>dms_DollarReal_year</vt:lpstr>
      <vt:lpstr>dms_DQ_1</vt:lpstr>
      <vt:lpstr>dms_DQ_2</vt:lpstr>
      <vt:lpstr>dms_E020202_UOM</vt:lpstr>
      <vt:lpstr>dms_E050201_UOM</vt:lpstr>
      <vt:lpstr>dms_E050202_UOM</vt:lpstr>
      <vt:lpstr>dms_EB</vt:lpstr>
      <vt:lpstr>dms_EB_RAB_PIT</vt:lpstr>
      <vt:lpstr>dms_End</vt:lpstr>
      <vt:lpstr>dms_FeederName_1</vt:lpstr>
      <vt:lpstr>dms_FeederName_2</vt:lpstr>
      <vt:lpstr>dms_FeederName_3</vt:lpstr>
      <vt:lpstr>dms_FeederName_4</vt:lpstr>
      <vt:lpstr>dms_FeederName_5</vt:lpstr>
      <vt:lpstr>dms_FeederType_5_flag</vt:lpstr>
      <vt:lpstr>dms_FifthFeeder_flag_NSP</vt:lpstr>
      <vt:lpstr>dms_FormControl</vt:lpstr>
      <vt:lpstr>dms_FormControl_Choices</vt:lpstr>
      <vt:lpstr>dms_FormControl_List</vt:lpstr>
      <vt:lpstr>dms_FRCP_start_row</vt:lpstr>
      <vt:lpstr>dms_FRCP_y1</vt:lpstr>
      <vt:lpstr>dms_FRCPlength_List</vt:lpstr>
      <vt:lpstr>dms_FRCPlength_Num</vt:lpstr>
      <vt:lpstr>dms_Header_Span</vt:lpstr>
      <vt:lpstr>dms_Jurisdiction</vt:lpstr>
      <vt:lpstr>dms_JurisdictionList</vt:lpstr>
      <vt:lpstr>dms_LeapYear_Result</vt:lpstr>
      <vt:lpstr>dms_LongRural_flag</vt:lpstr>
      <vt:lpstr>dms_LongRural_flag_NSP</vt:lpstr>
      <vt:lpstr>dms_MAIFI_Flag</vt:lpstr>
      <vt:lpstr>dms_MAIFI_flag_List</vt:lpstr>
      <vt:lpstr>dms_Mid</vt:lpstr>
      <vt:lpstr>dms_Model</vt:lpstr>
      <vt:lpstr>dms_Model_List</vt:lpstr>
      <vt:lpstr>dms_Model_Name_Format1</vt:lpstr>
      <vt:lpstr>dms_Model_Span</vt:lpstr>
      <vt:lpstr>dms_Model_Span_List</vt:lpstr>
      <vt:lpstr>dms_Multi_RYE_flag</vt:lpstr>
      <vt:lpstr>dms_MultiYear_ABC_RIN</vt:lpstr>
      <vt:lpstr>dms_MultiYear_FinalYear_Result</vt:lpstr>
      <vt:lpstr>dms_MultiYear_Flag</vt:lpstr>
      <vt:lpstr>dms_MultiYear_ResponseFlag</vt:lpstr>
      <vt:lpstr>dms_N0205_AssetType</vt:lpstr>
      <vt:lpstr>dms_PAddr1_List</vt:lpstr>
      <vt:lpstr>dms_PAddr2_List</vt:lpstr>
      <vt:lpstr>dms_Partial</vt:lpstr>
      <vt:lpstr>dms_PostCode</vt:lpstr>
      <vt:lpstr>dms_PostCode_List</vt:lpstr>
      <vt:lpstr>dms_PPostCode</vt:lpstr>
      <vt:lpstr>dms_PPostCode_List</vt:lpstr>
      <vt:lpstr>dms_PRCP_start_row</vt:lpstr>
      <vt:lpstr>dms_PRCPlength_List</vt:lpstr>
      <vt:lpstr>dms_PRCPlength_Num</vt:lpstr>
      <vt:lpstr>dms_Previous_DollarReal_year</vt:lpstr>
      <vt:lpstr>dms_PState_List</vt:lpstr>
      <vt:lpstr>dms_PSuburb_List</vt:lpstr>
      <vt:lpstr>dms_PTRM_RAB_PIT</vt:lpstr>
      <vt:lpstr>dms_PTRM_TAB_PIT</vt:lpstr>
      <vt:lpstr>dms_Public_Lighting</vt:lpstr>
      <vt:lpstr>dms_Public_Lighting_List</vt:lpstr>
      <vt:lpstr>dms_Reason_Interruption</vt:lpstr>
      <vt:lpstr>dms_Reset_final_year</vt:lpstr>
      <vt:lpstr>dms_Reset_RYE</vt:lpstr>
      <vt:lpstr>dms_Reset_Span</vt:lpstr>
      <vt:lpstr>dms_RPT</vt:lpstr>
      <vt:lpstr>dms_RPT_List</vt:lpstr>
      <vt:lpstr>dms_RPTMonth</vt:lpstr>
      <vt:lpstr>dms_RPTMonth_List</vt:lpstr>
      <vt:lpstr>dms_RYE</vt:lpstr>
      <vt:lpstr>dms_RYE_01</vt:lpstr>
      <vt:lpstr>dms_RYE_02</vt:lpstr>
      <vt:lpstr>dms_RYE_03</vt:lpstr>
      <vt:lpstr>dms_RYE_04</vt:lpstr>
      <vt:lpstr>dms_RYE_05</vt:lpstr>
      <vt:lpstr>dms_RYE_06</vt:lpstr>
      <vt:lpstr>dms_RYE_07</vt:lpstr>
      <vt:lpstr>dms_RYE_08</vt:lpstr>
      <vt:lpstr>dms_RYE_09</vt:lpstr>
      <vt:lpstr>dms_RYE_result</vt:lpstr>
      <vt:lpstr>dms_RYE_start_row</vt:lpstr>
      <vt:lpstr>dms_S140101_UOM</vt:lpstr>
      <vt:lpstr>dms_S140201_UOM</vt:lpstr>
      <vt:lpstr>dms_Sector</vt:lpstr>
      <vt:lpstr>dms_Sector_List</vt:lpstr>
      <vt:lpstr>dms_Segment</vt:lpstr>
      <vt:lpstr>dms_Segment_List</vt:lpstr>
      <vt:lpstr>dms_Selected_Quality</vt:lpstr>
      <vt:lpstr>dms_Selected_Source</vt:lpstr>
      <vt:lpstr>dms_Selected_Status</vt:lpstr>
      <vt:lpstr>dms_SheetHeading1</vt:lpstr>
      <vt:lpstr>dms_SheetHeading2</vt:lpstr>
      <vt:lpstr>dms_SheetHeading3</vt:lpstr>
      <vt:lpstr>dms_ShortRural_flag</vt:lpstr>
      <vt:lpstr>dms_ShortRural_flag_NSP</vt:lpstr>
      <vt:lpstr>dms_SingleYear_FinalYear_Result</vt:lpstr>
      <vt:lpstr>dms_SingleYear_Model</vt:lpstr>
      <vt:lpstr>dms_SingleYearModel</vt:lpstr>
      <vt:lpstr>dms_Source</vt:lpstr>
      <vt:lpstr>dms_SourceList</vt:lpstr>
      <vt:lpstr>dms_Specified_FinalYear</vt:lpstr>
      <vt:lpstr>dms_Specified_RYE</vt:lpstr>
      <vt:lpstr>dms_SpecifiedYear_final_year</vt:lpstr>
      <vt:lpstr>dms_SpecifiedYear_Span</vt:lpstr>
      <vt:lpstr>dms_start_year</vt:lpstr>
      <vt:lpstr>dms_State_List</vt:lpstr>
      <vt:lpstr>dms_STPIS_Exclusion_List</vt:lpstr>
      <vt:lpstr>dms_SubmissionDate</vt:lpstr>
      <vt:lpstr>dms_Suburb_List</vt:lpstr>
      <vt:lpstr>dms_TemplateNumber</vt:lpstr>
      <vt:lpstr>dms_TNSP_0203_ProjectTrigger</vt:lpstr>
      <vt:lpstr>dms_TNSP_0203_SubstationType</vt:lpstr>
      <vt:lpstr>dms_TNSP_020301_ProjectTrigger</vt:lpstr>
      <vt:lpstr>dms_TNSP_020301_ProjectType</vt:lpstr>
      <vt:lpstr>dms_TNSP_020302_ProjectType</vt:lpstr>
      <vt:lpstr>dms_TradingName</vt:lpstr>
      <vt:lpstr>dms_TradingName_List</vt:lpstr>
      <vt:lpstr>dms_TradingNameFull</vt:lpstr>
      <vt:lpstr>dms_TradingNameFull_List</vt:lpstr>
      <vt:lpstr>dms_Typed_Submission_Date</vt:lpstr>
      <vt:lpstr>dms_UID_List</vt:lpstr>
      <vt:lpstr>dms_Urban_flag</vt:lpstr>
      <vt:lpstr>dms_Urban_flag_NSP</vt:lpstr>
      <vt:lpstr>dms_Worksheet_List</vt:lpstr>
      <vt:lpstr>DMS_Xfactor</vt:lpstr>
      <vt:lpstr>dms_y1</vt:lpstr>
      <vt:lpstr>dms_y10</vt:lpstr>
      <vt:lpstr>dms_y11</vt:lpstr>
      <vt:lpstr>dms_y12</vt:lpstr>
      <vt:lpstr>dms_y13</vt:lpstr>
      <vt:lpstr>dms_y14</vt:lpstr>
      <vt:lpstr>dms_y15</vt:lpstr>
      <vt:lpstr>dms_y16</vt:lpstr>
      <vt:lpstr>dms_y17</vt:lpstr>
      <vt:lpstr>dms_y18</vt:lpstr>
      <vt:lpstr>dms_y19</vt:lpstr>
      <vt:lpstr>dms_y2</vt:lpstr>
      <vt:lpstr>dms_y20</vt:lpstr>
      <vt:lpstr>dms_y21</vt:lpstr>
      <vt:lpstr>dms_y22</vt:lpstr>
      <vt:lpstr>dms_y23</vt:lpstr>
      <vt:lpstr>dms_y24</vt:lpstr>
      <vt:lpstr>dms_y25</vt:lpstr>
      <vt:lpstr>dms_y26</vt:lpstr>
      <vt:lpstr>dms_y3</vt:lpstr>
      <vt:lpstr>dms_y4</vt:lpstr>
      <vt:lpstr>dms_y5</vt:lpstr>
      <vt:lpstr>dms_y6</vt:lpstr>
      <vt:lpstr>dms_y7</vt:lpstr>
      <vt:lpstr>dms_y8</vt:lpstr>
      <vt:lpstr>dms_y9</vt:lpstr>
      <vt:lpstr>EB</vt:lpstr>
      <vt:lpstr>EB_Fmt2</vt:lpstr>
      <vt:lpstr>Financial</vt:lpstr>
      <vt:lpstr>FRCP_final_year</vt:lpstr>
      <vt:lpstr>FRCP_start_year</vt:lpstr>
      <vt:lpstr>FRCP_y1</vt:lpstr>
      <vt:lpstr>FRCP_y10</vt:lpstr>
      <vt:lpstr>FRCP_y11</vt:lpstr>
      <vt:lpstr>FRCP_y12</vt:lpstr>
      <vt:lpstr>FRCP_y13</vt:lpstr>
      <vt:lpstr>FRCP_y14</vt:lpstr>
      <vt:lpstr>FRCP_y15</vt:lpstr>
      <vt:lpstr>FRCP_y16</vt:lpstr>
      <vt:lpstr>FRCP_y17</vt:lpstr>
      <vt:lpstr>FRCP_y18</vt:lpstr>
      <vt:lpstr>FRCP_y19</vt:lpstr>
      <vt:lpstr>FRCP_y2</vt:lpstr>
      <vt:lpstr>FRCP_y20</vt:lpstr>
      <vt:lpstr>FRCP_y21</vt:lpstr>
      <vt:lpstr>FRCP_y22</vt:lpstr>
      <vt:lpstr>FRCP_y23</vt:lpstr>
      <vt:lpstr>FRCP_y24</vt:lpstr>
      <vt:lpstr>FRCP_y25</vt:lpstr>
      <vt:lpstr>FRCP_y3</vt:lpstr>
      <vt:lpstr>FRCP_y4</vt:lpstr>
      <vt:lpstr>FRCP_y5</vt:lpstr>
      <vt:lpstr>FRCP_y6</vt:lpstr>
      <vt:lpstr>FRCP_y7</vt:lpstr>
      <vt:lpstr>FRCP_y8</vt:lpstr>
      <vt:lpstr>FRCP_y9</vt:lpstr>
      <vt:lpstr>FRY</vt:lpstr>
      <vt:lpstr>JurisdictionList</vt:lpstr>
      <vt:lpstr>PRCP_final_year</vt:lpstr>
      <vt:lpstr>PRCP_start_year</vt:lpstr>
      <vt:lpstr>PRCP_y1</vt:lpstr>
      <vt:lpstr>PRCP_y10</vt:lpstr>
      <vt:lpstr>PRCP_y11</vt:lpstr>
      <vt:lpstr>PRCP_y12</vt:lpstr>
      <vt:lpstr>PRCP_y13</vt:lpstr>
      <vt:lpstr>PRCP_y14</vt:lpstr>
      <vt:lpstr>PRCP_y15</vt:lpstr>
      <vt:lpstr>PRCP_y16</vt:lpstr>
      <vt:lpstr>PRCP_y17</vt:lpstr>
      <vt:lpstr>PRCP_y18</vt:lpstr>
      <vt:lpstr>PRCP_y19</vt:lpstr>
      <vt:lpstr>PRCP_y2</vt:lpstr>
      <vt:lpstr>PRCP_y20</vt:lpstr>
      <vt:lpstr>PRCP_y21</vt:lpstr>
      <vt:lpstr>PRCP_y22</vt:lpstr>
      <vt:lpstr>PRCP_y23</vt:lpstr>
      <vt:lpstr>PRCP_y24</vt:lpstr>
      <vt:lpstr>PRCP_y25</vt:lpstr>
      <vt:lpstr>PRCP_y3</vt:lpstr>
      <vt:lpstr>PRCP_y4</vt:lpstr>
      <vt:lpstr>PRCP_y5</vt:lpstr>
      <vt:lpstr>PRCP_y6</vt:lpstr>
      <vt:lpstr>PRCP_y7</vt:lpstr>
      <vt:lpstr>PRCP_y8</vt:lpstr>
      <vt:lpstr>PRCP_y9</vt:lpstr>
      <vt:lpstr>Pricing</vt:lpstr>
      <vt:lpstr>Pricing_Fmt2</vt:lpstr>
      <vt:lpstr>PTRM</vt:lpstr>
      <vt:lpstr>PTRM_Fmt2</vt:lpstr>
      <vt:lpstr>Reset</vt:lpstr>
      <vt:lpstr>Reset_Fmt2</vt:lpstr>
      <vt:lpstr>Reset_outputs</vt:lpstr>
      <vt:lpstr>RFM</vt:lpstr>
      <vt:lpstr>RFM_Fmt2</vt:lpstr>
      <vt:lpstr>Sector</vt:lpstr>
      <vt:lpstr>Segment</vt:lpstr>
      <vt:lpstr>WACC</vt:lpstr>
      <vt:lpstr>WACC_Fmt2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dcterms:created xsi:type="dcterms:W3CDTF">2025-01-31T02:57:05Z</dcterms:created>
  <dcterms:modified xsi:type="dcterms:W3CDTF">2025-01-31T03:12:59Z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2025-01-31T03:11:28Z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1b4323bc-8ff5-49d0-a7f7-08ef32b78a88</vt:lpwstr>
  </property>
  <property fmtid="{D5CDD505-2E9C-101B-9397-08002B2CF9AE}" pid="8" name="MSIP_Label_d9d5a995-dfdf-4407-9a97-edbbc68c9f53_ContentBits">
    <vt:lpwstr>0</vt:lpwstr>
  </property>
</Properties>
</file>