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vised Proposal documentation/Attachments/6. Opex/"/>
    </mc:Choice>
  </mc:AlternateContent>
  <xr:revisionPtr revIDLastSave="372" documentId="8_{F8398C02-A10D-46BC-8FE1-4213E7873301}" xr6:coauthVersionLast="47" xr6:coauthVersionMax="47" xr10:uidLastSave="{C1E33852-344D-480A-8375-A4286EF14DC9}"/>
  <bookViews>
    <workbookView xWindow="-14295" yWindow="-16395" windowWidth="29040" windowHeight="15720" tabRatio="804" xr2:uid="{00000000-000D-0000-FFFF-FFFF00000000}"/>
  </bookViews>
  <sheets>
    <sheet name="Index" sheetId="1" r:id="rId1"/>
    <sheet name="SAPowerNetworksAmendments" sheetId="6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Output|Decomposition" sheetId="60" r:id="rId10"/>
    <sheet name="Lookup|Tables" sheetId="4" r:id="rId11"/>
    <sheet name="Check|List" sheetId="16" r:id="rId12"/>
  </sheets>
  <definedNames>
    <definedName name="BaseYear">'Input|General'!$G$11</definedName>
    <definedName name="dollars">'Lookup|Tables'!$G$17</definedName>
    <definedName name="Drc">'Input|Step changes'!$G$399</definedName>
    <definedName name="Dv">'Input|Step changes'!$G$385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53" l="1"/>
  <c r="O98" i="42" l="1"/>
  <c r="C78" i="42" l="1"/>
  <c r="C79" i="42"/>
  <c r="C80" i="42"/>
  <c r="C81" i="42"/>
  <c r="C82" i="42"/>
  <c r="C83" i="42"/>
  <c r="C84" i="42"/>
  <c r="C85" i="42"/>
  <c r="C86" i="42"/>
  <c r="C87" i="42"/>
  <c r="E83" i="42"/>
  <c r="E82" i="42"/>
  <c r="E81" i="42"/>
  <c r="E80" i="42"/>
  <c r="E20" i="53"/>
  <c r="E19" i="53"/>
  <c r="E18" i="53"/>
  <c r="E17" i="53"/>
  <c r="H21" i="55" l="1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88" i="55"/>
  <c r="H85" i="55"/>
  <c r="H86" i="55"/>
  <c r="H87" i="55"/>
  <c r="H76" i="55" l="1"/>
  <c r="V85" i="55"/>
  <c r="V86" i="55"/>
  <c r="V87" i="55"/>
  <c r="V88" i="55"/>
  <c r="H80" i="55" l="1"/>
  <c r="W36" i="53"/>
  <c r="W35" i="53"/>
  <c r="W34" i="53"/>
  <c r="W23" i="53"/>
  <c r="W24" i="53"/>
  <c r="M93" i="2"/>
  <c r="L93" i="2"/>
  <c r="X93" i="2" s="1"/>
  <c r="K93" i="2"/>
  <c r="J93" i="2"/>
  <c r="V64" i="58"/>
  <c r="V65" i="58"/>
  <c r="V66" i="58"/>
  <c r="V67" i="58"/>
  <c r="V55" i="58"/>
  <c r="H81" i="55" l="1"/>
  <c r="H84" i="55"/>
  <c r="I85" i="55"/>
  <c r="I86" i="55"/>
  <c r="V54" i="58"/>
  <c r="V53" i="58"/>
  <c r="V52" i="58"/>
  <c r="V45" i="58"/>
  <c r="V44" i="58"/>
  <c r="V43" i="58"/>
  <c r="V20" i="58"/>
  <c r="V21" i="58"/>
  <c r="V22" i="58"/>
  <c r="V23" i="58"/>
  <c r="V24" i="58"/>
  <c r="V25" i="58"/>
  <c r="V26" i="58"/>
  <c r="V27" i="58"/>
  <c r="B2" i="55"/>
  <c r="I87" i="55" l="1"/>
  <c r="I88" i="55"/>
  <c r="T40" i="2" l="1"/>
  <c r="S40" i="2"/>
  <c r="R40" i="2"/>
  <c r="Q40" i="2"/>
  <c r="P40" i="2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115" i="2"/>
  <c r="P67" i="42" s="1"/>
  <c r="C7" i="4"/>
  <c r="S15" i="54"/>
  <c r="F44" i="53"/>
  <c r="E36" i="53"/>
  <c r="E35" i="53"/>
  <c r="E34" i="53"/>
  <c r="E33" i="53"/>
  <c r="E32" i="53"/>
  <c r="F36" i="53"/>
  <c r="F35" i="53"/>
  <c r="F34" i="53"/>
  <c r="E24" i="53"/>
  <c r="E23" i="53"/>
  <c r="E22" i="53"/>
  <c r="E21" i="53"/>
  <c r="E16" i="53"/>
  <c r="E15" i="53"/>
  <c r="E14" i="53"/>
  <c r="E13" i="53"/>
  <c r="E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E69" i="58"/>
  <c r="E28" i="42" s="1"/>
  <c r="E67" i="58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7" i="42" s="1"/>
  <c r="L4" i="42"/>
  <c r="L107" i="42" s="1"/>
  <c r="M4" i="42"/>
  <c r="M43" i="42" s="1"/>
  <c r="N4" i="42"/>
  <c r="N107" i="42" s="1"/>
  <c r="O4" i="42"/>
  <c r="O107" i="42" s="1"/>
  <c r="P4" i="42"/>
  <c r="P58" i="42" s="1"/>
  <c r="Q4" i="42"/>
  <c r="Q107" i="42" s="1"/>
  <c r="R4" i="42"/>
  <c r="R107" i="42" s="1"/>
  <c r="S4" i="42"/>
  <c r="S107" i="42" s="1"/>
  <c r="T4" i="42"/>
  <c r="T95" i="42" s="1"/>
  <c r="J4" i="58"/>
  <c r="J10" i="58" s="1"/>
  <c r="F8" i="42"/>
  <c r="E18" i="44"/>
  <c r="C18" i="44"/>
  <c r="C100" i="42"/>
  <c r="E100" i="42"/>
  <c r="C101" i="42"/>
  <c r="E101" i="42"/>
  <c r="E16" i="44"/>
  <c r="C15" i="44"/>
  <c r="C16" i="44"/>
  <c r="C17" i="44"/>
  <c r="C99" i="42"/>
  <c r="C98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42" i="53" s="1"/>
  <c r="T46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6" i="53" s="1"/>
  <c r="R4" i="53"/>
  <c r="R42" i="53" s="1"/>
  <c r="R46" i="53" s="1"/>
  <c r="Q4" i="53"/>
  <c r="Q42" i="53" s="1"/>
  <c r="Q46" i="53" s="1"/>
  <c r="P4" i="53"/>
  <c r="O4" i="53"/>
  <c r="O42" i="53" s="1"/>
  <c r="O46" i="53" s="1"/>
  <c r="N4" i="53"/>
  <c r="N10" i="53" s="1"/>
  <c r="N26" i="53" s="1"/>
  <c r="M4" i="53"/>
  <c r="M42" i="53" s="1"/>
  <c r="M46" i="53" s="1"/>
  <c r="L4" i="53"/>
  <c r="L42" i="53" s="1"/>
  <c r="L46" i="53" s="1"/>
  <c r="K4" i="53"/>
  <c r="J4" i="53"/>
  <c r="J42" i="53" s="1"/>
  <c r="J46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P23" i="42"/>
  <c r="O12" i="42"/>
  <c r="O43" i="42"/>
  <c r="S8" i="54"/>
  <c r="C49" i="42"/>
  <c r="C50" i="42" s="1"/>
  <c r="C46" i="42"/>
  <c r="C47" i="42" s="1"/>
  <c r="C43" i="42"/>
  <c r="C44" i="42" s="1"/>
  <c r="C40" i="42"/>
  <c r="C41" i="42" s="1"/>
  <c r="F37" i="42"/>
  <c r="C37" i="42"/>
  <c r="C38" i="42" s="1"/>
  <c r="F12" i="42"/>
  <c r="V75" i="2"/>
  <c r="E49" i="42"/>
  <c r="C2" i="58"/>
  <c r="C1" i="58"/>
  <c r="E21" i="42"/>
  <c r="E23" i="42"/>
  <c r="E17" i="44"/>
  <c r="E15" i="44"/>
  <c r="E14" i="44"/>
  <c r="C13" i="44"/>
  <c r="C14" i="44"/>
  <c r="E109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14" i="42"/>
  <c r="M95" i="42"/>
  <c r="E50" i="42"/>
  <c r="E47" i="42"/>
  <c r="E44" i="42"/>
  <c r="E41" i="42"/>
  <c r="E38" i="42"/>
  <c r="E91" i="42"/>
  <c r="E111" i="42"/>
  <c r="C97" i="42"/>
  <c r="E54" i="42"/>
  <c r="E52" i="42"/>
  <c r="E13" i="42"/>
  <c r="E15" i="42"/>
  <c r="E13" i="44"/>
  <c r="E110" i="42"/>
  <c r="E17" i="42"/>
  <c r="E77" i="42"/>
  <c r="E78" i="42"/>
  <c r="E79" i="42"/>
  <c r="E84" i="42"/>
  <c r="E85" i="42"/>
  <c r="E86" i="42"/>
  <c r="E87" i="42"/>
  <c r="E88" i="42"/>
  <c r="E89" i="42"/>
  <c r="E97" i="42"/>
  <c r="E98" i="42"/>
  <c r="E99" i="42"/>
  <c r="E103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12" i="42" s="1"/>
  <c r="M57" i="58"/>
  <c r="K19" i="42" l="1"/>
  <c r="S37" i="42"/>
  <c r="R95" i="42"/>
  <c r="J95" i="42"/>
  <c r="P43" i="42"/>
  <c r="K31" i="42"/>
  <c r="K111" i="42"/>
  <c r="S14" i="42"/>
  <c r="S31" i="42"/>
  <c r="K12" i="42"/>
  <c r="K110" i="42"/>
  <c r="K109" i="42"/>
  <c r="S43" i="42"/>
  <c r="S33" i="42"/>
  <c r="S40" i="42"/>
  <c r="S19" i="42"/>
  <c r="S75" i="42"/>
  <c r="K40" i="42"/>
  <c r="P21" i="42"/>
  <c r="T75" i="42"/>
  <c r="R49" i="42"/>
  <c r="R37" i="42"/>
  <c r="R19" i="42"/>
  <c r="R10" i="42"/>
  <c r="L19" i="42"/>
  <c r="S95" i="42"/>
  <c r="K16" i="42"/>
  <c r="S49" i="42"/>
  <c r="S21" i="42"/>
  <c r="S16" i="42"/>
  <c r="K49" i="42"/>
  <c r="S23" i="42"/>
  <c r="K95" i="42"/>
  <c r="S46" i="42"/>
  <c r="S10" i="42"/>
  <c r="L49" i="42"/>
  <c r="S12" i="42"/>
  <c r="S35" i="42"/>
  <c r="L75" i="42"/>
  <c r="R16" i="42"/>
  <c r="R12" i="42"/>
  <c r="R14" i="42"/>
  <c r="R46" i="42"/>
  <c r="R21" i="42"/>
  <c r="R43" i="42"/>
  <c r="R23" i="42"/>
  <c r="T109" i="42"/>
  <c r="R31" i="42"/>
  <c r="L43" i="42"/>
  <c r="R33" i="42"/>
  <c r="R75" i="42"/>
  <c r="R40" i="42"/>
  <c r="L109" i="42"/>
  <c r="L40" i="42"/>
  <c r="L111" i="42"/>
  <c r="F17" i="44"/>
  <c r="L12" i="42"/>
  <c r="T111" i="42"/>
  <c r="S23" i="60" s="1"/>
  <c r="L110" i="42"/>
  <c r="L37" i="42"/>
  <c r="T110" i="42"/>
  <c r="L46" i="42"/>
  <c r="L16" i="42"/>
  <c r="L23" i="42"/>
  <c r="L95" i="42"/>
  <c r="L10" i="42"/>
  <c r="F24" i="42"/>
  <c r="F83" i="42"/>
  <c r="F80" i="42"/>
  <c r="F82" i="42"/>
  <c r="F81" i="42"/>
  <c r="R10" i="53"/>
  <c r="R26" i="53" s="1"/>
  <c r="O21" i="42"/>
  <c r="J34" i="58"/>
  <c r="M14" i="42"/>
  <c r="P16" i="42"/>
  <c r="P75" i="42"/>
  <c r="M49" i="2"/>
  <c r="M60" i="2" s="1"/>
  <c r="R30" i="53"/>
  <c r="R38" i="53" s="1"/>
  <c r="P12" i="42"/>
  <c r="P95" i="42"/>
  <c r="P40" i="42"/>
  <c r="M24" i="2"/>
  <c r="J10" i="53"/>
  <c r="P49" i="42"/>
  <c r="Q95" i="42"/>
  <c r="E19" i="42"/>
  <c r="P10" i="42"/>
  <c r="J30" i="53"/>
  <c r="J38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5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91" i="42"/>
  <c r="N75" i="42"/>
  <c r="F109" i="42"/>
  <c r="F19" i="58"/>
  <c r="F41" i="42"/>
  <c r="F20" i="58"/>
  <c r="F13" i="42"/>
  <c r="F15" i="42"/>
  <c r="N95" i="42"/>
  <c r="F79" i="42"/>
  <c r="F97" i="42"/>
  <c r="P49" i="2"/>
  <c r="P60" i="2" s="1"/>
  <c r="P75" i="2"/>
  <c r="N12" i="42"/>
  <c r="F35" i="42"/>
  <c r="L21" i="42"/>
  <c r="F100" i="42"/>
  <c r="F98" i="42"/>
  <c r="N40" i="42"/>
  <c r="F101" i="42"/>
  <c r="F17" i="42"/>
  <c r="F84" i="42"/>
  <c r="N46" i="42"/>
  <c r="Q34" i="58"/>
  <c r="F33" i="42"/>
  <c r="F85" i="42"/>
  <c r="F99" i="42"/>
  <c r="F44" i="42"/>
  <c r="F47" i="42"/>
  <c r="F86" i="42"/>
  <c r="F103" i="42"/>
  <c r="N10" i="42"/>
  <c r="N19" i="42"/>
  <c r="F26" i="42"/>
  <c r="F29" i="42"/>
  <c r="N16" i="42"/>
  <c r="F20" i="42"/>
  <c r="F13" i="44"/>
  <c r="F87" i="42"/>
  <c r="F110" i="42"/>
  <c r="N21" i="42"/>
  <c r="F21" i="58"/>
  <c r="N49" i="42"/>
  <c r="F38" i="42"/>
  <c r="F50" i="42"/>
  <c r="F88" i="42"/>
  <c r="F111" i="42"/>
  <c r="F14" i="44"/>
  <c r="N43" i="42"/>
  <c r="N37" i="42"/>
  <c r="N23" i="42"/>
  <c r="F31" i="42"/>
  <c r="L14" i="42"/>
  <c r="F52" i="42"/>
  <c r="N14" i="42"/>
  <c r="F77" i="42"/>
  <c r="F89" i="42"/>
  <c r="F15" i="44"/>
  <c r="M10" i="53"/>
  <c r="M26" i="53" s="1"/>
  <c r="M30" i="53"/>
  <c r="M38" i="53" s="1"/>
  <c r="N30" i="53"/>
  <c r="N38" i="53" s="1"/>
  <c r="S24" i="2"/>
  <c r="S10" i="2"/>
  <c r="S12" i="2" s="1"/>
  <c r="O10" i="53"/>
  <c r="O26" i="53" s="1"/>
  <c r="T10" i="53"/>
  <c r="T26" i="53" s="1"/>
  <c r="O30" i="53"/>
  <c r="O38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P22" i="60"/>
  <c r="J75" i="42"/>
  <c r="M113" i="2"/>
  <c r="M117" i="2" s="1"/>
  <c r="J14" i="2"/>
  <c r="L14" i="2"/>
  <c r="N10" i="58"/>
  <c r="N28" i="42" s="1"/>
  <c r="Q12" i="42"/>
  <c r="Q9" i="60"/>
  <c r="Q22" i="60"/>
  <c r="J107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11" i="42"/>
  <c r="M36" i="2"/>
  <c r="M47" i="2" s="1"/>
  <c r="J10" i="2"/>
  <c r="J12" i="2" s="1"/>
  <c r="J12" i="42"/>
  <c r="Q19" i="42"/>
  <c r="J21" i="42"/>
  <c r="J61" i="58"/>
  <c r="N9" i="60"/>
  <c r="N22" i="60"/>
  <c r="J110" i="42"/>
  <c r="Q10" i="42"/>
  <c r="J40" i="42"/>
  <c r="Q31" i="42"/>
  <c r="L49" i="2"/>
  <c r="L60" i="2" s="1"/>
  <c r="Q21" i="42"/>
  <c r="J23" i="42"/>
  <c r="M9" i="60"/>
  <c r="M22" i="60"/>
  <c r="F25" i="58"/>
  <c r="J109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7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6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42" i="53"/>
  <c r="N46" i="53" s="1"/>
  <c r="K35" i="42"/>
  <c r="U75" i="2"/>
  <c r="K58" i="42"/>
  <c r="R58" i="42"/>
  <c r="R65" i="42" s="1" a="1"/>
  <c r="R65" i="42" s="1"/>
  <c r="T107" i="42"/>
  <c r="Q36" i="2"/>
  <c r="Q47" i="2" s="1"/>
  <c r="Q64" i="2"/>
  <c r="Q73" i="2" s="1"/>
  <c r="R10" i="58"/>
  <c r="R28" i="42" s="1"/>
  <c r="F15" i="58"/>
  <c r="K13" i="44"/>
  <c r="S30" i="53"/>
  <c r="S38" i="53" s="1"/>
  <c r="R35" i="42"/>
  <c r="T58" i="42"/>
  <c r="T71" i="42" s="1" a="1"/>
  <c r="T71" i="42" s="1"/>
  <c r="F22" i="58"/>
  <c r="K14" i="44"/>
  <c r="K46" i="42"/>
  <c r="Q113" i="2"/>
  <c r="Q117" i="2" s="1"/>
  <c r="S42" i="53"/>
  <c r="S46" i="53" s="1"/>
  <c r="O75" i="2"/>
  <c r="K33" i="42"/>
  <c r="R34" i="58"/>
  <c r="L30" i="53"/>
  <c r="L38" i="53" s="1"/>
  <c r="K14" i="42"/>
  <c r="K18" i="44"/>
  <c r="K10" i="42"/>
  <c r="Q24" i="2"/>
  <c r="Q10" i="2"/>
  <c r="Q12" i="2" s="1"/>
  <c r="Q14" i="2"/>
  <c r="O61" i="58"/>
  <c r="O10" i="58"/>
  <c r="O34" i="58"/>
  <c r="P42" i="53"/>
  <c r="P46" i="53" s="1"/>
  <c r="P10" i="53"/>
  <c r="P26" i="53" s="1"/>
  <c r="P30" i="53"/>
  <c r="P38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30" i="53"/>
  <c r="K38" i="53" s="1"/>
  <c r="K10" i="53"/>
  <c r="K26" i="53" s="1"/>
  <c r="K42" i="53"/>
  <c r="K46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7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30" i="53"/>
  <c r="T38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6" i="53" s="1"/>
  <c r="T113" i="2"/>
  <c r="T117" i="2" s="1"/>
  <c r="P24" i="2"/>
  <c r="T10" i="2"/>
  <c r="T12" i="2" s="1"/>
  <c r="L75" i="2"/>
  <c r="O14" i="2"/>
  <c r="K16" i="44"/>
  <c r="J18" i="44"/>
  <c r="O36" i="2"/>
  <c r="O47" i="2" s="1"/>
  <c r="Q30" i="53"/>
  <c r="Q38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W33" i="53" l="1"/>
  <c r="J26" i="53"/>
  <c r="W26" i="53" s="1"/>
  <c r="W17" i="53"/>
  <c r="W19" i="53"/>
  <c r="W18" i="53"/>
  <c r="W20" i="53"/>
  <c r="W13" i="53"/>
  <c r="W12" i="53"/>
  <c r="W14" i="53"/>
  <c r="W21" i="53"/>
  <c r="W15" i="53"/>
  <c r="W16" i="53"/>
  <c r="W22" i="53"/>
  <c r="W32" i="53"/>
  <c r="J28" i="42"/>
  <c r="V63" i="58"/>
  <c r="L68" i="42" a="1"/>
  <c r="L68" i="42" s="1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8" i="53"/>
  <c r="O9" i="60"/>
  <c r="O22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12" i="60"/>
  <c r="L13" i="60"/>
  <c r="L22" i="60"/>
  <c r="L21" i="60"/>
  <c r="L20" i="60"/>
  <c r="L19" i="60"/>
  <c r="L18" i="60"/>
  <c r="L17" i="60"/>
  <c r="L16" i="60"/>
  <c r="L15" i="60"/>
  <c r="L14" i="60"/>
  <c r="L11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6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S1" i="58" l="1"/>
  <c r="G12" i="16" s="1"/>
  <c r="U22" i="60"/>
  <c r="P70" i="42"/>
  <c r="R61" i="42"/>
  <c r="S61" i="42"/>
  <c r="Q61" i="42"/>
  <c r="O61" i="42"/>
  <c r="S1" i="53"/>
  <c r="G14" i="16" s="1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AA22" i="60" l="1"/>
  <c r="Z22" i="60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J29" i="42"/>
  <c r="T29" i="42"/>
  <c r="Q47" i="42"/>
  <c r="J47" i="42"/>
  <c r="N101" i="42"/>
  <c r="N18" i="44" s="1"/>
  <c r="K100" i="42"/>
  <c r="T47" i="42"/>
  <c r="N41" i="42"/>
  <c r="O99" i="42"/>
  <c r="O16" i="44" s="1"/>
  <c r="P29" i="42"/>
  <c r="L101" i="42"/>
  <c r="R47" i="42"/>
  <c r="O41" i="42"/>
  <c r="S98" i="42"/>
  <c r="S15" i="44" s="1"/>
  <c r="L29" i="42"/>
  <c r="N47" i="42"/>
  <c r="Q29" i="42"/>
  <c r="P47" i="42"/>
  <c r="P101" i="42"/>
  <c r="P18" i="44" s="1"/>
  <c r="Q101" i="42"/>
  <c r="Q18" i="44" s="1"/>
  <c r="O44" i="42"/>
  <c r="L44" i="42"/>
  <c r="M100" i="42"/>
  <c r="M17" i="44" s="1"/>
  <c r="L98" i="42"/>
  <c r="L41" i="42"/>
  <c r="N50" i="42"/>
  <c r="L50" i="42"/>
  <c r="R101" i="42"/>
  <c r="R18" i="44" s="1"/>
  <c r="J44" i="42"/>
  <c r="S50" i="42"/>
  <c r="S101" i="42"/>
  <c r="S18" i="44" s="1"/>
  <c r="K44" i="42"/>
  <c r="L100" i="42"/>
  <c r="M29" i="42"/>
  <c r="R50" i="42"/>
  <c r="P98" i="42"/>
  <c r="P15" i="44" s="1"/>
  <c r="K47" i="42"/>
  <c r="S29" i="42"/>
  <c r="T101" i="42"/>
  <c r="N29" i="42"/>
  <c r="R44" i="42"/>
  <c r="S44" i="42"/>
  <c r="R98" i="42"/>
  <c r="R15" i="44" s="1"/>
  <c r="K98" i="42"/>
  <c r="T100" i="42"/>
  <c r="O100" i="42"/>
  <c r="O17" i="44" s="1"/>
  <c r="O29" i="42"/>
  <c r="J101" i="42"/>
  <c r="P100" i="42"/>
  <c r="P17" i="44" s="1"/>
  <c r="M98" i="42"/>
  <c r="M15" i="44" s="1"/>
  <c r="M47" i="42"/>
  <c r="M41" i="42"/>
  <c r="Q44" i="42"/>
  <c r="M101" i="42"/>
  <c r="M18" i="44" s="1"/>
  <c r="R29" i="42"/>
  <c r="N44" i="42"/>
  <c r="K101" i="42"/>
  <c r="M50" i="42"/>
  <c r="M44" i="42"/>
  <c r="O101" i="42"/>
  <c r="O18" i="44" s="1"/>
  <c r="P44" i="42"/>
  <c r="N98" i="42"/>
  <c r="N15" i="44" s="1"/>
  <c r="Q98" i="42"/>
  <c r="Q15" i="44" s="1"/>
  <c r="N99" i="42"/>
  <c r="N16" i="44" s="1"/>
  <c r="R100" i="42"/>
  <c r="R17" i="44" s="1"/>
  <c r="J17" i="2"/>
  <c r="J27" i="2" s="1"/>
  <c r="S100" i="42"/>
  <c r="S17" i="44" s="1"/>
  <c r="N100" i="42"/>
  <c r="N17" i="44" s="1"/>
  <c r="T41" i="42"/>
  <c r="R41" i="42"/>
  <c r="T50" i="42"/>
  <c r="L47" i="42"/>
  <c r="K50" i="42"/>
  <c r="Q99" i="42"/>
  <c r="Q16" i="44" s="1"/>
  <c r="O50" i="42"/>
  <c r="K99" i="42"/>
  <c r="S47" i="42"/>
  <c r="M99" i="42"/>
  <c r="Q50" i="42"/>
  <c r="Q100" i="42"/>
  <c r="Q17" i="44" s="1"/>
  <c r="J100" i="42"/>
  <c r="S99" i="42"/>
  <c r="S16" i="44" s="1"/>
  <c r="O47" i="42"/>
  <c r="T44" i="42"/>
  <c r="P41" i="42"/>
  <c r="J26" i="2"/>
  <c r="J98" i="42"/>
  <c r="O15" i="44"/>
  <c r="K41" i="42"/>
  <c r="T99" i="42"/>
  <c r="P50" i="42"/>
  <c r="Q41" i="42"/>
  <c r="L99" i="42"/>
  <c r="J99" i="42"/>
  <c r="P99" i="42"/>
  <c r="P16" i="44" s="1"/>
  <c r="R99" i="42"/>
  <c r="R16" i="44" s="1"/>
  <c r="S41" i="42"/>
  <c r="J50" i="42"/>
  <c r="T98" i="42"/>
  <c r="J41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M13" i="60" l="1"/>
  <c r="M14" i="60"/>
  <c r="P13" i="60"/>
  <c r="O13" i="60"/>
  <c r="R13" i="60"/>
  <c r="N13" i="60"/>
  <c r="Q13" i="60"/>
  <c r="M16" i="44"/>
  <c r="K28" i="2"/>
  <c r="L27" i="2"/>
  <c r="L26" i="2"/>
  <c r="U13" i="60" l="1"/>
  <c r="AA13" i="60" l="1"/>
  <c r="Z13" i="60"/>
  <c r="L31" i="42" l="1"/>
  <c r="L35" i="42" l="1"/>
  <c r="L33" i="42"/>
  <c r="M110" i="42" l="1"/>
  <c r="M111" i="42" s="1"/>
  <c r="M109" i="42"/>
  <c r="M13" i="44" s="1"/>
  <c r="I71" i="55" l="1"/>
  <c r="V71" i="55" s="1"/>
  <c r="I72" i="55" l="1"/>
  <c r="V72" i="55" s="1"/>
  <c r="I76" i="55" l="1"/>
  <c r="V76" i="55" s="1"/>
  <c r="I84" i="55" l="1"/>
  <c r="I80" i="55"/>
  <c r="V80" i="55" s="1"/>
  <c r="H75" i="55" l="1"/>
  <c r="I75" i="55" s="1"/>
  <c r="V75" i="55" s="1"/>
  <c r="H73" i="55"/>
  <c r="I73" i="55" s="1"/>
  <c r="V73" i="55" s="1"/>
  <c r="H74" i="55"/>
  <c r="I74" i="55" s="1"/>
  <c r="H78" i="55" l="1"/>
  <c r="H79" i="55" s="1"/>
  <c r="I79" i="55" s="1"/>
  <c r="V79" i="55" s="1"/>
  <c r="V74" i="55"/>
  <c r="M12" i="2"/>
  <c r="I78" i="55" l="1"/>
  <c r="N12" i="2" s="1"/>
  <c r="M20" i="2" s="1"/>
  <c r="H82" i="55"/>
  <c r="H77" i="55" s="1"/>
  <c r="I81" i="55" s="1"/>
  <c r="V81" i="55" s="1"/>
  <c r="M18" i="2"/>
  <c r="M28" i="2" s="1"/>
  <c r="M29" i="2"/>
  <c r="L19" i="2"/>
  <c r="M16" i="2"/>
  <c r="M26" i="2" s="1"/>
  <c r="M17" i="2"/>
  <c r="M27" i="2" s="1"/>
  <c r="V78" i="55"/>
  <c r="I77" i="55" l="1"/>
  <c r="V77" i="55" s="1"/>
  <c r="H83" i="55"/>
  <c r="I83" i="55" s="1"/>
  <c r="I82" i="55"/>
  <c r="V82" i="55" s="1"/>
  <c r="N19" i="2"/>
  <c r="N29" i="2" s="1"/>
  <c r="N30" i="2"/>
  <c r="N17" i="2"/>
  <c r="N27" i="2" s="1"/>
  <c r="N18" i="2"/>
  <c r="N28" i="2" s="1"/>
  <c r="K19" i="2"/>
  <c r="L29" i="2"/>
  <c r="N16" i="2"/>
  <c r="N26" i="2" s="1"/>
  <c r="L20" i="2"/>
  <c r="M30" i="2"/>
  <c r="V1" i="55" l="1"/>
  <c r="G11" i="16" s="1"/>
  <c r="S1" i="16" s="1"/>
  <c r="V1" i="4" s="1"/>
  <c r="O12" i="2"/>
  <c r="O20" i="2" s="1"/>
  <c r="O30" i="2" s="1"/>
  <c r="K29" i="2"/>
  <c r="J19" i="2"/>
  <c r="J29" i="2" s="1"/>
  <c r="L30" i="2"/>
  <c r="K20" i="2"/>
  <c r="X1" i="2" l="1"/>
  <c r="V1" i="58"/>
  <c r="Y1" i="60"/>
  <c r="W1" i="42"/>
  <c r="W1" i="44"/>
  <c r="V1" i="53"/>
  <c r="V1" i="54"/>
  <c r="Y1" i="55"/>
  <c r="O16" i="2"/>
  <c r="O26" i="2" s="1"/>
  <c r="O18" i="2"/>
  <c r="O31" i="2"/>
  <c r="N20" i="42" s="1"/>
  <c r="N21" i="2"/>
  <c r="O17" i="2"/>
  <c r="O27" i="2" s="1"/>
  <c r="O19" i="2"/>
  <c r="O29" i="2" s="1"/>
  <c r="J17" i="42"/>
  <c r="N17" i="42"/>
  <c r="M22" i="42"/>
  <c r="S17" i="42"/>
  <c r="N15" i="42"/>
  <c r="P17" i="42"/>
  <c r="R17" i="42"/>
  <c r="P22" i="42"/>
  <c r="N13" i="42"/>
  <c r="N26" i="42" s="1"/>
  <c r="S24" i="42"/>
  <c r="O24" i="42"/>
  <c r="O22" i="42"/>
  <c r="O15" i="42"/>
  <c r="K22" i="42"/>
  <c r="Q15" i="42"/>
  <c r="N22" i="42"/>
  <c r="M17" i="42"/>
  <c r="R22" i="42"/>
  <c r="Q22" i="42"/>
  <c r="J15" i="42"/>
  <c r="P24" i="42"/>
  <c r="T17" i="42"/>
  <c r="K24" i="42"/>
  <c r="N24" i="42"/>
  <c r="T15" i="42"/>
  <c r="T24" i="42"/>
  <c r="R15" i="42"/>
  <c r="L24" i="42"/>
  <c r="M24" i="42"/>
  <c r="L15" i="42"/>
  <c r="J24" i="42"/>
  <c r="K17" i="42"/>
  <c r="O17" i="42"/>
  <c r="S15" i="42"/>
  <c r="P15" i="42"/>
  <c r="L22" i="42"/>
  <c r="T22" i="42"/>
  <c r="Q17" i="42"/>
  <c r="R24" i="42"/>
  <c r="K15" i="42"/>
  <c r="Q24" i="42"/>
  <c r="O28" i="2"/>
  <c r="O87" i="42"/>
  <c r="N82" i="42"/>
  <c r="P79" i="42"/>
  <c r="Q84" i="42"/>
  <c r="Q87" i="42"/>
  <c r="L83" i="42"/>
  <c r="P78" i="42"/>
  <c r="J81" i="42"/>
  <c r="O80" i="42"/>
  <c r="L82" i="42"/>
  <c r="Q78" i="42"/>
  <c r="K83" i="42"/>
  <c r="R82" i="42"/>
  <c r="P85" i="42"/>
  <c r="R83" i="42"/>
  <c r="P87" i="42"/>
  <c r="O79" i="42"/>
  <c r="M83" i="42"/>
  <c r="N81" i="42"/>
  <c r="O86" i="42"/>
  <c r="O83" i="42"/>
  <c r="S84" i="42"/>
  <c r="P80" i="42"/>
  <c r="Q81" i="42"/>
  <c r="R84" i="42"/>
  <c r="P86" i="42"/>
  <c r="J82" i="42"/>
  <c r="R80" i="42"/>
  <c r="T83" i="42"/>
  <c r="Q80" i="42"/>
  <c r="Q86" i="42"/>
  <c r="S87" i="42"/>
  <c r="M82" i="42"/>
  <c r="O82" i="42"/>
  <c r="R85" i="42"/>
  <c r="O84" i="42"/>
  <c r="O78" i="42"/>
  <c r="R78" i="42"/>
  <c r="S81" i="42"/>
  <c r="T82" i="42"/>
  <c r="S85" i="42"/>
  <c r="S78" i="42"/>
  <c r="J83" i="42"/>
  <c r="M81" i="42"/>
  <c r="P81" i="42"/>
  <c r="O85" i="42"/>
  <c r="S86" i="42"/>
  <c r="S83" i="42"/>
  <c r="S80" i="42"/>
  <c r="P82" i="42"/>
  <c r="R79" i="42"/>
  <c r="Q83" i="42"/>
  <c r="K81" i="42"/>
  <c r="K82" i="42"/>
  <c r="Q82" i="42"/>
  <c r="O81" i="42"/>
  <c r="Q79" i="42"/>
  <c r="R86" i="42"/>
  <c r="Q85" i="42"/>
  <c r="S82" i="42"/>
  <c r="P84" i="42"/>
  <c r="R87" i="42"/>
  <c r="N83" i="42"/>
  <c r="T81" i="42"/>
  <c r="L81" i="42"/>
  <c r="R81" i="42"/>
  <c r="S79" i="42"/>
  <c r="P83" i="42"/>
  <c r="T87" i="42"/>
  <c r="P97" i="42"/>
  <c r="R77" i="42"/>
  <c r="K87" i="42"/>
  <c r="Q88" i="42"/>
  <c r="M79" i="42"/>
  <c r="S89" i="42"/>
  <c r="N89" i="42"/>
  <c r="P77" i="42"/>
  <c r="O38" i="42"/>
  <c r="O52" i="42" s="1"/>
  <c r="O54" i="42" s="1"/>
  <c r="Q97" i="42"/>
  <c r="J88" i="42"/>
  <c r="N38" i="42"/>
  <c r="J79" i="42"/>
  <c r="R88" i="42"/>
  <c r="L87" i="42"/>
  <c r="Q89" i="42"/>
  <c r="N79" i="42"/>
  <c r="S38" i="42"/>
  <c r="S52" i="42" s="1"/>
  <c r="S54" i="42" s="1"/>
  <c r="N85" i="42"/>
  <c r="S97" i="42"/>
  <c r="O97" i="42"/>
  <c r="M77" i="42"/>
  <c r="O88" i="42"/>
  <c r="P88" i="42"/>
  <c r="R38" i="42"/>
  <c r="R52" i="42" s="1"/>
  <c r="R54" i="42" s="1"/>
  <c r="J77" i="42"/>
  <c r="J89" i="42"/>
  <c r="N87" i="42"/>
  <c r="P89" i="42"/>
  <c r="J97" i="42"/>
  <c r="M97" i="42"/>
  <c r="J38" i="42"/>
  <c r="J84" i="42"/>
  <c r="L79" i="42"/>
  <c r="L38" i="42"/>
  <c r="Q38" i="42"/>
  <c r="Q52" i="42" s="1"/>
  <c r="Q54" i="42" s="1"/>
  <c r="J87" i="42"/>
  <c r="R97" i="42"/>
  <c r="M85" i="42"/>
  <c r="N77" i="42"/>
  <c r="T38" i="42"/>
  <c r="N78" i="42"/>
  <c r="M87" i="42"/>
  <c r="L86" i="42"/>
  <c r="Q77" i="42"/>
  <c r="K84" i="42"/>
  <c r="M88" i="42"/>
  <c r="K88" i="42"/>
  <c r="N84" i="42"/>
  <c r="T85" i="42"/>
  <c r="T84" i="42"/>
  <c r="K77" i="42"/>
  <c r="T79" i="42"/>
  <c r="P38" i="42"/>
  <c r="P52" i="42" s="1"/>
  <c r="P54" i="42" s="1"/>
  <c r="M86" i="42"/>
  <c r="K97" i="42"/>
  <c r="K103" i="42" s="1"/>
  <c r="L97" i="42"/>
  <c r="L103" i="42" s="1"/>
  <c r="N86" i="42"/>
  <c r="O89" i="42"/>
  <c r="T88" i="42"/>
  <c r="M89" i="42"/>
  <c r="N88" i="42"/>
  <c r="M38" i="42"/>
  <c r="M78" i="42"/>
  <c r="J86" i="42"/>
  <c r="J78" i="42"/>
  <c r="T78" i="42"/>
  <c r="K85" i="42"/>
  <c r="N97" i="42"/>
  <c r="L89" i="42"/>
  <c r="L85" i="42"/>
  <c r="L88" i="42"/>
  <c r="K89" i="42"/>
  <c r="L78" i="42"/>
  <c r="K38" i="42"/>
  <c r="K52" i="42" s="1"/>
  <c r="K54" i="42" s="1"/>
  <c r="R89" i="42"/>
  <c r="S77" i="42"/>
  <c r="J85" i="42"/>
  <c r="T89" i="42"/>
  <c r="L84" i="42"/>
  <c r="K78" i="42"/>
  <c r="O77" i="42"/>
  <c r="T77" i="42"/>
  <c r="L77" i="42"/>
  <c r="K86" i="42"/>
  <c r="K79" i="42"/>
  <c r="M84" i="42"/>
  <c r="S88" i="42"/>
  <c r="T86" i="42"/>
  <c r="T97" i="42"/>
  <c r="T103" i="42" s="1"/>
  <c r="M31" i="42"/>
  <c r="J20" i="2"/>
  <c r="J30" i="2" s="1"/>
  <c r="K30" i="2"/>
  <c r="S22" i="42" l="1"/>
  <c r="L17" i="42"/>
  <c r="M15" i="42"/>
  <c r="N31" i="42" s="1"/>
  <c r="R15" i="60" s="1"/>
  <c r="J22" i="42"/>
  <c r="N31" i="2"/>
  <c r="M21" i="2"/>
  <c r="R91" i="42"/>
  <c r="Q20" i="60" s="1"/>
  <c r="N91" i="42"/>
  <c r="M20" i="60" s="1"/>
  <c r="R14" i="60"/>
  <c r="P14" i="60"/>
  <c r="N14" i="60"/>
  <c r="O14" i="60"/>
  <c r="J52" i="42"/>
  <c r="J54" i="42" s="1"/>
  <c r="Q14" i="60"/>
  <c r="P91" i="42"/>
  <c r="O20" i="60" s="1"/>
  <c r="O91" i="42"/>
  <c r="N20" i="60" s="1"/>
  <c r="M14" i="44"/>
  <c r="M103" i="42"/>
  <c r="R14" i="44"/>
  <c r="R103" i="42"/>
  <c r="Q21" i="60" s="1"/>
  <c r="J103" i="42"/>
  <c r="M91" i="42"/>
  <c r="J91" i="42"/>
  <c r="S91" i="42"/>
  <c r="R20" i="60" s="1"/>
  <c r="N14" i="44"/>
  <c r="N103" i="42"/>
  <c r="M21" i="60" s="1"/>
  <c r="Q91" i="42"/>
  <c r="P20" i="60" s="1"/>
  <c r="O14" i="44"/>
  <c r="O103" i="42"/>
  <c r="N21" i="60" s="1"/>
  <c r="Q14" i="44"/>
  <c r="Q103" i="42"/>
  <c r="P21" i="60" s="1"/>
  <c r="K91" i="42"/>
  <c r="S14" i="44"/>
  <c r="S103" i="42"/>
  <c r="R21" i="60" s="1"/>
  <c r="P14" i="44"/>
  <c r="P103" i="42"/>
  <c r="O21" i="60" s="1"/>
  <c r="L91" i="42"/>
  <c r="T91" i="42"/>
  <c r="L52" i="42"/>
  <c r="L54" i="42" s="1"/>
  <c r="M15" i="60"/>
  <c r="M31" i="2" l="1"/>
  <c r="L21" i="2"/>
  <c r="M13" i="42"/>
  <c r="M20" i="42"/>
  <c r="P15" i="60"/>
  <c r="Q15" i="60"/>
  <c r="N15" i="60"/>
  <c r="O15" i="60"/>
  <c r="U14" i="60"/>
  <c r="U21" i="60"/>
  <c r="U20" i="60"/>
  <c r="M26" i="42" l="1"/>
  <c r="L31" i="2"/>
  <c r="K21" i="2"/>
  <c r="L13" i="42"/>
  <c r="L26" i="42" s="1"/>
  <c r="L20" i="42"/>
  <c r="U15" i="60"/>
  <c r="Z15" i="60" s="1"/>
  <c r="AA14" i="60"/>
  <c r="Z14" i="60"/>
  <c r="AA20" i="60"/>
  <c r="Z20" i="60"/>
  <c r="Z21" i="60"/>
  <c r="AA21" i="60"/>
  <c r="J21" i="2" l="1"/>
  <c r="J31" i="2" s="1"/>
  <c r="K31" i="2"/>
  <c r="K13" i="42"/>
  <c r="K26" i="42" s="1"/>
  <c r="K20" i="42"/>
  <c r="AA15" i="60"/>
  <c r="M11" i="60"/>
  <c r="M33" i="42"/>
  <c r="M52" i="42" s="1"/>
  <c r="M35" i="42"/>
  <c r="M16" i="60" s="1"/>
  <c r="J20" i="42" l="1"/>
  <c r="N35" i="42" s="1"/>
  <c r="R16" i="60" s="1"/>
  <c r="J13" i="42"/>
  <c r="J26" i="42" s="1"/>
  <c r="M54" i="42"/>
  <c r="O16" i="60" l="1"/>
  <c r="P16" i="60"/>
  <c r="N16" i="60"/>
  <c r="Q16" i="60"/>
  <c r="N11" i="60"/>
  <c r="Q11" i="60"/>
  <c r="R11" i="60"/>
  <c r="P11" i="60"/>
  <c r="O11" i="60"/>
  <c r="N33" i="42"/>
  <c r="M12" i="60"/>
  <c r="U16" i="60" l="1"/>
  <c r="Z16" i="60" s="1"/>
  <c r="U11" i="60"/>
  <c r="N52" i="42"/>
  <c r="N109" i="42"/>
  <c r="N13" i="44" s="1"/>
  <c r="N110" i="42"/>
  <c r="N111" i="42" s="1"/>
  <c r="M19" i="60"/>
  <c r="M18" i="60"/>
  <c r="M17" i="60"/>
  <c r="AA16" i="60" l="1"/>
  <c r="O12" i="60"/>
  <c r="Q12" i="60"/>
  <c r="P12" i="60"/>
  <c r="R12" i="60"/>
  <c r="N54" i="42"/>
  <c r="N12" i="60"/>
  <c r="Y11" i="60"/>
  <c r="U12" i="60" l="1"/>
  <c r="P17" i="60"/>
  <c r="N19" i="60"/>
  <c r="R19" i="60"/>
  <c r="Q110" i="42"/>
  <c r="R17" i="60"/>
  <c r="R18" i="60"/>
  <c r="O109" i="42"/>
  <c r="S110" i="42"/>
  <c r="O17" i="60"/>
  <c r="S109" i="42"/>
  <c r="P109" i="42"/>
  <c r="Q18" i="60"/>
  <c r="Q17" i="60"/>
  <c r="N18" i="60"/>
  <c r="P19" i="60"/>
  <c r="R109" i="42"/>
  <c r="O110" i="42"/>
  <c r="Q109" i="42"/>
  <c r="P110" i="42"/>
  <c r="O18" i="60"/>
  <c r="Q19" i="60"/>
  <c r="R110" i="42"/>
  <c r="O19" i="60"/>
  <c r="P18" i="60"/>
  <c r="N17" i="60"/>
  <c r="S13" i="44" l="1"/>
  <c r="Q13" i="44"/>
  <c r="P13" i="44"/>
  <c r="R13" i="44"/>
  <c r="S111" i="42"/>
  <c r="Q111" i="42"/>
  <c r="P111" i="42"/>
  <c r="R111" i="42"/>
  <c r="O111" i="42"/>
  <c r="O13" i="44"/>
  <c r="U17" i="60"/>
  <c r="AA17" i="60" s="1"/>
  <c r="X17" i="60" s="1"/>
  <c r="U18" i="60"/>
  <c r="U19" i="60"/>
  <c r="X13" i="60"/>
  <c r="AA12" i="60"/>
  <c r="X12" i="60" s="1"/>
  <c r="Z12" i="60"/>
  <c r="X14" i="60"/>
  <c r="X16" i="60"/>
  <c r="X15" i="60"/>
  <c r="Q23" i="60" l="1"/>
  <c r="O23" i="60"/>
  <c r="P23" i="60"/>
  <c r="R23" i="60"/>
  <c r="N23" i="60"/>
  <c r="X22" i="60"/>
  <c r="X21" i="60"/>
  <c r="Z17" i="60"/>
  <c r="Z18" i="60"/>
  <c r="AA18" i="60"/>
  <c r="X18" i="60" s="1"/>
  <c r="AA19" i="60"/>
  <c r="X19" i="60" s="1"/>
  <c r="Z19" i="60"/>
  <c r="X20" i="60"/>
  <c r="U23" i="60" l="1"/>
  <c r="V19" i="60" s="1"/>
  <c r="V15" i="60"/>
  <c r="V21" i="60"/>
  <c r="V18" i="60"/>
  <c r="V14" i="60"/>
  <c r="V13" i="60"/>
  <c r="Y23" i="60"/>
  <c r="V23" i="60"/>
  <c r="V12" i="60"/>
  <c r="V20" i="60"/>
  <c r="V16" i="60" l="1"/>
  <c r="V22" i="60"/>
  <c r="V17" i="60"/>
</calcChain>
</file>

<file path=xl/sharedStrings.xml><?xml version="1.0" encoding="utf-8"?>
<sst xmlns="http://schemas.openxmlformats.org/spreadsheetml/2006/main" count="879" uniqueCount="290">
  <si>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</si>
  <si>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</si>
  <si>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</si>
  <si>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</si>
  <si>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</si>
  <si>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</si>
  <si>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</si>
  <si>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</si>
  <si>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</si>
  <si>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</si>
  <si>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</si>
  <si>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</si>
  <si>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</si>
  <si>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</si>
  <si>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</si>
  <si>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</si>
  <si>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</si>
  <si>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</si>
  <si>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</si>
  <si>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</si>
  <si>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</si>
  <si>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</si>
  <si>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</si>
  <si>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</si>
  <si>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</si>
  <si>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</si>
  <si>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</si>
  <si>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</si>
  <si>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</si>
  <si>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</si>
  <si>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</si>
  <si>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</si>
  <si>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</si>
  <si>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</si>
  <si>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</si>
  <si>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</si>
  <si>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</si>
  <si>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</si>
  <si>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</si>
  <si>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</si>
  <si>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</si>
  <si>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</si>
  <si>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</si>
  <si>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</si>
  <si>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</si>
  <si>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</si>
  <si>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</si>
  <si>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</si>
  <si>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</si>
  <si>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</si>
  <si>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</si>
  <si>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</si>
  <si>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</si>
  <si>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</si>
  <si>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</si>
  <si>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</si>
  <si>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</si>
  <si>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</si>
  <si>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</si>
  <si>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</si>
  <si>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</si>
  <si>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</si>
  <si>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</si>
  <si>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</si>
  <si>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</si>
  <si>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</si>
  <si>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</si>
  <si>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</si>
  <si>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</si>
  <si>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</si>
  <si>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</si>
  <si>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</si>
  <si>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</si>
  <si>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</si>
  <si>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</si>
  <si>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</si>
  <si>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</si>
  <si>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</si>
  <si>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</si>
  <si>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</si>
  <si>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</si>
  <si>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</si>
  <si>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</si>
  <si>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</si>
  <si>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</si>
  <si>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</si>
  <si>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</si>
  <si>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</si>
  <si>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</si>
  <si>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</si>
  <si>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</si>
  <si>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</si>
  <si>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</si>
  <si>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</si>
  <si>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</si>
  <si>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</si>
  <si>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</si>
  <si>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</si>
  <si>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</si>
  <si>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</si>
  <si>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</si>
  <si>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</si>
  <si>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</si>
  <si>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</si>
  <si>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</si>
  <si>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</si>
  <si>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</si>
  <si>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</si>
  <si>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</si>
  <si>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</si>
  <si>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</si>
  <si>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</si>
  <si>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</si>
  <si>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</si>
  <si>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</si>
  <si>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</si>
  <si>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</si>
  <si>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</si>
  <si>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</si>
  <si>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</si>
  <si>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</si>
  <si>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</si>
  <si>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</si>
  <si>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</si>
  <si>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</si>
  <si>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</si>
  <si>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</si>
  <si>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</si>
  <si>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</si>
  <si>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</si>
  <si>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</si>
  <si>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</si>
  <si>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</si>
  <si>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</si>
  <si>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</si>
  <si>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</si>
  <si>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</si>
  <si>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</si>
  <si>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</si>
  <si>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</si>
  <si>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</si>
  <si>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</si>
  <si>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</si>
  <si>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</si>
  <si>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</si>
  <si>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</si>
  <si>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</si>
  <si>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</si>
  <si>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</si>
  <si>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</si>
  <si>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</si>
  <si>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</si>
  <si>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</si>
  <si>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</si>
  <si>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</si>
  <si>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</si>
  <si>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</si>
  <si>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</si>
  <si>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</si>
  <si>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</si>
  <si>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</si>
  <si>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</si>
  <si>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</si>
  <si>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</si>
  <si>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</si>
  <si>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</si>
  <si>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</si>
  <si>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</si>
  <si>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</si>
  <si>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</si>
  <si>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</si>
  <si>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</si>
  <si>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</si>
  <si>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</si>
  <si>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</si>
  <si>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</si>
  <si>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</si>
  <si>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</si>
  <si>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</si>
  <si>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</si>
  <si>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</si>
  <si>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</si>
  <si>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</si>
  <si>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</si>
  <si>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</si>
  <si>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</si>
  <si>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</si>
  <si>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</si>
  <si>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</si>
  <si>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</si>
  <si>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</si>
  <si>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</si>
  <si>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</si>
  <si>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</si>
  <si>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</si>
  <si>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</si>
  <si>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</si>
  <si>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</si>
  <si>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</si>
  <si>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</si>
  <si>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</si>
  <si>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</si>
  <si>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</si>
  <si>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</si>
  <si>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</si>
  <si>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</si>
  <si>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</si>
  <si>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</si>
  <si>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</si>
  <si>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</si>
  <si>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</si>
  <si>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</si>
  <si>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</si>
  <si>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</si>
  <si>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</si>
  <si>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</si>
  <si>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</si>
  <si>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</si>
  <si>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</si>
  <si>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</si>
  <si>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</si>
  <si>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</si>
  <si>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</si>
  <si>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</si>
  <si>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</si>
  <si>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</si>
  <si>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</si>
  <si>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</si>
  <si>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</si>
  <si>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</si>
  <si>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Estimate: RBA, Statement on monetary policy (SoMP), August 2023. Update for the most recent SoMP available.</t>
  </si>
  <si>
    <t>AER opex model v2.3</t>
  </si>
  <si>
    <t>SAPN</t>
  </si>
  <si>
    <t>SaaS</t>
  </si>
  <si>
    <t>WPI - BIS Oxford</t>
  </si>
  <si>
    <t>Cyber Security Uplift</t>
  </si>
  <si>
    <t>Smart Meter Rollout - IT upgrades</t>
  </si>
  <si>
    <t>IT Infrastructure Refresh</t>
  </si>
  <si>
    <t xml:space="preserve">Operationalising Cyber Security </t>
  </si>
  <si>
    <t>CER Compliance</t>
  </si>
  <si>
    <t>CER Integration</t>
  </si>
  <si>
    <t>Network Visability</t>
  </si>
  <si>
    <t>Increases to Insurance Premiums</t>
  </si>
  <si>
    <t>Network Program Uplift</t>
  </si>
  <si>
    <t>Reliability Improvements</t>
  </si>
  <si>
    <t>Transitioning to Electric Vehicles</t>
  </si>
  <si>
    <t>Enactment of the Small Compensation Claims Regime</t>
  </si>
  <si>
    <t>Innovation fund</t>
  </si>
  <si>
    <t>WPI - Deloitte Access Economics</t>
  </si>
  <si>
    <t/>
  </si>
  <si>
    <t>ok</t>
  </si>
  <si>
    <t>a</t>
  </si>
  <si>
    <t>`</t>
  </si>
  <si>
    <t>Amendments made by SA Power Networks</t>
  </si>
  <si>
    <t>Tab</t>
  </si>
  <si>
    <t>Cell reference</t>
  </si>
  <si>
    <t>Comment</t>
  </si>
  <si>
    <t>Input|Reported opex</t>
  </si>
  <si>
    <t>J13:N13</t>
  </si>
  <si>
    <t>Updated total opex to reflect the revocation and substitution decision that amended operating expenditure and Murray river flood cost pass through</t>
  </si>
  <si>
    <t>Updated debt raising costs to as an approved category specific forecast</t>
  </si>
  <si>
    <t>J19:N19</t>
  </si>
  <si>
    <t>M41</t>
  </si>
  <si>
    <t>J41:L41</t>
  </si>
  <si>
    <t>M37</t>
  </si>
  <si>
    <t>N37</t>
  </si>
  <si>
    <t>Updated total opex to reflect audited actuals</t>
  </si>
  <si>
    <t xml:space="preserve">Updated total opex to reflect latest forecast </t>
  </si>
  <si>
    <t>Updated movement in provisions to correct for positive and negative signage</t>
  </si>
  <si>
    <t>Updated movement in provision to reflect actuals</t>
  </si>
  <si>
    <t>N69</t>
  </si>
  <si>
    <t>Updated non-efficiency gain in base year to exclude non-recurrent costs from the base year</t>
  </si>
  <si>
    <t>Input|Rate of change</t>
  </si>
  <si>
    <t>P39:T39</t>
  </si>
  <si>
    <t>Updated wage price growth forecast from BIS Oxford to reflect the latest information</t>
  </si>
  <si>
    <t>O66:T68</t>
  </si>
  <si>
    <t xml:space="preserve">Updated output measures to incorporate the latest data from SA Power Networks Regulatory Information Notice and AEMO's 2024 Electricity Statement of Opportunities </t>
  </si>
  <si>
    <t>J86:M86</t>
  </si>
  <si>
    <t>Updated the output elasticities to reflect the AER's 2023 Benchmarking report based on their new preferred approach controlling for differences in capitalisation.</t>
  </si>
  <si>
    <t>Input|Step changes</t>
  </si>
  <si>
    <t>O13:S13</t>
  </si>
  <si>
    <t>Update to Smart Meter Roll - IT Upgrades to reflect latest forecast</t>
  </si>
  <si>
    <t>O20:S13</t>
  </si>
  <si>
    <t>Update Network Program Uplift to reflect $0 as the latest forecast</t>
  </si>
  <si>
    <t>O32:S32</t>
  </si>
  <si>
    <t xml:space="preserve">Update of the Enactment of the Small Compensation Claims Regime to $0 </t>
  </si>
  <si>
    <t>O33:S33</t>
  </si>
  <si>
    <t>O44:S44</t>
  </si>
  <si>
    <t>Update of the Innovation fund to reflect the latest forecast in 2025 $</t>
  </si>
  <si>
    <t>Update of the Debt raising costs to reflect the latest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</si>
</sst>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  <numFmt numFmtId="212" formatCode="_-* #,##0.000000_-;\-* #,##0.000000_-;_-* &quot;-&quot;??_-;_-@_-"/>
    <numFmt numFmtId="213" formatCode="0.00000000"/>
    <numFmt numFmtId="214" formatCode="0.000000"/>
    <numFmt numFmtId="215" formatCode="_-* #,##0.00000000_-;\-* #,##0.00000000_-;_-* &quot;-&quot;??_-;_-@_-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4" fontId="13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5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0" fontId="2" fillId="0" borderId="0"/>
    <xf numFmtId="164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4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4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6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8" fillId="39" borderId="4" xfId="0" applyFont="1" applyFill="1" applyBorder="1" applyAlignment="1">
      <alignment vertical="center"/>
    </xf>
    <xf numFmtId="166" fontId="78" fillId="39" borderId="4" xfId="0" applyNumberFormat="1" applyFont="1" applyFill="1" applyBorder="1" applyAlignment="1">
      <alignment horizontal="center" wrapText="1"/>
    </xf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4" fontId="0" fillId="0" borderId="0" xfId="0" applyNumberForma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Border="1" applyAlignment="1">
      <alignment horizontal="left" indent="1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4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ill="1" applyBorder="1" applyAlignment="1" applyProtection="1">
      <alignment horizontal="left" indent="1"/>
      <protection locked="0"/>
    </xf>
    <xf numFmtId="168" fontId="0" fillId="0" borderId="0" xfId="0" applyNumberForma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6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ill="1" applyBorder="1" applyAlignment="1" applyProtection="1">
      <alignment horizontal="left" indent="1"/>
      <protection locked="0"/>
    </xf>
    <xf numFmtId="168" fontId="0" fillId="41" borderId="3" xfId="0" applyNumberForma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4" fontId="1" fillId="0" borderId="0" xfId="305" applyNumberFormat="1"/>
    <xf numFmtId="2" fontId="1" fillId="0" borderId="0" xfId="305" applyNumberFormat="1"/>
    <xf numFmtId="164" fontId="94" fillId="0" borderId="0" xfId="305" applyNumberFormat="1" applyFont="1" applyAlignment="1">
      <alignment horizontal="right"/>
    </xf>
    <xf numFmtId="0" fontId="15" fillId="0" borderId="0" xfId="305" applyFont="1"/>
    <xf numFmtId="164" fontId="1" fillId="0" borderId="0" xfId="6" applyFont="1"/>
    <xf numFmtId="0" fontId="97" fillId="0" borderId="0" xfId="305" applyFont="1"/>
    <xf numFmtId="0" fontId="14" fillId="0" borderId="0" xfId="3" applyFill="1"/>
    <xf numFmtId="168" fontId="14" fillId="0" borderId="0" xfId="3" applyNumberForma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2" borderId="3" xfId="0" applyNumberFormat="1" applyFont="1" applyFill="1" applyBorder="1" applyAlignment="1" applyProtection="1">
      <alignment horizontal="center"/>
      <protection locked="0"/>
    </xf>
    <xf numFmtId="212" fontId="0" fillId="0" borderId="0" xfId="0" applyNumberFormat="1"/>
    <xf numFmtId="212" fontId="6" fillId="0" borderId="0" xfId="0" applyNumberFormat="1" applyFont="1"/>
    <xf numFmtId="213" fontId="0" fillId="0" borderId="0" xfId="0" applyNumberFormat="1" applyAlignment="1" applyProtection="1">
      <alignment horizontal="center"/>
      <protection locked="0"/>
    </xf>
    <xf numFmtId="214" fontId="6" fillId="0" borderId="0" xfId="0" applyNumberFormat="1" applyFont="1"/>
    <xf numFmtId="2" fontId="0" fillId="53" borderId="0" xfId="0" applyNumberFormat="1" applyFill="1" applyAlignment="1" applyProtection="1">
      <alignment horizontal="center"/>
      <protection locked="0"/>
    </xf>
    <xf numFmtId="2" fontId="0" fillId="49" borderId="0" xfId="0" applyNumberFormat="1" applyFill="1" applyAlignment="1" applyProtection="1">
      <alignment horizontal="center"/>
      <protection locked="0"/>
    </xf>
    <xf numFmtId="2" fontId="8" fillId="0" borderId="0" xfId="0" applyNumberFormat="1" applyFont="1" applyAlignment="1">
      <alignment horizontal="center"/>
    </xf>
    <xf numFmtId="43" fontId="6" fillId="0" borderId="0" xfId="0" applyNumberFormat="1" applyFont="1"/>
    <xf numFmtId="215" fontId="6" fillId="0" borderId="0" xfId="0" applyNumberFormat="1" applyFont="1"/>
    <xf numFmtId="2" fontId="6" fillId="0" borderId="0" xfId="0" applyNumberFormat="1" applyFont="1" applyAlignment="1">
      <alignment horizontal="center"/>
    </xf>
    <xf numFmtId="193" fontId="0" fillId="0" borderId="0" xfId="0" applyNumberFormat="1" applyAlignment="1" applyProtection="1">
      <alignment horizontal="center"/>
      <protection locked="0"/>
    </xf>
    <xf numFmtId="0" fontId="0" fillId="38" borderId="29" xfId="0" applyFill="1" applyBorder="1"/>
    <xf numFmtId="0" fontId="0" fillId="38" borderId="30" xfId="0" applyFill="1" applyBorder="1" applyAlignment="1">
      <alignment wrapText="1"/>
    </xf>
    <xf numFmtId="0" fontId="0" fillId="38" borderId="31" xfId="0" applyFill="1" applyBorder="1"/>
    <xf numFmtId="0" fontId="0" fillId="38" borderId="30" xfId="0" applyFill="1" applyBorder="1"/>
    <xf numFmtId="0" fontId="0" fillId="38" borderId="31" xfId="0" applyFill="1" applyBorder="1" applyAlignment="1">
      <alignment wrapText="1"/>
    </xf>
    <xf numFmtId="0" fontId="0" fillId="38" borderId="32" xfId="0" applyFill="1" applyBorder="1"/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('Output|Decomposition'!$X$11,'Output|Decomposition'!$X$14:$X$23)</c:f>
              <c:numCache>
                <c:formatCode>_-* #\ ##0.00_-;\-* #\ ##0.00_-;_-* "-"??_-;_-@_-</c:formatCode>
                <c:ptCount val="11"/>
                <c:pt idx="1">
                  <c:v>1781.96434542052</c:v>
                </c:pt>
                <c:pt idx="2">
                  <c:v>1866.5950727372785</c:v>
                </c:pt>
                <c:pt idx="3">
                  <c:v>1879.2738633814934</c:v>
                </c:pt>
                <c:pt idx="4">
                  <c:v>1879.278655025088</c:v>
                </c:pt>
                <c:pt idx="5">
                  <c:v>1907.121267064706</c:v>
                </c:pt>
                <c:pt idx="6">
                  <c:v>1911.6038734500055</c:v>
                </c:pt>
                <c:pt idx="7">
                  <c:v>1911.6038734500055</c:v>
                </c:pt>
                <c:pt idx="8">
                  <c:v>2018.5541894807282</c:v>
                </c:pt>
                <c:pt idx="9">
                  <c:v>2022.5541894807282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('Output|Decomposition'!$Y$11,'Output|Decomposition'!$Y$14:$Y$23)</c:f>
              <c:numCache>
                <c:formatCode>_-* #\ ##0.00_-;\-* #\ ##0.00_-;_-* "-"??_-;_-@_-</c:formatCode>
                <c:ptCount val="11"/>
                <c:pt idx="0">
                  <c:v>1787.9387615783355</c:v>
                </c:pt>
                <c:pt idx="10">
                  <c:v>2036.2346423170559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('Output|Decomposition'!$Z$11,'Output|Decomposition'!$Z$14:$Z$23)</c:f>
              <c:numCache>
                <c:formatCode>_-* #\ ##0.00_-;\-* #\ ##0.00_-;_-* "-"??_-;_-@_-</c:formatCode>
                <c:ptCount val="11"/>
                <c:pt idx="1">
                  <c:v>84.630727316758538</c:v>
                </c:pt>
                <c:pt idx="2">
                  <c:v>12.678790644214928</c:v>
                </c:pt>
                <c:pt idx="3">
                  <c:v>4.791643594614925E-3</c:v>
                </c:pt>
                <c:pt idx="4">
                  <c:v>27.842612039618018</c:v>
                </c:pt>
                <c:pt idx="5">
                  <c:v>32.733482941181279</c:v>
                </c:pt>
                <c:pt idx="6">
                  <c:v>0</c:v>
                </c:pt>
                <c:pt idx="7">
                  <c:v>106.95031603072265</c:v>
                </c:pt>
                <c:pt idx="8">
                  <c:v>4</c:v>
                </c:pt>
                <c:pt idx="9">
                  <c:v>13.680452836327676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('Output|Decomposition'!$AA$11,'Output|Decomposition'!$AA$14:$AA$23)</c:f>
              <c:numCache>
                <c:formatCode>_-* #\ ##0.00_-;\-* #\ ##0.00_-;_-* "-"??_-;_-@_-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28.250876555881895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2024-25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aug/forecasts.html" TargetMode="External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rba.gov.au/publications/smp/2023/aug/forecasts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3/aug/forecasts.html" TargetMode="External"/><Relationship Id="rId4" Type="http://schemas.openxmlformats.org/officeDocument/2006/relationships/hyperlink" Target="https://www.rba.gov.au/publications/smp/2023/aug/forecasts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showGridLines="0"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231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198" t="s">
        <v>57</v>
      </c>
      <c r="D7" s="8" t="s">
        <v>212</v>
      </c>
    </row>
    <row r="8" spans="1:30">
      <c r="C8" s="198" t="s">
        <v>35</v>
      </c>
      <c r="D8" s="8" t="s">
        <v>91</v>
      </c>
    </row>
    <row r="9" spans="1:30" ht="10.5">
      <c r="C9" s="198" t="s">
        <v>54</v>
      </c>
      <c r="D9" s="8" t="s">
        <v>221</v>
      </c>
    </row>
    <row r="10" spans="1:30">
      <c r="C10" s="198" t="s">
        <v>171</v>
      </c>
      <c r="D10" s="8" t="s">
        <v>213</v>
      </c>
    </row>
    <row r="11" spans="1:30">
      <c r="C11" s="198" t="s">
        <v>56</v>
      </c>
      <c r="D11" s="8" t="s">
        <v>214</v>
      </c>
    </row>
    <row r="12" spans="1:30">
      <c r="C12" s="198" t="s">
        <v>172</v>
      </c>
      <c r="D12" s="8" t="s">
        <v>215</v>
      </c>
    </row>
    <row r="13" spans="1:30">
      <c r="C13" s="198" t="s">
        <v>173</v>
      </c>
      <c r="D13" s="8" t="s">
        <v>216</v>
      </c>
    </row>
    <row r="14" spans="1:30">
      <c r="C14" s="198" t="s">
        <v>220</v>
      </c>
      <c r="D14" s="8" t="s">
        <v>222</v>
      </c>
    </row>
    <row r="15" spans="1:30">
      <c r="C15" s="198" t="s">
        <v>50</v>
      </c>
      <c r="D15" s="8" t="s">
        <v>55</v>
      </c>
    </row>
    <row r="16" spans="1:30">
      <c r="C16" s="198" t="s">
        <v>25</v>
      </c>
      <c r="D16" s="8" t="s">
        <v>217</v>
      </c>
    </row>
    <row r="17" spans="1:30" ht="13">
      <c r="C17" s="10"/>
      <c r="D17" s="7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3" hidden="1">
      <c r="C32" s="10"/>
      <c r="D32" s="7"/>
    </row>
  </sheetData>
  <sheetProtection selectLockedCells="1"/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66B5-0E5E-43FA-955D-1740FDC68120}">
  <sheetPr>
    <tabColor theme="9" tint="-0.249977111117893"/>
  </sheetPr>
  <dimension ref="B2:D19"/>
  <sheetViews>
    <sheetView workbookViewId="0"/>
  </sheetViews>
  <sheetFormatPr defaultColWidth="8.77734375" defaultRowHeight="10"/>
  <cols>
    <col min="1" max="1" width="8.77734375" style="27"/>
    <col min="2" max="2" width="20.109375" style="27" customWidth="1"/>
    <col min="3" max="3" width="22.109375" style="27" customWidth="1"/>
    <col min="4" max="4" width="104.77734375" style="27" customWidth="1"/>
    <col min="5" max="16384" width="8.77734375" style="27"/>
  </cols>
  <sheetData>
    <row r="2" spans="2:4">
      <c r="B2" s="27" t="s">
        <v>253</v>
      </c>
    </row>
    <row r="4" spans="2:4">
      <c r="B4" s="218" t="s">
        <v>254</v>
      </c>
      <c r="C4" s="219" t="s">
        <v>255</v>
      </c>
      <c r="D4" s="220" t="s">
        <v>256</v>
      </c>
    </row>
    <row r="5" spans="2:4" ht="20">
      <c r="B5" s="218" t="s">
        <v>257</v>
      </c>
      <c r="C5" s="221" t="s">
        <v>258</v>
      </c>
      <c r="D5" s="222" t="s">
        <v>259</v>
      </c>
    </row>
    <row r="6" spans="2:4">
      <c r="B6" s="218" t="s">
        <v>257</v>
      </c>
      <c r="C6" s="221" t="s">
        <v>261</v>
      </c>
      <c r="D6" s="222" t="s">
        <v>260</v>
      </c>
    </row>
    <row r="7" spans="2:4">
      <c r="B7" s="218" t="s">
        <v>257</v>
      </c>
      <c r="C7" s="221" t="s">
        <v>264</v>
      </c>
      <c r="D7" s="220" t="s">
        <v>266</v>
      </c>
    </row>
    <row r="8" spans="2:4">
      <c r="B8" s="218" t="s">
        <v>257</v>
      </c>
      <c r="C8" s="27" t="s">
        <v>265</v>
      </c>
      <c r="D8" s="223" t="s">
        <v>267</v>
      </c>
    </row>
    <row r="9" spans="2:4">
      <c r="B9" s="218" t="s">
        <v>257</v>
      </c>
      <c r="C9" s="221" t="s">
        <v>263</v>
      </c>
      <c r="D9" s="220" t="s">
        <v>268</v>
      </c>
    </row>
    <row r="10" spans="2:4">
      <c r="B10" s="218" t="s">
        <v>257</v>
      </c>
      <c r="C10" s="221" t="s">
        <v>262</v>
      </c>
      <c r="D10" s="220" t="s">
        <v>269</v>
      </c>
    </row>
    <row r="11" spans="2:4">
      <c r="B11" s="218" t="s">
        <v>257</v>
      </c>
      <c r="C11" s="221" t="s">
        <v>270</v>
      </c>
      <c r="D11" s="220" t="s">
        <v>271</v>
      </c>
    </row>
    <row r="12" spans="2:4">
      <c r="B12" s="218" t="s">
        <v>272</v>
      </c>
      <c r="C12" s="221" t="s">
        <v>273</v>
      </c>
      <c r="D12" s="220" t="s">
        <v>274</v>
      </c>
    </row>
    <row r="13" spans="2:4" ht="20">
      <c r="B13" s="218" t="s">
        <v>272</v>
      </c>
      <c r="C13" s="221" t="s">
        <v>275</v>
      </c>
      <c r="D13" s="222" t="s">
        <v>276</v>
      </c>
    </row>
    <row r="14" spans="2:4" ht="20">
      <c r="B14" s="218" t="s">
        <v>272</v>
      </c>
      <c r="C14" s="221" t="s">
        <v>277</v>
      </c>
      <c r="D14" s="222" t="s">
        <v>278</v>
      </c>
    </row>
    <row r="15" spans="2:4">
      <c r="B15" s="218" t="s">
        <v>279</v>
      </c>
      <c r="C15" s="221" t="s">
        <v>280</v>
      </c>
      <c r="D15" s="220" t="s">
        <v>281</v>
      </c>
    </row>
    <row r="16" spans="2:4">
      <c r="B16" s="218" t="s">
        <v>279</v>
      </c>
      <c r="C16" s="221" t="s">
        <v>282</v>
      </c>
      <c r="D16" s="220" t="s">
        <v>283</v>
      </c>
    </row>
    <row r="17" spans="2:4">
      <c r="B17" s="218" t="s">
        <v>279</v>
      </c>
      <c r="C17" s="221" t="s">
        <v>284</v>
      </c>
      <c r="D17" s="220" t="s">
        <v>285</v>
      </c>
    </row>
    <row r="18" spans="2:4">
      <c r="B18" s="218" t="s">
        <v>279</v>
      </c>
      <c r="C18" s="221" t="s">
        <v>286</v>
      </c>
      <c r="D18" s="220" t="s">
        <v>288</v>
      </c>
    </row>
    <row r="19" spans="2:4">
      <c r="B19" s="218" t="s">
        <v>279</v>
      </c>
      <c r="C19" s="221" t="s">
        <v>287</v>
      </c>
      <c r="D19" s="220" t="s">
        <v>289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9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0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232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185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210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 ht="10.5">
      <c r="C12" s="8" t="s">
        <v>211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 ht="10.5">
      <c r="C15" s="8" t="s">
        <v>174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S1">
    <cfRule type="cellIs" dxfId="176" priority="1" operator="equal">
      <formula>"Check"</formula>
    </cfRule>
    <cfRule type="cellIs" dxfId="175" priority="2" operator="equal">
      <formula>"Ok"</formula>
    </cfRule>
  </conditionalFormatting>
  <conditionalFormatting sqref="S7:S15">
    <cfRule type="cellIs" dxfId="174" priority="5" operator="equal">
      <formula>"Check"</formula>
    </cfRule>
    <cfRule type="cellIs" dxfId="173" priority="6" operator="equal">
      <formula>"Ok"</formula>
    </cfRule>
  </conditionalFormatting>
  <conditionalFormatting sqref="V1">
    <cfRule type="cellIs" dxfId="172" priority="3" operator="equal">
      <formula>"Check"</formula>
    </cfRule>
    <cfRule type="cellIs" dxfId="171" priority="4" operator="equal">
      <formula>"Ok"</formula>
    </cfRule>
  </conditionalFormatting>
  <conditionalFormatting sqref="W14:W16">
    <cfRule type="cellIs" dxfId="170" priority="13" operator="equal">
      <formula>"Check"</formula>
    </cfRule>
    <cfRule type="cellIs" dxfId="169" priority="14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workbookViewId="0"/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99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0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192</v>
      </c>
      <c r="H6" s="47" t="s">
        <v>193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191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205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205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205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205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205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205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205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205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205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205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205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205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206">
        <v>95.2</v>
      </c>
      <c r="G21" s="117"/>
      <c r="H21" s="117">
        <f>IF(F21="",IF(COUNT(G21:G$88)=0,"",IF(ISBLANK(G21),AVERAGE(H20,H26),(1+G21)*H17)),F21)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206">
        <v>95.8</v>
      </c>
      <c r="G22" s="117"/>
      <c r="H22" s="117">
        <f>IF(F22="",IF(COUNT(G22:G$88)=0,"",IF(ISBLANK(G22),AVERAGE(H21,H27),(1+G22)*H18)),F22)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206">
        <v>96.5</v>
      </c>
      <c r="G23" s="117"/>
      <c r="H23" s="117">
        <f>IF(F23="",IF(COUNT(G23:G$88)=0,"",IF(ISBLANK(G23),AVERAGE(H22,H28),(1+G23)*H19)),F23)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206">
        <v>96.9</v>
      </c>
      <c r="G24" s="117"/>
      <c r="H24" s="117">
        <f>IF(F24="",IF(COUNT(G24:G$88)=0,"",IF(ISBLANK(G24),AVERAGE(H23,H29),(1+G24)*H20)),F24)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206">
        <v>98.3</v>
      </c>
      <c r="G25" s="117"/>
      <c r="H25" s="117">
        <f>IF(F25="",IF(COUNT(G25:G$88)=0,"",IF(ISBLANK(G25),AVERAGE(H24,H30),(1+G25)*H21)),F25)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206">
        <v>99.2</v>
      </c>
      <c r="G26" s="117"/>
      <c r="H26" s="117">
        <f>IF(F26="",IF(COUNT(G26:G$88)=0,"",IF(ISBLANK(G26),AVERAGE(H25,H31),(1+G26)*H22)),F26)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206">
        <v>99.8</v>
      </c>
      <c r="G27" s="117"/>
      <c r="H27" s="117">
        <f>IF(F27="",IF(COUNT(G27:G$88)=0,"",IF(ISBLANK(G27),AVERAGE(H26,H32),(1+G27)*H23)),F27)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206">
        <v>99.8</v>
      </c>
      <c r="G28" s="117"/>
      <c r="H28" s="117">
        <f>IF(F28="",IF(COUNT(G28:G$88)=0,"",IF(ISBLANK(G28),AVERAGE(H27,H33),(1+G28)*H24)),F28)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206">
        <v>99.9</v>
      </c>
      <c r="G29" s="117"/>
      <c r="H29" s="117">
        <f>IF(F29="",IF(COUNT(G29:G$88)=0,"",IF(ISBLANK(G29),AVERAGE(H28,H34),(1+G29)*H25)),F29)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206">
        <v>100.4</v>
      </c>
      <c r="G30" s="117"/>
      <c r="H30" s="117">
        <f>IF(F30="",IF(COUNT(G30:G$88)=0,"",IF(ISBLANK(G30),AVERAGE(H29,H35),(1+G30)*H26)),F30)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206">
        <v>101.8</v>
      </c>
      <c r="G31" s="117"/>
      <c r="H31" s="117">
        <f>IF(F31="",IF(COUNT(G31:G$88)=0,"",IF(ISBLANK(G31),AVERAGE(H30,H36),(1+G31)*H27)),F31)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206">
        <v>102</v>
      </c>
      <c r="G32" s="117"/>
      <c r="H32" s="117">
        <f>IF(F32="",IF(COUNT(G32:G$88)=0,"",IF(ISBLANK(G32),AVERAGE(H31,H37),(1+G32)*H28)),F32)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206">
        <v>102.4</v>
      </c>
      <c r="G33" s="117"/>
      <c r="H33" s="117">
        <f>IF(F33="",IF(COUNT(G33:G$88)=0,"",IF(ISBLANK(G33),AVERAGE(H32,H38),(1+G33)*H29)),F33)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206">
        <v>102.8</v>
      </c>
      <c r="G34" s="117"/>
      <c r="H34" s="117">
        <f>IF(F34="",IF(COUNT(G34:G$88)=0,"",IF(ISBLANK(G34),AVERAGE(H33,H39),(1+G34)*H30)),F34)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206">
        <v>104</v>
      </c>
      <c r="G35" s="117"/>
      <c r="H35" s="117">
        <f>IF(F35="",IF(COUNT(G35:G$88)=0,"",IF(ISBLANK(G35),AVERAGE(H34,H40),(1+G35)*H31)),F35)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206">
        <v>104.8</v>
      </c>
      <c r="G36" s="117"/>
      <c r="H36" s="117">
        <f>IF(F36="",IF(COUNT(G36:G$88)=0,"",IF(ISBLANK(G36),AVERAGE(H35,H41),(1+G36)*H32)),F36)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206">
        <v>105.4</v>
      </c>
      <c r="G37" s="117"/>
      <c r="H37" s="117">
        <f>IF(F37="",IF(COUNT(G37:G$88)=0,"",IF(ISBLANK(G37),AVERAGE(H36,H42),(1+G37)*H33)),F37)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206">
        <v>105.9</v>
      </c>
      <c r="G38" s="117"/>
      <c r="H38" s="117">
        <f>IF(F38="",IF(COUNT(G38:G$88)=0,"",IF(ISBLANK(G38),AVERAGE(H37,H43),(1+G38)*H34)),F38)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206">
        <v>106.4</v>
      </c>
      <c r="G39" s="117"/>
      <c r="H39" s="117">
        <f>IF(F39="",IF(COUNT(G39:G$88)=0,"",IF(ISBLANK(G39),AVERAGE(H38,H44),(1+G39)*H35)),F39)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206">
        <v>106.6</v>
      </c>
      <c r="G40" s="117"/>
      <c r="H40" s="117">
        <f>IF(F40="",IF(COUNT(G40:G$88)=0,"",IF(ISBLANK(G40),AVERAGE(H39,H45),(1+G40)*H36)),F40)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206">
        <v>106.8</v>
      </c>
      <c r="G41" s="117"/>
      <c r="H41" s="117">
        <f>IF(F41="",IF(COUNT(G41:G$88)=0,"",IF(ISBLANK(G41),AVERAGE(H40,H46),(1+G41)*H37)),F41)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206">
        <v>107.5</v>
      </c>
      <c r="G42" s="117"/>
      <c r="H42" s="117">
        <f>IF(F42="",IF(COUNT(G42:G$88)=0,"",IF(ISBLANK(G42),AVERAGE(H41,H47),(1+G42)*H38)),F42)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206">
        <v>108</v>
      </c>
      <c r="G43" s="117"/>
      <c r="H43" s="117">
        <f>IF(F43="",IF(COUNT(G43:G$88)=0,"",IF(ISBLANK(G43),AVERAGE(H42,H48),(1+G43)*H39)),F43)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206">
        <v>108.4</v>
      </c>
      <c r="G44" s="117"/>
      <c r="H44" s="117">
        <f>IF(F44="",IF(COUNT(G44:G$88)=0,"",IF(ISBLANK(G44),AVERAGE(H43,H49),(1+G44)*H40)),F44)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206">
        <v>108.2</v>
      </c>
      <c r="G45" s="117"/>
      <c r="H45" s="117">
        <f>IF(F45="",IF(COUNT(G45:G$88)=0,"",IF(ISBLANK(G45),AVERAGE(H44,H50),(1+G45)*H41)),F45)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206">
        <v>108.6</v>
      </c>
      <c r="G46" s="117"/>
      <c r="H46" s="117">
        <f>IF(F46="",IF(COUNT(G46:G$88)=0,"",IF(ISBLANK(G46),AVERAGE(H45,H51),(1+G46)*H42)),F46)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206">
        <v>109.4</v>
      </c>
      <c r="G47" s="117"/>
      <c r="H47" s="117">
        <f>IF(F47="",IF(COUNT(G47:G$88)=0,"",IF(ISBLANK(G47),AVERAGE(H46,H52),(1+G47)*H43)),F47)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206">
        <v>110</v>
      </c>
      <c r="G48" s="117"/>
      <c r="H48" s="117">
        <f>IF(F48="",IF(COUNT(G48:G$88)=0,"",IF(ISBLANK(G48),AVERAGE(H47,H53),(1+G48)*H44)),F48)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1:22" ht="10.5">
      <c r="C49" s="49">
        <v>42825</v>
      </c>
      <c r="D49" s="8"/>
      <c r="E49" s="8"/>
      <c r="F49" s="206">
        <v>110.5</v>
      </c>
      <c r="G49" s="117"/>
      <c r="H49" s="117">
        <f>IF(F49="",IF(COUNT(G49:G$88)=0,"",IF(ISBLANK(G49),AVERAGE(H48,H54),(1+G49)*H45)),F49)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1:22" ht="10.5">
      <c r="C50" s="49">
        <v>42916</v>
      </c>
      <c r="D50" s="8"/>
      <c r="E50" s="8"/>
      <c r="F50" s="206">
        <v>110.7</v>
      </c>
      <c r="G50" s="117"/>
      <c r="H50" s="117">
        <f>IF(F50="",IF(COUNT(G50:G$88)=0,"",IF(ISBLANK(G50),AVERAGE(H49,H55),(1+G50)*H46)),F50)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1:22" ht="10.5">
      <c r="C51" s="49">
        <v>43008</v>
      </c>
      <c r="D51" s="8"/>
      <c r="E51" s="8"/>
      <c r="F51" s="206">
        <v>111.4</v>
      </c>
      <c r="G51" s="117"/>
      <c r="H51" s="117">
        <f>IF(F51="",IF(COUNT(G51:G$88)=0,"",IF(ISBLANK(G51),AVERAGE(H50,H56),(1+G51)*H47)),F51)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1:22" ht="10.5">
      <c r="C52" s="49">
        <v>43100</v>
      </c>
      <c r="D52" s="8"/>
      <c r="E52" s="8"/>
      <c r="F52" s="206">
        <v>112.1</v>
      </c>
      <c r="G52" s="117"/>
      <c r="H52" s="117">
        <f>IF(F52="",IF(COUNT(G52:G$88)=0,"",IF(ISBLANK(G52),AVERAGE(H51,H57),(1+G52)*H48)),F52)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1:22" ht="10.5">
      <c r="C53" s="49">
        <v>43190</v>
      </c>
      <c r="D53" s="8"/>
      <c r="E53" s="8"/>
      <c r="F53" s="206">
        <v>112.6</v>
      </c>
      <c r="G53" s="117"/>
      <c r="H53" s="117">
        <f>IF(F53="",IF(COUNT(G53:G$88)=0,"",IF(ISBLANK(G53),AVERAGE(H52,H58),(1+G53)*H49)),F53)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1:22" ht="10.5">
      <c r="C54" s="49">
        <v>43281</v>
      </c>
      <c r="D54" s="8"/>
      <c r="E54" s="8"/>
      <c r="F54" s="206">
        <v>113</v>
      </c>
      <c r="G54" s="117"/>
      <c r="H54" s="117">
        <f>IF(F54="",IF(COUNT(G54:G$88)=0,"",IF(ISBLANK(G54),AVERAGE(H53,H59),(1+G54)*H50)),F54)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1:22" ht="10.5">
      <c r="C55" s="49">
        <v>43373</v>
      </c>
      <c r="D55" s="8"/>
      <c r="E55" s="8"/>
      <c r="F55" s="206">
        <v>113.5</v>
      </c>
      <c r="G55" s="117"/>
      <c r="H55" s="117">
        <f>IF(F55="",IF(COUNT(G55:G$88)=0,"",IF(ISBLANK(G55),AVERAGE(H54,H60),(1+G55)*H51)),F55)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1:22" ht="10.5">
      <c r="C56" s="49">
        <v>43465</v>
      </c>
      <c r="D56" s="8"/>
      <c r="E56" s="8"/>
      <c r="F56" s="206">
        <v>114.1</v>
      </c>
      <c r="G56" s="117"/>
      <c r="H56" s="117">
        <f>IF(F56="",IF(COUNT(G56:G$88)=0,"",IF(ISBLANK(G56),AVERAGE(H55,H61),(1+G56)*H52)),F56)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1:22" ht="10.5">
      <c r="C57" s="49">
        <v>43555</v>
      </c>
      <c r="D57" s="8"/>
      <c r="E57" s="8"/>
      <c r="F57" s="206">
        <v>114.1</v>
      </c>
      <c r="G57" s="117"/>
      <c r="H57" s="117">
        <f>IF(F57="",IF(COUNT(G57:G$88)=0,"",IF(ISBLANK(G57),AVERAGE(H56,H62),(1+G57)*H53)),F57)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1:22" ht="10.5">
      <c r="C58" s="49">
        <v>43646</v>
      </c>
      <c r="D58" s="8"/>
      <c r="E58" s="8"/>
      <c r="F58" s="206">
        <v>114.8</v>
      </c>
      <c r="G58" s="117"/>
      <c r="H58" s="117">
        <f>IF(F58="",IF(COUNT(G58:G$88)=0,"",IF(ISBLANK(G58),AVERAGE(H57,H63),(1+G58)*H54)),F58)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1:22" ht="10.5">
      <c r="C59" s="49">
        <v>43738</v>
      </c>
      <c r="D59" s="8"/>
      <c r="E59" s="8"/>
      <c r="F59" s="206">
        <v>115.4</v>
      </c>
      <c r="G59" s="117"/>
      <c r="H59" s="117">
        <f>IF(F59="",IF(COUNT(G59:G$88)=0,"",IF(ISBLANK(G59),AVERAGE(H58,H64),(1+G59)*H55)),F59)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1:22" ht="10.5">
      <c r="A60" s="8" t="s">
        <v>251</v>
      </c>
      <c r="C60" s="49">
        <v>43830</v>
      </c>
      <c r="D60" s="8"/>
      <c r="E60" s="8"/>
      <c r="F60" s="206">
        <v>116.2</v>
      </c>
      <c r="G60" s="117"/>
      <c r="H60" s="117">
        <f>IF(F60="",IF(COUNT(G60:G$88)=0,"",IF(ISBLANK(G60),AVERAGE(H59,H65),(1+G60)*H56)),F60)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1:22" ht="10.5">
      <c r="C61" s="49">
        <v>43921</v>
      </c>
      <c r="D61" s="8"/>
      <c r="E61" s="8"/>
      <c r="F61" s="206">
        <v>116.6</v>
      </c>
      <c r="G61" s="117"/>
      <c r="H61" s="117">
        <f>IF(F61="",IF(COUNT(G61:G$88)=0,"",IF(ISBLANK(G61),AVERAGE(H60,H66),(1+G61)*H57)),F61)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1:22" ht="10.5">
      <c r="C62" s="49">
        <v>44012</v>
      </c>
      <c r="D62" s="8"/>
      <c r="E62" s="8"/>
      <c r="F62" s="206">
        <v>114.4</v>
      </c>
      <c r="G62" s="117"/>
      <c r="H62" s="117">
        <f>IF(F62="",IF(COUNT(G62:G$88)=0,"",IF(ISBLANK(G62),AVERAGE(H61,H67),(1+G62)*H58)),F62)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1:22" ht="10.5">
      <c r="C63" s="49">
        <v>44104</v>
      </c>
      <c r="D63" s="8"/>
      <c r="E63" s="8"/>
      <c r="F63" s="206">
        <v>116.2</v>
      </c>
      <c r="G63" s="117"/>
      <c r="H63" s="117">
        <f>IF(F63="",IF(COUNT(G63:G$88)=0,"",IF(ISBLANK(G63),AVERAGE(H62,H68),(1+G63)*H59)),F63)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1:22" ht="10.5">
      <c r="C64" s="49">
        <v>44196</v>
      </c>
      <c r="D64" s="8"/>
      <c r="E64" s="8"/>
      <c r="F64" s="206">
        <v>117.2</v>
      </c>
      <c r="G64" s="117"/>
      <c r="H64" s="117">
        <f>IF(F64="",IF(COUNT(G64:G$88)=0,"",IF(ISBLANK(G64),AVERAGE(H63,H69),(1+G64)*H60)),F64)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206">
        <v>117.9</v>
      </c>
      <c r="G65" s="117"/>
      <c r="H65" s="117">
        <f>IF(F65="",IF(COUNT(G65:G$88)=0,"",IF(ISBLANK(G65),AVERAGE(H64,H70),(1+G65)*H61)),F65)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206">
        <v>118.8</v>
      </c>
      <c r="G66" s="117"/>
      <c r="H66" s="117">
        <f>IF(F66="",IF(COUNT(G66:G$88)=0,"",IF(ISBLANK(G66),AVERAGE(H65,H71),(1+G66)*H62)),F66)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206">
        <v>119.7</v>
      </c>
      <c r="G67" s="117"/>
      <c r="H67" s="117">
        <f>IF(F67="",IF(COUNT(G67:G$88)=0,"",IF(ISBLANK(G67),AVERAGE(H66,H72),(1+G67)*H63)),F67)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206">
        <v>121.3</v>
      </c>
      <c r="G68" s="117"/>
      <c r="H68" s="117">
        <f>IF(F68="",IF(COUNT(G68:G$88)=0,"",IF(ISBLANK(G68),AVERAGE(H67,H73),(1+G68)*H64)),F68)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206">
        <v>123.9</v>
      </c>
      <c r="G69" s="117"/>
      <c r="H69" s="117">
        <f>IF(F69="",IF(COUNT(G69:G$88)=0,"",IF(ISBLANK(G69),AVERAGE(H68,H74),(1+G69)*H65)),F69)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206">
        <v>126.1</v>
      </c>
      <c r="G70" s="117"/>
      <c r="H70" s="117">
        <f>IF(F70="",IF(COUNT(G70:G$88)=0,"",IF(ISBLANK(G70),AVERAGE(H69,H75),(1+G70)*H66)),F70)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206">
        <v>128.4</v>
      </c>
      <c r="G71" s="117"/>
      <c r="H71" s="117">
        <f>IF(F71="",IF(COUNT(G71:G$88)=0,"",IF(ISBLANK(G71),AVERAGE(H70,H76),(1+G71)*H67)),F71)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206">
        <v>130.80000000000001</v>
      </c>
      <c r="G72" s="110"/>
      <c r="H72" s="117">
        <f>IF(F72="",IF(COUNT(G72:G$88)=0,"",IF(ISBLANK(G72),AVERAGE(H71,H77),(1+G72)*H68)),F72)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206">
        <v>132.6</v>
      </c>
      <c r="G73" s="110"/>
      <c r="H73" s="117">
        <f>IF(F73="",IF(COUNT(G73:G$88)=0,"",IF(ISBLANK(G73),AVERAGE(H72,H78),(1+G73)*H69)),F73)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206">
        <v>133.69999999999999</v>
      </c>
      <c r="G74" s="110"/>
      <c r="H74" s="117">
        <f>IF(F74="",IF(COUNT(G74:G$88)=0,"",IF(ISBLANK(G74),AVERAGE(H73,H79),(1+G74)*H70)),F74)</f>
        <v>133.69999999999999</v>
      </c>
      <c r="I74" s="72">
        <f t="shared" si="1"/>
        <v>6.0269627279936566E-2</v>
      </c>
      <c r="J74" s="197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206">
        <v>135.30000000000001</v>
      </c>
      <c r="G75" s="110"/>
      <c r="H75" s="117">
        <f>IF(F75="",IF(COUNT(G75:G$88)=0,"",IF(ISBLANK(G75),AVERAGE(H74,H80),(1+G75)*H71)),F75)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206">
        <v>136.1</v>
      </c>
      <c r="G76" s="110">
        <v>4.1000000000000002E-2</v>
      </c>
      <c r="H76" s="117">
        <f>IF(F76="",IF(COUNT(G76:G$88)=0,"",IF(ISBLANK(G76),AVERAGE(H75,H81),(1+G76)*H72)),F76)</f>
        <v>136.1</v>
      </c>
      <c r="I76" s="72">
        <f t="shared" si="2"/>
        <v>4.0519877675840865E-2</v>
      </c>
      <c r="J76" s="202" t="s">
        <v>230</v>
      </c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206">
        <v>137.4</v>
      </c>
      <c r="G77" s="110"/>
      <c r="H77" s="117">
        <f>IF(F77="",IF(COUNT(G77:G$88)=0,"",IF(ISBLANK(G77),AVERAGE(H76,H82),(1+G77)*H73)),F77)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206">
        <v>138.80000000000001</v>
      </c>
      <c r="G78" s="110">
        <v>0</v>
      </c>
      <c r="H78" s="117">
        <f>IF(F78="",IF(COUNT(G78:G$88)=0,"",IF(ISBLANK(G78),AVERAGE(H77,H83),(1+G78)*H74)),F78)</f>
        <v>138.80000000000001</v>
      </c>
      <c r="I78" s="72">
        <f t="shared" si="2"/>
        <v>3.8145100972326373E-2</v>
      </c>
      <c r="J78" s="202" t="s">
        <v>230</v>
      </c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206" t="s">
        <v>249</v>
      </c>
      <c r="G79" s="110"/>
      <c r="H79" s="117">
        <f>IF(F79="",IF(COUNT(G79:G$88)=0,"",IF(ISBLANK(G79),AVERAGE(H78,H84),(1+G79)*H75)),F79)</f>
        <v>142.08488549999998</v>
      </c>
      <c r="I79" s="72">
        <f>IF(H79="","",H79/H75-1)</f>
        <v>5.0146973392461103E-2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206" t="s">
        <v>249</v>
      </c>
      <c r="G80" s="110">
        <v>0.03</v>
      </c>
      <c r="H80" s="117">
        <f>IF(F80="",IF(COUNT(G80:G$88)=0,"",IF(ISBLANK(G80),AVERAGE(H79,H85),(1+G80)*H76)),F80)</f>
        <v>140.18299999999999</v>
      </c>
      <c r="I80" s="72">
        <f t="shared" ref="I80:I84" si="3">IF(H80="","",H80/H76-1)</f>
        <v>3.0000000000000027E-2</v>
      </c>
      <c r="J80" s="202" t="s">
        <v>230</v>
      </c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206" t="s">
        <v>249</v>
      </c>
      <c r="G81" s="110"/>
      <c r="H81" s="117">
        <f>IF(F81="",IF(COUNT(G81:G$88)=0,"",IF(ISBLANK(G81),AVERAGE(H80,H86),(1+G81)*H77)),F81)</f>
        <v>140.18299999999999</v>
      </c>
      <c r="I81" s="72">
        <f t="shared" si="3"/>
        <v>2.0254730713245905E-2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206" t="s">
        <v>249</v>
      </c>
      <c r="G82" s="110">
        <v>2.8000000000000001E-2</v>
      </c>
      <c r="H82" s="117">
        <f>IF(F82="",IF(COUNT(G82:G$88)=0,"",IF(ISBLANK(G82),AVERAGE(H81,H87),(1+G82)*H78)),F82)</f>
        <v>142.68640000000002</v>
      </c>
      <c r="I82" s="72">
        <f t="shared" si="3"/>
        <v>2.8000000000000025E-2</v>
      </c>
      <c r="J82" s="202" t="s">
        <v>230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206" t="s">
        <v>249</v>
      </c>
      <c r="G83" s="110"/>
      <c r="H83" s="117">
        <f>IF(F83="",IF(COUNT(G83:G$88)=0,"",IF(ISBLANK(G83),AVERAGE(H82,H88),(1+G83)*H79)),F83)</f>
        <v>142.68640000000002</v>
      </c>
      <c r="I83" s="72">
        <f t="shared" si="3"/>
        <v>4.2334868897793143E-3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206" t="s">
        <v>249</v>
      </c>
      <c r="G84" s="110">
        <v>3.6999999999999998E-2</v>
      </c>
      <c r="H84" s="117">
        <f>IF(F84="",IF(COUNT(G84:G$88)=0,"",IF(ISBLANK(G84),AVERAGE(H83,H89),(1+G84)*H80)),F84)</f>
        <v>145.36977099999999</v>
      </c>
      <c r="I84" s="72">
        <f t="shared" si="3"/>
        <v>3.6999999999999922E-2</v>
      </c>
      <c r="J84" s="202" t="s">
        <v>230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206" t="s">
        <v>249</v>
      </c>
      <c r="G85" s="110"/>
      <c r="H85" s="117" t="str">
        <f>IF(F85="",IF(COUNT(G85:G$88)=0,"",IF(ISBLANK(G85),AVERAGE(H84,H90),(1+G85)*H81)),F85)</f>
        <v/>
      </c>
      <c r="I85" s="72" t="str">
        <f t="shared" ref="I85:I88" si="4">IF(H85="","",H85/H81-1)</f>
        <v/>
      </c>
      <c r="J85" s="202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206" t="s">
        <v>249</v>
      </c>
      <c r="G86" s="110"/>
      <c r="H86" s="117" t="str">
        <f>IF(F86="",IF(COUNT(G86:G$88)=0,"",IF(ISBLANK(G86),AVERAGE(H85,H91),(1+G86)*H82)),F86)</f>
        <v/>
      </c>
      <c r="I86" s="72" t="str">
        <f t="shared" si="4"/>
        <v/>
      </c>
      <c r="J86" s="202"/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206" t="s">
        <v>249</v>
      </c>
      <c r="G87" s="110"/>
      <c r="H87" s="117" t="str">
        <f>IF(F87="",IF(COUNT(G87:G$88)=0,"",IF(ISBLANK(G87),AVERAGE(H86,H92),(1+G87)*H83)),F87)</f>
        <v/>
      </c>
      <c r="I87" s="72" t="str">
        <f t="shared" si="4"/>
        <v/>
      </c>
      <c r="J87" s="202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206" t="s">
        <v>249</v>
      </c>
      <c r="G88" s="110"/>
      <c r="H88" s="117" t="str">
        <f>IF(F88="",IF(COUNT(G88:G$88)=0,"",IF(ISBLANK(G88),AVERAGE(H87,H93),(1+G88)*H84)),F88)</f>
        <v/>
      </c>
      <c r="I88" s="72" t="str">
        <f t="shared" si="4"/>
        <v/>
      </c>
      <c r="J88" s="202"/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G21:G88">
    <cfRule type="expression" dxfId="168" priority="1">
      <formula>F21=""</formula>
    </cfRule>
  </conditionalFormatting>
  <conditionalFormatting sqref="V1">
    <cfRule type="cellIs" dxfId="167" priority="6" operator="equal">
      <formula>"Check"</formula>
    </cfRule>
    <cfRule type="cellIs" dxfId="166" priority="7" operator="equal">
      <formula>"Ok"</formula>
    </cfRule>
  </conditionalFormatting>
  <conditionalFormatting sqref="V9:V88">
    <cfRule type="cellIs" dxfId="165" priority="12" operator="equal">
      <formula>"Check"</formula>
    </cfRule>
    <cfRule type="cellIs" dxfId="164" priority="13" operator="equal">
      <formula>"Ok"</formula>
    </cfRule>
  </conditionalFormatting>
  <conditionalFormatting sqref="Y1">
    <cfRule type="cellIs" dxfId="163" priority="8" operator="equal">
      <formula>"Check"</formula>
    </cfRule>
    <cfRule type="cellIs" dxfId="162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J76" r:id="rId1" xr:uid="{90A333D1-75B8-4927-9204-498222418D3B}"/>
    <hyperlink ref="M1" location="Index!A1" display="Back to Index" xr:uid="{D11E2A3D-4208-4AAB-8635-7D69FB30BCDF}"/>
    <hyperlink ref="X1" location="'Check|List'!A1" display="Overall Check:" xr:uid="{77F89A63-7E77-4FE2-A3B5-4B4EC2B36733}"/>
    <hyperlink ref="J78" r:id="rId2" xr:uid="{B8884697-DA8D-4BC9-9CAA-C2B1FF93E26D}"/>
    <hyperlink ref="J80" r:id="rId3" xr:uid="{49826113-5477-4FE3-A446-7C0780EDCC95}"/>
    <hyperlink ref="J82" r:id="rId4" xr:uid="{C56771DE-A5CD-45CE-8B11-6466D9901481}"/>
    <hyperlink ref="J84" r:id="rId5" xr:uid="{3CB34489-0D27-46DB-B6C0-FEB567ADBFFA}"/>
  </hyperlinks>
  <pageMargins left="0.7" right="0.7" top="0.75" bottom="0.75" header="0.3" footer="0.3"/>
  <pageSetup paperSize="9" orientation="portrait" verticalDpi="4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/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14" width="13.33203125" customWidth="1"/>
    <col min="15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99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IF(COUNTA($V$8:$V$266)=COUNTIF($V$8:$V$266,"OK"),"OK","Check")</f>
        <v>OK</v>
      </c>
      <c r="T1" s="29"/>
      <c r="U1" s="200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32"/>
      <c r="B8" s="38" t="s">
        <v>223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35"/>
    </row>
    <row r="9" spans="1:22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8"/>
    </row>
    <row r="10" spans="1:22" ht="10.5">
      <c r="A10" s="17"/>
      <c r="B10" s="17"/>
      <c r="C10" s="122" t="s">
        <v>71</v>
      </c>
      <c r="D10" s="121" t="s">
        <v>7</v>
      </c>
      <c r="E10" s="121" t="s">
        <v>8</v>
      </c>
      <c r="F10" s="121" t="s">
        <v>22</v>
      </c>
      <c r="G10" s="121"/>
      <c r="H10" s="121"/>
      <c r="I10" s="120"/>
      <c r="J10" s="123">
        <f t="shared" ref="J10:S10" si="0">IF(YEAR(J$4)&lt;=PPLastYear,J$4,"")</f>
        <v>44348</v>
      </c>
      <c r="K10" s="123">
        <f t="shared" si="0"/>
        <v>44713</v>
      </c>
      <c r="L10" s="123">
        <f t="shared" si="0"/>
        <v>45078</v>
      </c>
      <c r="M10" s="123">
        <f t="shared" si="0"/>
        <v>45444</v>
      </c>
      <c r="N10" s="123">
        <f t="shared" si="0"/>
        <v>45809</v>
      </c>
      <c r="O10" s="123" t="str">
        <f t="shared" si="0"/>
        <v/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/>
      <c r="U10" s="124" t="s">
        <v>51</v>
      </c>
      <c r="V10" s="8"/>
    </row>
    <row r="11" spans="1:22" ht="10.5">
      <c r="A11" s="17"/>
      <c r="B11" s="17"/>
      <c r="C11" s="125"/>
      <c r="D11" s="120"/>
      <c r="E11" s="120"/>
      <c r="F11" s="120"/>
      <c r="G11" s="121"/>
      <c r="H11" s="121"/>
      <c r="I11" s="120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7"/>
      <c r="V11" s="8"/>
    </row>
    <row r="12" spans="1:22" ht="10.5">
      <c r="A12" s="17"/>
      <c r="B12" s="17"/>
      <c r="C12" s="125"/>
      <c r="D12" s="120"/>
      <c r="E12" s="120"/>
      <c r="F12" s="120"/>
      <c r="G12" s="121"/>
      <c r="H12" s="121"/>
      <c r="I12" s="120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7"/>
      <c r="V12" s="8"/>
    </row>
    <row r="13" spans="1:22">
      <c r="A13" s="17"/>
      <c r="B13" s="17"/>
      <c r="C13" s="127" t="s">
        <v>68</v>
      </c>
      <c r="D13" s="120" t="s">
        <v>64</v>
      </c>
      <c r="E13" s="120" t="str">
        <f>units</f>
        <v>$millions</v>
      </c>
      <c r="F13" s="128">
        <f>DATE(PPFirstYear-1,MONTH(month),1)</f>
        <v>43983</v>
      </c>
      <c r="G13" s="121"/>
      <c r="H13" s="121"/>
      <c r="I13" s="120"/>
      <c r="J13" s="129">
        <v>277.93238787433847</v>
      </c>
      <c r="K13" s="129">
        <v>281.07801182913107</v>
      </c>
      <c r="L13" s="129">
        <v>293.81932675953618</v>
      </c>
      <c r="M13" s="129">
        <v>287.34423848058498</v>
      </c>
      <c r="N13" s="129">
        <v>289.37730350948499</v>
      </c>
      <c r="O13" s="209"/>
      <c r="P13" s="129"/>
      <c r="Q13" s="129"/>
      <c r="R13" s="129"/>
      <c r="S13" s="129"/>
      <c r="T13" s="129"/>
      <c r="U13" s="17" t="s">
        <v>175</v>
      </c>
      <c r="V13" s="64" t="str">
        <f>IF(COUNT(J13:T13)=COUNT($J$10:$T$10),"Ok","Check")</f>
        <v>Ok</v>
      </c>
    </row>
    <row r="14" spans="1:22" ht="10.5">
      <c r="A14" s="17"/>
      <c r="B14" s="17"/>
      <c r="C14" s="125"/>
      <c r="D14" s="120"/>
      <c r="E14" s="120"/>
      <c r="F14" s="120"/>
      <c r="G14" s="121"/>
      <c r="H14" s="121"/>
      <c r="I14" s="120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7"/>
      <c r="V14" s="8"/>
    </row>
    <row r="15" spans="1:22" ht="10.5">
      <c r="A15" s="17"/>
      <c r="B15" s="17"/>
      <c r="C15" s="130" t="s">
        <v>68</v>
      </c>
      <c r="D15" s="131" t="str">
        <f>D13</f>
        <v>AER</v>
      </c>
      <c r="E15" s="132" t="str">
        <f>E13</f>
        <v>$millions</v>
      </c>
      <c r="F15" s="132">
        <f>$F$13</f>
        <v>43983</v>
      </c>
      <c r="G15" s="121"/>
      <c r="H15" s="121"/>
      <c r="I15" s="120"/>
      <c r="J15" s="133">
        <f>J13</f>
        <v>277.93238787433847</v>
      </c>
      <c r="K15" s="133">
        <f t="shared" ref="K15:S15" si="1">K13</f>
        <v>281.07801182913107</v>
      </c>
      <c r="L15" s="133">
        <f t="shared" si="1"/>
        <v>293.81932675953618</v>
      </c>
      <c r="M15" s="133">
        <f t="shared" si="1"/>
        <v>287.34423848058498</v>
      </c>
      <c r="N15" s="133">
        <f t="shared" si="1"/>
        <v>289.37730350948499</v>
      </c>
      <c r="O15" s="133">
        <f t="shared" si="1"/>
        <v>0</v>
      </c>
      <c r="P15" s="133">
        <f t="shared" si="1"/>
        <v>0</v>
      </c>
      <c r="Q15" s="133">
        <f t="shared" si="1"/>
        <v>0</v>
      </c>
      <c r="R15" s="133">
        <f t="shared" si="1"/>
        <v>0</v>
      </c>
      <c r="S15" s="133">
        <f t="shared" si="1"/>
        <v>0</v>
      </c>
      <c r="T15" s="133"/>
      <c r="U15" s="17"/>
      <c r="V15" s="8"/>
    </row>
    <row r="16" spans="1:22" ht="10.5">
      <c r="A16" s="17"/>
      <c r="B16" s="17"/>
      <c r="C16" s="125"/>
      <c r="D16" s="120"/>
      <c r="E16" s="120"/>
      <c r="F16" s="120"/>
      <c r="G16" s="121"/>
      <c r="H16" s="121"/>
      <c r="I16" s="120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7"/>
      <c r="V16" s="8"/>
    </row>
    <row r="17" spans="1:22" ht="10.5">
      <c r="A17" s="17"/>
      <c r="B17" s="17"/>
      <c r="C17" s="122" t="s">
        <v>224</v>
      </c>
      <c r="D17" s="120"/>
      <c r="E17" s="120"/>
      <c r="F17" s="120"/>
      <c r="G17" s="121"/>
      <c r="H17" s="121"/>
      <c r="I17" s="120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7"/>
      <c r="V17" s="8"/>
    </row>
    <row r="18" spans="1:22" ht="10.5">
      <c r="A18" s="17"/>
      <c r="B18" s="17"/>
      <c r="C18" s="125"/>
      <c r="D18" s="120"/>
      <c r="E18" s="120"/>
      <c r="F18" s="120"/>
      <c r="G18" s="121"/>
      <c r="H18" s="121"/>
      <c r="I18" s="120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7"/>
      <c r="V18" s="8"/>
    </row>
    <row r="19" spans="1:22">
      <c r="A19" s="17"/>
      <c r="B19" s="17"/>
      <c r="C19" s="127" t="s">
        <v>39</v>
      </c>
      <c r="D19" s="120" t="s">
        <v>64</v>
      </c>
      <c r="E19" s="120" t="str">
        <f t="shared" ref="E19:E27" si="2">units</f>
        <v>$millions</v>
      </c>
      <c r="F19" s="134">
        <f>$F$13</f>
        <v>43983</v>
      </c>
      <c r="G19" s="121"/>
      <c r="H19" s="121"/>
      <c r="I19" s="120"/>
      <c r="J19" s="129">
        <v>2.2220685636177944</v>
      </c>
      <c r="K19" s="129">
        <v>2.2397166971542091</v>
      </c>
      <c r="L19" s="129">
        <v>2.2567715444886352</v>
      </c>
      <c r="M19" s="129">
        <v>2.2594410371947657</v>
      </c>
      <c r="N19" s="129">
        <v>2.2586726892271614</v>
      </c>
      <c r="O19" s="129"/>
      <c r="P19" s="129"/>
      <c r="Q19" s="129"/>
      <c r="R19" s="129"/>
      <c r="S19" s="129"/>
      <c r="T19" s="129"/>
      <c r="U19" s="17" t="s">
        <v>225</v>
      </c>
      <c r="V19" s="64" t="str">
        <f>IF(ISBLANK(C19),IF(COUNT(J19:T19)=0,"Ok","Check"),IF(COUNT(J19:T19)=COUNT(J$10:T$10),"Ok","Check"))</f>
        <v>Ok</v>
      </c>
    </row>
    <row r="20" spans="1:22">
      <c r="A20" s="17"/>
      <c r="B20" s="17"/>
      <c r="C20" s="127"/>
      <c r="D20" s="120" t="s">
        <v>64</v>
      </c>
      <c r="E20" s="120" t="str">
        <f t="shared" si="2"/>
        <v>$millions</v>
      </c>
      <c r="F20" s="134">
        <f t="shared" ref="F20:F29" si="3">$F$13</f>
        <v>43983</v>
      </c>
      <c r="G20" s="121"/>
      <c r="H20" s="121"/>
      <c r="I20" s="120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7"/>
      <c r="V20" s="64" t="str">
        <f>IF(ISBLANK(C20),IF(COUNT(J20:T20)=0,"Ok","Check"),IF(COUNT(J20:T20)=COUNT(J$10:T$10),"Ok","Check"))</f>
        <v>Ok</v>
      </c>
    </row>
    <row r="21" spans="1:22">
      <c r="A21" s="17"/>
      <c r="B21" s="17"/>
      <c r="C21" s="127"/>
      <c r="D21" s="120" t="s">
        <v>64</v>
      </c>
      <c r="E21" s="120" t="str">
        <f t="shared" si="2"/>
        <v>$millions</v>
      </c>
      <c r="F21" s="134">
        <f t="shared" si="3"/>
        <v>43983</v>
      </c>
      <c r="G21" s="121"/>
      <c r="H21" s="121"/>
      <c r="I21" s="120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7"/>
      <c r="V21" s="64" t="str">
        <f t="shared" ref="V21:V27" si="4">IF(ISBLANK(C21),IF(COUNT(J21:T21)=0,"Ok","Check"),IF(COUNT(J21:T21)=COUNT(J$10:T$10),"Ok","Check"))</f>
        <v>Ok</v>
      </c>
    </row>
    <row r="22" spans="1:22">
      <c r="A22" s="17"/>
      <c r="B22" s="17"/>
      <c r="C22" s="127"/>
      <c r="D22" s="120" t="s">
        <v>64</v>
      </c>
      <c r="E22" s="120" t="str">
        <f t="shared" si="2"/>
        <v>$millions</v>
      </c>
      <c r="F22" s="134">
        <f t="shared" si="3"/>
        <v>43983</v>
      </c>
      <c r="G22" s="121"/>
      <c r="H22" s="121"/>
      <c r="I22" s="12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7"/>
      <c r="V22" s="64" t="str">
        <f t="shared" si="4"/>
        <v>Ok</v>
      </c>
    </row>
    <row r="23" spans="1:22">
      <c r="A23" s="17"/>
      <c r="B23" s="17"/>
      <c r="C23" s="127"/>
      <c r="D23" s="120" t="s">
        <v>64</v>
      </c>
      <c r="E23" s="120" t="str">
        <f t="shared" si="2"/>
        <v>$millions</v>
      </c>
      <c r="F23" s="134">
        <f t="shared" si="3"/>
        <v>43983</v>
      </c>
      <c r="G23" s="121"/>
      <c r="H23" s="121"/>
      <c r="I23" s="12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7"/>
      <c r="V23" s="64" t="str">
        <f t="shared" si="4"/>
        <v>Ok</v>
      </c>
    </row>
    <row r="24" spans="1:22">
      <c r="A24" s="17"/>
      <c r="B24" s="17"/>
      <c r="C24" s="127"/>
      <c r="D24" s="120" t="s">
        <v>64</v>
      </c>
      <c r="E24" s="120" t="str">
        <f t="shared" si="2"/>
        <v>$millions</v>
      </c>
      <c r="F24" s="134">
        <f t="shared" si="3"/>
        <v>43983</v>
      </c>
      <c r="G24" s="121"/>
      <c r="H24" s="121"/>
      <c r="I24" s="120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7"/>
      <c r="V24" s="64" t="str">
        <f t="shared" si="4"/>
        <v>Ok</v>
      </c>
    </row>
    <row r="25" spans="1:22">
      <c r="A25" s="17"/>
      <c r="B25" s="17"/>
      <c r="C25" s="127"/>
      <c r="D25" s="120" t="s">
        <v>64</v>
      </c>
      <c r="E25" s="120" t="str">
        <f t="shared" si="2"/>
        <v>$millions</v>
      </c>
      <c r="F25" s="134">
        <f t="shared" si="3"/>
        <v>43983</v>
      </c>
      <c r="G25" s="121"/>
      <c r="H25" s="121"/>
      <c r="I25" s="120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7"/>
      <c r="V25" s="64" t="str">
        <f t="shared" si="4"/>
        <v>Ok</v>
      </c>
    </row>
    <row r="26" spans="1:22">
      <c r="A26" s="17"/>
      <c r="B26" s="17"/>
      <c r="C26" s="127"/>
      <c r="D26" s="120" t="s">
        <v>64</v>
      </c>
      <c r="E26" s="120" t="str">
        <f t="shared" si="2"/>
        <v>$millions</v>
      </c>
      <c r="F26" s="134">
        <f t="shared" si="3"/>
        <v>43983</v>
      </c>
      <c r="G26" s="121"/>
      <c r="H26" s="121"/>
      <c r="I26" s="120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7"/>
      <c r="V26" s="64" t="str">
        <f t="shared" si="4"/>
        <v>Ok</v>
      </c>
    </row>
    <row r="27" spans="1:22">
      <c r="A27" s="17"/>
      <c r="B27" s="17"/>
      <c r="C27" s="127"/>
      <c r="D27" s="120" t="s">
        <v>64</v>
      </c>
      <c r="E27" s="120" t="str">
        <f t="shared" si="2"/>
        <v>$millions</v>
      </c>
      <c r="F27" s="134">
        <f t="shared" si="3"/>
        <v>43983</v>
      </c>
      <c r="G27" s="121"/>
      <c r="H27" s="121"/>
      <c r="I27" s="12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7"/>
      <c r="V27" s="64" t="str">
        <f t="shared" si="4"/>
        <v>Ok</v>
      </c>
    </row>
    <row r="28" spans="1:22" ht="10.5">
      <c r="A28" s="17"/>
      <c r="B28" s="17"/>
      <c r="C28" s="125"/>
      <c r="D28" s="120"/>
      <c r="E28" s="120"/>
      <c r="F28" s="120"/>
      <c r="G28" s="121"/>
      <c r="H28" s="121"/>
      <c r="I28" s="12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7"/>
      <c r="V28" s="8"/>
    </row>
    <row r="29" spans="1:22" ht="10.5">
      <c r="A29" s="17"/>
      <c r="B29" s="17"/>
      <c r="C29" s="130" t="s">
        <v>145</v>
      </c>
      <c r="D29" s="131" t="s">
        <v>30</v>
      </c>
      <c r="E29" s="135" t="str">
        <f>units</f>
        <v>$millions</v>
      </c>
      <c r="F29" s="132">
        <f t="shared" si="3"/>
        <v>43983</v>
      </c>
      <c r="G29" s="121"/>
      <c r="H29" s="121"/>
      <c r="I29" s="120"/>
      <c r="J29" s="133">
        <f>SUM(J19:J27)</f>
        <v>2.2220685636177944</v>
      </c>
      <c r="K29" s="133">
        <f t="shared" ref="K29:S29" si="5">SUM(K19:K27)</f>
        <v>2.2397166971542091</v>
      </c>
      <c r="L29" s="133">
        <f t="shared" si="5"/>
        <v>2.2567715444886352</v>
      </c>
      <c r="M29" s="133">
        <f t="shared" si="5"/>
        <v>2.2594410371947657</v>
      </c>
      <c r="N29" s="133">
        <f t="shared" si="5"/>
        <v>2.2586726892271614</v>
      </c>
      <c r="O29" s="133">
        <f t="shared" si="5"/>
        <v>0</v>
      </c>
      <c r="P29" s="133">
        <f t="shared" si="5"/>
        <v>0</v>
      </c>
      <c r="Q29" s="133">
        <f t="shared" si="5"/>
        <v>0</v>
      </c>
      <c r="R29" s="133">
        <f t="shared" si="5"/>
        <v>0</v>
      </c>
      <c r="S29" s="133">
        <f t="shared" si="5"/>
        <v>0</v>
      </c>
      <c r="T29" s="133"/>
      <c r="U29" s="17"/>
      <c r="V29" s="64"/>
    </row>
    <row r="30" spans="1:22">
      <c r="A30" s="17"/>
      <c r="B30" s="17"/>
      <c r="C30" s="17"/>
      <c r="D30" s="120"/>
      <c r="E30" s="120"/>
      <c r="F30" s="120"/>
      <c r="G30" s="121"/>
      <c r="H30" s="121"/>
      <c r="I30" s="1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8"/>
    </row>
    <row r="31" spans="1:22" ht="13">
      <c r="A31" s="32"/>
      <c r="B31" s="38" t="s">
        <v>54</v>
      </c>
      <c r="C31" s="32"/>
      <c r="D31" s="32"/>
      <c r="E31" s="32"/>
      <c r="F31" s="118"/>
      <c r="G31" s="118"/>
      <c r="H31" s="118"/>
      <c r="I31" s="118"/>
      <c r="J31" s="34"/>
      <c r="K31" s="119"/>
      <c r="L31" s="34"/>
      <c r="M31" s="119"/>
      <c r="N31" s="34"/>
      <c r="O31" s="34"/>
      <c r="P31" s="34"/>
      <c r="Q31" s="34"/>
      <c r="R31" s="34"/>
      <c r="S31" s="34"/>
      <c r="T31" s="34"/>
      <c r="U31" s="34"/>
      <c r="V31" s="35"/>
    </row>
    <row r="32" spans="1:22">
      <c r="A32" s="17"/>
      <c r="B32" s="17"/>
      <c r="C32" s="17"/>
      <c r="D32" s="120"/>
      <c r="E32" s="120"/>
      <c r="F32" s="120"/>
      <c r="G32" s="120"/>
      <c r="H32" s="120"/>
      <c r="I32" s="12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8"/>
    </row>
    <row r="33" spans="1:22">
      <c r="A33" s="17"/>
      <c r="B33" s="17"/>
      <c r="C33" s="17"/>
      <c r="D33" s="120"/>
      <c r="E33" s="120"/>
      <c r="F33" s="120"/>
      <c r="G33" s="120"/>
      <c r="H33" s="120"/>
      <c r="I33" s="120"/>
      <c r="J33" s="129" t="s">
        <v>23</v>
      </c>
      <c r="K33" s="129" t="s">
        <v>23</v>
      </c>
      <c r="L33" s="129" t="s">
        <v>23</v>
      </c>
      <c r="M33" s="211" t="s">
        <v>23</v>
      </c>
      <c r="N33" s="129" t="s">
        <v>69</v>
      </c>
      <c r="O33" s="129"/>
      <c r="P33" s="129"/>
      <c r="Q33" s="129"/>
      <c r="R33" s="129"/>
      <c r="S33" s="129"/>
      <c r="T33" s="129"/>
      <c r="U33" s="17"/>
      <c r="V33" s="8"/>
    </row>
    <row r="34" spans="1:22" ht="10.5">
      <c r="A34" s="17"/>
      <c r="B34" s="17"/>
      <c r="C34" s="122" t="s">
        <v>71</v>
      </c>
      <c r="D34" s="121" t="s">
        <v>7</v>
      </c>
      <c r="E34" s="121" t="s">
        <v>8</v>
      </c>
      <c r="F34" s="121" t="s">
        <v>22</v>
      </c>
      <c r="G34" s="121"/>
      <c r="H34" s="121"/>
      <c r="I34" s="121"/>
      <c r="J34" s="123">
        <f t="shared" ref="J34:S34" si="6">IF(YEAR(J$4)&lt;=PPLastYear,J$4,"")</f>
        <v>44348</v>
      </c>
      <c r="K34" s="123">
        <f t="shared" si="6"/>
        <v>44713</v>
      </c>
      <c r="L34" s="123">
        <f t="shared" si="6"/>
        <v>45078</v>
      </c>
      <c r="M34" s="123">
        <f t="shared" si="6"/>
        <v>45444</v>
      </c>
      <c r="N34" s="123">
        <f t="shared" si="6"/>
        <v>45809</v>
      </c>
      <c r="O34" s="123" t="str">
        <f t="shared" si="6"/>
        <v/>
      </c>
      <c r="P34" s="123" t="str">
        <f t="shared" si="6"/>
        <v/>
      </c>
      <c r="Q34" s="123" t="str">
        <f t="shared" si="6"/>
        <v/>
      </c>
      <c r="R34" s="123" t="str">
        <f t="shared" si="6"/>
        <v/>
      </c>
      <c r="S34" s="123" t="str">
        <f t="shared" si="6"/>
        <v/>
      </c>
      <c r="T34" s="123"/>
      <c r="U34" s="124" t="s">
        <v>51</v>
      </c>
      <c r="V34" s="8"/>
    </row>
    <row r="35" spans="1:22">
      <c r="A35" s="17"/>
      <c r="B35" s="17"/>
      <c r="C35" s="125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</row>
    <row r="36" spans="1:22">
      <c r="A36" s="17"/>
      <c r="B36" s="17"/>
      <c r="C36" s="125"/>
      <c r="D36" s="120"/>
      <c r="E36" s="120"/>
      <c r="F36" s="120"/>
      <c r="G36" s="121"/>
      <c r="H36" s="121"/>
      <c r="I36" s="12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</row>
    <row r="37" spans="1:22">
      <c r="A37" s="17"/>
      <c r="B37" s="17"/>
      <c r="C37" s="127" t="s">
        <v>68</v>
      </c>
      <c r="D37" s="120" t="s">
        <v>70</v>
      </c>
      <c r="E37" s="120" t="str">
        <f>units</f>
        <v>$millions</v>
      </c>
      <c r="F37" s="134" t="s">
        <v>95</v>
      </c>
      <c r="G37" s="121"/>
      <c r="H37" s="121"/>
      <c r="I37" s="120"/>
      <c r="J37" s="129">
        <v>249.30097591999987</v>
      </c>
      <c r="K37" s="129">
        <v>272.05039130555843</v>
      </c>
      <c r="L37" s="129">
        <v>327.36209103392196</v>
      </c>
      <c r="M37" s="212">
        <v>346.83700184999998</v>
      </c>
      <c r="N37" s="129">
        <v>359.83568690999999</v>
      </c>
      <c r="O37" s="129"/>
      <c r="P37" s="129"/>
      <c r="Q37" s="129"/>
      <c r="R37" s="129"/>
      <c r="S37" s="129"/>
      <c r="T37" s="129"/>
      <c r="U37" s="17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7"/>
      <c r="B38" s="17"/>
      <c r="C38" s="125"/>
      <c r="D38" s="120"/>
      <c r="E38" s="120"/>
      <c r="F38" s="134"/>
      <c r="G38" s="121"/>
      <c r="H38" s="121"/>
      <c r="I38" s="120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7"/>
      <c r="V38" s="8"/>
    </row>
    <row r="39" spans="1:22" ht="10.5">
      <c r="A39" s="17"/>
      <c r="B39" s="17"/>
      <c r="C39" s="122" t="s">
        <v>159</v>
      </c>
      <c r="D39" s="120"/>
      <c r="E39" s="120"/>
      <c r="F39" s="134"/>
      <c r="G39" s="121"/>
      <c r="H39" s="121"/>
      <c r="I39" s="120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7"/>
      <c r="V39" s="8"/>
    </row>
    <row r="40" spans="1:22" ht="10.5">
      <c r="A40" s="17"/>
      <c r="B40" s="17"/>
      <c r="C40" s="122"/>
      <c r="D40" s="120"/>
      <c r="E40" s="120"/>
      <c r="F40" s="134"/>
      <c r="G40" s="121"/>
      <c r="H40" s="121"/>
      <c r="I40" s="120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7"/>
      <c r="V40" s="8"/>
    </row>
    <row r="41" spans="1:22">
      <c r="A41" s="17"/>
      <c r="B41" s="17"/>
      <c r="C41" s="127" t="s">
        <v>155</v>
      </c>
      <c r="D41" s="120" t="s">
        <v>70</v>
      </c>
      <c r="E41" s="120" t="str">
        <f>units</f>
        <v>$millions</v>
      </c>
      <c r="F41" s="134" t="s">
        <v>95</v>
      </c>
      <c r="G41" s="121"/>
      <c r="H41" s="121"/>
      <c r="I41" s="120"/>
      <c r="J41" s="129">
        <v>4.1489494999999996</v>
      </c>
      <c r="K41" s="129">
        <v>10.784458000000001</v>
      </c>
      <c r="L41" s="129">
        <v>-2.0184980000000001</v>
      </c>
      <c r="M41" s="129">
        <v>5.4393801499999999</v>
      </c>
      <c r="N41" s="129"/>
      <c r="O41" s="129"/>
      <c r="P41" s="129"/>
      <c r="Q41" s="129"/>
      <c r="R41" s="129"/>
      <c r="S41" s="129"/>
      <c r="T41" s="129"/>
      <c r="U41" s="17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7"/>
      <c r="B42" s="17"/>
      <c r="C42" s="127"/>
      <c r="D42" s="120" t="s">
        <v>70</v>
      </c>
      <c r="E42" s="120" t="str">
        <f>units</f>
        <v>$millions</v>
      </c>
      <c r="F42" s="134" t="s">
        <v>95</v>
      </c>
      <c r="G42" s="121"/>
      <c r="H42" s="121"/>
      <c r="I42" s="120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7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7"/>
      <c r="B43" s="17"/>
      <c r="C43" s="127"/>
      <c r="D43" s="120" t="s">
        <v>70</v>
      </c>
      <c r="E43" s="120" t="str">
        <f>units</f>
        <v>$millions</v>
      </c>
      <c r="F43" s="134" t="s">
        <v>95</v>
      </c>
      <c r="G43" s="121"/>
      <c r="H43" s="121"/>
      <c r="I43" s="120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7"/>
      <c r="V43" s="64" t="str">
        <f t="shared" si="7"/>
        <v>Ok</v>
      </c>
    </row>
    <row r="44" spans="1:22">
      <c r="A44" s="17"/>
      <c r="B44" s="17"/>
      <c r="C44" s="127"/>
      <c r="D44" s="120" t="s">
        <v>70</v>
      </c>
      <c r="E44" s="120" t="str">
        <f>units</f>
        <v>$millions</v>
      </c>
      <c r="F44" s="134" t="s">
        <v>95</v>
      </c>
      <c r="G44" s="121"/>
      <c r="H44" s="121"/>
      <c r="I44" s="120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7"/>
      <c r="V44" s="64" t="str">
        <f t="shared" si="7"/>
        <v>Ok</v>
      </c>
    </row>
    <row r="45" spans="1:22">
      <c r="A45" s="17"/>
      <c r="B45" s="17"/>
      <c r="C45" s="127"/>
      <c r="D45" s="120" t="s">
        <v>70</v>
      </c>
      <c r="E45" s="120" t="str">
        <f>units</f>
        <v>$millions</v>
      </c>
      <c r="F45" s="134" t="s">
        <v>95</v>
      </c>
      <c r="G45" s="121"/>
      <c r="H45" s="121"/>
      <c r="I45" s="120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7"/>
      <c r="V45" s="64" t="str">
        <f t="shared" si="7"/>
        <v>Ok</v>
      </c>
    </row>
    <row r="46" spans="1:22">
      <c r="A46" s="17"/>
      <c r="B46" s="17"/>
      <c r="C46" s="125"/>
      <c r="D46" s="120"/>
      <c r="E46" s="120"/>
      <c r="F46" s="120"/>
      <c r="G46" s="121"/>
      <c r="H46" s="121"/>
      <c r="I46" s="120"/>
      <c r="J46" s="17"/>
      <c r="K46" s="17"/>
      <c r="L46" s="17"/>
      <c r="M46" s="17"/>
      <c r="N46" s="136"/>
      <c r="O46" s="136"/>
      <c r="P46" s="136"/>
      <c r="Q46" s="136"/>
      <c r="R46" s="136"/>
      <c r="S46" s="136"/>
      <c r="T46" s="136"/>
      <c r="U46" s="17"/>
      <c r="V46" s="8"/>
    </row>
    <row r="47" spans="1:22" ht="10.5">
      <c r="A47" s="17"/>
      <c r="B47" s="17"/>
      <c r="C47" s="130" t="s">
        <v>156</v>
      </c>
      <c r="D47" s="131" t="s">
        <v>30</v>
      </c>
      <c r="E47" s="135" t="str">
        <f>units</f>
        <v>$millions</v>
      </c>
      <c r="F47" s="132" t="s">
        <v>95</v>
      </c>
      <c r="G47" s="121"/>
      <c r="H47" s="121"/>
      <c r="I47" s="120"/>
      <c r="J47" s="133">
        <f>J37-SUM(J41:J45)</f>
        <v>245.15202641999988</v>
      </c>
      <c r="K47" s="133">
        <f t="shared" ref="K47:S47" si="8">K37-SUM(K41:K45)</f>
        <v>261.26593330555841</v>
      </c>
      <c r="L47" s="133">
        <f t="shared" si="8"/>
        <v>329.38058903392198</v>
      </c>
      <c r="M47" s="133">
        <f t="shared" si="8"/>
        <v>341.3976217</v>
      </c>
      <c r="N47" s="133">
        <f t="shared" si="8"/>
        <v>359.83568690999999</v>
      </c>
      <c r="O47" s="133">
        <f t="shared" si="8"/>
        <v>0</v>
      </c>
      <c r="P47" s="133">
        <f t="shared" si="8"/>
        <v>0</v>
      </c>
      <c r="Q47" s="133">
        <f t="shared" si="8"/>
        <v>0</v>
      </c>
      <c r="R47" s="133">
        <f t="shared" si="8"/>
        <v>0</v>
      </c>
      <c r="S47" s="133">
        <f t="shared" si="8"/>
        <v>0</v>
      </c>
      <c r="T47" s="133"/>
      <c r="U47" s="17"/>
      <c r="V47" s="8"/>
    </row>
    <row r="48" spans="1:22">
      <c r="A48" s="17"/>
      <c r="B48" s="17"/>
      <c r="C48" s="17"/>
      <c r="D48" s="120"/>
      <c r="E48" s="120"/>
      <c r="F48" s="120"/>
      <c r="G48" s="120"/>
      <c r="H48" s="120"/>
      <c r="I48" s="12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8"/>
    </row>
    <row r="49" spans="1:22" ht="10.5">
      <c r="A49" s="17"/>
      <c r="B49" s="17"/>
      <c r="C49" s="122" t="s">
        <v>103</v>
      </c>
      <c r="D49" s="120"/>
      <c r="E49" s="120"/>
      <c r="F49" s="120"/>
      <c r="G49" s="120"/>
      <c r="H49" s="120"/>
      <c r="I49" s="12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8"/>
    </row>
    <row r="50" spans="1:22">
      <c r="A50" s="17"/>
      <c r="B50" s="17"/>
      <c r="C50" s="17"/>
      <c r="D50" s="120"/>
      <c r="E50" s="120"/>
      <c r="F50" s="120"/>
      <c r="G50" s="120"/>
      <c r="H50" s="120"/>
      <c r="I50" s="12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8"/>
    </row>
    <row r="51" spans="1:22">
      <c r="A51" s="17"/>
      <c r="B51" s="17"/>
      <c r="C51" s="127"/>
      <c r="D51" s="120" t="s">
        <v>70</v>
      </c>
      <c r="E51" s="120" t="str">
        <f>units</f>
        <v>$millions</v>
      </c>
      <c r="F51" s="134" t="s">
        <v>95</v>
      </c>
      <c r="G51" s="121"/>
      <c r="H51" s="121"/>
      <c r="I51" s="120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7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7"/>
      <c r="B52" s="17"/>
      <c r="C52" s="127"/>
      <c r="D52" s="120" t="s">
        <v>70</v>
      </c>
      <c r="E52" s="120" t="str">
        <f>units</f>
        <v>$millions</v>
      </c>
      <c r="F52" s="134" t="s">
        <v>95</v>
      </c>
      <c r="G52" s="121"/>
      <c r="H52" s="121"/>
      <c r="I52" s="120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7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7"/>
      <c r="B53" s="17"/>
      <c r="C53" s="127"/>
      <c r="D53" s="120" t="s">
        <v>70</v>
      </c>
      <c r="E53" s="120" t="str">
        <f>units</f>
        <v>$millions</v>
      </c>
      <c r="F53" s="134" t="s">
        <v>95</v>
      </c>
      <c r="G53" s="121"/>
      <c r="H53" s="121"/>
      <c r="I53" s="120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7"/>
      <c r="V53" s="64" t="str">
        <f t="shared" si="9"/>
        <v>Ok</v>
      </c>
    </row>
    <row r="54" spans="1:22">
      <c r="A54" s="17"/>
      <c r="B54" s="17"/>
      <c r="C54" s="127"/>
      <c r="D54" s="120" t="s">
        <v>70</v>
      </c>
      <c r="E54" s="120" t="str">
        <f>units</f>
        <v>$millions</v>
      </c>
      <c r="F54" s="134" t="s">
        <v>95</v>
      </c>
      <c r="G54" s="121"/>
      <c r="H54" s="121"/>
      <c r="I54" s="120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7"/>
      <c r="V54" s="64" t="str">
        <f t="shared" si="9"/>
        <v>Ok</v>
      </c>
    </row>
    <row r="55" spans="1:22">
      <c r="A55" s="17"/>
      <c r="B55" s="17"/>
      <c r="C55" s="127"/>
      <c r="D55" s="120" t="s">
        <v>70</v>
      </c>
      <c r="E55" s="120" t="str">
        <f>units</f>
        <v>$millions</v>
      </c>
      <c r="F55" s="134" t="s">
        <v>95</v>
      </c>
      <c r="G55" s="121"/>
      <c r="H55" s="121"/>
      <c r="I55" s="120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7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7"/>
      <c r="B56" s="17"/>
      <c r="C56" s="125"/>
      <c r="D56" s="120"/>
      <c r="E56" s="120"/>
      <c r="F56" s="120"/>
      <c r="G56" s="121"/>
      <c r="H56" s="121"/>
      <c r="I56" s="120"/>
      <c r="J56" s="17"/>
      <c r="K56" s="17"/>
      <c r="L56" s="17"/>
      <c r="M56" s="17"/>
      <c r="N56" s="136"/>
      <c r="O56" s="136"/>
      <c r="P56" s="136"/>
      <c r="Q56" s="136"/>
      <c r="R56" s="136"/>
      <c r="S56" s="136"/>
      <c r="T56" s="136"/>
      <c r="U56" s="17"/>
      <c r="V56" s="8"/>
    </row>
    <row r="57" spans="1:22" ht="10.5">
      <c r="A57" s="17"/>
      <c r="B57" s="17"/>
      <c r="C57" s="130" t="s">
        <v>145</v>
      </c>
      <c r="D57" s="131" t="s">
        <v>30</v>
      </c>
      <c r="E57" s="135" t="str">
        <f>units</f>
        <v>$millions</v>
      </c>
      <c r="F57" s="132" t="s">
        <v>95</v>
      </c>
      <c r="G57" s="121"/>
      <c r="H57" s="121"/>
      <c r="I57" s="120"/>
      <c r="J57" s="137">
        <f>SUM(J51:J55)</f>
        <v>0</v>
      </c>
      <c r="K57" s="137">
        <f t="shared" ref="K57:S57" si="10">SUM(K51:K55)</f>
        <v>0</v>
      </c>
      <c r="L57" s="137">
        <f t="shared" si="10"/>
        <v>0</v>
      </c>
      <c r="M57" s="137">
        <f t="shared" si="10"/>
        <v>0</v>
      </c>
      <c r="N57" s="137">
        <f t="shared" si="10"/>
        <v>0</v>
      </c>
      <c r="O57" s="137">
        <f t="shared" si="10"/>
        <v>0</v>
      </c>
      <c r="P57" s="137">
        <f t="shared" si="10"/>
        <v>0</v>
      </c>
      <c r="Q57" s="137">
        <f t="shared" si="10"/>
        <v>0</v>
      </c>
      <c r="R57" s="137">
        <f t="shared" si="10"/>
        <v>0</v>
      </c>
      <c r="S57" s="137">
        <f t="shared" si="10"/>
        <v>0</v>
      </c>
      <c r="T57" s="137"/>
      <c r="U57" s="17"/>
      <c r="V57" s="64"/>
    </row>
    <row r="58" spans="1:22">
      <c r="A58" s="17"/>
      <c r="B58" s="17"/>
      <c r="C58" s="17"/>
      <c r="D58" s="120"/>
      <c r="E58" s="120"/>
      <c r="F58" s="120"/>
      <c r="G58" s="121"/>
      <c r="H58" s="121"/>
      <c r="I58" s="12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8"/>
    </row>
    <row r="59" spans="1:22" ht="13">
      <c r="A59" s="32"/>
      <c r="B59" s="38" t="s">
        <v>104</v>
      </c>
      <c r="C59" s="32"/>
      <c r="D59" s="32"/>
      <c r="E59" s="32"/>
      <c r="F59" s="118"/>
      <c r="G59" s="118"/>
      <c r="H59" s="118"/>
      <c r="I59" s="118"/>
      <c r="J59" s="34"/>
      <c r="K59" s="119"/>
      <c r="L59" s="34"/>
      <c r="M59" s="119"/>
      <c r="N59" s="34"/>
      <c r="O59" s="34"/>
      <c r="P59" s="34"/>
      <c r="Q59" s="34"/>
      <c r="R59" s="34"/>
      <c r="S59" s="34"/>
      <c r="T59" s="34"/>
      <c r="U59" s="34"/>
      <c r="V59" s="35"/>
    </row>
    <row r="60" spans="1:22">
      <c r="A60" s="17"/>
      <c r="B60" s="17"/>
      <c r="C60" s="17"/>
      <c r="D60" s="120"/>
      <c r="E60" s="120"/>
      <c r="F60" s="120"/>
      <c r="G60" s="120"/>
      <c r="H60" s="120"/>
      <c r="I60" s="1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8"/>
    </row>
    <row r="61" spans="1:22" ht="10.5">
      <c r="A61" s="17"/>
      <c r="B61" s="17"/>
      <c r="C61" s="122" t="s">
        <v>105</v>
      </c>
      <c r="D61" s="121" t="s">
        <v>7</v>
      </c>
      <c r="E61" s="121" t="s">
        <v>8</v>
      </c>
      <c r="F61" s="121" t="s">
        <v>22</v>
      </c>
      <c r="G61" s="121"/>
      <c r="H61" s="121"/>
      <c r="I61" s="121"/>
      <c r="J61" s="123" t="str">
        <f t="shared" ref="J61:S61" si="11">IF(YEAR(J$4)=PPLastYear,J$4,"")</f>
        <v/>
      </c>
      <c r="K61" s="123" t="str">
        <f t="shared" si="11"/>
        <v/>
      </c>
      <c r="L61" s="123" t="str">
        <f t="shared" si="11"/>
        <v/>
      </c>
      <c r="M61" s="123" t="str">
        <f t="shared" si="11"/>
        <v/>
      </c>
      <c r="N61" s="123">
        <f t="shared" si="11"/>
        <v>45809</v>
      </c>
      <c r="O61" s="123" t="str">
        <f t="shared" si="11"/>
        <v/>
      </c>
      <c r="P61" s="123" t="str">
        <f t="shared" si="11"/>
        <v/>
      </c>
      <c r="Q61" s="123" t="str">
        <f t="shared" si="11"/>
        <v/>
      </c>
      <c r="R61" s="123" t="str">
        <f t="shared" si="11"/>
        <v/>
      </c>
      <c r="S61" s="123" t="str">
        <f t="shared" si="11"/>
        <v/>
      </c>
      <c r="T61" s="123"/>
      <c r="U61" s="17"/>
      <c r="V61" s="8"/>
    </row>
    <row r="62" spans="1:22" ht="10.5">
      <c r="A62" s="17"/>
      <c r="B62" s="17"/>
      <c r="C62" s="122"/>
      <c r="D62" s="121"/>
      <c r="E62" s="121"/>
      <c r="F62" s="121"/>
      <c r="G62" s="121"/>
      <c r="H62" s="121"/>
      <c r="I62" s="12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7"/>
      <c r="V62" s="8"/>
    </row>
    <row r="63" spans="1:22">
      <c r="A63" s="17"/>
      <c r="B63" s="17"/>
      <c r="C63" s="127" t="s">
        <v>233</v>
      </c>
      <c r="D63" s="120" t="s">
        <v>34</v>
      </c>
      <c r="E63" s="120" t="str">
        <f>units</f>
        <v>$millions</v>
      </c>
      <c r="F63" s="139">
        <v>44713</v>
      </c>
      <c r="G63" s="121"/>
      <c r="H63" s="121"/>
      <c r="I63" s="121"/>
      <c r="J63" s="129"/>
      <c r="K63" s="129"/>
      <c r="L63" s="129"/>
      <c r="M63" s="129"/>
      <c r="N63" s="129">
        <v>14.95858710380702</v>
      </c>
      <c r="O63" s="129"/>
      <c r="P63" s="129"/>
      <c r="Q63" s="129"/>
      <c r="R63" s="129"/>
      <c r="S63" s="129"/>
      <c r="T63" s="129"/>
      <c r="U63" s="17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7"/>
      <c r="B64" s="17"/>
      <c r="C64" s="127"/>
      <c r="D64" s="120" t="s">
        <v>34</v>
      </c>
      <c r="E64" s="120" t="str">
        <f>units</f>
        <v>$millions</v>
      </c>
      <c r="F64" s="139">
        <f>DATE(PPLastYear,MONTH(month),1)</f>
        <v>45809</v>
      </c>
      <c r="G64" s="121"/>
      <c r="H64" s="121"/>
      <c r="I64" s="121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2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7"/>
      <c r="B65" s="17"/>
      <c r="C65" s="127"/>
      <c r="D65" s="120" t="s">
        <v>34</v>
      </c>
      <c r="E65" s="120" t="str">
        <f>units</f>
        <v>$millions</v>
      </c>
      <c r="F65" s="139">
        <f>DATE(PPLastYear,MONTH(month),1)</f>
        <v>45809</v>
      </c>
      <c r="G65" s="121"/>
      <c r="H65" s="121"/>
      <c r="I65" s="121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2"/>
      <c r="V65" s="64" t="str">
        <f t="shared" si="12"/>
        <v>Ok</v>
      </c>
    </row>
    <row r="66" spans="1:22" ht="10.5">
      <c r="A66" s="17"/>
      <c r="B66" s="17"/>
      <c r="C66" s="127"/>
      <c r="D66" s="120" t="s">
        <v>34</v>
      </c>
      <c r="E66" s="120" t="str">
        <f>units</f>
        <v>$millions</v>
      </c>
      <c r="F66" s="139">
        <f>DATE(PPLastYear,MONTH(month),1)</f>
        <v>45809</v>
      </c>
      <c r="G66" s="121"/>
      <c r="H66" s="121"/>
      <c r="I66" s="121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2"/>
      <c r="V66" s="64" t="str">
        <f t="shared" si="12"/>
        <v>Ok</v>
      </c>
    </row>
    <row r="67" spans="1:22" ht="10.5">
      <c r="A67" s="17"/>
      <c r="B67" s="17"/>
      <c r="C67" s="127"/>
      <c r="D67" s="120" t="s">
        <v>34</v>
      </c>
      <c r="E67" s="120" t="str">
        <f>units</f>
        <v>$millions</v>
      </c>
      <c r="F67" s="139">
        <f>DATE(PPLastYear,MONTH(month),1)</f>
        <v>45809</v>
      </c>
      <c r="G67" s="121"/>
      <c r="H67" s="121"/>
      <c r="I67" s="121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2"/>
      <c r="V67" s="64" t="str">
        <f t="shared" si="12"/>
        <v>Ok</v>
      </c>
    </row>
    <row r="68" spans="1:22" ht="10.5">
      <c r="A68" s="17"/>
      <c r="B68" s="17"/>
      <c r="C68" s="140"/>
      <c r="D68" s="120"/>
      <c r="E68" s="120"/>
      <c r="F68" s="121"/>
      <c r="G68" s="121"/>
      <c r="H68" s="121"/>
      <c r="I68" s="12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22"/>
      <c r="V68" s="8"/>
    </row>
    <row r="69" spans="1:22">
      <c r="A69" s="17"/>
      <c r="B69" s="17"/>
      <c r="C69" s="142" t="s">
        <v>157</v>
      </c>
      <c r="D69" s="120" t="s">
        <v>34</v>
      </c>
      <c r="E69" s="120" t="str">
        <f>units</f>
        <v>$millions</v>
      </c>
      <c r="F69" s="139">
        <f>DATE(PPLastYear,MONTH(month),1)</f>
        <v>45809</v>
      </c>
      <c r="G69" s="121"/>
      <c r="H69" s="121"/>
      <c r="I69" s="121"/>
      <c r="J69" s="129"/>
      <c r="K69" s="129"/>
      <c r="L69" s="129"/>
      <c r="M69" s="129"/>
      <c r="N69" s="217">
        <v>-1.1948832315631199</v>
      </c>
      <c r="O69" s="129"/>
      <c r="P69" s="129"/>
      <c r="Q69" s="129"/>
      <c r="R69" s="129"/>
      <c r="S69" s="129"/>
      <c r="T69" s="129"/>
      <c r="U69" s="17" t="s">
        <v>219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7"/>
      <c r="B70" s="17"/>
      <c r="C70" s="142"/>
      <c r="D70" s="120"/>
      <c r="E70" s="120"/>
      <c r="F70" s="121"/>
      <c r="G70" s="121"/>
      <c r="H70" s="121"/>
      <c r="I70" s="12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22"/>
      <c r="V70" s="8"/>
    </row>
    <row r="71" spans="1:22">
      <c r="A71" s="17"/>
      <c r="B71" s="17"/>
      <c r="C71" s="142" t="s">
        <v>252</v>
      </c>
      <c r="D71" s="120" t="s">
        <v>34</v>
      </c>
      <c r="E71" s="120" t="s">
        <v>31</v>
      </c>
      <c r="F71" s="121"/>
      <c r="G71" s="121"/>
      <c r="H71" s="121"/>
      <c r="I71" s="121"/>
      <c r="J71" s="143"/>
      <c r="K71" s="143"/>
      <c r="L71" s="143"/>
      <c r="M71" s="143"/>
      <c r="N71" s="143">
        <v>0</v>
      </c>
      <c r="O71" s="143"/>
      <c r="P71" s="143"/>
      <c r="Q71" s="143"/>
      <c r="R71" s="143"/>
      <c r="S71" s="143"/>
      <c r="T71" s="143"/>
      <c r="U71" s="17" t="s">
        <v>218</v>
      </c>
      <c r="V71" s="64" t="str">
        <f t="shared" si="13"/>
        <v>Ok</v>
      </c>
    </row>
    <row r="72" spans="1:22">
      <c r="A72" s="17"/>
      <c r="B72" s="17"/>
      <c r="C72" s="125"/>
      <c r="D72" s="120"/>
      <c r="E72" s="120"/>
      <c r="F72" s="120"/>
      <c r="G72" s="121"/>
      <c r="H72" s="121"/>
      <c r="I72" s="12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8"/>
    </row>
    <row r="73" spans="1:22" ht="13">
      <c r="A73" s="32"/>
      <c r="B73" s="38" t="s">
        <v>21</v>
      </c>
      <c r="C73" s="32"/>
      <c r="D73" s="32"/>
      <c r="E73" s="32"/>
      <c r="F73" s="118"/>
      <c r="G73" s="118"/>
      <c r="H73" s="118"/>
      <c r="I73" s="118"/>
      <c r="J73" s="34"/>
      <c r="K73" s="119"/>
      <c r="L73" s="34"/>
      <c r="M73" s="119"/>
      <c r="N73" s="34"/>
      <c r="O73" s="34"/>
      <c r="P73" s="34"/>
      <c r="Q73" s="34"/>
      <c r="R73" s="34"/>
      <c r="S73" s="34"/>
      <c r="T73" s="34"/>
      <c r="U73" s="34"/>
      <c r="V73" s="35"/>
    </row>
  </sheetData>
  <sheetProtection selectLockedCells="1"/>
  <conditionalFormatting sqref="J13:T13">
    <cfRule type="expression" dxfId="161" priority="31">
      <formula>J$10=J$4</formula>
    </cfRule>
  </conditionalFormatting>
  <conditionalFormatting sqref="J15:T15">
    <cfRule type="cellIs" dxfId="160" priority="34" operator="equal">
      <formula>0</formula>
    </cfRule>
  </conditionalFormatting>
  <conditionalFormatting sqref="J19:T27">
    <cfRule type="expression" dxfId="159" priority="26">
      <formula>J$10=J$4</formula>
    </cfRule>
  </conditionalFormatting>
  <conditionalFormatting sqref="J29:T29">
    <cfRule type="cellIs" dxfId="158" priority="27" operator="equal">
      <formula>0</formula>
    </cfRule>
  </conditionalFormatting>
  <conditionalFormatting sqref="J33:T33 N37:T37">
    <cfRule type="expression" dxfId="157" priority="32">
      <formula>J$34=J$4</formula>
    </cfRule>
  </conditionalFormatting>
  <conditionalFormatting sqref="J37:T37">
    <cfRule type="expression" dxfId="156" priority="30">
      <formula>J$10=J$4</formula>
    </cfRule>
  </conditionalFormatting>
  <conditionalFormatting sqref="J41:T45">
    <cfRule type="expression" dxfId="155" priority="24">
      <formula>J$34=J$4</formula>
    </cfRule>
  </conditionalFormatting>
  <conditionalFormatting sqref="J47:T47">
    <cfRule type="cellIs" dxfId="154" priority="29" operator="equal">
      <formula>0</formula>
    </cfRule>
  </conditionalFormatting>
  <conditionalFormatting sqref="J51:T55">
    <cfRule type="expression" dxfId="153" priority="21">
      <formula>J$34=J$4</formula>
    </cfRule>
  </conditionalFormatting>
  <conditionalFormatting sqref="J57:T57">
    <cfRule type="cellIs" dxfId="152" priority="33" operator="equal">
      <formula>0</formula>
    </cfRule>
  </conditionalFormatting>
  <conditionalFormatting sqref="J63:T67">
    <cfRule type="expression" dxfId="151" priority="28">
      <formula>J$61=J$4</formula>
    </cfRule>
  </conditionalFormatting>
  <conditionalFormatting sqref="J69:T69 J71:T71">
    <cfRule type="expression" dxfId="150" priority="63">
      <formula>J$61=J$4</formula>
    </cfRule>
  </conditionalFormatting>
  <conditionalFormatting sqref="S1:T1">
    <cfRule type="cellIs" dxfId="149" priority="52" operator="equal">
      <formula>"Ok"</formula>
    </cfRule>
    <cfRule type="cellIs" dxfId="148" priority="51" operator="equal">
      <formula>"Check"</formula>
    </cfRule>
  </conditionalFormatting>
  <conditionalFormatting sqref="V1">
    <cfRule type="cellIs" dxfId="147" priority="80" operator="equal">
      <formula>"Check"</formula>
    </cfRule>
    <cfRule type="cellIs" dxfId="146" priority="81" operator="equal">
      <formula>"Ok"</formula>
    </cfRule>
  </conditionalFormatting>
  <conditionalFormatting sqref="V13">
    <cfRule type="cellIs" dxfId="145" priority="19" operator="equal">
      <formula>"Check"</formula>
    </cfRule>
    <cfRule type="cellIs" dxfId="144" priority="20" operator="equal">
      <formula>"Ok"</formula>
    </cfRule>
  </conditionalFormatting>
  <conditionalFormatting sqref="V15">
    <cfRule type="cellIs" dxfId="143" priority="82" operator="equal">
      <formula>"Check"</formula>
    </cfRule>
    <cfRule type="cellIs" dxfId="142" priority="83" operator="equal">
      <formula>"Ok"</formula>
    </cfRule>
  </conditionalFormatting>
  <conditionalFormatting sqref="V19:V27">
    <cfRule type="cellIs" dxfId="141" priority="17" operator="equal">
      <formula>"Check"</formula>
    </cfRule>
    <cfRule type="cellIs" dxfId="140" priority="18" operator="equal">
      <formula>"Ok"</formula>
    </cfRule>
  </conditionalFormatting>
  <conditionalFormatting sqref="V29">
    <cfRule type="cellIs" dxfId="139" priority="59" operator="equal">
      <formula>"Check"</formula>
    </cfRule>
    <cfRule type="cellIs" dxfId="138" priority="60" operator="equal">
      <formula>"Ok"</formula>
    </cfRule>
  </conditionalFormatting>
  <conditionalFormatting sqref="V37">
    <cfRule type="cellIs" dxfId="137" priority="13" operator="equal">
      <formula>"Check"</formula>
    </cfRule>
    <cfRule type="cellIs" dxfId="136" priority="14" operator="equal">
      <formula>"Ok"</formula>
    </cfRule>
  </conditionalFormatting>
  <conditionalFormatting sqref="V41:V45">
    <cfRule type="cellIs" dxfId="135" priority="9" operator="equal">
      <formula>"Check"</formula>
    </cfRule>
    <cfRule type="cellIs" dxfId="134" priority="10" operator="equal">
      <formula>"Ok"</formula>
    </cfRule>
  </conditionalFormatting>
  <conditionalFormatting sqref="V47">
    <cfRule type="cellIs" dxfId="133" priority="67" operator="equal">
      <formula>"Ok"</formula>
    </cfRule>
    <cfRule type="cellIs" dxfId="132" priority="66" operator="equal">
      <formula>"Check"</formula>
    </cfRule>
  </conditionalFormatting>
  <conditionalFormatting sqref="V48:V50">
    <cfRule type="cellIs" dxfId="131" priority="74" operator="equal">
      <formula>"Check"</formula>
    </cfRule>
    <cfRule type="cellIs" dxfId="130" priority="75" operator="equal">
      <formula>"Ok"</formula>
    </cfRule>
  </conditionalFormatting>
  <conditionalFormatting sqref="V51:V55">
    <cfRule type="cellIs" dxfId="129" priority="8" operator="equal">
      <formula>"Ok"</formula>
    </cfRule>
    <cfRule type="cellIs" dxfId="128" priority="7" operator="equal">
      <formula>"Check"</formula>
    </cfRule>
  </conditionalFormatting>
  <conditionalFormatting sqref="V52:V55">
    <cfRule type="cellIs" dxfId="127" priority="86" operator="equal">
      <formula>"Check"</formula>
    </cfRule>
    <cfRule type="cellIs" dxfId="126" priority="87" operator="equal">
      <formula>"Ok"</formula>
    </cfRule>
  </conditionalFormatting>
  <conditionalFormatting sqref="V57">
    <cfRule type="cellIs" dxfId="125" priority="84" operator="equal">
      <formula>"Check"</formula>
    </cfRule>
    <cfRule type="cellIs" dxfId="124" priority="85" operator="equal">
      <formula>"Ok"</formula>
    </cfRule>
  </conditionalFormatting>
  <conditionalFormatting sqref="V63:V67">
    <cfRule type="cellIs" dxfId="123" priority="5" operator="equal">
      <formula>"Check"</formula>
    </cfRule>
    <cfRule type="cellIs" dxfId="122" priority="6" operator="equal">
      <formula>"Ok"</formula>
    </cfRule>
  </conditionalFormatting>
  <conditionalFormatting sqref="V69">
    <cfRule type="cellIs" dxfId="121" priority="4" operator="equal">
      <formula>"Ok"</formula>
    </cfRule>
    <cfRule type="cellIs" dxfId="120" priority="3" operator="equal">
      <formula>"Check"</formula>
    </cfRule>
  </conditionalFormatting>
  <conditionalFormatting sqref="V71">
    <cfRule type="cellIs" dxfId="119" priority="1" operator="equal">
      <formula>"Check"</formula>
    </cfRule>
    <cfRule type="cellIs" dxfId="118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51:T55 J37:T37 J19:T27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="115" zoomScaleNormal="115" workbookViewId="0"/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199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0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24"/>
      <c r="L3" s="224"/>
      <c r="M3" s="224"/>
      <c r="N3" s="105"/>
      <c r="O3" s="224"/>
      <c r="P3" s="224"/>
      <c r="Q3" s="224"/>
      <c r="R3" s="224"/>
      <c r="S3" s="224"/>
      <c r="T3" s="224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4" t="s">
        <v>22</v>
      </c>
      <c r="G4" s="145"/>
      <c r="H4" s="145"/>
      <c r="I4" s="145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34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34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7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34" customFormat="1" ht="13">
      <c r="A8" s="32"/>
      <c r="B8" s="38" t="s">
        <v>35</v>
      </c>
      <c r="C8" s="32"/>
      <c r="D8" s="32"/>
      <c r="E8" s="32"/>
      <c r="F8" s="118"/>
      <c r="G8" s="118"/>
      <c r="H8" s="118"/>
      <c r="I8" s="118"/>
      <c r="J8" s="118"/>
      <c r="K8" s="34"/>
      <c r="L8" s="119"/>
      <c r="M8" s="34"/>
      <c r="N8" s="119"/>
      <c r="O8" s="34"/>
      <c r="P8" s="34"/>
      <c r="Q8" s="34"/>
      <c r="R8" s="34"/>
      <c r="S8" s="34"/>
      <c r="T8" s="34"/>
      <c r="U8" s="34"/>
      <c r="V8" s="34"/>
      <c r="W8" s="34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7"/>
      <c r="B9" s="17"/>
      <c r="C9" s="17"/>
      <c r="D9" s="120"/>
      <c r="E9" s="120"/>
      <c r="F9" s="120"/>
      <c r="G9" s="120"/>
      <c r="H9" s="120"/>
      <c r="I9" s="120"/>
      <c r="J9" s="1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4" ht="11.25" customHeight="1" outlineLevel="1">
      <c r="A10" s="17"/>
      <c r="B10" s="17"/>
      <c r="C10" s="122" t="s">
        <v>33</v>
      </c>
      <c r="D10" s="120"/>
      <c r="E10" s="120"/>
      <c r="F10" s="120"/>
      <c r="G10" s="120"/>
      <c r="H10" s="120"/>
      <c r="I10" s="120"/>
      <c r="J10" s="123">
        <f t="shared" ref="J10:T10" si="0">IF(YEAR(J$4)&lt;=PPLastYear,J$4,"")</f>
        <v>43983</v>
      </c>
      <c r="K10" s="123">
        <f t="shared" si="0"/>
        <v>44348</v>
      </c>
      <c r="L10" s="123">
        <f t="shared" si="0"/>
        <v>44713</v>
      </c>
      <c r="M10" s="123">
        <f t="shared" si="0"/>
        <v>45078</v>
      </c>
      <c r="N10" s="123">
        <f t="shared" si="0"/>
        <v>45444</v>
      </c>
      <c r="O10" s="123">
        <f t="shared" si="0"/>
        <v>45809</v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 t="str">
        <f t="shared" si="0"/>
        <v/>
      </c>
      <c r="U10" s="138"/>
      <c r="V10" s="17"/>
      <c r="W10" s="17"/>
    </row>
    <row r="11" spans="1:34" ht="11.25" customHeight="1" outlineLevel="1">
      <c r="A11" s="17"/>
      <c r="B11" s="17"/>
      <c r="C11" s="122"/>
      <c r="D11" s="120"/>
      <c r="E11" s="120"/>
      <c r="F11" s="120"/>
      <c r="G11" s="120"/>
      <c r="H11" s="120"/>
      <c r="I11" s="120"/>
      <c r="J11" s="17"/>
      <c r="K11" s="17"/>
      <c r="L11" s="17"/>
      <c r="M11" s="17"/>
      <c r="N11" s="17"/>
      <c r="O11" s="17"/>
      <c r="P11" s="148"/>
      <c r="Q11" s="148"/>
      <c r="R11" s="148"/>
      <c r="S11" s="148"/>
      <c r="T11" s="148"/>
      <c r="U11" s="148"/>
      <c r="V11" s="149"/>
      <c r="W11" s="149"/>
      <c r="X11" s="14"/>
    </row>
    <row r="12" spans="1:34" ht="11.25" customHeight="1" outlineLevel="1">
      <c r="A12" s="17"/>
      <c r="B12" s="17"/>
      <c r="C12" s="125" t="s">
        <v>33</v>
      </c>
      <c r="D12" s="150" t="s">
        <v>93</v>
      </c>
      <c r="E12" s="120" t="str">
        <f>percent</f>
        <v>Per cent</v>
      </c>
      <c r="F12" s="120"/>
      <c r="G12" s="120"/>
      <c r="H12" s="120"/>
      <c r="I12" s="120"/>
      <c r="J12" s="148">
        <f>IF(J10=J4,LOOKUP(EOMONTH(J4,0),'Input|Inflation'!$C$9:$C$84,'Input|Inflation'!$I$9:$I$84),"")</f>
        <v>-3.4843205574912606E-3</v>
      </c>
      <c r="K12" s="148">
        <f>IF(K10=K4,LOOKUP(EOMONTH(K4,0),'Input|Inflation'!$C$9:$C$84,'Input|Inflation'!$I$9:$I$84),"")</f>
        <v>3.8461538461538325E-2</v>
      </c>
      <c r="L12" s="148">
        <f>IF(L10=L4,LOOKUP(EOMONTH(L4,0),'Input|Inflation'!$C$9:$C$84,'Input|Inflation'!$I$9:$I$84),"")</f>
        <v>6.1447811447811418E-2</v>
      </c>
      <c r="M12" s="148">
        <f>IF(M10=M4,LOOKUP(EOMONTH(M4,0),'Input|Inflation'!$C$9:$C$84,'Input|Inflation'!$I$9:$I$84),"")</f>
        <v>6.0269627279936566E-2</v>
      </c>
      <c r="N12" s="148">
        <f>IF(N10=N4,LOOKUP(EOMONTH(N4,0),'Input|Inflation'!$C$9:$C$84,'Input|Inflation'!$I$9:$I$84),"")</f>
        <v>3.8145100972326373E-2</v>
      </c>
      <c r="O12" s="148">
        <f>IF(O10=O4,LOOKUP(EOMONTH(O4,0),'Input|Inflation'!$C$9:$C$84,'Input|Inflation'!$I$9:$I$84),"")</f>
        <v>2.8000000000000025E-2</v>
      </c>
      <c r="P12" s="148" t="str">
        <f>IF(P10=P4,LOOKUP(EOMONTH(P4,0),'Input|Inflation'!$C$9:$C$84,'Input|Inflation'!$I$9:$I$84),"")</f>
        <v/>
      </c>
      <c r="Q12" s="148" t="str">
        <f>IF(Q10=Q4,LOOKUP(EOMONTH(Q4,0),'Input|Inflation'!$C$9:$C$84,'Input|Inflation'!$I$9:$I$84),"")</f>
        <v/>
      </c>
      <c r="R12" s="148" t="str">
        <f>IF(R10=R4,LOOKUP(EOMONTH(R4,0),'Input|Inflation'!$C$9:$C$84,'Input|Inflation'!$I$9:$I$84),"")</f>
        <v/>
      </c>
      <c r="S12" s="148" t="str">
        <f>IF(S10=S4,LOOKUP(EOMONTH(S4,0),'Input|Inflation'!$C$9:$C$84,'Input|Inflation'!$I$9:$I$84),"")</f>
        <v/>
      </c>
      <c r="T12" s="148" t="str">
        <f>IF(T10=T4,LOOKUP(EOMONTH(T4,0),'Input|Inflation'!$C$9:$C$84,'Input|Inflation'!$I$9:$I$84),"")</f>
        <v/>
      </c>
      <c r="U12" s="148"/>
      <c r="V12" s="151"/>
      <c r="W12" s="17"/>
    </row>
    <row r="13" spans="1:34" ht="11.25" customHeight="1" outlineLevel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4" ht="11.25" customHeight="1" outlineLevel="1">
      <c r="A14" s="17"/>
      <c r="B14" s="17"/>
      <c r="C14" s="122" t="s">
        <v>94</v>
      </c>
      <c r="D14" s="120"/>
      <c r="E14" s="120"/>
      <c r="F14" s="120"/>
      <c r="G14" s="120"/>
      <c r="H14" s="120"/>
      <c r="I14" s="17"/>
      <c r="J14" s="123">
        <f t="shared" ref="J14:T14" si="1">IF(YEAR(J$4)&lt;=PPLastYear,J$4,"")</f>
        <v>43983</v>
      </c>
      <c r="K14" s="123">
        <f t="shared" si="1"/>
        <v>44348</v>
      </c>
      <c r="L14" s="123">
        <f t="shared" si="1"/>
        <v>44713</v>
      </c>
      <c r="M14" s="123">
        <f t="shared" si="1"/>
        <v>45078</v>
      </c>
      <c r="N14" s="123">
        <f t="shared" si="1"/>
        <v>45444</v>
      </c>
      <c r="O14" s="123">
        <f t="shared" si="1"/>
        <v>45809</v>
      </c>
      <c r="P14" s="123" t="str">
        <f t="shared" si="1"/>
        <v/>
      </c>
      <c r="Q14" s="123" t="str">
        <f t="shared" si="1"/>
        <v/>
      </c>
      <c r="R14" s="123" t="str">
        <f t="shared" si="1"/>
        <v/>
      </c>
      <c r="S14" s="123" t="str">
        <f t="shared" si="1"/>
        <v/>
      </c>
      <c r="T14" s="123" t="str">
        <f t="shared" si="1"/>
        <v/>
      </c>
      <c r="U14" s="138"/>
      <c r="V14" s="17"/>
      <c r="W14" s="17"/>
    </row>
    <row r="15" spans="1:34" ht="11.25" customHeight="1" outlineLevel="1">
      <c r="A15" s="17"/>
      <c r="B15" s="17"/>
      <c r="C15" s="122"/>
      <c r="D15" s="120"/>
      <c r="E15" s="120"/>
      <c r="F15" s="120"/>
      <c r="G15" s="120"/>
      <c r="H15" s="120"/>
      <c r="I15" s="17"/>
      <c r="J15" s="149"/>
      <c r="K15" s="149"/>
      <c r="L15" s="149"/>
      <c r="M15" s="149"/>
      <c r="N15" s="149"/>
      <c r="O15" s="149"/>
      <c r="P15" s="152"/>
      <c r="Q15" s="152"/>
      <c r="R15" s="152"/>
      <c r="S15" s="152"/>
      <c r="T15" s="152"/>
      <c r="U15" s="152"/>
      <c r="V15" s="17"/>
      <c r="W15" s="17"/>
    </row>
    <row r="16" spans="1:34" ht="11.25" customHeight="1" outlineLevel="1">
      <c r="A16" s="17"/>
      <c r="B16" s="17"/>
      <c r="C16" s="153">
        <f t="array" ref="C16:C22">TRANSPOSE(J10:P10)</f>
        <v>43983</v>
      </c>
      <c r="D16" s="150" t="str">
        <f t="shared" ref="D16:D20" si="2">IF(ISNONTEXT($C16),"calculated","")</f>
        <v>calculated</v>
      </c>
      <c r="E16" s="120" t="str">
        <f>IF(ISNONTEXT($C16),"index","")</f>
        <v>index</v>
      </c>
      <c r="F16" s="120"/>
      <c r="G16" s="120"/>
      <c r="H16" s="120"/>
      <c r="I16" s="120"/>
      <c r="J16" s="154">
        <f t="shared" ref="J16:N16" si="3">IF(AND($C16&gt;J$14,ISNONTEXT($C16)),K16/(1+K$12),IF(AND($C16=J$14,J$14=J$4),1,IF(AND($C16&lt;J$14,J$14=J$4),I16*(1+J$12),0)))</f>
        <v>1</v>
      </c>
      <c r="K16" s="154">
        <f t="shared" si="3"/>
        <v>1.0384615384615383</v>
      </c>
      <c r="L16" s="154">
        <f t="shared" si="3"/>
        <v>1.1022727272727271</v>
      </c>
      <c r="M16" s="154">
        <f t="shared" si="3"/>
        <v>1.1687062937062935</v>
      </c>
      <c r="N16" s="154">
        <f t="shared" si="3"/>
        <v>1.2132867132867133</v>
      </c>
      <c r="O16" s="154">
        <f t="shared" ref="O16:P16" si="4">IF(AND($C16&gt;O$14,ISNONTEXT($C16)),P16/(1+O$12),IF(AND($C16=O$14,O$14=O$4),1,IF(AND($C16&lt;O$14,O$14=O$4),N16*(1+O$12),0)))</f>
        <v>1.2472587412587413</v>
      </c>
      <c r="P16" s="154">
        <f t="shared" si="4"/>
        <v>0</v>
      </c>
      <c r="Q16" s="155"/>
      <c r="R16" s="155"/>
      <c r="S16" s="155"/>
      <c r="T16" s="155"/>
      <c r="U16" s="155"/>
      <c r="V16" s="17"/>
      <c r="W16" s="17"/>
    </row>
    <row r="17" spans="1:23" ht="11.25" customHeight="1" outlineLevel="1">
      <c r="A17" s="17"/>
      <c r="B17" s="17"/>
      <c r="C17" s="153">
        <v>44348</v>
      </c>
      <c r="D17" s="150" t="str">
        <f t="shared" si="2"/>
        <v>calculated</v>
      </c>
      <c r="E17" s="120" t="str">
        <f t="shared" ref="E17:E22" si="5">IF(ISNONTEXT($C17),"index","")</f>
        <v>index</v>
      </c>
      <c r="F17" s="120"/>
      <c r="G17" s="120"/>
      <c r="H17" s="120"/>
      <c r="I17" s="154"/>
      <c r="J17" s="154">
        <f t="shared" ref="J17:N17" si="6">IF(AND($C17&gt;J$14,ISNONTEXT($C17)),K17/(1+K$12),IF(AND($C17=J$14,J$14=J$4),1,IF(AND($C17&lt;J$14,J$14=J$4),I17*(1+J$12),0)))</f>
        <v>0.96296296296296313</v>
      </c>
      <c r="K17" s="154">
        <f t="shared" si="6"/>
        <v>1</v>
      </c>
      <c r="L17" s="154">
        <f t="shared" si="6"/>
        <v>1.0614478114478114</v>
      </c>
      <c r="M17" s="154">
        <f t="shared" si="6"/>
        <v>1.1254208754208754</v>
      </c>
      <c r="N17" s="154">
        <f t="shared" si="6"/>
        <v>1.1683501683501687</v>
      </c>
      <c r="O17" s="154">
        <f t="shared" ref="O17:P17" si="7">IF(AND($C17&gt;O$14,ISNONTEXT($C17)),P17/(1+O$12),IF(AND($C17=O$14,O$14=O$4),1,IF(AND($C17&lt;O$14,O$14=O$4),N17*(1+O$12),0)))</f>
        <v>1.2010639730639734</v>
      </c>
      <c r="P17" s="154">
        <f t="shared" si="7"/>
        <v>0</v>
      </c>
      <c r="Q17" s="155"/>
      <c r="R17" s="155"/>
      <c r="S17" s="155"/>
      <c r="T17" s="155"/>
      <c r="U17" s="155"/>
      <c r="V17" s="17"/>
      <c r="W17" s="17"/>
    </row>
    <row r="18" spans="1:23" ht="11.25" customHeight="1" outlineLevel="1">
      <c r="A18" s="17"/>
      <c r="B18" s="17"/>
      <c r="C18" s="153">
        <v>44713</v>
      </c>
      <c r="D18" s="150" t="str">
        <f t="shared" si="2"/>
        <v>calculated</v>
      </c>
      <c r="E18" s="120" t="str">
        <f t="shared" si="5"/>
        <v>index</v>
      </c>
      <c r="F18" s="120"/>
      <c r="G18" s="120"/>
      <c r="H18" s="120"/>
      <c r="I18" s="154"/>
      <c r="J18" s="154">
        <f t="shared" ref="J18:N18" si="8">IF(AND($C18&gt;J$14,ISNONTEXT($C18)),K18/(1+K$12),IF(AND($C18=J$14,J$14=J$4),1,IF(AND($C18&lt;J$14,J$14=J$4),I18*(1+J$12),0)))</f>
        <v>0.90721649484536093</v>
      </c>
      <c r="K18" s="154">
        <f t="shared" si="8"/>
        <v>0.94210943695479776</v>
      </c>
      <c r="L18" s="154">
        <f t="shared" si="8"/>
        <v>1</v>
      </c>
      <c r="M18" s="154">
        <f t="shared" si="8"/>
        <v>1.0602696272799366</v>
      </c>
      <c r="N18" s="154">
        <f t="shared" si="8"/>
        <v>1.1007137192704206</v>
      </c>
      <c r="O18" s="154">
        <f t="shared" ref="O18:P18" si="9">IF(AND($C18&gt;O$14,ISNONTEXT($C18)),P18/(1+O$12),IF(AND($C18=O$14,O$14=O$4),1,IF(AND($C18&lt;O$14,O$14=O$4),N18*(1+O$12),0)))</f>
        <v>1.1315337034099924</v>
      </c>
      <c r="P18" s="154">
        <f t="shared" si="9"/>
        <v>0</v>
      </c>
      <c r="Q18" s="155"/>
      <c r="R18" s="155"/>
      <c r="S18" s="155"/>
      <c r="T18" s="155"/>
      <c r="U18" s="155"/>
      <c r="V18" s="17"/>
      <c r="W18" s="17"/>
    </row>
    <row r="19" spans="1:23" ht="11.25" customHeight="1" outlineLevel="1">
      <c r="A19" s="17"/>
      <c r="B19" s="17"/>
      <c r="C19" s="153">
        <v>45078</v>
      </c>
      <c r="D19" s="150" t="str">
        <f t="shared" si="2"/>
        <v>calculated</v>
      </c>
      <c r="E19" s="120" t="str">
        <f t="shared" si="5"/>
        <v>index</v>
      </c>
      <c r="F19" s="120"/>
      <c r="G19" s="120"/>
      <c r="H19" s="120"/>
      <c r="I19" s="154"/>
      <c r="J19" s="154">
        <f t="shared" ref="J19:N19" si="10">IF(AND($C19&gt;J$14,ISNONTEXT($C19)),K19/(1+K$12),IF(AND($C19=J$14,J$14=J$4),1,IF(AND($C19&lt;J$14,J$14=J$4),I19*(1+J$12),0)))</f>
        <v>0.85564697083021701</v>
      </c>
      <c r="K19" s="154">
        <f t="shared" si="10"/>
        <v>0.88855646970830215</v>
      </c>
      <c r="L19" s="154">
        <f t="shared" si="10"/>
        <v>0.94315632011967088</v>
      </c>
      <c r="M19" s="154">
        <f t="shared" si="10"/>
        <v>1</v>
      </c>
      <c r="N19" s="154">
        <f t="shared" si="10"/>
        <v>1.0381451009723264</v>
      </c>
      <c r="O19" s="154">
        <f t="shared" ref="O19:P19" si="11">IF(AND($C19&gt;O$14,ISNONTEXT($C19)),P19/(1+O$12),IF(AND($C19=O$14,O$14=O$4),1,IF(AND($C19&lt;O$14,O$14=O$4),N19*(1+O$12),0)))</f>
        <v>1.0672131637995514</v>
      </c>
      <c r="P19" s="154">
        <f t="shared" si="11"/>
        <v>0</v>
      </c>
      <c r="Q19" s="155"/>
      <c r="R19" s="155"/>
      <c r="S19" s="155"/>
      <c r="T19" s="155"/>
      <c r="U19" s="155"/>
      <c r="V19" s="17"/>
      <c r="W19" s="17"/>
    </row>
    <row r="20" spans="1:23" ht="11.25" customHeight="1" outlineLevel="1">
      <c r="A20" s="17"/>
      <c r="B20" s="17"/>
      <c r="C20" s="153">
        <v>45444</v>
      </c>
      <c r="D20" s="150" t="str">
        <f t="shared" si="2"/>
        <v>calculated</v>
      </c>
      <c r="E20" s="120" t="str">
        <f t="shared" si="5"/>
        <v>index</v>
      </c>
      <c r="F20" s="120"/>
      <c r="G20" s="120"/>
      <c r="H20" s="120"/>
      <c r="I20" s="154"/>
      <c r="J20" s="154">
        <f>IF(AND($C20&gt;J$14,ISNONTEXT($C20)),K20/(1+K$12),IF(AND($C20=J$14,J$14=J$4),1,IF(AND($C20&lt;J$14,J$14=J$4),I20*(1+J$12),0)))</f>
        <v>0.82420749279538896</v>
      </c>
      <c r="K20" s="154">
        <f t="shared" ref="K20:N20" si="12">IF(AND($C20&gt;K$14,ISNONTEXT($C20)),L20/(1+L$12),IF(AND($C20=K$14,K$14=K$4),1,IF(AND($C20&lt;K$14,K$14=K$4),J20*(1+K$12),0)))</f>
        <v>0.85590778097982689</v>
      </c>
      <c r="L20" s="154">
        <f t="shared" si="12"/>
        <v>0.90850144092218998</v>
      </c>
      <c r="M20" s="154">
        <f t="shared" si="12"/>
        <v>0.96325648414985565</v>
      </c>
      <c r="N20" s="154">
        <f t="shared" si="12"/>
        <v>1</v>
      </c>
      <c r="O20" s="154">
        <f t="shared" ref="O20:P20" si="13">IF(AND($C20&gt;O$14,ISNONTEXT($C20)),P20/(1+O$12),IF(AND($C20=O$14,O$14=O$4),1,IF(AND($C20&lt;O$14,O$14=O$4),N20*(1+O$12),0)))</f>
        <v>1.028</v>
      </c>
      <c r="P20" s="154">
        <f t="shared" si="13"/>
        <v>0</v>
      </c>
      <c r="Q20" s="155"/>
      <c r="R20" s="155"/>
      <c r="S20" s="155"/>
      <c r="T20" s="155"/>
      <c r="U20" s="155"/>
      <c r="V20" s="17"/>
      <c r="W20" s="17"/>
    </row>
    <row r="21" spans="1:23" ht="11.25" customHeight="1" outlineLevel="1">
      <c r="A21" s="17"/>
      <c r="B21" s="17"/>
      <c r="C21" s="153">
        <v>45809</v>
      </c>
      <c r="D21" s="150" t="str">
        <f>IF(ISNONTEXT($C21),"calculated","")</f>
        <v>calculated</v>
      </c>
      <c r="E21" s="120" t="str">
        <f t="shared" si="5"/>
        <v>index</v>
      </c>
      <c r="F21" s="120"/>
      <c r="G21" s="120"/>
      <c r="H21" s="120"/>
      <c r="I21" s="154"/>
      <c r="J21" s="154">
        <f>IF(AND($C21&gt;J$14,ISNONTEXT($C21)),K21/(1+K$12),IF(AND($C21=J$14,J$14=J$4),1,IF(AND($C21&lt;J$14,J$14=J$4),I21*(1+J$12),0)))</f>
        <v>0.80175826147411366</v>
      </c>
      <c r="K21" s="154">
        <f t="shared" ref="K21:K22" si="14">IF(AND($C21&gt;K$14,ISNONTEXT($C21)),L21/(1+L$12),IF(AND($C21=K$14,K$14=K$4),1,IF(AND($C21&lt;K$14,K$14=K$4),J21*(1+K$12),0)))</f>
        <v>0.83259511768465644</v>
      </c>
      <c r="L21" s="154">
        <f t="shared" ref="L21:L22" si="15">IF(AND($C21&gt;L$14,ISNONTEXT($C21)),M21/(1+M$12),IF(AND($C21=L$14,L$14=L$4),1,IF(AND($C21&lt;L$14,L$14=L$4),K21*(1+L$12),0)))</f>
        <v>0.88375626548851161</v>
      </c>
      <c r="M21" s="154">
        <f t="shared" ref="M21:M22" si="16">IF(AND($C21&gt;M$14,ISNONTEXT($C21)),N21/(1+N$12),IF(AND($C21=M$14,M$14=M$4),1,IF(AND($C21&lt;M$14,M$14=M$4),L21*(1+M$12),0)))</f>
        <v>0.93701992621581287</v>
      </c>
      <c r="N21" s="154">
        <f t="shared" ref="N21:N22" si="17">IF(AND($C21&gt;N$14,ISNONTEXT($C21)),O21/(1+O$12),IF(AND($C21=N$14,N$14=N$4),1,IF(AND($C21&lt;N$14,N$14=N$4),M21*(1+N$12),0)))</f>
        <v>0.97276264591439687</v>
      </c>
      <c r="O21" s="154">
        <f t="shared" ref="O21:P21" si="18">IF(AND($C21&gt;O$14,ISNONTEXT($C21)),P21/(1+O$12),IF(AND($C21=O$14,O$14=O$4),1,IF(AND($C21&lt;O$14,O$14=O$4),N21*(1+O$12),0)))</f>
        <v>1</v>
      </c>
      <c r="P21" s="154">
        <f t="shared" si="18"/>
        <v>0</v>
      </c>
      <c r="Q21" s="155"/>
      <c r="R21" s="155"/>
      <c r="S21" s="155"/>
      <c r="T21" s="155"/>
      <c r="U21" s="155"/>
      <c r="V21" s="17"/>
      <c r="W21" s="17"/>
    </row>
    <row r="22" spans="1:23" ht="11.25" customHeight="1" outlineLevel="1">
      <c r="A22" s="17"/>
      <c r="B22" s="17"/>
      <c r="C22" s="153" t="str">
        <v/>
      </c>
      <c r="D22" s="150" t="str">
        <f>IF(ISNONTEXT($C22),"calculated","")</f>
        <v/>
      </c>
      <c r="E22" s="120" t="str">
        <f t="shared" si="5"/>
        <v/>
      </c>
      <c r="F22" s="120"/>
      <c r="G22" s="120"/>
      <c r="H22" s="120"/>
      <c r="I22" s="154"/>
      <c r="J22" s="154">
        <f>IF(AND($C22&gt;J$14,ISNONTEXT($C22)),K22/(1+K$12),IF(AND($C22=J$14,J$14=J$4),1,IF(AND($C22&lt;J$14,J$14=J$4),I22*(1+J$12),0)))</f>
        <v>0</v>
      </c>
      <c r="K22" s="154">
        <f t="shared" si="14"/>
        <v>0</v>
      </c>
      <c r="L22" s="154">
        <f t="shared" si="15"/>
        <v>0</v>
      </c>
      <c r="M22" s="154">
        <f t="shared" si="16"/>
        <v>0</v>
      </c>
      <c r="N22" s="154">
        <f t="shared" si="17"/>
        <v>0</v>
      </c>
      <c r="O22" s="154">
        <f t="shared" ref="O22:P22" si="19">IF(AND($C22&gt;O$14,ISNONTEXT($C22)),P22/(1+P$12),IF(AND($C22=O$14,O$14=O$4),1,IF(AND($C22&lt;O$14,O$14=O$4),N22*(1+O$12),0)))</f>
        <v>0</v>
      </c>
      <c r="P22" s="154">
        <f t="shared" si="19"/>
        <v>0</v>
      </c>
      <c r="Q22" s="155"/>
      <c r="R22" s="155"/>
      <c r="S22" s="155"/>
      <c r="T22" s="155"/>
      <c r="U22" s="155"/>
      <c r="V22" s="17"/>
      <c r="W22" s="17"/>
    </row>
    <row r="23" spans="1:23" ht="11.25" customHeight="1" outlineLevel="1">
      <c r="A23" s="17"/>
      <c r="B23" s="17"/>
      <c r="C23" s="125"/>
      <c r="D23" s="120"/>
      <c r="E23" s="120"/>
      <c r="F23" s="120"/>
      <c r="G23" s="120"/>
      <c r="H23" s="120"/>
      <c r="I23" s="120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7"/>
      <c r="W23" s="17"/>
    </row>
    <row r="24" spans="1:23" ht="11.25" customHeight="1" outlineLevel="1">
      <c r="A24" s="17"/>
      <c r="B24" s="17"/>
      <c r="C24" s="122" t="s">
        <v>46</v>
      </c>
      <c r="D24" s="120"/>
      <c r="E24" s="120"/>
      <c r="F24" s="120"/>
      <c r="G24" s="120"/>
      <c r="H24" s="120"/>
      <c r="I24" s="120"/>
      <c r="J24" s="123">
        <f t="shared" ref="J24:T24" si="20">IF(YEAR(J$4)&lt;=PPLastYear,J$4,"")</f>
        <v>43983</v>
      </c>
      <c r="K24" s="123">
        <f t="shared" si="20"/>
        <v>44348</v>
      </c>
      <c r="L24" s="123">
        <f t="shared" si="20"/>
        <v>44713</v>
      </c>
      <c r="M24" s="123">
        <f t="shared" si="20"/>
        <v>45078</v>
      </c>
      <c r="N24" s="123">
        <f t="shared" si="20"/>
        <v>45444</v>
      </c>
      <c r="O24" s="123">
        <f t="shared" si="20"/>
        <v>45809</v>
      </c>
      <c r="P24" s="123" t="str">
        <f t="shared" si="20"/>
        <v/>
      </c>
      <c r="Q24" s="123" t="str">
        <f t="shared" si="20"/>
        <v/>
      </c>
      <c r="R24" s="123" t="str">
        <f t="shared" si="20"/>
        <v/>
      </c>
      <c r="S24" s="123" t="str">
        <f t="shared" si="20"/>
        <v/>
      </c>
      <c r="T24" s="123" t="str">
        <f t="shared" si="20"/>
        <v/>
      </c>
      <c r="U24" s="138"/>
      <c r="V24" s="17"/>
      <c r="W24" s="17"/>
    </row>
    <row r="25" spans="1:23" ht="11.25" customHeight="1" outlineLevel="1">
      <c r="A25" s="17"/>
      <c r="B25" s="17"/>
      <c r="C25" s="125"/>
      <c r="D25" s="120"/>
      <c r="E25" s="120"/>
      <c r="F25" s="120"/>
      <c r="G25" s="120"/>
      <c r="H25" s="120"/>
      <c r="I25" s="120"/>
      <c r="J25" s="17"/>
      <c r="K25" s="17"/>
      <c r="L25" s="17"/>
      <c r="M25" s="17"/>
      <c r="N25" s="17"/>
      <c r="O25" s="17"/>
      <c r="P25" s="17"/>
      <c r="Q25" s="154"/>
      <c r="R25" s="154"/>
      <c r="S25" s="154"/>
      <c r="T25" s="154"/>
      <c r="U25" s="154"/>
      <c r="V25" s="17"/>
      <c r="W25" s="17"/>
    </row>
    <row r="26" spans="1:23" ht="11.25" customHeight="1" outlineLevel="1">
      <c r="A26" s="17"/>
      <c r="B26" s="17"/>
      <c r="C26" s="153">
        <f t="array" ref="C26:C32">TRANSPOSE(J10:P10)</f>
        <v>43983</v>
      </c>
      <c r="D26" s="150" t="str">
        <f t="shared" ref="D26:D32" si="21">IF(ISNONTEXT($C26),"calculated","")</f>
        <v>calculated</v>
      </c>
      <c r="E26" s="120" t="str">
        <f>IF(ISNONTEXT($C26),"index","")</f>
        <v>index</v>
      </c>
      <c r="F26" s="120"/>
      <c r="G26" s="120"/>
      <c r="H26" s="120"/>
      <c r="I26" s="154"/>
      <c r="J26" s="154">
        <f>IF(AND(J$24=J$4,ISNONTEXT($C26)),1/J16*(1+J$12)^0.5,0)</f>
        <v>0.99825631951042948</v>
      </c>
      <c r="K26" s="154">
        <f t="shared" ref="K26:T26" si="22">IF(AND(K$24=K$4,ISNONTEXT($C26)),1/K16*(1+K$12)^0.5,0)</f>
        <v>0.98130676292531638</v>
      </c>
      <c r="L26" s="154">
        <f t="shared" si="22"/>
        <v>0.93467421272075479</v>
      </c>
      <c r="M26" s="154">
        <f t="shared" si="22"/>
        <v>0.88105450779258843</v>
      </c>
      <c r="N26" s="154">
        <f t="shared" si="22"/>
        <v>0.83978011678411546</v>
      </c>
      <c r="O26" s="154">
        <f t="shared" si="22"/>
        <v>0.81290538595679718</v>
      </c>
      <c r="P26" s="154">
        <f t="shared" si="22"/>
        <v>0</v>
      </c>
      <c r="Q26" s="154">
        <f t="shared" si="22"/>
        <v>0</v>
      </c>
      <c r="R26" s="154">
        <f t="shared" si="22"/>
        <v>0</v>
      </c>
      <c r="S26" s="154">
        <f t="shared" si="22"/>
        <v>0</v>
      </c>
      <c r="T26" s="154">
        <f t="shared" si="22"/>
        <v>0</v>
      </c>
      <c r="U26" s="154"/>
      <c r="V26" s="156"/>
      <c r="W26" s="156"/>
    </row>
    <row r="27" spans="1:23" ht="11.25" customHeight="1" outlineLevel="1">
      <c r="A27" s="17"/>
      <c r="B27" s="17"/>
      <c r="C27" s="153">
        <v>44348</v>
      </c>
      <c r="D27" s="150" t="str">
        <f t="shared" si="21"/>
        <v>calculated</v>
      </c>
      <c r="E27" s="120" t="str">
        <f t="shared" ref="E27:E32" si="23">IF(ISNONTEXT($C27),"index","")</f>
        <v>index</v>
      </c>
      <c r="F27" s="120"/>
      <c r="G27" s="120"/>
      <c r="H27" s="120"/>
      <c r="I27" s="154"/>
      <c r="J27" s="154">
        <f t="shared" ref="J27:T27" si="24">IF(AND(J$24=J$4,ISNONTEXT($C27)),1/J17*(1+J$12)^0.5,0)</f>
        <v>1.0366507933377536</v>
      </c>
      <c r="K27" s="154">
        <f t="shared" si="24"/>
        <v>1.019049330730136</v>
      </c>
      <c r="L27" s="154">
        <f t="shared" si="24"/>
        <v>0.970623220902322</v>
      </c>
      <c r="M27" s="154">
        <f t="shared" si="24"/>
        <v>0.9149412196307648</v>
      </c>
      <c r="N27" s="154">
        <f t="shared" si="24"/>
        <v>0.87207935204504272</v>
      </c>
      <c r="O27" s="154">
        <f t="shared" si="24"/>
        <v>0.844170977724366</v>
      </c>
      <c r="P27" s="154">
        <f t="shared" si="24"/>
        <v>0</v>
      </c>
      <c r="Q27" s="154">
        <f t="shared" si="24"/>
        <v>0</v>
      </c>
      <c r="R27" s="154">
        <f t="shared" si="24"/>
        <v>0</v>
      </c>
      <c r="S27" s="154">
        <f t="shared" si="24"/>
        <v>0</v>
      </c>
      <c r="T27" s="154">
        <f t="shared" si="24"/>
        <v>0</v>
      </c>
      <c r="U27" s="154"/>
      <c r="V27" s="156"/>
      <c r="W27" s="156"/>
    </row>
    <row r="28" spans="1:23" ht="11.25" customHeight="1" outlineLevel="1">
      <c r="A28" s="17"/>
      <c r="B28" s="17"/>
      <c r="C28" s="153">
        <v>44713</v>
      </c>
      <c r="D28" s="150" t="str">
        <f t="shared" si="21"/>
        <v>calculated</v>
      </c>
      <c r="E28" s="120" t="str">
        <f t="shared" si="23"/>
        <v>index</v>
      </c>
      <c r="F28" s="120"/>
      <c r="G28" s="120"/>
      <c r="H28" s="120"/>
      <c r="I28" s="154"/>
      <c r="J28" s="154">
        <f t="shared" ref="J28:T28" si="25">IF(AND(J$24=J$4,ISNONTEXT($C28)),1/J18*(1+J$12)^0.5,0)</f>
        <v>1.100350715823996</v>
      </c>
      <c r="K28" s="154">
        <f t="shared" si="25"/>
        <v>1.0816676818608599</v>
      </c>
      <c r="L28" s="154">
        <f t="shared" si="25"/>
        <v>1.0302658935671953</v>
      </c>
      <c r="M28" s="154">
        <f t="shared" si="25"/>
        <v>0.97116235518046667</v>
      </c>
      <c r="N28" s="154">
        <f t="shared" si="25"/>
        <v>0.92566671963703617</v>
      </c>
      <c r="O28" s="154">
        <f t="shared" si="25"/>
        <v>0.89604343679328757</v>
      </c>
      <c r="P28" s="154">
        <f t="shared" si="25"/>
        <v>0</v>
      </c>
      <c r="Q28" s="154">
        <f t="shared" si="25"/>
        <v>0</v>
      </c>
      <c r="R28" s="154">
        <f t="shared" si="25"/>
        <v>0</v>
      </c>
      <c r="S28" s="154">
        <f t="shared" si="25"/>
        <v>0</v>
      </c>
      <c r="T28" s="154">
        <f t="shared" si="25"/>
        <v>0</v>
      </c>
      <c r="U28" s="154"/>
      <c r="V28" s="156"/>
      <c r="W28" s="156"/>
    </row>
    <row r="29" spans="1:23" ht="11.25" customHeight="1" outlineLevel="1">
      <c r="A29" s="17"/>
      <c r="B29" s="17"/>
      <c r="C29" s="153">
        <v>45078</v>
      </c>
      <c r="D29" s="150" t="str">
        <f t="shared" si="21"/>
        <v>calculated</v>
      </c>
      <c r="E29" s="120" t="str">
        <f t="shared" si="23"/>
        <v>index</v>
      </c>
      <c r="F29" s="120"/>
      <c r="G29" s="120"/>
      <c r="H29" s="120"/>
      <c r="I29" s="154"/>
      <c r="J29" s="154">
        <f t="shared" ref="J29:T29" si="26">IF(AND(J$24=J$4,ISNONTEXT($C29)),1/J19*(1+J$12)^0.5,0)</f>
        <v>1.1666684433439196</v>
      </c>
      <c r="K29" s="154">
        <f t="shared" si="26"/>
        <v>1.1468593898873669</v>
      </c>
      <c r="L29" s="154">
        <f t="shared" si="26"/>
        <v>1.0923596349717211</v>
      </c>
      <c r="M29" s="154">
        <f t="shared" si="26"/>
        <v>1.0296939483554988</v>
      </c>
      <c r="N29" s="154">
        <f t="shared" si="26"/>
        <v>0.98145630781500182</v>
      </c>
      <c r="O29" s="154">
        <f t="shared" si="26"/>
        <v>0.95004764075545245</v>
      </c>
      <c r="P29" s="154">
        <f t="shared" si="26"/>
        <v>0</v>
      </c>
      <c r="Q29" s="154">
        <f t="shared" si="26"/>
        <v>0</v>
      </c>
      <c r="R29" s="154">
        <f t="shared" si="26"/>
        <v>0</v>
      </c>
      <c r="S29" s="154">
        <f t="shared" si="26"/>
        <v>0</v>
      </c>
      <c r="T29" s="154">
        <f t="shared" si="26"/>
        <v>0</v>
      </c>
      <c r="U29" s="154"/>
      <c r="V29" s="156"/>
      <c r="W29" s="156"/>
    </row>
    <row r="30" spans="1:23" ht="11.25" customHeight="1" outlineLevel="1">
      <c r="A30" s="17"/>
      <c r="B30" s="17"/>
      <c r="C30" s="153">
        <v>45444</v>
      </c>
      <c r="D30" s="150" t="str">
        <f t="shared" si="21"/>
        <v>calculated</v>
      </c>
      <c r="E30" s="120" t="str">
        <f t="shared" si="23"/>
        <v>index</v>
      </c>
      <c r="F30" s="120"/>
      <c r="G30" s="120"/>
      <c r="H30" s="120"/>
      <c r="I30" s="154"/>
      <c r="J30" s="154">
        <f t="shared" ref="J30:T30" si="27">IF(AND(J$24=J$4,ISNONTEXT($C30)),1/J20*(1+J$12)^0.5,0)</f>
        <v>1.2111711289165001</v>
      </c>
      <c r="K30" s="154">
        <f t="shared" si="27"/>
        <v>1.1906064571156811</v>
      </c>
      <c r="L30" s="154">
        <f t="shared" si="27"/>
        <v>1.1340278035458109</v>
      </c>
      <c r="M30" s="154">
        <f t="shared" si="27"/>
        <v>1.0689717279861126</v>
      </c>
      <c r="N30" s="154">
        <f t="shared" si="27"/>
        <v>1.0188940577765317</v>
      </c>
      <c r="O30" s="154">
        <f t="shared" si="27"/>
        <v>0.98628730394058961</v>
      </c>
      <c r="P30" s="154">
        <f t="shared" si="27"/>
        <v>0</v>
      </c>
      <c r="Q30" s="154">
        <f t="shared" si="27"/>
        <v>0</v>
      </c>
      <c r="R30" s="154">
        <f t="shared" si="27"/>
        <v>0</v>
      </c>
      <c r="S30" s="154">
        <f t="shared" si="27"/>
        <v>0</v>
      </c>
      <c r="T30" s="154">
        <f t="shared" si="27"/>
        <v>0</v>
      </c>
      <c r="U30" s="154"/>
      <c r="V30" s="156"/>
      <c r="W30" s="156"/>
    </row>
    <row r="31" spans="1:23" ht="11.25" customHeight="1" outlineLevel="1">
      <c r="A31" s="17"/>
      <c r="B31" s="17"/>
      <c r="C31" s="153">
        <v>45809</v>
      </c>
      <c r="D31" s="150" t="str">
        <f t="shared" si="21"/>
        <v>calculated</v>
      </c>
      <c r="E31" s="120" t="str">
        <f t="shared" si="23"/>
        <v>index</v>
      </c>
      <c r="F31" s="120"/>
      <c r="G31" s="120"/>
      <c r="H31" s="120"/>
      <c r="I31" s="154"/>
      <c r="J31" s="154">
        <f t="shared" ref="J31:T32" si="28">IF(AND(J$24=J$4,ISNONTEXT($C31)),1/J21*(1+J$12)^0.5,0)</f>
        <v>1.2450839205261623</v>
      </c>
      <c r="K31" s="154">
        <f t="shared" si="28"/>
        <v>1.2239434379149203</v>
      </c>
      <c r="L31" s="154">
        <f t="shared" si="28"/>
        <v>1.1657805820450935</v>
      </c>
      <c r="M31" s="154">
        <f t="shared" si="28"/>
        <v>1.0989029363697238</v>
      </c>
      <c r="N31" s="154">
        <f t="shared" si="28"/>
        <v>1.0474230913942746</v>
      </c>
      <c r="O31" s="154">
        <f t="shared" si="28"/>
        <v>1.0139033484509261</v>
      </c>
      <c r="P31" s="154">
        <f t="shared" si="28"/>
        <v>0</v>
      </c>
      <c r="Q31" s="154">
        <f t="shared" si="28"/>
        <v>0</v>
      </c>
      <c r="R31" s="154">
        <f t="shared" si="28"/>
        <v>0</v>
      </c>
      <c r="S31" s="154">
        <f t="shared" si="28"/>
        <v>0</v>
      </c>
      <c r="T31" s="154">
        <f t="shared" si="28"/>
        <v>0</v>
      </c>
      <c r="U31" s="154"/>
      <c r="V31" s="156"/>
      <c r="W31" s="156"/>
    </row>
    <row r="32" spans="1:23" ht="11.25" customHeight="1" outlineLevel="1">
      <c r="A32" s="17"/>
      <c r="B32" s="17"/>
      <c r="C32" s="153" t="str">
        <v/>
      </c>
      <c r="D32" s="150" t="str">
        <f t="shared" si="21"/>
        <v/>
      </c>
      <c r="E32" s="120" t="str">
        <f t="shared" si="23"/>
        <v/>
      </c>
      <c r="F32" s="120"/>
      <c r="G32" s="120"/>
      <c r="H32" s="120"/>
      <c r="I32" s="154"/>
      <c r="J32" s="154">
        <f t="shared" si="28"/>
        <v>0</v>
      </c>
      <c r="K32" s="154">
        <f t="shared" si="28"/>
        <v>0</v>
      </c>
      <c r="L32" s="154">
        <f t="shared" si="28"/>
        <v>0</v>
      </c>
      <c r="M32" s="154">
        <f t="shared" si="28"/>
        <v>0</v>
      </c>
      <c r="N32" s="154">
        <f t="shared" si="28"/>
        <v>0</v>
      </c>
      <c r="O32" s="154">
        <f t="shared" si="28"/>
        <v>0</v>
      </c>
      <c r="P32" s="154">
        <f t="shared" si="28"/>
        <v>0</v>
      </c>
      <c r="Q32" s="154">
        <f t="shared" si="28"/>
        <v>0</v>
      </c>
      <c r="R32" s="154">
        <f t="shared" si="28"/>
        <v>0</v>
      </c>
      <c r="S32" s="154">
        <f t="shared" si="28"/>
        <v>0</v>
      </c>
      <c r="T32" s="154">
        <f t="shared" si="28"/>
        <v>0</v>
      </c>
      <c r="U32" s="154"/>
      <c r="V32" s="156"/>
      <c r="W32" s="156"/>
    </row>
    <row r="33" spans="1:34">
      <c r="A33" s="17"/>
      <c r="B33" s="17"/>
      <c r="C33" s="125"/>
      <c r="D33" s="120"/>
      <c r="E33" s="120"/>
      <c r="F33" s="120"/>
      <c r="G33" s="120"/>
      <c r="H33" s="120"/>
      <c r="I33" s="120"/>
      <c r="J33" s="120"/>
      <c r="K33" s="154"/>
      <c r="L33" s="154"/>
      <c r="M33" s="154"/>
      <c r="N33" s="154"/>
      <c r="O33" s="154"/>
      <c r="P33" s="152"/>
      <c r="Q33" s="154"/>
      <c r="R33" s="154"/>
      <c r="S33" s="154"/>
      <c r="T33" s="154"/>
      <c r="U33" s="154"/>
      <c r="V33" s="17"/>
      <c r="W33" s="17"/>
    </row>
    <row r="34" spans="1:34" customFormat="1" ht="13">
      <c r="A34" s="32"/>
      <c r="B34" s="38" t="s">
        <v>72</v>
      </c>
      <c r="C34" s="32"/>
      <c r="D34" s="32"/>
      <c r="E34" s="32"/>
      <c r="F34" s="118"/>
      <c r="G34" s="118"/>
      <c r="H34" s="118"/>
      <c r="I34" s="118"/>
      <c r="J34" s="118"/>
      <c r="K34" s="34"/>
      <c r="L34" s="119"/>
      <c r="M34" s="34"/>
      <c r="N34" s="119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7"/>
      <c r="B35" s="17"/>
      <c r="C35" s="17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7"/>
      <c r="W35" s="17"/>
    </row>
    <row r="36" spans="1:34" ht="11.25" customHeight="1" outlineLevel="1">
      <c r="A36" s="17"/>
      <c r="B36" s="17"/>
      <c r="C36" s="122" t="s">
        <v>75</v>
      </c>
      <c r="D36" s="121" t="s">
        <v>7</v>
      </c>
      <c r="E36" s="121" t="s">
        <v>8</v>
      </c>
      <c r="F36" s="120"/>
      <c r="G36" s="120"/>
      <c r="H36" s="120"/>
      <c r="I36" s="120"/>
      <c r="J36" s="138" t="str">
        <f t="shared" ref="J36:U36" si="29">IF(YEAR(J$4)&gt;=FPFirstYear,IF(YEAR(J$4)&lt;=FPLastYear,J$4,""),"")</f>
        <v/>
      </c>
      <c r="K36" s="138" t="str">
        <f t="shared" si="29"/>
        <v/>
      </c>
      <c r="L36" s="138" t="str">
        <f t="shared" si="29"/>
        <v/>
      </c>
      <c r="M36" s="138" t="str">
        <f t="shared" si="29"/>
        <v/>
      </c>
      <c r="N36" s="138" t="str">
        <f t="shared" si="29"/>
        <v/>
      </c>
      <c r="O36" s="138" t="str">
        <f t="shared" si="29"/>
        <v/>
      </c>
      <c r="P36" s="138">
        <f t="shared" si="29"/>
        <v>46174</v>
      </c>
      <c r="Q36" s="138">
        <f t="shared" si="29"/>
        <v>46539</v>
      </c>
      <c r="R36" s="138">
        <f t="shared" si="29"/>
        <v>46905</v>
      </c>
      <c r="S36" s="138">
        <f t="shared" si="29"/>
        <v>47270</v>
      </c>
      <c r="T36" s="138">
        <f t="shared" si="29"/>
        <v>47635</v>
      </c>
      <c r="U36" s="138" t="str">
        <f t="shared" si="29"/>
        <v/>
      </c>
      <c r="V36" s="17"/>
      <c r="W36" s="17"/>
    </row>
    <row r="37" spans="1:34" ht="11.25" customHeight="1" outlineLevel="1">
      <c r="A37" s="17"/>
      <c r="B37" s="17"/>
      <c r="C37" s="17"/>
      <c r="D37" s="120"/>
      <c r="E37" s="120"/>
      <c r="F37" s="120"/>
      <c r="G37" s="120"/>
      <c r="H37" s="120"/>
      <c r="I37" s="120"/>
      <c r="J37" s="1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34" ht="11.25" customHeight="1" outlineLevel="1">
      <c r="A38" s="17"/>
      <c r="B38" s="17"/>
      <c r="C38" s="127" t="s">
        <v>248</v>
      </c>
      <c r="D38" s="120" t="s">
        <v>96</v>
      </c>
      <c r="E38" s="120" t="str">
        <f t="shared" ref="E38:E45" si="30">percent</f>
        <v>Per cent</v>
      </c>
      <c r="F38" s="120"/>
      <c r="G38" s="120"/>
      <c r="H38" s="120"/>
      <c r="I38" s="120"/>
      <c r="J38" s="157"/>
      <c r="K38" s="158"/>
      <c r="L38" s="158"/>
      <c r="M38" s="158"/>
      <c r="N38" s="158"/>
      <c r="O38" s="158"/>
      <c r="P38" s="159">
        <v>8.3683168386257112E-3</v>
      </c>
      <c r="Q38" s="159">
        <v>8.3540705438707175E-3</v>
      </c>
      <c r="R38" s="159">
        <v>7.3587100156624619E-3</v>
      </c>
      <c r="S38" s="159">
        <v>8.4859008253557189E-3</v>
      </c>
      <c r="T38" s="159">
        <v>1.0754798391217291E-2</v>
      </c>
      <c r="U38" s="17"/>
      <c r="V38" s="17"/>
      <c r="W38" s="17"/>
    </row>
    <row r="39" spans="1:34" ht="11.25" customHeight="1" outlineLevel="1">
      <c r="A39" s="17"/>
      <c r="B39" s="17"/>
      <c r="C39" s="161" t="s">
        <v>234</v>
      </c>
      <c r="D39" s="120" t="s">
        <v>96</v>
      </c>
      <c r="E39" s="120" t="str">
        <f t="shared" si="30"/>
        <v>Per cent</v>
      </c>
      <c r="F39" s="120"/>
      <c r="G39" s="120"/>
      <c r="H39" s="120"/>
      <c r="I39" s="120"/>
      <c r="J39" s="157"/>
      <c r="K39" s="158"/>
      <c r="L39" s="158"/>
      <c r="M39" s="158"/>
      <c r="N39" s="158"/>
      <c r="O39" s="158"/>
      <c r="P39" s="160">
        <v>3.0603614843450087E-3</v>
      </c>
      <c r="Q39" s="160">
        <v>9.126890918641219E-3</v>
      </c>
      <c r="R39" s="160">
        <v>9.9144934286070178E-3</v>
      </c>
      <c r="S39" s="160">
        <v>1.1945929697496149E-2</v>
      </c>
      <c r="T39" s="160">
        <v>1.2776415129961362E-2</v>
      </c>
      <c r="U39" s="17"/>
      <c r="V39" s="17"/>
      <c r="W39" s="17"/>
    </row>
    <row r="40" spans="1:34" ht="11.25" customHeight="1" outlineLevel="1">
      <c r="A40" s="17"/>
      <c r="B40" s="17"/>
      <c r="C40" s="127" t="s">
        <v>176</v>
      </c>
      <c r="D40" s="120" t="s">
        <v>96</v>
      </c>
      <c r="E40" s="120" t="str">
        <f t="shared" si="30"/>
        <v>Per cent</v>
      </c>
      <c r="F40" s="120"/>
      <c r="G40" s="120"/>
      <c r="H40" s="120"/>
      <c r="I40" s="120"/>
      <c r="J40" s="157"/>
      <c r="K40" s="158"/>
      <c r="L40" s="158"/>
      <c r="M40" s="158"/>
      <c r="N40" s="158"/>
      <c r="O40" s="158"/>
      <c r="P40" s="160">
        <f>AVERAGE(P38:P39)</f>
        <v>5.7143391614853604E-3</v>
      </c>
      <c r="Q40" s="160">
        <f t="shared" ref="Q40:T40" si="31">AVERAGE(Q38:Q39)</f>
        <v>8.7404807312559674E-3</v>
      </c>
      <c r="R40" s="160">
        <f t="shared" si="31"/>
        <v>8.6366017221347399E-3</v>
      </c>
      <c r="S40" s="160">
        <f t="shared" si="31"/>
        <v>1.0215915261425934E-2</v>
      </c>
      <c r="T40" s="160">
        <f t="shared" si="31"/>
        <v>1.1765606760589326E-2</v>
      </c>
      <c r="U40" s="17"/>
      <c r="V40" s="17"/>
      <c r="W40" s="17"/>
    </row>
    <row r="41" spans="1:34" ht="11.25" customHeight="1" outlineLevel="1">
      <c r="A41" s="17"/>
      <c r="B41" s="17"/>
      <c r="C41" s="127" t="s">
        <v>163</v>
      </c>
      <c r="D41" s="120" t="s">
        <v>96</v>
      </c>
      <c r="E41" s="120" t="str">
        <f t="shared" si="30"/>
        <v>Per cent</v>
      </c>
      <c r="F41" s="120"/>
      <c r="G41" s="120"/>
      <c r="H41" s="120"/>
      <c r="I41" s="120"/>
      <c r="J41" s="157"/>
      <c r="K41" s="158"/>
      <c r="L41" s="158"/>
      <c r="M41" s="158"/>
      <c r="N41" s="158"/>
      <c r="O41" s="158"/>
      <c r="P41" s="160">
        <v>5.0000000000000001E-3</v>
      </c>
      <c r="Q41" s="160">
        <v>0</v>
      </c>
      <c r="R41" s="160">
        <v>0</v>
      </c>
      <c r="S41" s="160">
        <v>0</v>
      </c>
      <c r="T41" s="160">
        <v>0</v>
      </c>
      <c r="U41" s="162"/>
      <c r="V41" s="163"/>
      <c r="W41" s="17"/>
    </row>
    <row r="42" spans="1:34" ht="11.25" customHeight="1" outlineLevel="1">
      <c r="A42" s="17"/>
      <c r="B42" s="17"/>
      <c r="C42" s="127" t="s">
        <v>164</v>
      </c>
      <c r="D42" s="120" t="s">
        <v>96</v>
      </c>
      <c r="E42" s="120" t="str">
        <f t="shared" si="30"/>
        <v>Per cent</v>
      </c>
      <c r="F42" s="120"/>
      <c r="G42" s="120"/>
      <c r="H42" s="120"/>
      <c r="I42" s="120"/>
      <c r="J42" s="157"/>
      <c r="K42" s="158"/>
      <c r="L42" s="158"/>
      <c r="M42" s="158"/>
      <c r="N42" s="158"/>
      <c r="O42" s="158"/>
      <c r="P42" s="160">
        <f>P41+P40</f>
        <v>1.071433916148536E-2</v>
      </c>
      <c r="Q42" s="160">
        <f t="shared" ref="Q42:T42" si="32">Q41+Q40</f>
        <v>8.7404807312559674E-3</v>
      </c>
      <c r="R42" s="160">
        <f t="shared" si="32"/>
        <v>8.6366017221347399E-3</v>
      </c>
      <c r="S42" s="160">
        <f t="shared" si="32"/>
        <v>1.0215915261425934E-2</v>
      </c>
      <c r="T42" s="160">
        <f t="shared" si="32"/>
        <v>1.1765606760589326E-2</v>
      </c>
      <c r="U42" s="162"/>
      <c r="V42" s="17"/>
      <c r="W42" s="17"/>
    </row>
    <row r="43" spans="1:34" ht="11.25" customHeight="1" outlineLevel="1">
      <c r="A43" s="17"/>
      <c r="B43" s="17"/>
      <c r="C43" s="127"/>
      <c r="D43" s="120" t="s">
        <v>96</v>
      </c>
      <c r="E43" s="120" t="str">
        <f t="shared" si="30"/>
        <v>Per cent</v>
      </c>
      <c r="F43" s="120"/>
      <c r="G43" s="120"/>
      <c r="H43" s="120"/>
      <c r="I43" s="120"/>
      <c r="J43" s="157"/>
      <c r="K43" s="158"/>
      <c r="L43" s="158"/>
      <c r="M43" s="158"/>
      <c r="N43" s="158"/>
      <c r="O43" s="158"/>
      <c r="P43" s="164"/>
      <c r="Q43" s="164"/>
      <c r="R43" s="164"/>
      <c r="S43" s="164"/>
      <c r="T43" s="164"/>
      <c r="U43" s="162"/>
      <c r="V43" s="17"/>
      <c r="W43" s="17"/>
    </row>
    <row r="44" spans="1:34" ht="11.25" customHeight="1" outlineLevel="1">
      <c r="A44" s="17"/>
      <c r="B44" s="17"/>
      <c r="C44" s="127"/>
      <c r="D44" s="120" t="s">
        <v>96</v>
      </c>
      <c r="E44" s="120" t="str">
        <f t="shared" si="30"/>
        <v>Per cent</v>
      </c>
      <c r="F44" s="120"/>
      <c r="G44" s="120"/>
      <c r="H44" s="120"/>
      <c r="I44" s="120"/>
      <c r="J44" s="157"/>
      <c r="K44" s="158"/>
      <c r="L44" s="158"/>
      <c r="M44" s="158"/>
      <c r="N44" s="158"/>
      <c r="O44" s="158"/>
      <c r="P44" s="164"/>
      <c r="Q44" s="164"/>
      <c r="R44" s="164"/>
      <c r="S44" s="164"/>
      <c r="T44" s="164"/>
      <c r="U44" s="162"/>
      <c r="V44" s="17"/>
      <c r="W44" s="17"/>
    </row>
    <row r="45" spans="1:34" ht="11.25" customHeight="1" outlineLevel="1">
      <c r="A45" s="17"/>
      <c r="B45" s="17"/>
      <c r="C45" s="127" t="s">
        <v>76</v>
      </c>
      <c r="D45" s="120" t="s">
        <v>96</v>
      </c>
      <c r="E45" s="120" t="str">
        <f t="shared" si="30"/>
        <v>Per cent</v>
      </c>
      <c r="F45" s="120"/>
      <c r="G45" s="120"/>
      <c r="H45" s="120"/>
      <c r="I45" s="120"/>
      <c r="J45" s="157"/>
      <c r="K45" s="158"/>
      <c r="L45" s="158"/>
      <c r="M45" s="158"/>
      <c r="N45" s="158"/>
      <c r="O45" s="158"/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62"/>
      <c r="V45" s="17"/>
      <c r="W45" s="17"/>
    </row>
    <row r="46" spans="1:34" ht="11.25" customHeight="1" outlineLevel="1">
      <c r="A46" s="17"/>
      <c r="B46" s="17"/>
      <c r="C46" s="17"/>
      <c r="D46" s="120"/>
      <c r="E46" s="120"/>
      <c r="F46" s="120"/>
      <c r="G46" s="120"/>
      <c r="H46" s="120"/>
      <c r="I46" s="120"/>
      <c r="J46" s="12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4" ht="11.25" customHeight="1" outlineLevel="1">
      <c r="A47" s="17"/>
      <c r="B47" s="17"/>
      <c r="C47" s="17" t="s">
        <v>40</v>
      </c>
      <c r="D47" s="120" t="s">
        <v>93</v>
      </c>
      <c r="E47" s="120" t="s">
        <v>28</v>
      </c>
      <c r="F47" s="120" t="s">
        <v>36</v>
      </c>
      <c r="G47" s="120"/>
      <c r="H47" s="120"/>
      <c r="I47" s="120"/>
      <c r="J47" s="165" t="str">
        <f t="shared" ref="J47:S47" si="33">IF(J36=J4,IF(COUNTA($C38:$C45)=COUNT(J38:J45),"Ok","Check"),"")</f>
        <v/>
      </c>
      <c r="K47" s="165" t="str">
        <f t="shared" si="33"/>
        <v/>
      </c>
      <c r="L47" s="165" t="str">
        <f t="shared" si="33"/>
        <v/>
      </c>
      <c r="M47" s="165" t="str">
        <f t="shared" si="33"/>
        <v/>
      </c>
      <c r="N47" s="165" t="str">
        <f t="shared" si="33"/>
        <v/>
      </c>
      <c r="O47" s="165" t="str">
        <f t="shared" si="33"/>
        <v/>
      </c>
      <c r="P47" s="165" t="str">
        <f t="shared" si="33"/>
        <v>Ok</v>
      </c>
      <c r="Q47" s="165" t="str">
        <f t="shared" si="33"/>
        <v>Ok</v>
      </c>
      <c r="R47" s="165" t="str">
        <f t="shared" si="33"/>
        <v>Ok</v>
      </c>
      <c r="S47" s="165" t="str">
        <f t="shared" si="33"/>
        <v>Ok</v>
      </c>
      <c r="T47" s="165" t="str">
        <f>IF(T36=T4,IF(COUNTA($C38:$C45)=COUNT(T38:T45),"Ok","Check"),"")</f>
        <v>Ok</v>
      </c>
      <c r="U47" s="165" t="str">
        <f>IF(U36=U4,IF(COUNTA($C38:$C45)=COUNT(U38:U45),"Ok","Check"),"")</f>
        <v/>
      </c>
      <c r="V47" s="166"/>
      <c r="W47" s="17"/>
      <c r="X47" s="81" t="str">
        <f>IF(COUNTIF(J47:U47,"Check")=0,"Ok","Check")</f>
        <v>Ok</v>
      </c>
    </row>
    <row r="48" spans="1:34" ht="11.25" customHeight="1" outlineLevel="1">
      <c r="A48" s="17"/>
      <c r="B48" s="17"/>
      <c r="C48" s="17"/>
      <c r="D48" s="120"/>
      <c r="E48" s="120"/>
      <c r="F48" s="120"/>
      <c r="G48" s="120"/>
      <c r="H48" s="120"/>
      <c r="I48" s="120"/>
      <c r="J48" s="1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34" ht="11.25" customHeight="1" outlineLevel="1">
      <c r="A49" s="17"/>
      <c r="B49" s="17"/>
      <c r="C49" s="122" t="s">
        <v>43</v>
      </c>
      <c r="D49" s="121" t="s">
        <v>7</v>
      </c>
      <c r="E49" s="121" t="s">
        <v>8</v>
      </c>
      <c r="F49" s="120"/>
      <c r="G49" s="120"/>
      <c r="H49" s="120"/>
      <c r="I49" s="120"/>
      <c r="J49" s="138" t="str">
        <f t="shared" ref="J49:U49" si="34">IF(YEAR(J$4)&gt;=FPFirstYear,IF(YEAR(J$4)&lt;=FPLastYear,J$4,""),"")</f>
        <v/>
      </c>
      <c r="K49" s="138" t="str">
        <f t="shared" si="34"/>
        <v/>
      </c>
      <c r="L49" s="138" t="str">
        <f t="shared" si="34"/>
        <v/>
      </c>
      <c r="M49" s="138" t="str">
        <f t="shared" si="34"/>
        <v/>
      </c>
      <c r="N49" s="138" t="str">
        <f t="shared" si="34"/>
        <v/>
      </c>
      <c r="O49" s="138" t="str">
        <f t="shared" si="34"/>
        <v/>
      </c>
      <c r="P49" s="138">
        <f t="shared" si="34"/>
        <v>46174</v>
      </c>
      <c r="Q49" s="138">
        <f t="shared" si="34"/>
        <v>46539</v>
      </c>
      <c r="R49" s="138">
        <f t="shared" si="34"/>
        <v>46905</v>
      </c>
      <c r="S49" s="138">
        <f t="shared" si="34"/>
        <v>47270</v>
      </c>
      <c r="T49" s="138">
        <f t="shared" si="34"/>
        <v>47635</v>
      </c>
      <c r="U49" s="138" t="str">
        <f t="shared" si="34"/>
        <v/>
      </c>
      <c r="V49" s="17"/>
      <c r="W49" s="17"/>
    </row>
    <row r="50" spans="1:34" ht="11.25" customHeight="1" outlineLevel="1">
      <c r="A50" s="17"/>
      <c r="B50" s="17"/>
      <c r="C50" s="17"/>
      <c r="D50" s="120"/>
      <c r="E50" s="120"/>
      <c r="F50" s="120"/>
      <c r="G50" s="120"/>
      <c r="H50" s="120"/>
      <c r="I50" s="120"/>
      <c r="J50" s="12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34" ht="11.25" customHeight="1" outlineLevel="1">
      <c r="A51" s="17"/>
      <c r="B51" s="17"/>
      <c r="C51" s="167" t="str">
        <f t="shared" ref="C51:C58" si="35">C38</f>
        <v>WPI - Deloitte Access Economics</v>
      </c>
      <c r="D51" s="120" t="s">
        <v>96</v>
      </c>
      <c r="E51" s="120" t="str">
        <f t="shared" ref="E51:E58" si="36">percent</f>
        <v>Per cent</v>
      </c>
      <c r="F51" s="120"/>
      <c r="G51" s="120"/>
      <c r="H51" s="120"/>
      <c r="I51" s="120"/>
      <c r="J51" s="157"/>
      <c r="K51" s="158"/>
      <c r="L51" s="158"/>
      <c r="M51" s="158"/>
      <c r="N51" s="158"/>
      <c r="O51" s="158"/>
      <c r="P51" s="143"/>
      <c r="Q51" s="143"/>
      <c r="R51" s="143"/>
      <c r="S51" s="143"/>
      <c r="T51" s="143"/>
      <c r="U51" s="168"/>
      <c r="V51" s="17"/>
      <c r="W51" s="17"/>
    </row>
    <row r="52" spans="1:34" ht="11.25" customHeight="1" outlineLevel="1">
      <c r="A52" s="17"/>
      <c r="B52" s="17"/>
      <c r="C52" s="167" t="str">
        <f t="shared" si="35"/>
        <v>WPI - BIS Oxford</v>
      </c>
      <c r="D52" s="120" t="s">
        <v>96</v>
      </c>
      <c r="E52" s="120" t="str">
        <f t="shared" si="36"/>
        <v>Per cent</v>
      </c>
      <c r="F52" s="120"/>
      <c r="G52" s="120"/>
      <c r="H52" s="120"/>
      <c r="I52" s="120"/>
      <c r="J52" s="157"/>
      <c r="K52" s="158"/>
      <c r="L52" s="158"/>
      <c r="M52" s="158"/>
      <c r="N52" s="158"/>
      <c r="O52" s="158"/>
      <c r="P52" s="143"/>
      <c r="Q52" s="143"/>
      <c r="R52" s="143"/>
      <c r="S52" s="143"/>
      <c r="T52" s="143"/>
      <c r="U52" s="168"/>
      <c r="V52" s="17"/>
      <c r="W52" s="17"/>
    </row>
    <row r="53" spans="1:34" ht="11.25" customHeight="1" outlineLevel="1">
      <c r="A53" s="17"/>
      <c r="B53" s="17"/>
      <c r="C53" s="167" t="str">
        <f t="shared" si="35"/>
        <v>WPI - average</v>
      </c>
      <c r="D53" s="120" t="s">
        <v>96</v>
      </c>
      <c r="E53" s="120" t="str">
        <f t="shared" si="36"/>
        <v>Per cent</v>
      </c>
      <c r="F53" s="120"/>
      <c r="G53" s="120"/>
      <c r="H53" s="120"/>
      <c r="I53" s="120"/>
      <c r="J53" s="157"/>
      <c r="K53" s="158"/>
      <c r="L53" s="158"/>
      <c r="M53" s="158"/>
      <c r="N53" s="158"/>
      <c r="O53" s="158"/>
      <c r="P53" s="143"/>
      <c r="Q53" s="143"/>
      <c r="R53" s="143"/>
      <c r="S53" s="143"/>
      <c r="T53" s="143"/>
      <c r="U53" s="168"/>
      <c r="V53" s="17"/>
      <c r="W53" s="17"/>
    </row>
    <row r="54" spans="1:34" ht="11.25" customHeight="1" outlineLevel="1">
      <c r="A54" s="17"/>
      <c r="B54" s="17"/>
      <c r="C54" s="167" t="str">
        <f t="shared" si="35"/>
        <v>Superannuation guarantee increases</v>
      </c>
      <c r="D54" s="120" t="s">
        <v>96</v>
      </c>
      <c r="E54" s="120" t="str">
        <f t="shared" si="36"/>
        <v>Per cent</v>
      </c>
      <c r="F54" s="120"/>
      <c r="G54" s="120"/>
      <c r="H54" s="120"/>
      <c r="I54" s="120"/>
      <c r="J54" s="157"/>
      <c r="K54" s="158"/>
      <c r="L54" s="158"/>
      <c r="M54" s="158"/>
      <c r="N54" s="158"/>
      <c r="O54" s="158"/>
      <c r="P54" s="143"/>
      <c r="Q54" s="143"/>
      <c r="R54" s="143"/>
      <c r="S54" s="143"/>
      <c r="T54" s="143"/>
      <c r="U54" s="168"/>
      <c r="V54" s="163"/>
      <c r="W54" s="17"/>
    </row>
    <row r="55" spans="1:34" ht="11.25" customHeight="1" outlineLevel="1">
      <c r="A55" s="17"/>
      <c r="B55" s="17"/>
      <c r="C55" s="167" t="str">
        <f t="shared" si="35"/>
        <v>WPI - average + super guarantee increases</v>
      </c>
      <c r="D55" s="120" t="s">
        <v>96</v>
      </c>
      <c r="E55" s="120" t="str">
        <f t="shared" si="36"/>
        <v>Per cent</v>
      </c>
      <c r="F55" s="120"/>
      <c r="G55" s="120"/>
      <c r="H55" s="120"/>
      <c r="I55" s="120"/>
      <c r="J55" s="157"/>
      <c r="K55" s="158"/>
      <c r="L55" s="158"/>
      <c r="M55" s="158"/>
      <c r="N55" s="158"/>
      <c r="O55" s="158"/>
      <c r="P55" s="169">
        <v>0.59199999999999997</v>
      </c>
      <c r="Q55" s="169">
        <v>0.59199999999999997</v>
      </c>
      <c r="R55" s="169">
        <v>0.59199999999999997</v>
      </c>
      <c r="S55" s="169">
        <v>0.59199999999999997</v>
      </c>
      <c r="T55" s="169">
        <v>0.59199999999999997</v>
      </c>
      <c r="U55" s="168"/>
      <c r="V55" s="17"/>
      <c r="W55" s="17"/>
    </row>
    <row r="56" spans="1:34" ht="11.25" customHeight="1" outlineLevel="1">
      <c r="A56" s="17"/>
      <c r="B56" s="17"/>
      <c r="C56" s="167">
        <f t="shared" si="35"/>
        <v>0</v>
      </c>
      <c r="D56" s="120" t="s">
        <v>96</v>
      </c>
      <c r="E56" s="120" t="str">
        <f t="shared" si="36"/>
        <v>Per cent</v>
      </c>
      <c r="F56" s="120"/>
      <c r="G56" s="120"/>
      <c r="H56" s="120"/>
      <c r="I56" s="120"/>
      <c r="J56" s="157"/>
      <c r="K56" s="158"/>
      <c r="L56" s="158"/>
      <c r="M56" s="158"/>
      <c r="N56" s="158"/>
      <c r="O56" s="158"/>
      <c r="P56" s="143"/>
      <c r="Q56" s="143"/>
      <c r="R56" s="143"/>
      <c r="S56" s="143"/>
      <c r="T56" s="143"/>
      <c r="U56" s="168"/>
      <c r="V56" s="17"/>
      <c r="W56" s="17"/>
    </row>
    <row r="57" spans="1:34" ht="11.25" customHeight="1" outlineLevel="1">
      <c r="A57" s="17"/>
      <c r="B57" s="17"/>
      <c r="C57" s="167">
        <f t="shared" si="35"/>
        <v>0</v>
      </c>
      <c r="D57" s="120" t="s">
        <v>96</v>
      </c>
      <c r="E57" s="120" t="str">
        <f t="shared" si="36"/>
        <v>Per cent</v>
      </c>
      <c r="F57" s="120"/>
      <c r="G57" s="120"/>
      <c r="H57" s="120"/>
      <c r="I57" s="120"/>
      <c r="J57" s="157"/>
      <c r="K57" s="158"/>
      <c r="L57" s="158"/>
      <c r="M57" s="158"/>
      <c r="N57" s="158"/>
      <c r="O57" s="158"/>
      <c r="P57" s="143"/>
      <c r="Q57" s="143"/>
      <c r="R57" s="143"/>
      <c r="S57" s="143"/>
      <c r="T57" s="143"/>
      <c r="U57" s="168"/>
      <c r="V57" s="17"/>
      <c r="W57" s="17"/>
    </row>
    <row r="58" spans="1:34" ht="11.25" customHeight="1" outlineLevel="1">
      <c r="A58" s="17"/>
      <c r="B58" s="17"/>
      <c r="C58" s="167" t="str">
        <f t="shared" si="35"/>
        <v>CPI</v>
      </c>
      <c r="D58" s="120" t="s">
        <v>96</v>
      </c>
      <c r="E58" s="120" t="str">
        <f t="shared" si="36"/>
        <v>Per cent</v>
      </c>
      <c r="F58" s="120"/>
      <c r="G58" s="120"/>
      <c r="H58" s="120"/>
      <c r="I58" s="120"/>
      <c r="J58" s="157"/>
      <c r="K58" s="158"/>
      <c r="L58" s="158"/>
      <c r="M58" s="158"/>
      <c r="N58" s="158"/>
      <c r="O58" s="158"/>
      <c r="P58" s="143">
        <v>0.40800000000000003</v>
      </c>
      <c r="Q58" s="143">
        <v>0.40800000000000003</v>
      </c>
      <c r="R58" s="143">
        <v>0.40800000000000003</v>
      </c>
      <c r="S58" s="143">
        <v>0.40800000000000003</v>
      </c>
      <c r="T58" s="143">
        <v>0.40800000000000003</v>
      </c>
      <c r="U58" s="168"/>
      <c r="V58" s="17"/>
      <c r="W58" s="17"/>
    </row>
    <row r="59" spans="1:34" ht="11.25" customHeight="1" outlineLevel="1">
      <c r="A59" s="17"/>
      <c r="B59" s="17"/>
      <c r="C59" s="17"/>
      <c r="D59" s="120"/>
      <c r="E59" s="120"/>
      <c r="F59" s="120"/>
      <c r="G59" s="120"/>
      <c r="H59" s="120"/>
      <c r="I59" s="120"/>
      <c r="J59" s="12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34" ht="10.5" outlineLevel="1">
      <c r="A60" s="17"/>
      <c r="B60" s="17"/>
      <c r="C60" s="17" t="s">
        <v>40</v>
      </c>
      <c r="D60" s="120" t="s">
        <v>93</v>
      </c>
      <c r="E60" s="120" t="s">
        <v>28</v>
      </c>
      <c r="F60" s="120" t="s">
        <v>36</v>
      </c>
      <c r="G60" s="120"/>
      <c r="H60" s="120"/>
      <c r="I60" s="120"/>
      <c r="J60" s="165" t="str">
        <f t="shared" ref="J60:S60" si="37">IF(J49=J$4,IF(SUM(J51:J58)=1,"Ok","Check"),"")</f>
        <v/>
      </c>
      <c r="K60" s="165" t="str">
        <f t="shared" si="37"/>
        <v/>
      </c>
      <c r="L60" s="165" t="str">
        <f t="shared" si="37"/>
        <v/>
      </c>
      <c r="M60" s="165" t="str">
        <f t="shared" si="37"/>
        <v/>
      </c>
      <c r="N60" s="165" t="str">
        <f t="shared" si="37"/>
        <v/>
      </c>
      <c r="O60" s="165" t="str">
        <f t="shared" si="37"/>
        <v/>
      </c>
      <c r="P60" s="165" t="str">
        <f t="shared" si="37"/>
        <v>Ok</v>
      </c>
      <c r="Q60" s="165" t="str">
        <f t="shared" si="37"/>
        <v>Ok</v>
      </c>
      <c r="R60" s="165" t="str">
        <f t="shared" si="37"/>
        <v>Ok</v>
      </c>
      <c r="S60" s="165" t="str">
        <f t="shared" si="37"/>
        <v>Ok</v>
      </c>
      <c r="T60" s="165" t="str">
        <f>IF(T49=T$4,IF(SUM(T51:T58)=1,"Ok","Check"),"")</f>
        <v>Ok</v>
      </c>
      <c r="U60" s="165" t="str">
        <f>IF(U49=U$4,IF(SUM(U51:U58)=1,"Ok","Check"),"")</f>
        <v/>
      </c>
      <c r="V60" s="166"/>
      <c r="W60" s="17"/>
      <c r="X60" s="81" t="str">
        <f>IF(COUNTIF(J60:U60,"Check")=0,"Ok","Check")</f>
        <v>Ok</v>
      </c>
    </row>
    <row r="61" spans="1:34">
      <c r="A61" s="17"/>
      <c r="B61" s="17"/>
      <c r="C61" s="17"/>
      <c r="D61" s="120"/>
      <c r="E61" s="120"/>
      <c r="F61" s="120"/>
      <c r="G61" s="120"/>
      <c r="H61" s="120"/>
      <c r="I61" s="120"/>
      <c r="J61" s="120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34" customFormat="1" ht="13">
      <c r="A62" s="32"/>
      <c r="B62" s="38" t="s">
        <v>79</v>
      </c>
      <c r="C62" s="32"/>
      <c r="D62" s="32"/>
      <c r="E62" s="32"/>
      <c r="F62" s="118"/>
      <c r="G62" s="118"/>
      <c r="H62" s="118"/>
      <c r="I62" s="118"/>
      <c r="J62" s="118"/>
      <c r="K62" s="34"/>
      <c r="L62" s="119"/>
      <c r="M62" s="34"/>
      <c r="N62" s="119"/>
      <c r="O62" s="34"/>
      <c r="P62" s="34"/>
      <c r="Q62" s="34"/>
      <c r="R62" s="34"/>
      <c r="S62" s="34"/>
      <c r="T62" s="34"/>
      <c r="U62" s="34"/>
      <c r="V62" s="34"/>
      <c r="W62" s="34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7"/>
      <c r="B63" s="17"/>
      <c r="C63" s="17"/>
      <c r="D63" s="120"/>
      <c r="E63" s="120"/>
      <c r="F63" s="120"/>
      <c r="G63" s="121"/>
      <c r="H63" s="121"/>
      <c r="I63" s="120"/>
      <c r="J63" s="12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34" ht="10.5" outlineLevel="1">
      <c r="A64" s="17"/>
      <c r="B64" s="17"/>
      <c r="C64" s="122" t="s">
        <v>80</v>
      </c>
      <c r="D64" s="121" t="s">
        <v>7</v>
      </c>
      <c r="E64" s="121" t="s">
        <v>8</v>
      </c>
      <c r="F64" s="121" t="s">
        <v>22</v>
      </c>
      <c r="G64" s="121"/>
      <c r="H64" s="121"/>
      <c r="I64" s="120"/>
      <c r="J64" s="138" t="str">
        <f t="shared" ref="J64:U64" si="38">IF(YEAR(J$4)&gt;=PPLastYear,IF(YEAR(J$4)&lt;=FPLastYear,J$4,""),"")</f>
        <v/>
      </c>
      <c r="K64" s="138" t="str">
        <f t="shared" si="38"/>
        <v/>
      </c>
      <c r="L64" s="138" t="str">
        <f t="shared" si="38"/>
        <v/>
      </c>
      <c r="M64" s="138" t="str">
        <f t="shared" si="38"/>
        <v/>
      </c>
      <c r="N64" s="138" t="str">
        <f t="shared" si="38"/>
        <v/>
      </c>
      <c r="O64" s="138">
        <f t="shared" si="38"/>
        <v>45809</v>
      </c>
      <c r="P64" s="138">
        <f t="shared" si="38"/>
        <v>46174</v>
      </c>
      <c r="Q64" s="138">
        <f t="shared" si="38"/>
        <v>46539</v>
      </c>
      <c r="R64" s="138">
        <f t="shared" si="38"/>
        <v>46905</v>
      </c>
      <c r="S64" s="138">
        <f t="shared" si="38"/>
        <v>47270</v>
      </c>
      <c r="T64" s="138">
        <f t="shared" si="38"/>
        <v>47635</v>
      </c>
      <c r="U64" s="138" t="str">
        <f t="shared" si="38"/>
        <v/>
      </c>
      <c r="V64" s="17"/>
      <c r="W64" s="17"/>
    </row>
    <row r="65" spans="1:24" ht="10.5" outlineLevel="1">
      <c r="A65" s="17"/>
      <c r="B65" s="17"/>
      <c r="C65" s="125"/>
      <c r="D65" s="120"/>
      <c r="E65" s="120"/>
      <c r="F65" s="120"/>
      <c r="G65" s="121"/>
      <c r="H65" s="121"/>
      <c r="I65" s="120"/>
      <c r="J65" s="120"/>
      <c r="K65" s="126"/>
      <c r="L65" s="126"/>
      <c r="M65" s="126"/>
      <c r="N65" s="126"/>
      <c r="O65" s="126"/>
      <c r="P65" s="17"/>
      <c r="Q65" s="17"/>
      <c r="R65" s="17"/>
      <c r="S65" s="17"/>
      <c r="T65" s="17"/>
      <c r="U65" s="17"/>
      <c r="V65" s="17"/>
      <c r="W65" s="17"/>
    </row>
    <row r="66" spans="1:24" outlineLevel="1">
      <c r="A66" s="17"/>
      <c r="B66" s="17"/>
      <c r="C66" s="127" t="s">
        <v>177</v>
      </c>
      <c r="D66" s="120" t="s">
        <v>96</v>
      </c>
      <c r="E66" s="120" t="s">
        <v>18</v>
      </c>
      <c r="F66" s="120" t="s">
        <v>36</v>
      </c>
      <c r="G66" s="121"/>
      <c r="H66" s="121"/>
      <c r="I66" s="120"/>
      <c r="J66" s="157"/>
      <c r="K66" s="170"/>
      <c r="L66" s="170"/>
      <c r="M66" s="170"/>
      <c r="N66" s="170"/>
      <c r="O66" s="141">
        <v>946249.22679145262</v>
      </c>
      <c r="P66" s="141">
        <v>955573.7052274649</v>
      </c>
      <c r="Q66" s="141">
        <v>964991.36597720534</v>
      </c>
      <c r="R66" s="141">
        <v>974503.14915883308</v>
      </c>
      <c r="S66" s="141">
        <v>984110.00443583541</v>
      </c>
      <c r="T66" s="141">
        <v>993812.89111434994</v>
      </c>
      <c r="U66" s="141"/>
      <c r="V66" s="17"/>
      <c r="W66" s="17"/>
    </row>
    <row r="67" spans="1:24" outlineLevel="1">
      <c r="A67" s="17"/>
      <c r="B67" s="17"/>
      <c r="C67" s="127" t="s">
        <v>178</v>
      </c>
      <c r="D67" s="120" t="s">
        <v>96</v>
      </c>
      <c r="E67" s="120" t="s">
        <v>18</v>
      </c>
      <c r="F67" s="120" t="s">
        <v>36</v>
      </c>
      <c r="G67" s="121"/>
      <c r="H67" s="121"/>
      <c r="I67" s="120"/>
      <c r="J67" s="157"/>
      <c r="K67" s="170"/>
      <c r="L67" s="170"/>
      <c r="M67" s="170"/>
      <c r="N67" s="170"/>
      <c r="O67" s="141">
        <v>90851.728319480608</v>
      </c>
      <c r="P67" s="141">
        <v>91132.43697242529</v>
      </c>
      <c r="Q67" s="141">
        <v>91418.204471900579</v>
      </c>
      <c r="R67" s="141">
        <v>91709.110574031947</v>
      </c>
      <c r="S67" s="141">
        <v>92005.23629768168</v>
      </c>
      <c r="T67" s="141">
        <v>92306.663944438362</v>
      </c>
      <c r="U67" s="141"/>
      <c r="V67" s="17"/>
      <c r="W67" s="17"/>
    </row>
    <row r="68" spans="1:24" outlineLevel="1">
      <c r="A68" s="17"/>
      <c r="B68" s="17"/>
      <c r="C68" s="127" t="s">
        <v>179</v>
      </c>
      <c r="D68" s="120" t="s">
        <v>96</v>
      </c>
      <c r="E68" s="120" t="s">
        <v>18</v>
      </c>
      <c r="F68" s="120" t="s">
        <v>36</v>
      </c>
      <c r="G68" s="121"/>
      <c r="H68" s="121"/>
      <c r="I68" s="120"/>
      <c r="J68" s="157"/>
      <c r="K68" s="170"/>
      <c r="L68" s="170"/>
      <c r="M68" s="170"/>
      <c r="N68" s="170"/>
      <c r="O68" s="141">
        <v>3192.7919959999999</v>
      </c>
      <c r="P68" s="141">
        <v>3192.7919959999999</v>
      </c>
      <c r="Q68" s="141">
        <v>3192.7919959999999</v>
      </c>
      <c r="R68" s="141">
        <v>3192.7919959999999</v>
      </c>
      <c r="S68" s="141">
        <v>3192.7919959999999</v>
      </c>
      <c r="T68" s="141">
        <v>3192.7919959999999</v>
      </c>
      <c r="U68" s="141"/>
      <c r="V68" s="17"/>
      <c r="W68" s="17"/>
    </row>
    <row r="69" spans="1:24" outlineLevel="1">
      <c r="A69" s="17"/>
      <c r="B69" s="17"/>
      <c r="C69" s="127"/>
      <c r="D69" s="120" t="s">
        <v>96</v>
      </c>
      <c r="E69" s="120" t="s">
        <v>18</v>
      </c>
      <c r="F69" s="120" t="s">
        <v>36</v>
      </c>
      <c r="G69" s="121"/>
      <c r="H69" s="121"/>
      <c r="I69" s="120"/>
      <c r="J69" s="157"/>
      <c r="K69" s="170"/>
      <c r="L69" s="170"/>
      <c r="M69" s="170"/>
      <c r="N69" s="170"/>
      <c r="O69" s="141"/>
      <c r="P69" s="141"/>
      <c r="Q69" s="141"/>
      <c r="R69" s="141"/>
      <c r="S69" s="141"/>
      <c r="T69" s="141"/>
      <c r="U69" s="141"/>
      <c r="V69" s="17"/>
      <c r="W69" s="17"/>
    </row>
    <row r="70" spans="1:24" outlineLevel="1">
      <c r="A70" s="17"/>
      <c r="B70" s="17"/>
      <c r="C70" s="127"/>
      <c r="D70" s="120" t="s">
        <v>96</v>
      </c>
      <c r="E70" s="120" t="s">
        <v>18</v>
      </c>
      <c r="F70" s="120" t="s">
        <v>36</v>
      </c>
      <c r="G70" s="121"/>
      <c r="H70" s="121"/>
      <c r="I70" s="120"/>
      <c r="J70" s="157"/>
      <c r="K70" s="170"/>
      <c r="L70" s="170"/>
      <c r="M70" s="170"/>
      <c r="N70" s="170"/>
      <c r="O70" s="141"/>
      <c r="P70" s="141"/>
      <c r="Q70" s="141"/>
      <c r="R70" s="141"/>
      <c r="S70" s="141"/>
      <c r="T70" s="141"/>
      <c r="U70" s="141"/>
      <c r="V70" s="17"/>
      <c r="W70" s="17"/>
    </row>
    <row r="71" spans="1:24" outlineLevel="1">
      <c r="A71" s="17"/>
      <c r="B71" s="17"/>
      <c r="C71" s="127"/>
      <c r="D71" s="120" t="s">
        <v>96</v>
      </c>
      <c r="E71" s="120" t="s">
        <v>18</v>
      </c>
      <c r="F71" s="120" t="s">
        <v>36</v>
      </c>
      <c r="G71" s="121"/>
      <c r="H71" s="121"/>
      <c r="I71" s="120"/>
      <c r="J71" s="157"/>
      <c r="K71" s="170"/>
      <c r="L71" s="170"/>
      <c r="M71" s="170"/>
      <c r="N71" s="170"/>
      <c r="O71" s="141"/>
      <c r="P71" s="141"/>
      <c r="Q71" s="141"/>
      <c r="R71" s="141"/>
      <c r="S71" s="141"/>
      <c r="T71" s="141"/>
      <c r="U71" s="141"/>
      <c r="V71" s="17"/>
      <c r="W71" s="17"/>
    </row>
    <row r="72" spans="1:24" ht="10.5" outlineLevel="1">
      <c r="A72" s="17"/>
      <c r="B72" s="17"/>
      <c r="C72" s="125"/>
      <c r="D72" s="120"/>
      <c r="E72" s="120"/>
      <c r="F72" s="120"/>
      <c r="G72" s="121"/>
      <c r="H72" s="121"/>
      <c r="I72" s="120"/>
      <c r="J72" s="120"/>
      <c r="K72" s="126"/>
      <c r="L72" s="126"/>
      <c r="M72" s="126"/>
      <c r="N72" s="126"/>
      <c r="O72" s="126"/>
      <c r="P72" s="17"/>
      <c r="Q72" s="17"/>
      <c r="R72" s="17"/>
      <c r="S72" s="17"/>
      <c r="T72" s="17"/>
      <c r="U72" s="17"/>
      <c r="V72" s="17"/>
      <c r="W72" s="17"/>
    </row>
    <row r="73" spans="1:24" ht="10.5" outlineLevel="1">
      <c r="A73" s="17"/>
      <c r="B73" s="17"/>
      <c r="C73" s="17" t="s">
        <v>40</v>
      </c>
      <c r="D73" s="120" t="s">
        <v>93</v>
      </c>
      <c r="E73" s="120" t="s">
        <v>28</v>
      </c>
      <c r="F73" s="120" t="s">
        <v>36</v>
      </c>
      <c r="G73" s="120"/>
      <c r="H73" s="120"/>
      <c r="I73" s="120"/>
      <c r="J73" s="165" t="str">
        <f t="shared" ref="J73:S73" si="39">IF(J64=J$4,IF(COUNTA($C66:$C71)=COUNT(J66:J71),"Ok","Check"),"")</f>
        <v/>
      </c>
      <c r="K73" s="165" t="str">
        <f t="shared" si="39"/>
        <v/>
      </c>
      <c r="L73" s="165" t="str">
        <f t="shared" si="39"/>
        <v/>
      </c>
      <c r="M73" s="165" t="str">
        <f t="shared" si="39"/>
        <v/>
      </c>
      <c r="N73" s="165" t="str">
        <f t="shared" si="39"/>
        <v/>
      </c>
      <c r="O73" s="165" t="str">
        <f t="shared" si="39"/>
        <v>Ok</v>
      </c>
      <c r="P73" s="165" t="str">
        <f t="shared" si="39"/>
        <v>Ok</v>
      </c>
      <c r="Q73" s="165" t="str">
        <f t="shared" si="39"/>
        <v>Ok</v>
      </c>
      <c r="R73" s="165" t="str">
        <f t="shared" si="39"/>
        <v>Ok</v>
      </c>
      <c r="S73" s="165" t="str">
        <f t="shared" si="39"/>
        <v>Ok</v>
      </c>
      <c r="T73" s="165" t="str">
        <f>IF(T64=T$4,IF(COUNTA($C66:$C71)=COUNT(T66:T71),"Ok","Check"),"")</f>
        <v>Ok</v>
      </c>
      <c r="U73" s="165" t="str">
        <f>IF(U64=U$4,IF(COUNTA($C66:$C71)=COUNT(U66:U71),"Ok","Check"),"")</f>
        <v/>
      </c>
      <c r="V73" s="166"/>
      <c r="W73" s="17"/>
      <c r="X73" s="81" t="str">
        <f>IF(COUNTIF(J73:U73,"Check")=0,"Ok","Check")</f>
        <v>Ok</v>
      </c>
    </row>
    <row r="74" spans="1:24" ht="10.5" outlineLevel="1">
      <c r="A74" s="17"/>
      <c r="B74" s="17"/>
      <c r="C74" s="125"/>
      <c r="D74" s="120"/>
      <c r="E74" s="120"/>
      <c r="F74" s="120"/>
      <c r="G74" s="121"/>
      <c r="H74" s="121"/>
      <c r="I74" s="120"/>
      <c r="J74" s="120"/>
      <c r="K74" s="126"/>
      <c r="L74" s="126"/>
      <c r="M74" s="126"/>
      <c r="N74" s="126"/>
      <c r="O74" s="126"/>
      <c r="P74" s="17"/>
      <c r="Q74" s="17"/>
      <c r="R74" s="17"/>
      <c r="S74" s="17"/>
      <c r="T74" s="17"/>
      <c r="U74" s="17"/>
      <c r="V74" s="17"/>
      <c r="W74" s="17"/>
    </row>
    <row r="75" spans="1:24" ht="10.5" outlineLevel="1">
      <c r="A75" s="17"/>
      <c r="B75" s="17"/>
      <c r="C75" s="122" t="s">
        <v>83</v>
      </c>
      <c r="D75" s="121" t="s">
        <v>7</v>
      </c>
      <c r="E75" s="121" t="s">
        <v>8</v>
      </c>
      <c r="F75" s="121" t="s">
        <v>22</v>
      </c>
      <c r="G75" s="121"/>
      <c r="H75" s="121"/>
      <c r="I75" s="120"/>
      <c r="J75" s="138" t="str">
        <f t="shared" ref="J75:U75" si="40">IF(YEAR(J$4)&gt;=FPFirstYear,IF(YEAR(J$4)&lt;=FPLastYear,J$4,""),"")</f>
        <v/>
      </c>
      <c r="K75" s="138" t="str">
        <f t="shared" si="40"/>
        <v/>
      </c>
      <c r="L75" s="138" t="str">
        <f t="shared" si="40"/>
        <v/>
      </c>
      <c r="M75" s="138" t="str">
        <f t="shared" si="40"/>
        <v/>
      </c>
      <c r="N75" s="138" t="str">
        <f t="shared" si="40"/>
        <v/>
      </c>
      <c r="O75" s="138" t="str">
        <f t="shared" si="40"/>
        <v/>
      </c>
      <c r="P75" s="138">
        <f t="shared" si="40"/>
        <v>46174</v>
      </c>
      <c r="Q75" s="138">
        <f t="shared" si="40"/>
        <v>46539</v>
      </c>
      <c r="R75" s="138">
        <f t="shared" si="40"/>
        <v>46905</v>
      </c>
      <c r="S75" s="138">
        <f t="shared" si="40"/>
        <v>47270</v>
      </c>
      <c r="T75" s="138">
        <f t="shared" si="40"/>
        <v>47635</v>
      </c>
      <c r="U75" s="138" t="str">
        <f t="shared" si="40"/>
        <v/>
      </c>
      <c r="V75" s="17" t="str">
        <f>IF(RIGHT(V$4,2)&gt;=RIGHT('Input|General'!$G$13,2),IF(RIGHT(V$4,2)&lt;='Input|General'!$G$14,'Input|Reported opex'!U$4,""),"")</f>
        <v/>
      </c>
      <c r="W75" s="17"/>
    </row>
    <row r="76" spans="1:24" ht="10.5" outlineLevel="1">
      <c r="A76" s="17"/>
      <c r="B76" s="17"/>
      <c r="C76" s="125"/>
      <c r="D76" s="120"/>
      <c r="E76" s="120"/>
      <c r="F76" s="120"/>
      <c r="G76" s="121"/>
      <c r="H76" s="121"/>
      <c r="I76" s="120"/>
      <c r="J76" s="120"/>
      <c r="K76" s="126"/>
      <c r="L76" s="126"/>
      <c r="M76" s="126"/>
      <c r="N76" s="126"/>
      <c r="O76" s="126"/>
      <c r="P76" s="17"/>
      <c r="Q76" s="17"/>
      <c r="R76" s="17"/>
      <c r="S76" s="17"/>
      <c r="T76" s="17"/>
      <c r="U76" s="17"/>
      <c r="V76" s="17"/>
      <c r="W76" s="17"/>
    </row>
    <row r="77" spans="1:24" outlineLevel="1">
      <c r="A77" s="17"/>
      <c r="B77" s="17"/>
      <c r="C77" s="167" t="str">
        <f>C66</f>
        <v>Customer numbers (#)</v>
      </c>
      <c r="D77" s="120" t="s">
        <v>93</v>
      </c>
      <c r="E77" s="120" t="s">
        <v>18</v>
      </c>
      <c r="F77" s="120" t="s">
        <v>36</v>
      </c>
      <c r="G77" s="121"/>
      <c r="H77" s="121"/>
      <c r="I77" s="120"/>
      <c r="J77" s="171" t="str">
        <f t="shared" ref="J77:M77" si="41">IF(ISBLANK(I66),"",IF(ISBLANK(J66),"",LN(J66)-LN(I66)))</f>
        <v/>
      </c>
      <c r="K77" s="171" t="str">
        <f t="shared" si="41"/>
        <v/>
      </c>
      <c r="L77" s="171" t="str">
        <f t="shared" si="41"/>
        <v/>
      </c>
      <c r="M77" s="171" t="str">
        <f t="shared" si="41"/>
        <v/>
      </c>
      <c r="N77" s="171" t="str">
        <f>IF(ISBLANK(M66),"",IF(ISBLANK(N66),"",LN(N66)-LN(M66)))</f>
        <v/>
      </c>
      <c r="O77" s="171" t="str">
        <f t="shared" ref="O77:U77" si="42">IF(ISBLANK(N66),"",IF(ISBLANK(O66),"",LN(O66)-LN(N66)))</f>
        <v/>
      </c>
      <c r="P77" s="171">
        <f t="shared" si="42"/>
        <v>9.8059109456141158E-3</v>
      </c>
      <c r="Q77" s="171">
        <f t="shared" si="42"/>
        <v>9.8072555573853748E-3</v>
      </c>
      <c r="R77" s="171">
        <f t="shared" si="42"/>
        <v>9.8085963810223831E-3</v>
      </c>
      <c r="S77" s="171">
        <f t="shared" si="42"/>
        <v>9.8099334236145808E-3</v>
      </c>
      <c r="T77" s="171">
        <f t="shared" si="42"/>
        <v>9.8112666922585134E-3</v>
      </c>
      <c r="U77" s="171" t="str">
        <f t="shared" si="42"/>
        <v/>
      </c>
      <c r="V77" s="17"/>
      <c r="W77" s="17"/>
    </row>
    <row r="78" spans="1:24" outlineLevel="1">
      <c r="A78" s="17"/>
      <c r="B78" s="17"/>
      <c r="C78" s="167" t="str">
        <f t="shared" ref="C78:C82" si="43">C67</f>
        <v>Circuit Length (km)</v>
      </c>
      <c r="D78" s="120" t="s">
        <v>93</v>
      </c>
      <c r="E78" s="120" t="s">
        <v>18</v>
      </c>
      <c r="F78" s="120" t="s">
        <v>36</v>
      </c>
      <c r="G78" s="121"/>
      <c r="H78" s="121"/>
      <c r="I78" s="120"/>
      <c r="J78" s="171" t="str">
        <f t="shared" ref="J78:U78" si="44">IF(ISBLANK(I67),"",IF(ISBLANK(J67),"",LN(J67)-LN(I67)))</f>
        <v/>
      </c>
      <c r="K78" s="171" t="str">
        <f t="shared" si="44"/>
        <v/>
      </c>
      <c r="L78" s="171" t="str">
        <f t="shared" si="44"/>
        <v/>
      </c>
      <c r="M78" s="171" t="str">
        <f t="shared" si="44"/>
        <v/>
      </c>
      <c r="N78" s="171" t="str">
        <f t="shared" si="44"/>
        <v/>
      </c>
      <c r="O78" s="171" t="str">
        <f t="shared" si="44"/>
        <v/>
      </c>
      <c r="P78" s="171">
        <f t="shared" si="44"/>
        <v>3.084981323757674E-3</v>
      </c>
      <c r="Q78" s="171">
        <f t="shared" si="44"/>
        <v>3.1308324160495005E-3</v>
      </c>
      <c r="R78" s="171">
        <f t="shared" si="44"/>
        <v>3.1770939988611246E-3</v>
      </c>
      <c r="S78" s="171">
        <f t="shared" si="44"/>
        <v>3.2237654288138629E-3</v>
      </c>
      <c r="T78" s="171">
        <f t="shared" si="44"/>
        <v>3.2708459420600633E-3</v>
      </c>
      <c r="U78" s="171" t="str">
        <f t="shared" si="44"/>
        <v/>
      </c>
      <c r="V78" s="17"/>
      <c r="W78" s="17"/>
    </row>
    <row r="79" spans="1:24" outlineLevel="1">
      <c r="A79" s="17"/>
      <c r="B79" s="17"/>
      <c r="C79" s="167" t="str">
        <f t="shared" si="43"/>
        <v xml:space="preserve">Ratcheted maximum demand </v>
      </c>
      <c r="D79" s="120" t="s">
        <v>93</v>
      </c>
      <c r="E79" s="120" t="s">
        <v>18</v>
      </c>
      <c r="F79" s="120" t="s">
        <v>36</v>
      </c>
      <c r="G79" s="121"/>
      <c r="H79" s="121"/>
      <c r="I79" s="120"/>
      <c r="J79" s="171" t="str">
        <f t="shared" ref="J79:U79" si="45">IF(ISBLANK(I68),"",IF(ISBLANK(J68),"",LN(J68)-LN(I68)))</f>
        <v/>
      </c>
      <c r="K79" s="171" t="str">
        <f t="shared" si="45"/>
        <v/>
      </c>
      <c r="L79" s="171" t="str">
        <f t="shared" si="45"/>
        <v/>
      </c>
      <c r="M79" s="171" t="str">
        <f t="shared" si="45"/>
        <v/>
      </c>
      <c r="N79" s="171" t="str">
        <f t="shared" si="45"/>
        <v/>
      </c>
      <c r="O79" s="171" t="str">
        <f t="shared" si="45"/>
        <v/>
      </c>
      <c r="P79" s="171">
        <f t="shared" si="45"/>
        <v>0</v>
      </c>
      <c r="Q79" s="171">
        <f t="shared" si="45"/>
        <v>0</v>
      </c>
      <c r="R79" s="171">
        <f t="shared" si="45"/>
        <v>0</v>
      </c>
      <c r="S79" s="171">
        <f t="shared" si="45"/>
        <v>0</v>
      </c>
      <c r="T79" s="171">
        <f t="shared" si="45"/>
        <v>0</v>
      </c>
      <c r="U79" s="171" t="str">
        <f t="shared" si="45"/>
        <v/>
      </c>
      <c r="V79" s="17"/>
      <c r="W79" s="17"/>
    </row>
    <row r="80" spans="1:24" outlineLevel="1">
      <c r="A80" s="17"/>
      <c r="B80" s="17"/>
      <c r="C80" s="167">
        <f t="shared" si="43"/>
        <v>0</v>
      </c>
      <c r="D80" s="120" t="s">
        <v>93</v>
      </c>
      <c r="E80" s="120" t="s">
        <v>18</v>
      </c>
      <c r="F80" s="120" t="s">
        <v>36</v>
      </c>
      <c r="G80" s="121"/>
      <c r="H80" s="121"/>
      <c r="I80" s="120"/>
      <c r="J80" s="171" t="str">
        <f t="shared" ref="J80:U80" si="46">IF(ISBLANK(I69),"",IF(ISBLANK(J69),"",LN(J69)-LN(I69)))</f>
        <v/>
      </c>
      <c r="K80" s="171" t="str">
        <f t="shared" si="46"/>
        <v/>
      </c>
      <c r="L80" s="171" t="str">
        <f t="shared" si="46"/>
        <v/>
      </c>
      <c r="M80" s="171" t="str">
        <f t="shared" si="46"/>
        <v/>
      </c>
      <c r="N80" s="171" t="str">
        <f t="shared" si="46"/>
        <v/>
      </c>
      <c r="O80" s="171" t="str">
        <f t="shared" si="46"/>
        <v/>
      </c>
      <c r="P80" s="171" t="str">
        <f t="shared" si="46"/>
        <v/>
      </c>
      <c r="Q80" s="171" t="str">
        <f t="shared" si="46"/>
        <v/>
      </c>
      <c r="R80" s="171" t="str">
        <f t="shared" si="46"/>
        <v/>
      </c>
      <c r="S80" s="171" t="str">
        <f t="shared" si="46"/>
        <v/>
      </c>
      <c r="T80" s="171" t="str">
        <f t="shared" si="46"/>
        <v/>
      </c>
      <c r="U80" s="171" t="str">
        <f t="shared" si="46"/>
        <v/>
      </c>
      <c r="V80" s="17"/>
      <c r="W80" s="17"/>
    </row>
    <row r="81" spans="1:24" outlineLevel="1">
      <c r="A81" s="17"/>
      <c r="B81" s="17"/>
      <c r="C81" s="167">
        <f t="shared" si="43"/>
        <v>0</v>
      </c>
      <c r="D81" s="120" t="s">
        <v>93</v>
      </c>
      <c r="E81" s="120" t="s">
        <v>18</v>
      </c>
      <c r="F81" s="120" t="s">
        <v>36</v>
      </c>
      <c r="G81" s="121"/>
      <c r="H81" s="121"/>
      <c r="I81" s="120"/>
      <c r="J81" s="171" t="str">
        <f t="shared" ref="J81:T81" si="47">IF(ISBLANK(I70),"",IF(ISBLANK(J70),"",LN(J70)-LN(I70)))</f>
        <v/>
      </c>
      <c r="K81" s="171" t="str">
        <f t="shared" si="47"/>
        <v/>
      </c>
      <c r="L81" s="171" t="str">
        <f t="shared" si="47"/>
        <v/>
      </c>
      <c r="M81" s="171" t="str">
        <f t="shared" si="47"/>
        <v/>
      </c>
      <c r="N81" s="171" t="str">
        <f t="shared" si="47"/>
        <v/>
      </c>
      <c r="O81" s="171" t="str">
        <f t="shared" si="47"/>
        <v/>
      </c>
      <c r="P81" s="171" t="str">
        <f t="shared" si="47"/>
        <v/>
      </c>
      <c r="Q81" s="171" t="str">
        <f t="shared" si="47"/>
        <v/>
      </c>
      <c r="R81" s="171" t="str">
        <f t="shared" si="47"/>
        <v/>
      </c>
      <c r="S81" s="171" t="str">
        <f t="shared" si="47"/>
        <v/>
      </c>
      <c r="T81" s="171" t="str">
        <f t="shared" si="47"/>
        <v/>
      </c>
      <c r="U81" s="171"/>
      <c r="V81" s="17"/>
      <c r="W81" s="17"/>
    </row>
    <row r="82" spans="1:24" outlineLevel="1">
      <c r="A82" s="17"/>
      <c r="B82" s="17"/>
      <c r="C82" s="167">
        <f t="shared" si="43"/>
        <v>0</v>
      </c>
      <c r="D82" s="120" t="s">
        <v>93</v>
      </c>
      <c r="E82" s="120" t="s">
        <v>18</v>
      </c>
      <c r="F82" s="120" t="s">
        <v>36</v>
      </c>
      <c r="G82" s="121"/>
      <c r="H82" s="121"/>
      <c r="I82" s="120"/>
      <c r="J82" s="171" t="str">
        <f t="shared" ref="J82:T82" si="48">IF(ISBLANK(I71),"",IF(ISBLANK(J71),"",LN(J71)-LN(I71)))</f>
        <v/>
      </c>
      <c r="K82" s="171" t="str">
        <f t="shared" si="48"/>
        <v/>
      </c>
      <c r="L82" s="171" t="str">
        <f t="shared" si="48"/>
        <v/>
      </c>
      <c r="M82" s="171" t="str">
        <f t="shared" si="48"/>
        <v/>
      </c>
      <c r="N82" s="171" t="str">
        <f t="shared" si="48"/>
        <v/>
      </c>
      <c r="O82" s="171" t="str">
        <f t="shared" si="48"/>
        <v/>
      </c>
      <c r="P82" s="171" t="str">
        <f t="shared" si="48"/>
        <v/>
      </c>
      <c r="Q82" s="171" t="str">
        <f t="shared" si="48"/>
        <v/>
      </c>
      <c r="R82" s="171" t="str">
        <f t="shared" si="48"/>
        <v/>
      </c>
      <c r="S82" s="171" t="str">
        <f t="shared" si="48"/>
        <v/>
      </c>
      <c r="T82" s="171" t="str">
        <f t="shared" si="48"/>
        <v/>
      </c>
      <c r="U82" s="171"/>
      <c r="V82" s="17"/>
      <c r="W82" s="17"/>
    </row>
    <row r="83" spans="1:24" ht="10.5" outlineLevel="1">
      <c r="A83" s="17"/>
      <c r="B83" s="17"/>
      <c r="C83" s="125"/>
      <c r="D83" s="120"/>
      <c r="E83" s="120"/>
      <c r="F83" s="120"/>
      <c r="G83" s="121"/>
      <c r="H83" s="121"/>
      <c r="I83" s="120"/>
      <c r="J83" s="120"/>
      <c r="K83" s="126"/>
      <c r="L83" s="126"/>
      <c r="M83" s="126"/>
      <c r="N83" s="126"/>
      <c r="O83" s="126"/>
      <c r="P83" s="17"/>
      <c r="Q83" s="17"/>
      <c r="R83" s="17"/>
      <c r="S83" s="17"/>
      <c r="T83" s="17"/>
      <c r="U83" s="17"/>
      <c r="V83" s="17"/>
      <c r="W83" s="17"/>
    </row>
    <row r="84" spans="1:24" ht="10.5" outlineLevel="1">
      <c r="A84" s="17"/>
      <c r="B84" s="17"/>
      <c r="C84" s="122" t="s">
        <v>194</v>
      </c>
      <c r="D84" s="121" t="s">
        <v>7</v>
      </c>
      <c r="E84" s="121" t="s">
        <v>8</v>
      </c>
      <c r="F84" s="121" t="s">
        <v>22</v>
      </c>
      <c r="G84" s="121"/>
      <c r="H84" s="121"/>
      <c r="I84" s="120"/>
      <c r="J84" s="172" t="s">
        <v>187</v>
      </c>
      <c r="K84" s="172" t="s">
        <v>188</v>
      </c>
      <c r="L84" s="172" t="s">
        <v>189</v>
      </c>
      <c r="M84" s="172" t="s">
        <v>190</v>
      </c>
      <c r="N84" s="126"/>
      <c r="O84" s="126"/>
      <c r="P84" s="17"/>
      <c r="Q84" s="17"/>
      <c r="R84" s="17"/>
      <c r="S84" s="17"/>
      <c r="T84" s="17"/>
      <c r="U84" s="17"/>
      <c r="V84" s="17"/>
      <c r="W84" s="17"/>
    </row>
    <row r="85" spans="1:24" ht="10.5" outlineLevel="1">
      <c r="A85" s="17"/>
      <c r="B85" s="17"/>
      <c r="C85" s="125"/>
      <c r="D85" s="120"/>
      <c r="E85" s="120"/>
      <c r="F85" s="120"/>
      <c r="G85" s="121"/>
      <c r="H85" s="121"/>
      <c r="I85" s="120"/>
      <c r="J85" s="120"/>
      <c r="K85" s="126"/>
      <c r="L85" s="126"/>
      <c r="M85" s="126"/>
      <c r="N85" s="126"/>
      <c r="O85" s="126"/>
      <c r="P85" s="17"/>
      <c r="Q85" s="17"/>
      <c r="R85" s="17"/>
      <c r="S85" s="17"/>
      <c r="T85" s="17"/>
      <c r="U85" s="17"/>
      <c r="V85" s="17"/>
      <c r="W85" s="17"/>
    </row>
    <row r="86" spans="1:24" ht="10.5" outlineLevel="1">
      <c r="A86" s="17"/>
      <c r="B86" s="17"/>
      <c r="C86" s="167" t="str">
        <f>C66</f>
        <v>Customer numbers (#)</v>
      </c>
      <c r="D86" s="120" t="s">
        <v>96</v>
      </c>
      <c r="E86" s="120" t="s">
        <v>18</v>
      </c>
      <c r="F86" s="120" t="s">
        <v>36</v>
      </c>
      <c r="G86" s="121"/>
      <c r="H86" s="121"/>
      <c r="I86" s="120"/>
      <c r="J86" s="173">
        <v>0.376</v>
      </c>
      <c r="K86" s="173">
        <v>0.56100000000000005</v>
      </c>
      <c r="L86" s="173">
        <v>0.40300000000000002</v>
      </c>
      <c r="M86" s="173">
        <v>0.39500000000000002</v>
      </c>
      <c r="N86" s="126"/>
      <c r="O86" s="126"/>
      <c r="P86" s="17"/>
      <c r="Q86" s="17"/>
      <c r="R86" s="17"/>
      <c r="S86" s="17"/>
      <c r="T86" s="17"/>
      <c r="U86" s="17"/>
      <c r="V86" s="17"/>
      <c r="W86" s="17"/>
    </row>
    <row r="87" spans="1:24" ht="10.5" outlineLevel="1">
      <c r="A87" s="17"/>
      <c r="B87" s="17"/>
      <c r="C87" s="167" t="str">
        <f t="shared" ref="C87:C91" si="49">C67</f>
        <v>Circuit Length (km)</v>
      </c>
      <c r="D87" s="120" t="s">
        <v>96</v>
      </c>
      <c r="E87" s="120" t="s">
        <v>18</v>
      </c>
      <c r="F87" s="120" t="s">
        <v>36</v>
      </c>
      <c r="G87" s="121"/>
      <c r="H87" s="121"/>
      <c r="I87" s="120"/>
      <c r="J87" s="173">
        <v>0.123</v>
      </c>
      <c r="K87" s="173">
        <v>0.17199999999999999</v>
      </c>
      <c r="L87" s="173">
        <v>0.183</v>
      </c>
      <c r="M87" s="173">
        <v>9.0999999999999998E-2</v>
      </c>
      <c r="N87" s="126"/>
      <c r="O87" s="126"/>
      <c r="P87" s="17"/>
      <c r="Q87" s="17"/>
      <c r="R87" s="17"/>
      <c r="S87" s="17"/>
      <c r="T87" s="17"/>
      <c r="U87" s="17"/>
      <c r="V87" s="17"/>
      <c r="W87" s="17"/>
    </row>
    <row r="88" spans="1:24" ht="10.5" outlineLevel="1">
      <c r="A88" s="17"/>
      <c r="B88" s="17"/>
      <c r="C88" s="167" t="str">
        <f t="shared" si="49"/>
        <v xml:space="preserve">Ratcheted maximum demand </v>
      </c>
      <c r="D88" s="120" t="s">
        <v>96</v>
      </c>
      <c r="E88" s="120" t="s">
        <v>18</v>
      </c>
      <c r="F88" s="120" t="s">
        <v>36</v>
      </c>
      <c r="G88" s="121"/>
      <c r="H88" s="121"/>
      <c r="I88" s="120"/>
      <c r="J88" s="173">
        <v>0.46700000000000003</v>
      </c>
      <c r="K88" s="173">
        <v>0.24</v>
      </c>
      <c r="L88" s="173">
        <v>0.37</v>
      </c>
      <c r="M88" s="173">
        <v>0.42899999999999999</v>
      </c>
      <c r="N88" s="126"/>
      <c r="O88" s="126"/>
      <c r="P88" s="17"/>
      <c r="Q88" s="17"/>
      <c r="R88" s="17"/>
      <c r="S88" s="17"/>
      <c r="T88" s="17"/>
      <c r="U88" s="17"/>
      <c r="V88" s="17"/>
      <c r="W88" s="17"/>
    </row>
    <row r="89" spans="1:24" ht="10.5" outlineLevel="1">
      <c r="A89" s="17"/>
      <c r="B89" s="17"/>
      <c r="C89" s="167">
        <f t="shared" si="49"/>
        <v>0</v>
      </c>
      <c r="D89" s="120" t="s">
        <v>96</v>
      </c>
      <c r="E89" s="120" t="s">
        <v>18</v>
      </c>
      <c r="F89" s="120" t="s">
        <v>36</v>
      </c>
      <c r="G89" s="121"/>
      <c r="H89" s="121"/>
      <c r="I89" s="120"/>
      <c r="J89" s="173"/>
      <c r="K89" s="174"/>
      <c r="L89" s="174"/>
      <c r="M89" s="173"/>
      <c r="N89" s="126"/>
      <c r="O89" s="126"/>
      <c r="P89" s="17"/>
      <c r="Q89" s="17"/>
      <c r="R89" s="17"/>
      <c r="S89" s="17"/>
      <c r="T89" s="17"/>
      <c r="U89" s="17"/>
      <c r="V89" s="17"/>
      <c r="W89" s="17"/>
    </row>
    <row r="90" spans="1:24" ht="10.5" outlineLevel="1">
      <c r="A90" s="17"/>
      <c r="B90" s="17"/>
      <c r="C90" s="167">
        <f t="shared" si="49"/>
        <v>0</v>
      </c>
      <c r="D90" s="120" t="s">
        <v>96</v>
      </c>
      <c r="E90" s="120" t="s">
        <v>18</v>
      </c>
      <c r="F90" s="120" t="s">
        <v>36</v>
      </c>
      <c r="G90" s="121"/>
      <c r="H90" s="121"/>
      <c r="I90" s="120"/>
      <c r="J90" s="174"/>
      <c r="K90" s="174"/>
      <c r="L90" s="174"/>
      <c r="M90" s="174"/>
      <c r="N90" s="126"/>
      <c r="O90" s="126"/>
      <c r="P90" s="17"/>
      <c r="Q90" s="17"/>
      <c r="R90" s="17"/>
      <c r="S90" s="17"/>
      <c r="T90" s="17"/>
      <c r="U90" s="17"/>
      <c r="V90" s="17"/>
      <c r="W90" s="17"/>
    </row>
    <row r="91" spans="1:24" ht="10.5" outlineLevel="1">
      <c r="A91" s="17"/>
      <c r="B91" s="17"/>
      <c r="C91" s="167">
        <f t="shared" si="49"/>
        <v>0</v>
      </c>
      <c r="D91" s="120" t="s">
        <v>96</v>
      </c>
      <c r="E91" s="120" t="s">
        <v>18</v>
      </c>
      <c r="F91" s="120" t="s">
        <v>36</v>
      </c>
      <c r="G91" s="121"/>
      <c r="H91" s="121"/>
      <c r="I91" s="120"/>
      <c r="J91" s="174"/>
      <c r="K91" s="174"/>
      <c r="L91" s="174"/>
      <c r="M91" s="174"/>
      <c r="N91" s="126"/>
      <c r="O91" s="126"/>
      <c r="P91" s="17"/>
      <c r="Q91" s="17"/>
      <c r="R91" s="17"/>
      <c r="S91" s="17"/>
      <c r="T91" s="17"/>
      <c r="U91" s="17"/>
      <c r="V91" s="17"/>
      <c r="W91" s="17"/>
    </row>
    <row r="92" spans="1:24" ht="10.5" outlineLevel="1">
      <c r="A92" s="17"/>
      <c r="B92" s="17"/>
      <c r="C92" s="125"/>
      <c r="D92" s="120"/>
      <c r="E92" s="120"/>
      <c r="F92" s="120"/>
      <c r="G92" s="121"/>
      <c r="H92" s="121"/>
      <c r="I92" s="120"/>
      <c r="J92" s="120"/>
      <c r="K92" s="126"/>
      <c r="L92" s="126"/>
      <c r="M92" s="126"/>
      <c r="N92" s="126"/>
      <c r="O92" s="126"/>
      <c r="P92" s="17"/>
      <c r="Q92" s="17"/>
      <c r="R92" s="17"/>
      <c r="S92" s="17"/>
      <c r="T92" s="17"/>
      <c r="U92" s="17"/>
      <c r="V92" s="17"/>
      <c r="W92" s="17"/>
    </row>
    <row r="93" spans="1:24" ht="10.5" outlineLevel="1">
      <c r="A93" s="17"/>
      <c r="B93" s="17"/>
      <c r="C93" s="17" t="s">
        <v>40</v>
      </c>
      <c r="D93" s="120" t="s">
        <v>93</v>
      </c>
      <c r="E93" s="120" t="s">
        <v>28</v>
      </c>
      <c r="F93" s="120" t="s">
        <v>36</v>
      </c>
      <c r="G93" s="120"/>
      <c r="H93" s="120"/>
      <c r="I93" s="120"/>
      <c r="J93" s="165" t="str">
        <f>IF(AND(ISBLANK(J84),COUNT(J86:J91)=0),"Ok",IF(COUNTA($C66:$C71)=COUNT(J86:J91),"Ok","Check"))</f>
        <v>Ok</v>
      </c>
      <c r="K93" s="165" t="str">
        <f t="shared" ref="K93:M93" si="50">IF(AND(ISBLANK(K84),COUNT(K86:K91)=0),"Ok",IF(COUNTA($C66:$C71)=COUNT(K86:K91),"Ok","Check"))</f>
        <v>Ok</v>
      </c>
      <c r="L93" s="165" t="str">
        <f t="shared" si="50"/>
        <v>Ok</v>
      </c>
      <c r="M93" s="165" t="str">
        <f t="shared" si="50"/>
        <v>Ok</v>
      </c>
      <c r="N93" s="165"/>
      <c r="O93" s="165"/>
      <c r="P93" s="165"/>
      <c r="Q93" s="165"/>
      <c r="R93" s="165"/>
      <c r="S93" s="165"/>
      <c r="T93" s="165"/>
      <c r="U93" s="165"/>
      <c r="V93" s="166"/>
      <c r="W93" s="17"/>
      <c r="X93" s="81" t="str">
        <f>IF(COUNTIF(K93:T93,"Check")=0,"Ok","Check")</f>
        <v>Ok</v>
      </c>
    </row>
    <row r="94" spans="1:24" ht="10.5" outlineLevel="1">
      <c r="A94" s="17"/>
      <c r="B94" s="17"/>
      <c r="C94" s="125"/>
      <c r="D94" s="120"/>
      <c r="E94" s="120"/>
      <c r="F94" s="120"/>
      <c r="G94" s="121"/>
      <c r="H94" s="121"/>
      <c r="I94" s="120"/>
      <c r="J94" s="120"/>
      <c r="K94" s="126"/>
      <c r="L94" s="126"/>
      <c r="M94" s="126"/>
      <c r="N94" s="126"/>
      <c r="O94" s="126"/>
      <c r="P94" s="17"/>
      <c r="Q94" s="17"/>
      <c r="R94" s="17"/>
      <c r="S94" s="17"/>
      <c r="T94" s="17"/>
      <c r="U94" s="17"/>
      <c r="V94" s="17"/>
      <c r="W94" s="17"/>
    </row>
    <row r="95" spans="1:24" ht="10.5" outlineLevel="1">
      <c r="A95" s="17"/>
      <c r="B95" s="17"/>
      <c r="C95" s="122" t="s">
        <v>152</v>
      </c>
      <c r="D95" s="121" t="s">
        <v>7</v>
      </c>
      <c r="E95" s="121" t="s">
        <v>8</v>
      </c>
      <c r="F95" s="121" t="s">
        <v>22</v>
      </c>
      <c r="G95" s="121"/>
      <c r="H95" s="121"/>
      <c r="I95" s="120"/>
      <c r="J95" s="203" t="str">
        <f>J84</f>
        <v>SFA CD</v>
      </c>
      <c r="K95" s="203" t="str">
        <f>K84</f>
        <v>LSE CD</v>
      </c>
      <c r="L95" s="203" t="str">
        <f>L84</f>
        <v>LSE TLG</v>
      </c>
      <c r="M95" s="203" t="str">
        <f>M84</f>
        <v>SFA TLG</v>
      </c>
      <c r="N95" s="138"/>
      <c r="O95" s="138"/>
      <c r="P95" s="138"/>
      <c r="Q95" s="138"/>
      <c r="R95" s="138"/>
      <c r="S95" s="138"/>
      <c r="T95" s="138"/>
      <c r="U95" s="138"/>
      <c r="V95" s="17"/>
      <c r="W95" s="17"/>
    </row>
    <row r="96" spans="1:24" ht="10.5" outlineLevel="1">
      <c r="A96" s="17"/>
      <c r="B96" s="17"/>
      <c r="C96" s="125"/>
      <c r="D96" s="120"/>
      <c r="E96" s="120"/>
      <c r="F96" s="120"/>
      <c r="G96" s="121"/>
      <c r="H96" s="121"/>
      <c r="I96" s="120"/>
      <c r="J96" s="120"/>
      <c r="K96" s="126"/>
      <c r="L96" s="126"/>
      <c r="M96" s="126"/>
      <c r="N96" s="126"/>
      <c r="O96" s="175"/>
      <c r="P96" s="175"/>
      <c r="Q96" s="175"/>
      <c r="R96" s="175"/>
      <c r="S96" s="175"/>
      <c r="T96" s="175"/>
      <c r="U96" s="175"/>
      <c r="V96" s="17"/>
      <c r="W96" s="17"/>
    </row>
    <row r="97" spans="1:34" outlineLevel="1">
      <c r="A97" s="17"/>
      <c r="B97" s="17"/>
      <c r="C97" s="167" t="str">
        <f t="shared" ref="C97:C102" si="51">C66</f>
        <v>Customer numbers (#)</v>
      </c>
      <c r="D97" s="120" t="s">
        <v>93</v>
      </c>
      <c r="E97" s="120" t="str">
        <f t="shared" ref="E97:E102" si="52">percent</f>
        <v>Per cent</v>
      </c>
      <c r="F97" s="120" t="s">
        <v>36</v>
      </c>
      <c r="G97" s="121"/>
      <c r="H97" s="121"/>
      <c r="I97" s="120"/>
      <c r="J97" s="204">
        <f t="shared" ref="J97:M102" si="53">J86/SUM(J$86:J$91)</f>
        <v>0.38923395445134579</v>
      </c>
      <c r="K97" s="204">
        <f t="shared" si="53"/>
        <v>0.57656731757451185</v>
      </c>
      <c r="L97" s="204">
        <f t="shared" si="53"/>
        <v>0.42154811715481172</v>
      </c>
      <c r="M97" s="204">
        <f t="shared" si="53"/>
        <v>0.43169398907103823</v>
      </c>
      <c r="N97" s="176"/>
      <c r="O97" s="176"/>
      <c r="P97" s="176"/>
      <c r="Q97" s="176"/>
      <c r="R97" s="176"/>
      <c r="S97" s="176"/>
      <c r="T97" s="176"/>
      <c r="U97" s="176"/>
      <c r="V97" s="17"/>
      <c r="W97" s="17"/>
    </row>
    <row r="98" spans="1:34" outlineLevel="1">
      <c r="A98" s="17"/>
      <c r="B98" s="17"/>
      <c r="C98" s="167" t="str">
        <f t="shared" si="51"/>
        <v>Circuit Length (km)</v>
      </c>
      <c r="D98" s="120" t="s">
        <v>93</v>
      </c>
      <c r="E98" s="120" t="str">
        <f t="shared" si="52"/>
        <v>Per cent</v>
      </c>
      <c r="F98" s="120" t="s">
        <v>36</v>
      </c>
      <c r="G98" s="121"/>
      <c r="H98" s="121"/>
      <c r="I98" s="120"/>
      <c r="J98" s="204">
        <f t="shared" si="53"/>
        <v>0.12732919254658384</v>
      </c>
      <c r="K98" s="204">
        <f t="shared" si="53"/>
        <v>0.17677286742034939</v>
      </c>
      <c r="L98" s="204">
        <f t="shared" si="53"/>
        <v>0.1914225941422594</v>
      </c>
      <c r="M98" s="204">
        <f t="shared" si="53"/>
        <v>9.94535519125683E-2</v>
      </c>
      <c r="N98" s="176"/>
      <c r="O98" s="176"/>
      <c r="P98" s="176"/>
      <c r="Q98" s="176"/>
      <c r="R98" s="176"/>
      <c r="S98" s="176"/>
      <c r="T98" s="176"/>
      <c r="U98" s="176"/>
      <c r="V98" s="17"/>
      <c r="W98" s="17"/>
    </row>
    <row r="99" spans="1:34" outlineLevel="1">
      <c r="A99" s="17"/>
      <c r="B99" s="17"/>
      <c r="C99" s="167" t="str">
        <f t="shared" si="51"/>
        <v xml:space="preserve">Ratcheted maximum demand </v>
      </c>
      <c r="D99" s="120" t="s">
        <v>93</v>
      </c>
      <c r="E99" s="120" t="str">
        <f t="shared" si="52"/>
        <v>Per cent</v>
      </c>
      <c r="F99" s="120" t="s">
        <v>36</v>
      </c>
      <c r="G99" s="121"/>
      <c r="H99" s="121"/>
      <c r="I99" s="120"/>
      <c r="J99" s="204">
        <f t="shared" si="53"/>
        <v>0.48343685300207045</v>
      </c>
      <c r="K99" s="204">
        <f t="shared" si="53"/>
        <v>0.24665981500513873</v>
      </c>
      <c r="L99" s="204">
        <f t="shared" si="53"/>
        <v>0.38702928870292885</v>
      </c>
      <c r="M99" s="204">
        <f t="shared" si="53"/>
        <v>0.46885245901639344</v>
      </c>
      <c r="N99" s="176"/>
      <c r="O99" s="176"/>
      <c r="P99" s="176"/>
      <c r="Q99" s="176"/>
      <c r="R99" s="176"/>
      <c r="S99" s="176"/>
      <c r="T99" s="176"/>
      <c r="U99" s="176"/>
      <c r="V99" s="17"/>
      <c r="W99" s="17"/>
    </row>
    <row r="100" spans="1:34" outlineLevel="1">
      <c r="A100" s="17"/>
      <c r="B100" s="17"/>
      <c r="C100" s="167">
        <f t="shared" si="51"/>
        <v>0</v>
      </c>
      <c r="D100" s="120" t="s">
        <v>93</v>
      </c>
      <c r="E100" s="120" t="str">
        <f t="shared" si="52"/>
        <v>Per cent</v>
      </c>
      <c r="F100" s="120" t="s">
        <v>36</v>
      </c>
      <c r="G100" s="121"/>
      <c r="H100" s="121"/>
      <c r="I100" s="120"/>
      <c r="J100" s="204">
        <f t="shared" si="53"/>
        <v>0</v>
      </c>
      <c r="K100" s="204">
        <f t="shared" si="53"/>
        <v>0</v>
      </c>
      <c r="L100" s="204">
        <f t="shared" si="53"/>
        <v>0</v>
      </c>
      <c r="M100" s="204">
        <f t="shared" si="53"/>
        <v>0</v>
      </c>
      <c r="N100" s="176"/>
      <c r="O100" s="176"/>
      <c r="P100" s="176"/>
      <c r="Q100" s="176"/>
      <c r="R100" s="176"/>
      <c r="S100" s="176"/>
      <c r="T100" s="176"/>
      <c r="U100" s="176"/>
      <c r="V100" s="17"/>
      <c r="W100" s="17"/>
    </row>
    <row r="101" spans="1:34" outlineLevel="1">
      <c r="A101" s="17"/>
      <c r="B101" s="17"/>
      <c r="C101" s="167">
        <f t="shared" si="51"/>
        <v>0</v>
      </c>
      <c r="D101" s="120" t="s">
        <v>93</v>
      </c>
      <c r="E101" s="120" t="str">
        <f t="shared" si="52"/>
        <v>Per cent</v>
      </c>
      <c r="F101" s="120" t="s">
        <v>36</v>
      </c>
      <c r="G101" s="121"/>
      <c r="H101" s="121"/>
      <c r="I101" s="120"/>
      <c r="J101" s="204">
        <f t="shared" si="53"/>
        <v>0</v>
      </c>
      <c r="K101" s="204">
        <f t="shared" si="53"/>
        <v>0</v>
      </c>
      <c r="L101" s="204">
        <f t="shared" si="53"/>
        <v>0</v>
      </c>
      <c r="M101" s="204">
        <f t="shared" si="53"/>
        <v>0</v>
      </c>
      <c r="N101" s="176"/>
      <c r="O101" s="176"/>
      <c r="P101" s="176"/>
      <c r="Q101" s="176"/>
      <c r="R101" s="176"/>
      <c r="S101" s="176"/>
      <c r="T101" s="176"/>
      <c r="U101" s="176"/>
      <c r="V101" s="17"/>
      <c r="W101" s="17"/>
    </row>
    <row r="102" spans="1:34" outlineLevel="1">
      <c r="A102" s="17"/>
      <c r="B102" s="17"/>
      <c r="C102" s="167">
        <f t="shared" si="51"/>
        <v>0</v>
      </c>
      <c r="D102" s="120" t="s">
        <v>93</v>
      </c>
      <c r="E102" s="120" t="str">
        <f t="shared" si="52"/>
        <v>Per cent</v>
      </c>
      <c r="F102" s="120" t="s">
        <v>36</v>
      </c>
      <c r="G102" s="121"/>
      <c r="H102" s="121"/>
      <c r="I102" s="120"/>
      <c r="J102" s="204">
        <f t="shared" si="53"/>
        <v>0</v>
      </c>
      <c r="K102" s="204">
        <f t="shared" si="53"/>
        <v>0</v>
      </c>
      <c r="L102" s="204">
        <f t="shared" si="53"/>
        <v>0</v>
      </c>
      <c r="M102" s="204">
        <f t="shared" si="53"/>
        <v>0</v>
      </c>
      <c r="N102" s="176"/>
      <c r="O102" s="176"/>
      <c r="P102" s="176"/>
      <c r="Q102" s="176"/>
      <c r="R102" s="176"/>
      <c r="S102" s="176"/>
      <c r="T102" s="176"/>
      <c r="U102" s="176"/>
      <c r="V102" s="17"/>
      <c r="W102" s="17"/>
    </row>
    <row r="103" spans="1:34" ht="10.5" outlineLevel="1">
      <c r="A103" s="17"/>
      <c r="B103" s="17"/>
      <c r="C103" s="17"/>
      <c r="D103" s="120"/>
      <c r="E103" s="120"/>
      <c r="F103" s="120"/>
      <c r="G103" s="121"/>
      <c r="H103" s="121"/>
      <c r="I103" s="120"/>
      <c r="J103" s="17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34" ht="10.5" outlineLevel="1">
      <c r="A104" s="17"/>
      <c r="B104" s="17"/>
      <c r="C104" s="122" t="s">
        <v>153</v>
      </c>
      <c r="D104" s="121" t="s">
        <v>7</v>
      </c>
      <c r="E104" s="121" t="s">
        <v>8</v>
      </c>
      <c r="F104" s="121" t="s">
        <v>22</v>
      </c>
      <c r="G104" s="120"/>
      <c r="H104" s="120"/>
      <c r="I104" s="120"/>
      <c r="J104" s="138" t="str">
        <f t="shared" ref="J104:U104" si="54">IF(YEAR(J$4)&gt;=FPFirstYear,IF(YEAR(J$4)&lt;=FPLastYear,J$4,""),"")</f>
        <v/>
      </c>
      <c r="K104" s="138" t="str">
        <f t="shared" si="54"/>
        <v/>
      </c>
      <c r="L104" s="138" t="str">
        <f t="shared" si="54"/>
        <v/>
      </c>
      <c r="M104" s="138" t="str">
        <f t="shared" si="54"/>
        <v/>
      </c>
      <c r="N104" s="138" t="str">
        <f t="shared" si="54"/>
        <v/>
      </c>
      <c r="O104" s="138" t="str">
        <f t="shared" si="54"/>
        <v/>
      </c>
      <c r="P104" s="138">
        <f t="shared" si="54"/>
        <v>46174</v>
      </c>
      <c r="Q104" s="138">
        <f t="shared" si="54"/>
        <v>46539</v>
      </c>
      <c r="R104" s="138">
        <f t="shared" si="54"/>
        <v>46905</v>
      </c>
      <c r="S104" s="138">
        <f t="shared" si="54"/>
        <v>47270</v>
      </c>
      <c r="T104" s="138">
        <f t="shared" si="54"/>
        <v>47635</v>
      </c>
      <c r="U104" s="138" t="str">
        <f t="shared" si="54"/>
        <v/>
      </c>
      <c r="V104" s="166"/>
      <c r="W104" s="17"/>
      <c r="X104" s="82"/>
    </row>
    <row r="105" spans="1:34" ht="10.5" outlineLevel="1">
      <c r="A105" s="17"/>
      <c r="B105" s="17"/>
      <c r="C105" s="17"/>
      <c r="D105" s="120"/>
      <c r="E105" s="120"/>
      <c r="F105" s="120"/>
      <c r="G105" s="120"/>
      <c r="H105" s="120"/>
      <c r="I105" s="120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6"/>
      <c r="W105" s="17"/>
      <c r="X105" s="82"/>
    </row>
    <row r="106" spans="1:34" ht="10.5" outlineLevel="1">
      <c r="A106" s="17"/>
      <c r="B106" s="17"/>
      <c r="C106" s="167" t="str">
        <f t="array" ref="C106:C109">TRANSPOSE(J95:M95)</f>
        <v>SFA CD</v>
      </c>
      <c r="D106" s="120" t="s">
        <v>93</v>
      </c>
      <c r="E106" s="120" t="s">
        <v>18</v>
      </c>
      <c r="F106" s="120" t="s">
        <v>36</v>
      </c>
      <c r="G106" s="120"/>
      <c r="H106" s="120"/>
      <c r="I106" s="120"/>
      <c r="J106" s="171" t="str">
        <f t="shared" ref="J106:U106" si="55">IF(J$104=J$4,SUMPRODUCT(J$77:J$82,$J$97:$J$102),"")</f>
        <v/>
      </c>
      <c r="K106" s="171" t="str">
        <f t="shared" si="55"/>
        <v/>
      </c>
      <c r="L106" s="171" t="str">
        <f t="shared" si="55"/>
        <v/>
      </c>
      <c r="M106" s="171" t="str">
        <f t="shared" si="55"/>
        <v/>
      </c>
      <c r="N106" s="171" t="str">
        <f t="shared" si="55"/>
        <v/>
      </c>
      <c r="O106" s="171" t="str">
        <f t="shared" si="55"/>
        <v/>
      </c>
      <c r="P106" s="171">
        <f t="shared" si="55"/>
        <v>4.2096016753344744E-3</v>
      </c>
      <c r="Q106" s="171">
        <f t="shared" si="55"/>
        <v>4.2159632264503E-3</v>
      </c>
      <c r="R106" s="171">
        <f t="shared" si="55"/>
        <v>4.2223755705220857E-3</v>
      </c>
      <c r="S106" s="171">
        <f t="shared" si="55"/>
        <v>4.2288386283883929E-3</v>
      </c>
      <c r="T106" s="171">
        <f t="shared" si="55"/>
        <v>4.2353523055513346E-3</v>
      </c>
      <c r="U106" s="171" t="str">
        <f t="shared" si="55"/>
        <v/>
      </c>
      <c r="V106" s="166"/>
      <c r="W106" s="17"/>
      <c r="X106" s="82"/>
    </row>
    <row r="107" spans="1:34" ht="10.5" outlineLevel="1">
      <c r="A107" s="17"/>
      <c r="B107" s="17"/>
      <c r="C107" s="167" t="str">
        <v>LSE CD</v>
      </c>
      <c r="D107" s="120" t="s">
        <v>93</v>
      </c>
      <c r="E107" s="120" t="s">
        <v>18</v>
      </c>
      <c r="F107" s="120" t="s">
        <v>36</v>
      </c>
      <c r="G107" s="120"/>
      <c r="H107" s="120"/>
      <c r="I107" s="120"/>
      <c r="J107" s="171" t="str">
        <f t="shared" ref="J107:U107" si="56">IF(J$104=J$4,SUMPRODUCT(J$77:J$82,$K$97:$K$102),"")</f>
        <v/>
      </c>
      <c r="K107" s="171" t="str">
        <f t="shared" si="56"/>
        <v/>
      </c>
      <c r="L107" s="171" t="str">
        <f t="shared" si="56"/>
        <v/>
      </c>
      <c r="M107" s="171" t="str">
        <f t="shared" si="56"/>
        <v/>
      </c>
      <c r="N107" s="171" t="str">
        <f t="shared" si="56"/>
        <v/>
      </c>
      <c r="O107" s="171" t="str">
        <f t="shared" si="56"/>
        <v/>
      </c>
      <c r="P107" s="171">
        <f t="shared" si="56"/>
        <v>6.1991087648261452E-3</v>
      </c>
      <c r="Q107" s="171">
        <f t="shared" si="56"/>
        <v>6.2079892530870606E-3</v>
      </c>
      <c r="R107" s="171">
        <f t="shared" si="56"/>
        <v>6.2169401208198053E-3</v>
      </c>
      <c r="S107" s="171">
        <f t="shared" si="56"/>
        <v>6.2259612583800252E-3</v>
      </c>
      <c r="T107" s="171">
        <f t="shared" si="56"/>
        <v>6.2350525348318156E-3</v>
      </c>
      <c r="U107" s="171" t="str">
        <f t="shared" si="56"/>
        <v/>
      </c>
      <c r="V107" s="166"/>
      <c r="W107" s="17"/>
      <c r="X107" s="82"/>
    </row>
    <row r="108" spans="1:34" ht="10.5" outlineLevel="1">
      <c r="A108" s="17"/>
      <c r="B108" s="17"/>
      <c r="C108" s="167" t="str">
        <v>LSE TLG</v>
      </c>
      <c r="D108" s="120" t="s">
        <v>93</v>
      </c>
      <c r="E108" s="120" t="s">
        <v>18</v>
      </c>
      <c r="F108" s="120" t="s">
        <v>36</v>
      </c>
      <c r="G108" s="120"/>
      <c r="H108" s="120"/>
      <c r="I108" s="120"/>
      <c r="J108" s="171" t="str">
        <f t="shared" ref="J108:U108" si="57">IF(J$104=J$4,SUMPRODUCT(J$77:J$82,$L$97:$L$102),"")</f>
        <v/>
      </c>
      <c r="K108" s="171" t="str">
        <f t="shared" si="57"/>
        <v/>
      </c>
      <c r="L108" s="171" t="str">
        <f t="shared" si="57"/>
        <v/>
      </c>
      <c r="M108" s="171" t="str">
        <f t="shared" si="57"/>
        <v/>
      </c>
      <c r="N108" s="171" t="str">
        <f t="shared" si="57"/>
        <v/>
      </c>
      <c r="O108" s="171" t="str">
        <f t="shared" si="57"/>
        <v/>
      </c>
      <c r="P108" s="171">
        <f t="shared" si="57"/>
        <v>4.7241984239855053E-3</v>
      </c>
      <c r="Q108" s="171">
        <f t="shared" si="57"/>
        <v>4.7335421775767418E-3</v>
      </c>
      <c r="R108" s="171">
        <f t="shared" si="57"/>
        <v>4.7429629114472873E-3</v>
      </c>
      <c r="S108" s="171">
        <f t="shared" si="57"/>
        <v>4.7524605054284647E-3</v>
      </c>
      <c r="T108" s="171">
        <f t="shared" si="57"/>
        <v>4.762034816294114E-3</v>
      </c>
      <c r="U108" s="171" t="str">
        <f t="shared" si="57"/>
        <v/>
      </c>
      <c r="V108" s="166"/>
      <c r="W108" s="17"/>
      <c r="X108" s="82"/>
    </row>
    <row r="109" spans="1:34" ht="10.5" outlineLevel="1">
      <c r="A109" s="17"/>
      <c r="B109" s="17"/>
      <c r="C109" s="167" t="str">
        <v>SFA TLG</v>
      </c>
      <c r="D109" s="120" t="s">
        <v>93</v>
      </c>
      <c r="E109" s="120" t="s">
        <v>18</v>
      </c>
      <c r="F109" s="120" t="s">
        <v>36</v>
      </c>
      <c r="G109" s="120"/>
      <c r="H109" s="120"/>
      <c r="I109" s="120"/>
      <c r="J109" s="171" t="str">
        <f t="shared" ref="J109:U109" si="58">IF(J$104=J$4,SUMPRODUCT(J$77:J$82,$M$97:$M$102),"")</f>
        <v/>
      </c>
      <c r="K109" s="171" t="str">
        <f t="shared" si="58"/>
        <v/>
      </c>
      <c r="L109" s="171" t="str">
        <f t="shared" si="58"/>
        <v/>
      </c>
      <c r="M109" s="171" t="str">
        <f t="shared" si="58"/>
        <v/>
      </c>
      <c r="N109" s="171" t="str">
        <f t="shared" si="58"/>
        <v/>
      </c>
      <c r="O109" s="171" t="str">
        <f t="shared" si="58"/>
        <v/>
      </c>
      <c r="P109" s="171">
        <f t="shared" si="58"/>
        <v>4.5399651628191514E-3</v>
      </c>
      <c r="Q109" s="171">
        <f t="shared" si="58"/>
        <v>4.5451056776259309E-3</v>
      </c>
      <c r="R109" s="171">
        <f t="shared" si="58"/>
        <v>4.5502853818581452E-3</v>
      </c>
      <c r="S109" s="171">
        <f t="shared" si="58"/>
        <v>4.5555042145899683E-3</v>
      </c>
      <c r="T109" s="171">
        <f t="shared" si="58"/>
        <v>4.5607621029175715E-3</v>
      </c>
      <c r="U109" s="171" t="str">
        <f t="shared" si="58"/>
        <v/>
      </c>
      <c r="V109" s="166"/>
      <c r="W109" s="17"/>
      <c r="X109" s="82"/>
    </row>
    <row r="110" spans="1:34" ht="10.5" outlineLevel="1">
      <c r="A110" s="17"/>
      <c r="B110" s="17"/>
      <c r="C110" s="125"/>
      <c r="D110" s="120"/>
      <c r="E110" s="120"/>
      <c r="F110" s="120"/>
      <c r="G110" s="121"/>
      <c r="H110" s="121"/>
      <c r="I110" s="120"/>
      <c r="J110" s="120"/>
      <c r="K110" s="126"/>
      <c r="L110" s="126"/>
      <c r="M110" s="126"/>
      <c r="N110" s="126"/>
      <c r="O110" s="126"/>
      <c r="P110" s="17"/>
      <c r="Q110" s="17"/>
      <c r="R110" s="17"/>
      <c r="S110" s="17"/>
      <c r="T110" s="17"/>
      <c r="U110" s="17"/>
      <c r="V110" s="17"/>
      <c r="W110" s="17"/>
    </row>
    <row r="111" spans="1:34" customFormat="1" ht="13">
      <c r="A111" s="32"/>
      <c r="B111" s="38" t="s">
        <v>73</v>
      </c>
      <c r="C111" s="32"/>
      <c r="D111" s="32"/>
      <c r="E111" s="32"/>
      <c r="F111" s="118"/>
      <c r="G111" s="118"/>
      <c r="H111" s="118"/>
      <c r="I111" s="118"/>
      <c r="J111" s="118"/>
      <c r="K111" s="34"/>
      <c r="L111" s="119"/>
      <c r="M111" s="34"/>
      <c r="N111" s="119"/>
      <c r="O111" s="34"/>
      <c r="P111" s="34"/>
      <c r="Q111" s="34"/>
      <c r="R111" s="34"/>
      <c r="S111" s="34"/>
      <c r="T111" s="34"/>
      <c r="U111" s="34"/>
      <c r="V111" s="34"/>
      <c r="W111" s="34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7"/>
      <c r="B112" s="17"/>
      <c r="C112" s="17"/>
      <c r="D112" s="120"/>
      <c r="E112" s="120"/>
      <c r="F112" s="120"/>
      <c r="G112" s="121"/>
      <c r="H112" s="121"/>
      <c r="I112" s="120"/>
      <c r="J112" s="120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34" ht="10.5" outlineLevel="1">
      <c r="A113" s="17"/>
      <c r="B113" s="17"/>
      <c r="C113" s="122" t="s">
        <v>47</v>
      </c>
      <c r="D113" s="121" t="s">
        <v>7</v>
      </c>
      <c r="E113" s="121" t="s">
        <v>8</v>
      </c>
      <c r="F113" s="121" t="s">
        <v>22</v>
      </c>
      <c r="G113" s="121"/>
      <c r="H113" s="121"/>
      <c r="I113" s="120"/>
      <c r="J113" s="138" t="str">
        <f t="shared" ref="J113:U113" si="59">IF(YEAR(J$4)&gt;=FPFirstYear,IF(YEAR(J$4)&lt;=FPLastYear,J$4,""),"")</f>
        <v/>
      </c>
      <c r="K113" s="138" t="str">
        <f t="shared" si="59"/>
        <v/>
      </c>
      <c r="L113" s="138" t="str">
        <f t="shared" si="59"/>
        <v/>
      </c>
      <c r="M113" s="138" t="str">
        <f t="shared" si="59"/>
        <v/>
      </c>
      <c r="N113" s="138" t="str">
        <f t="shared" si="59"/>
        <v/>
      </c>
      <c r="O113" s="138" t="str">
        <f t="shared" si="59"/>
        <v/>
      </c>
      <c r="P113" s="138">
        <f t="shared" si="59"/>
        <v>46174</v>
      </c>
      <c r="Q113" s="138">
        <f t="shared" si="59"/>
        <v>46539</v>
      </c>
      <c r="R113" s="138">
        <f t="shared" si="59"/>
        <v>46905</v>
      </c>
      <c r="S113" s="138">
        <f t="shared" si="59"/>
        <v>47270</v>
      </c>
      <c r="T113" s="138">
        <f t="shared" si="59"/>
        <v>47635</v>
      </c>
      <c r="U113" s="138" t="str">
        <f t="shared" si="59"/>
        <v/>
      </c>
      <c r="V113" s="17"/>
      <c r="W113" s="17"/>
    </row>
    <row r="114" spans="1:34" ht="10.5" outlineLevel="1">
      <c r="A114" s="17"/>
      <c r="B114" s="17"/>
      <c r="C114" s="125"/>
      <c r="D114" s="120"/>
      <c r="E114" s="120"/>
      <c r="F114" s="120"/>
      <c r="G114" s="121"/>
      <c r="H114" s="121"/>
      <c r="I114" s="120"/>
      <c r="J114" s="120"/>
      <c r="K114" s="126"/>
      <c r="L114" s="126"/>
      <c r="M114" s="126"/>
      <c r="N114" s="126"/>
      <c r="O114" s="126"/>
      <c r="P114" s="17"/>
      <c r="Q114" s="17"/>
      <c r="R114" s="17"/>
      <c r="S114" s="17"/>
      <c r="T114" s="17"/>
      <c r="U114" s="17"/>
      <c r="V114" s="17"/>
      <c r="W114" s="17"/>
    </row>
    <row r="115" spans="1:34" ht="10.5" outlineLevel="1">
      <c r="A115" s="17"/>
      <c r="B115" s="17"/>
      <c r="C115" s="125" t="s">
        <v>47</v>
      </c>
      <c r="D115" s="120" t="s">
        <v>96</v>
      </c>
      <c r="E115" s="120" t="str">
        <f>percent</f>
        <v>Per cent</v>
      </c>
      <c r="F115" s="120" t="s">
        <v>36</v>
      </c>
      <c r="G115" s="121"/>
      <c r="H115" s="121"/>
      <c r="I115" s="120"/>
      <c r="J115" s="157"/>
      <c r="K115" s="178"/>
      <c r="L115" s="178"/>
      <c r="M115" s="178"/>
      <c r="N115" s="178"/>
      <c r="O115" s="168"/>
      <c r="P115" s="168">
        <v>5.0000000000000001E-3</v>
      </c>
      <c r="Q115" s="168">
        <f>$P$115</f>
        <v>5.0000000000000001E-3</v>
      </c>
      <c r="R115" s="168">
        <f t="shared" ref="R115:T115" si="60">$P$115</f>
        <v>5.0000000000000001E-3</v>
      </c>
      <c r="S115" s="168">
        <f t="shared" si="60"/>
        <v>5.0000000000000001E-3</v>
      </c>
      <c r="T115" s="168">
        <f t="shared" si="60"/>
        <v>5.0000000000000001E-3</v>
      </c>
      <c r="U115" s="168"/>
      <c r="V115" s="17"/>
      <c r="W115" s="17"/>
    </row>
    <row r="116" spans="1:34" ht="10.5" outlineLevel="1">
      <c r="A116" s="17"/>
      <c r="B116" s="17"/>
      <c r="C116" s="125"/>
      <c r="D116" s="120"/>
      <c r="E116" s="120"/>
      <c r="F116" s="120"/>
      <c r="G116" s="121"/>
      <c r="H116" s="121"/>
      <c r="I116" s="120"/>
      <c r="J116" s="120"/>
      <c r="K116" s="126"/>
      <c r="L116" s="126"/>
      <c r="M116" s="126"/>
      <c r="N116" s="126"/>
      <c r="O116" s="126"/>
      <c r="P116" s="179"/>
      <c r="Q116" s="179"/>
      <c r="R116" s="179"/>
      <c r="S116" s="179"/>
      <c r="T116" s="179"/>
      <c r="U116" s="179"/>
      <c r="V116" s="17"/>
      <c r="W116" s="17"/>
    </row>
    <row r="117" spans="1:34" ht="10.5" outlineLevel="1">
      <c r="A117" s="17"/>
      <c r="B117" s="17"/>
      <c r="C117" s="17" t="s">
        <v>40</v>
      </c>
      <c r="D117" s="120" t="s">
        <v>93</v>
      </c>
      <c r="E117" s="120" t="s">
        <v>28</v>
      </c>
      <c r="F117" s="120" t="s">
        <v>36</v>
      </c>
      <c r="G117" s="120"/>
      <c r="H117" s="120"/>
      <c r="I117" s="120"/>
      <c r="J117" s="165" t="str">
        <f t="shared" ref="J117:S117" si="61">IF(J113=J$4,IF(ISBLANK(J115),"Check","Ok"),"")</f>
        <v/>
      </c>
      <c r="K117" s="165" t="str">
        <f t="shared" si="61"/>
        <v/>
      </c>
      <c r="L117" s="165" t="str">
        <f t="shared" si="61"/>
        <v/>
      </c>
      <c r="M117" s="165" t="str">
        <f t="shared" si="61"/>
        <v/>
      </c>
      <c r="N117" s="165" t="str">
        <f t="shared" si="61"/>
        <v/>
      </c>
      <c r="O117" s="165" t="str">
        <f t="shared" si="61"/>
        <v/>
      </c>
      <c r="P117" s="165" t="str">
        <f t="shared" si="61"/>
        <v>Ok</v>
      </c>
      <c r="Q117" s="165" t="str">
        <f t="shared" si="61"/>
        <v>Ok</v>
      </c>
      <c r="R117" s="165" t="str">
        <f t="shared" si="61"/>
        <v>Ok</v>
      </c>
      <c r="S117" s="165" t="str">
        <f t="shared" si="61"/>
        <v>Ok</v>
      </c>
      <c r="T117" s="165" t="str">
        <f>IF(T113=T$4,IF(ISBLANK(T115),"Check","Ok"),"")</f>
        <v>Ok</v>
      </c>
      <c r="U117" s="165" t="str">
        <f>IF(U113=U$4,IF(ISBLANK(U115),"Check","Ok"),"")</f>
        <v/>
      </c>
      <c r="V117" s="166"/>
      <c r="W117" s="17"/>
      <c r="X117" s="81" t="str">
        <f>IF(COUNTIF(J117:T117,"Check")=0,"Ok","Check")</f>
        <v>Ok</v>
      </c>
    </row>
    <row r="118" spans="1:34" ht="10.5" outlineLevel="1">
      <c r="A118" s="17"/>
      <c r="B118" s="17"/>
      <c r="C118" s="125"/>
      <c r="D118" s="120"/>
      <c r="E118" s="120"/>
      <c r="F118" s="120"/>
      <c r="G118" s="121"/>
      <c r="H118" s="121"/>
      <c r="I118" s="120"/>
      <c r="J118" s="120"/>
      <c r="K118" s="126"/>
      <c r="L118" s="126"/>
      <c r="M118" s="126"/>
      <c r="N118" s="126"/>
      <c r="O118" s="126"/>
      <c r="P118" s="17"/>
      <c r="Q118" s="17"/>
      <c r="R118" s="17"/>
      <c r="S118" s="17"/>
      <c r="T118" s="17"/>
      <c r="U118" s="17"/>
      <c r="V118" s="17"/>
      <c r="W118" s="17"/>
    </row>
    <row r="119" spans="1:34" customFormat="1" ht="13">
      <c r="A119" s="32"/>
      <c r="B119" s="38" t="s">
        <v>21</v>
      </c>
      <c r="C119" s="32"/>
      <c r="D119" s="32"/>
      <c r="E119" s="32"/>
      <c r="F119" s="118"/>
      <c r="G119" s="118"/>
      <c r="H119" s="118"/>
      <c r="I119" s="118"/>
      <c r="J119" s="118"/>
      <c r="K119" s="34"/>
      <c r="L119" s="119"/>
      <c r="M119" s="34"/>
      <c r="N119" s="119"/>
      <c r="O119" s="34"/>
      <c r="P119" s="34"/>
      <c r="Q119" s="34"/>
      <c r="R119" s="34"/>
      <c r="S119" s="34"/>
      <c r="T119" s="34"/>
      <c r="U119" s="34"/>
      <c r="V119" s="34"/>
      <c r="W119" s="34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conditionalFormatting sqref="J38:O38 T38 J39:T40 J41:U45">
    <cfRule type="expression" dxfId="117" priority="54">
      <formula>J$36=J$4</formula>
    </cfRule>
  </conditionalFormatting>
  <conditionalFormatting sqref="J16:U22">
    <cfRule type="cellIs" dxfId="116" priority="21" operator="equal">
      <formula>0</formula>
    </cfRule>
  </conditionalFormatting>
  <conditionalFormatting sqref="J26:U32">
    <cfRule type="cellIs" dxfId="115" priority="22" operator="equal">
      <formula>0</formula>
    </cfRule>
  </conditionalFormatting>
  <conditionalFormatting sqref="J36:U36">
    <cfRule type="expression" dxfId="114" priority="56">
      <formula>J$36=J$4</formula>
    </cfRule>
  </conditionalFormatting>
  <conditionalFormatting sqref="J47:U47">
    <cfRule type="cellIs" dxfId="113" priority="42" operator="equal">
      <formula>"Ok"</formula>
    </cfRule>
    <cfRule type="cellIs" dxfId="112" priority="41" operator="equal">
      <formula>"Check"</formula>
    </cfRule>
  </conditionalFormatting>
  <conditionalFormatting sqref="J49:U49">
    <cfRule type="expression" dxfId="111" priority="26">
      <formula>J$36=J$4</formula>
    </cfRule>
  </conditionalFormatting>
  <conditionalFormatting sqref="J51:U58">
    <cfRule type="expression" dxfId="110" priority="7">
      <formula>J$49=J$4</formula>
    </cfRule>
  </conditionalFormatting>
  <conditionalFormatting sqref="J60:U60">
    <cfRule type="cellIs" dxfId="109" priority="66" operator="equal">
      <formula>"Ok"</formula>
    </cfRule>
    <cfRule type="cellIs" dxfId="108" priority="65" operator="equal">
      <formula>"Check"</formula>
    </cfRule>
  </conditionalFormatting>
  <conditionalFormatting sqref="J64:U64">
    <cfRule type="expression" dxfId="107" priority="31">
      <formula>J$64=J$4</formula>
    </cfRule>
  </conditionalFormatting>
  <conditionalFormatting sqref="J66:U71">
    <cfRule type="expression" dxfId="106" priority="29">
      <formula>J$64=J$4</formula>
    </cfRule>
  </conditionalFormatting>
  <conditionalFormatting sqref="J73:U73">
    <cfRule type="cellIs" dxfId="105" priority="37" operator="equal">
      <formula>"Check"</formula>
    </cfRule>
    <cfRule type="cellIs" dxfId="104" priority="38" operator="equal">
      <formula>"Ok"</formula>
    </cfRule>
  </conditionalFormatting>
  <conditionalFormatting sqref="J75:U75">
    <cfRule type="expression" dxfId="103" priority="25">
      <formula>J$36=J$4</formula>
    </cfRule>
  </conditionalFormatting>
  <conditionalFormatting sqref="J93:U93">
    <cfRule type="cellIs" dxfId="102" priority="2" operator="equal">
      <formula>"Ok"</formula>
    </cfRule>
    <cfRule type="cellIs" dxfId="101" priority="1" operator="equal">
      <formula>"Check"</formula>
    </cfRule>
  </conditionalFormatting>
  <conditionalFormatting sqref="J104:U104">
    <cfRule type="expression" dxfId="100" priority="176">
      <formula>J$104=J$4</formula>
    </cfRule>
  </conditionalFormatting>
  <conditionalFormatting sqref="J105:U105">
    <cfRule type="cellIs" dxfId="99" priority="14" operator="equal">
      <formula>"Check"</formula>
    </cfRule>
    <cfRule type="cellIs" dxfId="98" priority="15" operator="equal">
      <formula>"Ok"</formula>
    </cfRule>
  </conditionalFormatting>
  <conditionalFormatting sqref="J113:U113">
    <cfRule type="expression" dxfId="97" priority="24">
      <formula>J$36=J$4</formula>
    </cfRule>
  </conditionalFormatting>
  <conditionalFormatting sqref="J115:U115">
    <cfRule type="expression" dxfId="96" priority="177">
      <formula>J$113=J$4</formula>
    </cfRule>
  </conditionalFormatting>
  <conditionalFormatting sqref="J117:U117">
    <cfRule type="cellIs" dxfId="95" priority="45" operator="equal">
      <formula>"Check"</formula>
    </cfRule>
    <cfRule type="cellIs" dxfId="94" priority="46" operator="equal">
      <formula>"Ok"</formula>
    </cfRule>
  </conditionalFormatting>
  <conditionalFormatting sqref="K89:M91">
    <cfRule type="expression" dxfId="93" priority="173">
      <formula>K$95=K$4</formula>
    </cfRule>
  </conditionalFormatting>
  <conditionalFormatting sqref="P38:T45">
    <cfRule type="expression" dxfId="92" priority="9">
      <formula>P$36=P$4</formula>
    </cfRule>
  </conditionalFormatting>
  <conditionalFormatting sqref="T1:U1">
    <cfRule type="cellIs" dxfId="91" priority="85" operator="equal">
      <formula>"Check"</formula>
    </cfRule>
    <cfRule type="cellIs" dxfId="90" priority="86" operator="equal">
      <formula>"Ok"</formula>
    </cfRule>
  </conditionalFormatting>
  <conditionalFormatting sqref="X1 X104:X109">
    <cfRule type="cellIs" dxfId="89" priority="121" operator="equal">
      <formula>"Check"</formula>
    </cfRule>
    <cfRule type="cellIs" dxfId="88" priority="122" operator="equal">
      <formula>"Ok"</formula>
    </cfRule>
  </conditionalFormatting>
  <conditionalFormatting sqref="X47">
    <cfRule type="cellIs" dxfId="87" priority="43" operator="equal">
      <formula>"Check"</formula>
    </cfRule>
    <cfRule type="cellIs" dxfId="86" priority="44" operator="equal">
      <formula>"Ok"</formula>
    </cfRule>
  </conditionalFormatting>
  <conditionalFormatting sqref="X60">
    <cfRule type="cellIs" dxfId="85" priority="73" operator="equal">
      <formula>"Check"</formula>
    </cfRule>
    <cfRule type="cellIs" dxfId="84" priority="74" operator="equal">
      <formula>"Ok"</formula>
    </cfRule>
  </conditionalFormatting>
  <conditionalFormatting sqref="X73">
    <cfRule type="cellIs" dxfId="83" priority="40" operator="equal">
      <formula>"Ok"</formula>
    </cfRule>
    <cfRule type="cellIs" dxfId="82" priority="39" operator="equal">
      <formula>"Check"</formula>
    </cfRule>
  </conditionalFormatting>
  <conditionalFormatting sqref="X93">
    <cfRule type="cellIs" dxfId="81" priority="3" operator="equal">
      <formula>"Check"</formula>
    </cfRule>
    <cfRule type="cellIs" dxfId="80" priority="4" operator="equal">
      <formula>"Ok"</formula>
    </cfRule>
  </conditionalFormatting>
  <conditionalFormatting sqref="X117">
    <cfRule type="cellIs" dxfId="79" priority="47" operator="equal">
      <formula>"Check"</formula>
    </cfRule>
    <cfRule type="cellIs" dxfId="78" priority="48" operator="equal">
      <formula>"Ok"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8"/>
  <sheetViews>
    <sheetView showGridLines="0" zoomScaleNormal="100" workbookViewId="0"/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9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IF(COUNTA($W$8:$W$241)=COUNTIF($W$8:$W$241,"OK"),"OK","Check")</f>
        <v>OK</v>
      </c>
      <c r="U1" s="200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24"/>
      <c r="O3" s="224"/>
      <c r="P3" s="224"/>
      <c r="Q3" s="224"/>
      <c r="R3" s="224"/>
      <c r="S3" s="224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4" t="s">
        <v>22</v>
      </c>
      <c r="G4" s="145"/>
      <c r="H4" s="145"/>
      <c r="I4" s="145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0"/>
      <c r="W4" s="60"/>
    </row>
    <row r="5" spans="1:30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30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30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30" customFormat="1" ht="13">
      <c r="A8" s="32"/>
      <c r="B8" s="38" t="s">
        <v>49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119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30" ht="10.5" outlineLevel="1">
      <c r="A10" s="17"/>
      <c r="B10" s="17"/>
      <c r="C10" s="122" t="s">
        <v>74</v>
      </c>
      <c r="D10" s="121" t="s">
        <v>7</v>
      </c>
      <c r="E10" s="121" t="s">
        <v>8</v>
      </c>
      <c r="F10" s="121" t="s">
        <v>22</v>
      </c>
      <c r="G10" s="121"/>
      <c r="H10" s="121"/>
      <c r="I10" s="138"/>
      <c r="J10" s="138" t="str">
        <f t="shared" ref="J10:T10" si="0">IF(YEAR(J$4)&gt;=FPFirstYear,IF(YEAR(J$4)&lt;=FPLastYear,J$4,""),"")</f>
        <v/>
      </c>
      <c r="K10" s="138" t="str">
        <f t="shared" si="0"/>
        <v/>
      </c>
      <c r="L10" s="138" t="str">
        <f t="shared" si="0"/>
        <v/>
      </c>
      <c r="M10" s="138" t="str">
        <f t="shared" si="0"/>
        <v/>
      </c>
      <c r="N10" s="138" t="str">
        <f t="shared" si="0"/>
        <v/>
      </c>
      <c r="O10" s="138">
        <f t="shared" si="0"/>
        <v>46174</v>
      </c>
      <c r="P10" s="138">
        <f t="shared" si="0"/>
        <v>46539</v>
      </c>
      <c r="Q10" s="138">
        <f t="shared" si="0"/>
        <v>46905</v>
      </c>
      <c r="R10" s="138">
        <f t="shared" si="0"/>
        <v>47270</v>
      </c>
      <c r="S10" s="138">
        <f t="shared" si="0"/>
        <v>47635</v>
      </c>
      <c r="T10" s="138" t="str">
        <f t="shared" si="0"/>
        <v/>
      </c>
      <c r="U10" s="17"/>
      <c r="V10" s="17"/>
    </row>
    <row r="11" spans="1:30" outlineLevel="1">
      <c r="A11" s="17"/>
      <c r="B11" s="17"/>
      <c r="C11" s="17"/>
      <c r="D11" s="120"/>
      <c r="E11" s="120"/>
      <c r="F11" s="120"/>
      <c r="G11" s="121"/>
      <c r="H11" s="121"/>
      <c r="I11" s="1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30" ht="10.5" outlineLevel="1">
      <c r="A12" s="17"/>
      <c r="B12" s="17"/>
      <c r="C12" s="127" t="s">
        <v>235</v>
      </c>
      <c r="D12" s="120" t="s">
        <v>64</v>
      </c>
      <c r="E12" s="120" t="str">
        <f t="shared" ref="E12:E24" si="1">units</f>
        <v>$millions</v>
      </c>
      <c r="F12" s="139">
        <v>44713</v>
      </c>
      <c r="G12" s="121"/>
      <c r="H12" s="121"/>
      <c r="I12" s="120"/>
      <c r="J12" s="158"/>
      <c r="K12" s="158"/>
      <c r="L12" s="158"/>
      <c r="M12" s="158"/>
      <c r="N12" s="158"/>
      <c r="O12" s="181">
        <v>4.072287424079434</v>
      </c>
      <c r="P12" s="181">
        <v>9.6014524166611199</v>
      </c>
      <c r="Q12" s="181">
        <v>10.01890025973181</v>
      </c>
      <c r="R12" s="181">
        <v>9.2252103361754418</v>
      </c>
      <c r="S12" s="181">
        <v>9.15617710210784</v>
      </c>
      <c r="T12" s="181"/>
      <c r="U12" s="17"/>
      <c r="V12" s="207"/>
      <c r="W12" s="81" t="str">
        <f>IF(ISBLANK(C12),IF(COUNT(J12:T12)=0,"Ok","Check"),IF(COUNT(J12:T12)=COUNT(J$10:T$10),"Ok","Check"))</f>
        <v>Ok</v>
      </c>
    </row>
    <row r="13" spans="1:30" ht="10.5" outlineLevel="1">
      <c r="A13" s="17"/>
      <c r="B13" s="17"/>
      <c r="C13" s="127" t="s">
        <v>236</v>
      </c>
      <c r="D13" s="120" t="s">
        <v>64</v>
      </c>
      <c r="E13" s="120" t="str">
        <f t="shared" si="1"/>
        <v>$millions</v>
      </c>
      <c r="F13" s="139">
        <v>44713</v>
      </c>
      <c r="G13" s="121"/>
      <c r="H13" s="121"/>
      <c r="I13" s="120"/>
      <c r="J13" s="158"/>
      <c r="K13" s="158"/>
      <c r="L13" s="158"/>
      <c r="M13" s="158"/>
      <c r="N13" s="158"/>
      <c r="O13" s="181">
        <v>2.0278999999999998E-2</v>
      </c>
      <c r="P13" s="181">
        <v>7.2673000000000001E-2</v>
      </c>
      <c r="Q13" s="181">
        <v>0.15188599999999999</v>
      </c>
      <c r="R13" s="181">
        <v>0.35802200000000001</v>
      </c>
      <c r="S13" s="181">
        <v>0.53910999999999998</v>
      </c>
      <c r="T13" s="181"/>
      <c r="U13" s="17"/>
      <c r="V13" s="207"/>
      <c r="W13" s="81" t="str">
        <f t="shared" ref="W13:W24" si="2">IF(ISBLANK(C13),IF(COUNT(J13:T13)=0,"Ok","Check"),IF(COUNT(J13:T13)=COUNT(J$10:T$10),"Ok","Check"))</f>
        <v>Ok</v>
      </c>
    </row>
    <row r="14" spans="1:30" ht="10.5" outlineLevel="1">
      <c r="A14" s="17"/>
      <c r="B14" s="17"/>
      <c r="C14" s="127" t="s">
        <v>237</v>
      </c>
      <c r="D14" s="120" t="s">
        <v>64</v>
      </c>
      <c r="E14" s="120" t="str">
        <f t="shared" si="1"/>
        <v>$millions</v>
      </c>
      <c r="F14" s="139">
        <v>44713</v>
      </c>
      <c r="G14" s="121"/>
      <c r="H14" s="121"/>
      <c r="I14" s="120"/>
      <c r="J14" s="158"/>
      <c r="K14" s="158"/>
      <c r="L14" s="158"/>
      <c r="M14" s="158"/>
      <c r="N14" s="158"/>
      <c r="O14" s="181">
        <v>0.70569144159073283</v>
      </c>
      <c r="P14" s="181">
        <v>1.1303210243758848</v>
      </c>
      <c r="Q14" s="181">
        <v>1.7630548735575853</v>
      </c>
      <c r="R14" s="181">
        <v>2.3533853825138125</v>
      </c>
      <c r="S14" s="181">
        <v>2.8181826285353981</v>
      </c>
      <c r="T14" s="181"/>
      <c r="U14" s="17"/>
      <c r="V14" s="207"/>
      <c r="W14" s="81" t="str">
        <f t="shared" si="2"/>
        <v>Ok</v>
      </c>
    </row>
    <row r="15" spans="1:30" ht="10.5" outlineLevel="1">
      <c r="A15" s="17"/>
      <c r="B15" s="17"/>
      <c r="C15" s="127" t="s">
        <v>238</v>
      </c>
      <c r="D15" s="120" t="s">
        <v>64</v>
      </c>
      <c r="E15" s="120" t="str">
        <f t="shared" si="1"/>
        <v>$millions</v>
      </c>
      <c r="F15" s="139">
        <v>44713</v>
      </c>
      <c r="G15" s="121"/>
      <c r="H15" s="121"/>
      <c r="I15" s="120"/>
      <c r="J15" s="158"/>
      <c r="K15" s="158"/>
      <c r="L15" s="158"/>
      <c r="M15" s="158"/>
      <c r="N15" s="158"/>
      <c r="O15" s="181">
        <v>3.0669099356933365</v>
      </c>
      <c r="P15" s="181">
        <v>3.0669099356933365</v>
      </c>
      <c r="Q15" s="181">
        <v>3.0669099356933365</v>
      </c>
      <c r="R15" s="181">
        <v>3.0669099356933365</v>
      </c>
      <c r="S15" s="181">
        <v>3.0669099356933365</v>
      </c>
      <c r="T15" s="181"/>
      <c r="U15" s="17"/>
      <c r="V15" s="207"/>
      <c r="W15" s="81" t="str">
        <f t="shared" si="2"/>
        <v>Ok</v>
      </c>
    </row>
    <row r="16" spans="1:30" ht="10.5" outlineLevel="1">
      <c r="A16" s="17"/>
      <c r="B16" s="17"/>
      <c r="C16" s="127" t="s">
        <v>239</v>
      </c>
      <c r="D16" s="120" t="s">
        <v>64</v>
      </c>
      <c r="E16" s="120" t="str">
        <f t="shared" si="1"/>
        <v>$millions</v>
      </c>
      <c r="F16" s="139">
        <v>44713</v>
      </c>
      <c r="G16" s="121"/>
      <c r="H16" s="121"/>
      <c r="I16" s="120"/>
      <c r="J16" s="158"/>
      <c r="K16" s="158"/>
      <c r="L16" s="158"/>
      <c r="M16" s="158"/>
      <c r="N16" s="158"/>
      <c r="O16" s="181">
        <v>0.27800000000000002</v>
      </c>
      <c r="P16" s="181">
        <v>0.46</v>
      </c>
      <c r="Q16" s="181">
        <v>0.46</v>
      </c>
      <c r="R16" s="181">
        <v>0.52</v>
      </c>
      <c r="S16" s="181">
        <v>0.52</v>
      </c>
      <c r="T16" s="181"/>
      <c r="U16" s="17"/>
      <c r="V16" s="207"/>
      <c r="W16" s="81" t="str">
        <f t="shared" si="2"/>
        <v>Ok</v>
      </c>
    </row>
    <row r="17" spans="1:30" ht="10.5" outlineLevel="1">
      <c r="A17" s="17"/>
      <c r="B17" s="17"/>
      <c r="C17" s="127" t="s">
        <v>240</v>
      </c>
      <c r="D17" s="120" t="s">
        <v>64</v>
      </c>
      <c r="E17" s="120" t="str">
        <f t="shared" si="1"/>
        <v>$millions</v>
      </c>
      <c r="F17" s="139">
        <v>44713</v>
      </c>
      <c r="G17" s="121"/>
      <c r="H17" s="121"/>
      <c r="I17" s="120"/>
      <c r="J17" s="158"/>
      <c r="K17" s="158"/>
      <c r="L17" s="158"/>
      <c r="M17" s="158"/>
      <c r="N17" s="158"/>
      <c r="O17" s="181">
        <v>0.53575740383241699</v>
      </c>
      <c r="P17" s="181">
        <v>0.65535394980265205</v>
      </c>
      <c r="Q17" s="181">
        <v>0.7724754487941341</v>
      </c>
      <c r="R17" s="181">
        <v>0.88682023523636655</v>
      </c>
      <c r="S17" s="181">
        <v>0.99849183043631062</v>
      </c>
      <c r="T17" s="181"/>
      <c r="U17" s="17"/>
      <c r="V17" s="207"/>
      <c r="W17" s="81" t="str">
        <f t="shared" ref="W17:W20" si="3">IF(ISBLANK(C17),IF(COUNT(J17:T17)=0,"Ok","Check"),IF(COUNT(J17:T17)=COUNT(J$10:T$10),"Ok","Check"))</f>
        <v>Ok</v>
      </c>
    </row>
    <row r="18" spans="1:30" ht="10.5" outlineLevel="1">
      <c r="A18" s="17"/>
      <c r="B18" s="17"/>
      <c r="C18" s="127" t="s">
        <v>241</v>
      </c>
      <c r="D18" s="120" t="s">
        <v>64</v>
      </c>
      <c r="E18" s="120" t="str">
        <f t="shared" si="1"/>
        <v>$millions</v>
      </c>
      <c r="F18" s="139">
        <v>44713</v>
      </c>
      <c r="G18" s="121"/>
      <c r="H18" s="121"/>
      <c r="I18" s="120"/>
      <c r="J18" s="158"/>
      <c r="K18" s="158"/>
      <c r="L18" s="158"/>
      <c r="M18" s="158"/>
      <c r="N18" s="158"/>
      <c r="O18" s="181">
        <v>0.92388844388288471</v>
      </c>
      <c r="P18" s="181">
        <v>1.0630704213712276</v>
      </c>
      <c r="Q18" s="181">
        <v>1.2015249030577859</v>
      </c>
      <c r="R18" s="181">
        <v>1.3388957191450974</v>
      </c>
      <c r="S18" s="181">
        <v>1.4337410626210412</v>
      </c>
      <c r="T18" s="181"/>
      <c r="U18" s="17"/>
      <c r="V18" s="207"/>
      <c r="W18" s="81" t="str">
        <f t="shared" si="3"/>
        <v>Ok</v>
      </c>
    </row>
    <row r="19" spans="1:30" ht="10.5" outlineLevel="1">
      <c r="A19" s="17"/>
      <c r="B19" s="17"/>
      <c r="C19" s="127" t="s">
        <v>242</v>
      </c>
      <c r="D19" s="120" t="s">
        <v>64</v>
      </c>
      <c r="E19" s="120" t="str">
        <f t="shared" si="1"/>
        <v>$millions</v>
      </c>
      <c r="F19" s="139">
        <v>44713</v>
      </c>
      <c r="G19" s="121"/>
      <c r="H19" s="121"/>
      <c r="I19" s="120"/>
      <c r="J19" s="158"/>
      <c r="K19" s="158"/>
      <c r="L19" s="158"/>
      <c r="M19" s="158"/>
      <c r="N19" s="158"/>
      <c r="O19" s="181">
        <v>1.9725204243921763</v>
      </c>
      <c r="P19" s="181">
        <v>2.9277348420995901</v>
      </c>
      <c r="Q19" s="181">
        <v>3.6567840689621489</v>
      </c>
      <c r="R19" s="181">
        <v>4.0969190818833559</v>
      </c>
      <c r="S19" s="181">
        <v>4.4755811321755292</v>
      </c>
      <c r="T19" s="181"/>
      <c r="U19" s="17"/>
      <c r="V19" s="207"/>
      <c r="W19" s="81" t="str">
        <f t="shared" si="3"/>
        <v>Ok</v>
      </c>
    </row>
    <row r="20" spans="1:30" ht="10.5" outlineLevel="1">
      <c r="A20" s="17"/>
      <c r="B20" s="17"/>
      <c r="C20" s="127" t="s">
        <v>243</v>
      </c>
      <c r="D20" s="120" t="s">
        <v>64</v>
      </c>
      <c r="E20" s="120" t="str">
        <f t="shared" si="1"/>
        <v>$millions</v>
      </c>
      <c r="F20" s="139">
        <v>44713</v>
      </c>
      <c r="G20" s="121"/>
      <c r="H20" s="121"/>
      <c r="I20" s="120"/>
      <c r="J20" s="158"/>
      <c r="K20" s="158"/>
      <c r="L20" s="158"/>
      <c r="M20" s="158"/>
      <c r="N20" s="158"/>
      <c r="O20" s="181">
        <v>0</v>
      </c>
      <c r="P20" s="181">
        <v>0</v>
      </c>
      <c r="Q20" s="181">
        <v>0</v>
      </c>
      <c r="R20" s="181">
        <v>0</v>
      </c>
      <c r="S20" s="181">
        <v>0</v>
      </c>
      <c r="T20" s="181"/>
      <c r="U20" s="17"/>
      <c r="V20" s="207"/>
      <c r="W20" s="81" t="str">
        <f t="shared" si="3"/>
        <v>Ok</v>
      </c>
    </row>
    <row r="21" spans="1:30" ht="10.5" outlineLevel="1">
      <c r="A21" s="17"/>
      <c r="B21" s="17"/>
      <c r="C21" s="127" t="s">
        <v>244</v>
      </c>
      <c r="D21" s="120" t="s">
        <v>64</v>
      </c>
      <c r="E21" s="120" t="str">
        <f t="shared" si="1"/>
        <v>$millions</v>
      </c>
      <c r="F21" s="139">
        <v>44713</v>
      </c>
      <c r="G21" s="121"/>
      <c r="H21" s="121"/>
      <c r="I21" s="120"/>
      <c r="J21" s="158"/>
      <c r="K21" s="158"/>
      <c r="L21" s="158"/>
      <c r="M21" s="158"/>
      <c r="N21" s="158"/>
      <c r="O21" s="181">
        <v>-4.3533908037867455E-2</v>
      </c>
      <c r="P21" s="181">
        <v>-0.10157911875502408</v>
      </c>
      <c r="Q21" s="181">
        <v>-0.15962432947218069</v>
      </c>
      <c r="R21" s="181">
        <v>-0.21766954018933732</v>
      </c>
      <c r="S21" s="181">
        <v>-0.27571475090649394</v>
      </c>
      <c r="T21" s="181"/>
      <c r="U21" s="17"/>
      <c r="V21" s="207"/>
      <c r="W21" s="81" t="str">
        <f t="shared" si="2"/>
        <v>Ok</v>
      </c>
    </row>
    <row r="22" spans="1:30" ht="10.5" outlineLevel="1">
      <c r="A22" s="17"/>
      <c r="B22" s="17"/>
      <c r="C22" s="127" t="s">
        <v>245</v>
      </c>
      <c r="D22" s="120" t="s">
        <v>64</v>
      </c>
      <c r="E22" s="120" t="str">
        <f t="shared" si="1"/>
        <v>$millions</v>
      </c>
      <c r="F22" s="139">
        <v>44713</v>
      </c>
      <c r="G22" s="121"/>
      <c r="H22" s="121"/>
      <c r="I22" s="120"/>
      <c r="J22" s="158"/>
      <c r="K22" s="158"/>
      <c r="L22" s="158"/>
      <c r="M22" s="158"/>
      <c r="N22" s="158"/>
      <c r="O22" s="181">
        <v>-2.826E-2</v>
      </c>
      <c r="P22" s="181">
        <v>-0.116997</v>
      </c>
      <c r="Q22" s="181">
        <v>-0.24348</v>
      </c>
      <c r="R22" s="181">
        <v>-0.32978600000000002</v>
      </c>
      <c r="S22" s="181">
        <v>-0.46408500000000003</v>
      </c>
      <c r="T22" s="181"/>
      <c r="U22" s="17"/>
      <c r="V22" s="207"/>
      <c r="W22" s="81" t="str">
        <f t="shared" si="2"/>
        <v>Ok</v>
      </c>
    </row>
    <row r="23" spans="1:30" ht="10.5" outlineLevel="1">
      <c r="A23" s="17"/>
      <c r="B23" s="17"/>
      <c r="C23" s="127"/>
      <c r="D23" s="120" t="s">
        <v>64</v>
      </c>
      <c r="E23" s="120" t="str">
        <f t="shared" si="1"/>
        <v>$millions</v>
      </c>
      <c r="F23" s="139">
        <v>44713</v>
      </c>
      <c r="G23" s="121"/>
      <c r="H23" s="121"/>
      <c r="I23" s="120"/>
      <c r="J23" s="158"/>
      <c r="K23" s="158"/>
      <c r="L23" s="158"/>
      <c r="M23" s="158"/>
      <c r="N23" s="158"/>
      <c r="O23" s="181"/>
      <c r="P23" s="181"/>
      <c r="Q23" s="181"/>
      <c r="R23" s="181"/>
      <c r="S23" s="181"/>
      <c r="T23" s="181"/>
      <c r="U23" s="17"/>
      <c r="V23" s="207"/>
      <c r="W23" s="81" t="str">
        <f t="shared" si="2"/>
        <v>Ok</v>
      </c>
    </row>
    <row r="24" spans="1:30" ht="10.5" outlineLevel="1">
      <c r="A24" s="17"/>
      <c r="B24" s="17"/>
      <c r="C24" s="127"/>
      <c r="D24" s="120" t="s">
        <v>64</v>
      </c>
      <c r="E24" s="120" t="str">
        <f t="shared" si="1"/>
        <v>$millions</v>
      </c>
      <c r="F24" s="139">
        <v>44713</v>
      </c>
      <c r="G24" s="121"/>
      <c r="H24" s="121"/>
      <c r="I24" s="120"/>
      <c r="J24" s="158"/>
      <c r="K24" s="158"/>
      <c r="L24" s="158"/>
      <c r="M24" s="158"/>
      <c r="N24" s="158"/>
      <c r="O24" s="181"/>
      <c r="P24" s="181"/>
      <c r="Q24" s="181"/>
      <c r="R24" s="181"/>
      <c r="S24" s="181"/>
      <c r="T24" s="181"/>
      <c r="U24" s="17"/>
      <c r="V24" s="207"/>
      <c r="W24" s="81" t="str">
        <f t="shared" si="2"/>
        <v>Ok</v>
      </c>
    </row>
    <row r="25" spans="1:30" outlineLevel="1">
      <c r="A25" s="17"/>
      <c r="B25" s="17"/>
      <c r="C25" s="17"/>
      <c r="D25" s="120"/>
      <c r="E25" s="120"/>
      <c r="F25" s="120"/>
      <c r="G25" s="121"/>
      <c r="H25" s="121"/>
      <c r="I25" s="1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0" ht="10.5" outlineLevel="1">
      <c r="A26" s="17"/>
      <c r="B26" s="17"/>
      <c r="C26" s="17" t="s">
        <v>40</v>
      </c>
      <c r="D26" s="120" t="s">
        <v>93</v>
      </c>
      <c r="E26" s="120" t="s">
        <v>28</v>
      </c>
      <c r="F26" s="120" t="s">
        <v>36</v>
      </c>
      <c r="G26" s="120"/>
      <c r="H26" s="120"/>
      <c r="I26" s="120"/>
      <c r="J26" s="165" t="str">
        <f t="shared" ref="J26:S26" si="4">IF(J10=J4,IF(COUNTA($C12:$C24)=COUNT(J12:J24),"Ok","Check"),"")</f>
        <v/>
      </c>
      <c r="K26" s="165" t="str">
        <f t="shared" si="4"/>
        <v/>
      </c>
      <c r="L26" s="165" t="str">
        <f t="shared" si="4"/>
        <v/>
      </c>
      <c r="M26" s="165" t="str">
        <f t="shared" si="4"/>
        <v/>
      </c>
      <c r="N26" s="165" t="str">
        <f t="shared" si="4"/>
        <v/>
      </c>
      <c r="O26" s="165" t="str">
        <f t="shared" si="4"/>
        <v>Ok</v>
      </c>
      <c r="P26" s="165" t="str">
        <f t="shared" si="4"/>
        <v>Ok</v>
      </c>
      <c r="Q26" s="165" t="str">
        <f t="shared" si="4"/>
        <v>Ok</v>
      </c>
      <c r="R26" s="165" t="str">
        <f t="shared" si="4"/>
        <v>Ok</v>
      </c>
      <c r="S26" s="165" t="str">
        <f t="shared" si="4"/>
        <v>Ok</v>
      </c>
      <c r="T26" s="165" t="str">
        <f t="shared" ref="T26" si="5">IF(T10=T4,IF(COUNTA($C12:$C24)=COUNT(T12:T24),"Ok","Check"),"")</f>
        <v/>
      </c>
      <c r="U26" s="166"/>
      <c r="V26" s="17"/>
      <c r="W26" s="81" t="str">
        <f>IF(COUNTIF(J26:T26,"Check")=0,"Ok","Check")</f>
        <v>Ok</v>
      </c>
    </row>
    <row r="27" spans="1:30">
      <c r="A27" s="17"/>
      <c r="B27" s="17"/>
      <c r="C27" s="17"/>
      <c r="D27" s="120"/>
      <c r="E27" s="120"/>
      <c r="F27" s="120"/>
      <c r="G27" s="121"/>
      <c r="H27" s="121"/>
      <c r="I27" s="1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0" customFormat="1" ht="13">
      <c r="A28" s="32"/>
      <c r="B28" s="38" t="s">
        <v>106</v>
      </c>
      <c r="C28" s="32"/>
      <c r="D28" s="32"/>
      <c r="E28" s="32"/>
      <c r="F28" s="118"/>
      <c r="G28" s="118"/>
      <c r="H28" s="118"/>
      <c r="I28" s="118"/>
      <c r="J28" s="34"/>
      <c r="K28" s="119"/>
      <c r="L28" s="34"/>
      <c r="M28" s="119"/>
      <c r="N28" s="34"/>
      <c r="O28" s="34"/>
      <c r="P28" s="34"/>
      <c r="Q28" s="34"/>
      <c r="R28" s="34"/>
      <c r="S28" s="34"/>
      <c r="T28" s="34"/>
      <c r="U28" s="34"/>
      <c r="V28" s="119"/>
      <c r="W28" s="35"/>
      <c r="X28" s="36"/>
      <c r="Y28" s="36"/>
      <c r="Z28" s="36"/>
      <c r="AA28" s="36"/>
      <c r="AB28" s="36"/>
      <c r="AC28" s="37"/>
      <c r="AD28" s="37"/>
    </row>
    <row r="29" spans="1:30" outlineLevel="1">
      <c r="A29" s="17"/>
      <c r="B29" s="17"/>
      <c r="C29" s="17"/>
      <c r="D29" s="120"/>
      <c r="E29" s="120"/>
      <c r="F29" s="120"/>
      <c r="G29" s="121"/>
      <c r="H29" s="121"/>
      <c r="I29" s="12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30" ht="10.5" outlineLevel="1">
      <c r="A30" s="17"/>
      <c r="B30" s="17"/>
      <c r="C30" s="122" t="s">
        <v>102</v>
      </c>
      <c r="D30" s="121" t="s">
        <v>7</v>
      </c>
      <c r="E30" s="121" t="s">
        <v>8</v>
      </c>
      <c r="F30" s="121" t="s">
        <v>22</v>
      </c>
      <c r="G30" s="121"/>
      <c r="H30" s="121"/>
      <c r="I30" s="120"/>
      <c r="J30" s="138" t="str">
        <f t="shared" ref="J30:T30" si="6">IF(YEAR(J$4)&gt;=FPFirstYear,IF(YEAR(J$4)&lt;=FPLastYear,J$4,""),"")</f>
        <v/>
      </c>
      <c r="K30" s="138" t="str">
        <f t="shared" si="6"/>
        <v/>
      </c>
      <c r="L30" s="138" t="str">
        <f t="shared" si="6"/>
        <v/>
      </c>
      <c r="M30" s="138" t="str">
        <f t="shared" si="6"/>
        <v/>
      </c>
      <c r="N30" s="138" t="str">
        <f t="shared" si="6"/>
        <v/>
      </c>
      <c r="O30" s="138">
        <f t="shared" si="6"/>
        <v>46174</v>
      </c>
      <c r="P30" s="138">
        <f t="shared" si="6"/>
        <v>46539</v>
      </c>
      <c r="Q30" s="138">
        <f t="shared" si="6"/>
        <v>46905</v>
      </c>
      <c r="R30" s="138">
        <f t="shared" si="6"/>
        <v>47270</v>
      </c>
      <c r="S30" s="138">
        <f t="shared" si="6"/>
        <v>47635</v>
      </c>
      <c r="T30" s="138" t="str">
        <f t="shared" si="6"/>
        <v/>
      </c>
      <c r="U30" s="17"/>
      <c r="V30" s="17"/>
    </row>
    <row r="31" spans="1:30" outlineLevel="1">
      <c r="A31" s="17"/>
      <c r="B31" s="17"/>
      <c r="C31" s="17"/>
      <c r="D31" s="120"/>
      <c r="E31" s="120"/>
      <c r="F31" s="120"/>
      <c r="G31" s="121"/>
      <c r="H31" s="121"/>
      <c r="I31" s="12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30" ht="10.5" outlineLevel="1">
      <c r="A32" s="17"/>
      <c r="B32" s="17"/>
      <c r="C32" s="182" t="s">
        <v>246</v>
      </c>
      <c r="D32" s="120" t="s">
        <v>64</v>
      </c>
      <c r="E32" s="120" t="str">
        <f>units</f>
        <v>$millions</v>
      </c>
      <c r="F32" s="139">
        <v>44713</v>
      </c>
      <c r="G32" s="121"/>
      <c r="H32" s="121"/>
      <c r="I32" s="120"/>
      <c r="J32" s="158"/>
      <c r="K32" s="158"/>
      <c r="L32" s="158"/>
      <c r="M32" s="158"/>
      <c r="N32" s="181"/>
      <c r="O32" s="181">
        <v>0</v>
      </c>
      <c r="P32" s="181">
        <v>0</v>
      </c>
      <c r="Q32" s="181">
        <v>0</v>
      </c>
      <c r="R32" s="181">
        <v>0</v>
      </c>
      <c r="S32" s="181">
        <v>0</v>
      </c>
      <c r="T32" s="181"/>
      <c r="U32" s="17"/>
      <c r="V32" s="17"/>
      <c r="W32" s="81" t="str">
        <f>IF(ISBLANK(C32),IF(COUNT(J32:T32)=0,"Ok","Check"),IF(COUNT(J32:T32)=COUNT(J$10:T$10),"Ok","Check"))</f>
        <v>Ok</v>
      </c>
    </row>
    <row r="33" spans="1:30" ht="10.5" outlineLevel="1">
      <c r="A33" s="17"/>
      <c r="B33" s="17"/>
      <c r="C33" s="182" t="s">
        <v>247</v>
      </c>
      <c r="D33" s="120" t="s">
        <v>64</v>
      </c>
      <c r="E33" s="120" t="str">
        <f>units</f>
        <v>$millions</v>
      </c>
      <c r="F33" s="139">
        <f>DATE(PPLastYear,MONTH(month),1)</f>
        <v>45809</v>
      </c>
      <c r="G33" s="121"/>
      <c r="H33" s="121"/>
      <c r="I33" s="120"/>
      <c r="J33" s="158"/>
      <c r="K33" s="158"/>
      <c r="L33" s="158"/>
      <c r="M33" s="158"/>
      <c r="N33" s="181"/>
      <c r="O33" s="181">
        <v>0.8</v>
      </c>
      <c r="P33" s="181">
        <v>0.8</v>
      </c>
      <c r="Q33" s="181">
        <v>0.8</v>
      </c>
      <c r="R33" s="181">
        <v>0.8</v>
      </c>
      <c r="S33" s="181">
        <v>0.8</v>
      </c>
      <c r="T33" s="181"/>
      <c r="U33" s="17"/>
      <c r="V33" s="17"/>
      <c r="W33" s="81" t="str">
        <f>IF(ISBLANK(C33),IF(COUNT(J33:T33)=0,"Ok","Check"),IF(COUNT(J33:T33)=COUNT(J$10:T$10),"Ok","Check"))</f>
        <v>Ok</v>
      </c>
    </row>
    <row r="34" spans="1:30" ht="10.5" outlineLevel="1">
      <c r="A34" s="17"/>
      <c r="B34" s="17"/>
      <c r="C34" s="182"/>
      <c r="D34" s="120" t="s">
        <v>64</v>
      </c>
      <c r="E34" s="120" t="str">
        <f>units</f>
        <v>$millions</v>
      </c>
      <c r="F34" s="139">
        <f>DATE(PPLastYear,MONTH(month),1)</f>
        <v>45809</v>
      </c>
      <c r="G34" s="121"/>
      <c r="H34" s="121"/>
      <c r="I34" s="120"/>
      <c r="J34" s="158"/>
      <c r="K34" s="158"/>
      <c r="L34" s="158"/>
      <c r="M34" s="158"/>
      <c r="N34" s="181"/>
      <c r="O34" s="181"/>
      <c r="P34" s="181"/>
      <c r="Q34" s="181"/>
      <c r="R34" s="181"/>
      <c r="S34" s="181"/>
      <c r="T34" s="181"/>
      <c r="U34" s="17"/>
      <c r="V34" s="17"/>
      <c r="W34" s="81" t="str">
        <f>IF(ISBLANK(C34),IF(COUNT(J34:T34)=0,"Ok","Check"),IF(COUNT(J34:T34)=COUNT(J$10:T$10),"Ok","Check"))</f>
        <v>Ok</v>
      </c>
    </row>
    <row r="35" spans="1:30" ht="10.5" outlineLevel="1">
      <c r="A35" s="17"/>
      <c r="B35" s="17"/>
      <c r="C35" s="183"/>
      <c r="D35" s="120" t="s">
        <v>64</v>
      </c>
      <c r="E35" s="120" t="str">
        <f>units</f>
        <v>$millions</v>
      </c>
      <c r="F35" s="139">
        <f>DATE(PPLastYear,MONTH(month),1)</f>
        <v>45809</v>
      </c>
      <c r="G35" s="121"/>
      <c r="H35" s="121"/>
      <c r="I35" s="120"/>
      <c r="J35" s="158"/>
      <c r="K35" s="158"/>
      <c r="L35" s="158"/>
      <c r="M35" s="158"/>
      <c r="N35" s="181"/>
      <c r="O35" s="181"/>
      <c r="P35" s="181"/>
      <c r="Q35" s="181"/>
      <c r="R35" s="181"/>
      <c r="S35" s="181"/>
      <c r="T35" s="181"/>
      <c r="U35" s="17"/>
      <c r="V35" s="17"/>
      <c r="W35" s="81" t="str">
        <f>IF(ISBLANK(C35),IF(COUNT(J35:T35)=0,"Ok","Check"),IF(COUNT(J35:T35)=COUNT(J$10:T$10),"Ok","Check"))</f>
        <v>Ok</v>
      </c>
    </row>
    <row r="36" spans="1:30" ht="10.5" outlineLevel="1">
      <c r="A36" s="17"/>
      <c r="B36" s="17"/>
      <c r="C36" s="127"/>
      <c r="D36" s="120" t="s">
        <v>64</v>
      </c>
      <c r="E36" s="120" t="str">
        <f>units</f>
        <v>$millions</v>
      </c>
      <c r="F36" s="139">
        <f>DATE(PPLastYear,MONTH(month),1)</f>
        <v>45809</v>
      </c>
      <c r="G36" s="121"/>
      <c r="H36" s="121"/>
      <c r="I36" s="120"/>
      <c r="J36" s="158"/>
      <c r="K36" s="158"/>
      <c r="L36" s="158"/>
      <c r="M36" s="158"/>
      <c r="N36" s="181"/>
      <c r="O36" s="181"/>
      <c r="P36" s="181"/>
      <c r="Q36" s="181"/>
      <c r="R36" s="181"/>
      <c r="S36" s="181"/>
      <c r="T36" s="181"/>
      <c r="U36" s="17"/>
      <c r="V36" s="17"/>
      <c r="W36" s="81" t="str">
        <f>IF(ISBLANK(C36),IF(COUNT(J36:T36)=0,"Ok","Check"),IF(COUNT(J36:T36)=COUNT(J$10:T$10),"Ok","Check"))</f>
        <v>Ok</v>
      </c>
    </row>
    <row r="37" spans="1:30" outlineLevel="1">
      <c r="A37" s="17"/>
      <c r="B37" s="17"/>
      <c r="C37" s="17"/>
      <c r="D37" s="120"/>
      <c r="E37" s="120"/>
      <c r="F37" s="120"/>
      <c r="G37" s="121"/>
      <c r="H37" s="121"/>
      <c r="I37" s="12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30" ht="10.5" outlineLevel="1">
      <c r="A38" s="17"/>
      <c r="B38" s="17"/>
      <c r="C38" s="17" t="s">
        <v>40</v>
      </c>
      <c r="D38" s="120" t="s">
        <v>93</v>
      </c>
      <c r="E38" s="120" t="s">
        <v>28</v>
      </c>
      <c r="F38" s="120" t="s">
        <v>36</v>
      </c>
      <c r="G38" s="120"/>
      <c r="H38" s="120"/>
      <c r="I38" s="120"/>
      <c r="J38" s="165" t="str">
        <f t="shared" ref="J38:T38" si="7">IF(J30=J4,IF(COUNTA($C32:$C36)=COUNT(J32:J36),"Ok","Check"),"")</f>
        <v/>
      </c>
      <c r="K38" s="165" t="str">
        <f t="shared" si="7"/>
        <v/>
      </c>
      <c r="L38" s="165" t="str">
        <f t="shared" si="7"/>
        <v/>
      </c>
      <c r="M38" s="165" t="str">
        <f t="shared" si="7"/>
        <v/>
      </c>
      <c r="N38" s="165" t="str">
        <f t="shared" si="7"/>
        <v/>
      </c>
      <c r="O38" s="165" t="str">
        <f t="shared" si="7"/>
        <v>Ok</v>
      </c>
      <c r="P38" s="165" t="str">
        <f t="shared" si="7"/>
        <v>Ok</v>
      </c>
      <c r="Q38" s="165" t="str">
        <f t="shared" si="7"/>
        <v>Ok</v>
      </c>
      <c r="R38" s="165" t="str">
        <f t="shared" si="7"/>
        <v>Ok</v>
      </c>
      <c r="S38" s="165" t="str">
        <f t="shared" si="7"/>
        <v>Ok</v>
      </c>
      <c r="T38" s="165" t="str">
        <f t="shared" si="7"/>
        <v/>
      </c>
      <c r="U38" s="166"/>
      <c r="V38" s="17"/>
      <c r="W38" s="81" t="str">
        <f>IF(COUNTIF(J38:T38,"Check")=0,"Ok","Check")</f>
        <v>Ok</v>
      </c>
    </row>
    <row r="39" spans="1:30">
      <c r="A39" s="17"/>
      <c r="B39" s="17"/>
      <c r="C39" s="17"/>
      <c r="D39" s="120"/>
      <c r="E39" s="120"/>
      <c r="F39" s="120"/>
      <c r="G39" s="121"/>
      <c r="H39" s="121"/>
      <c r="I39" s="12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30" customFormat="1" ht="13">
      <c r="A40" s="32"/>
      <c r="B40" s="38" t="s">
        <v>44</v>
      </c>
      <c r="C40" s="32"/>
      <c r="D40" s="32"/>
      <c r="E40" s="32"/>
      <c r="F40" s="118"/>
      <c r="G40" s="118"/>
      <c r="H40" s="118"/>
      <c r="I40" s="118"/>
      <c r="J40" s="34"/>
      <c r="K40" s="119"/>
      <c r="L40" s="34"/>
      <c r="M40" s="119"/>
      <c r="N40" s="34"/>
      <c r="O40" s="34"/>
      <c r="P40" s="34"/>
      <c r="Q40" s="34"/>
      <c r="R40" s="34"/>
      <c r="S40" s="34"/>
      <c r="T40" s="34"/>
      <c r="U40" s="34"/>
      <c r="V40" s="119"/>
      <c r="W40" s="35"/>
      <c r="X40" s="36"/>
      <c r="Y40" s="36"/>
      <c r="Z40" s="36"/>
      <c r="AA40" s="36"/>
      <c r="AB40" s="36"/>
      <c r="AC40" s="37"/>
      <c r="AD40" s="37"/>
    </row>
    <row r="41" spans="1:30" outlineLevel="1">
      <c r="A41" s="17"/>
      <c r="B41" s="17"/>
      <c r="C41" s="17"/>
      <c r="D41" s="120"/>
      <c r="E41" s="120"/>
      <c r="F41" s="120"/>
      <c r="G41" s="121"/>
      <c r="H41" s="121"/>
      <c r="I41" s="12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30" ht="10.5" outlineLevel="1">
      <c r="A42" s="17"/>
      <c r="B42" s="17"/>
      <c r="C42" s="122" t="s">
        <v>32</v>
      </c>
      <c r="D42" s="121" t="s">
        <v>7</v>
      </c>
      <c r="E42" s="121" t="s">
        <v>8</v>
      </c>
      <c r="F42" s="121" t="s">
        <v>22</v>
      </c>
      <c r="G42" s="121"/>
      <c r="H42" s="121"/>
      <c r="I42" s="120"/>
      <c r="J42" s="138" t="str">
        <f t="shared" ref="J42:T42" si="8">IF(YEAR(J$4)&gt;=FPFirstYear,IF(YEAR(J$4)&lt;=FPLastYear,J$4,""),"")</f>
        <v/>
      </c>
      <c r="K42" s="138" t="str">
        <f t="shared" si="8"/>
        <v/>
      </c>
      <c r="L42" s="138" t="str">
        <f t="shared" si="8"/>
        <v/>
      </c>
      <c r="M42" s="138" t="str">
        <f t="shared" si="8"/>
        <v/>
      </c>
      <c r="N42" s="138" t="str">
        <f t="shared" si="8"/>
        <v/>
      </c>
      <c r="O42" s="138">
        <f t="shared" si="8"/>
        <v>46174</v>
      </c>
      <c r="P42" s="138">
        <f t="shared" si="8"/>
        <v>46539</v>
      </c>
      <c r="Q42" s="138">
        <f t="shared" si="8"/>
        <v>46905</v>
      </c>
      <c r="R42" s="138">
        <f t="shared" si="8"/>
        <v>47270</v>
      </c>
      <c r="S42" s="138">
        <f t="shared" si="8"/>
        <v>47635</v>
      </c>
      <c r="T42" s="138" t="str">
        <f t="shared" si="8"/>
        <v/>
      </c>
      <c r="U42" s="17"/>
      <c r="V42" s="17"/>
    </row>
    <row r="43" spans="1:30" outlineLevel="1">
      <c r="A43" s="17"/>
      <c r="B43" s="17"/>
      <c r="C43" s="17"/>
      <c r="D43" s="120"/>
      <c r="E43" s="120"/>
      <c r="F43" s="120"/>
      <c r="G43" s="121"/>
      <c r="H43" s="121"/>
      <c r="I43" s="12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30" outlineLevel="1">
      <c r="A44" s="17"/>
      <c r="B44" s="17"/>
      <c r="C44" s="125" t="s">
        <v>39</v>
      </c>
      <c r="D44" s="120" t="s">
        <v>67</v>
      </c>
      <c r="E44" s="120" t="s">
        <v>15</v>
      </c>
      <c r="F44" s="139">
        <f>DATE(PPLastYear,MONTH(month),1)</f>
        <v>45809</v>
      </c>
      <c r="G44" s="121"/>
      <c r="H44" s="121"/>
      <c r="I44" s="121"/>
      <c r="J44" s="181"/>
      <c r="K44" s="181"/>
      <c r="L44" s="181"/>
      <c r="M44" s="181"/>
      <c r="N44" s="181"/>
      <c r="O44" s="181">
        <v>2.6534818854810438</v>
      </c>
      <c r="P44" s="181">
        <v>2.6919226587788496</v>
      </c>
      <c r="Q44" s="181">
        <v>2.7282502826165067</v>
      </c>
      <c r="R44" s="181">
        <v>2.7728642952357951</v>
      </c>
      <c r="S44" s="181">
        <v>2.833933714215481</v>
      </c>
      <c r="T44" s="181"/>
      <c r="U44" s="17"/>
      <c r="V44" s="17"/>
    </row>
    <row r="45" spans="1:30" outlineLevel="1">
      <c r="A45" s="17"/>
      <c r="B45" s="17"/>
      <c r="C45" s="17"/>
      <c r="D45" s="120"/>
      <c r="E45" s="120"/>
      <c r="F45" s="120"/>
      <c r="G45" s="121"/>
      <c r="H45" s="121"/>
      <c r="I45" s="120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30" ht="10.5" outlineLevel="1">
      <c r="A46" s="17"/>
      <c r="B46" s="17"/>
      <c r="C46" s="17" t="s">
        <v>40</v>
      </c>
      <c r="D46" s="120" t="s">
        <v>93</v>
      </c>
      <c r="E46" s="120" t="s">
        <v>28</v>
      </c>
      <c r="F46" s="120" t="s">
        <v>36</v>
      </c>
      <c r="G46" s="120"/>
      <c r="H46" s="120"/>
      <c r="I46" s="120"/>
      <c r="J46" s="165" t="str">
        <f t="shared" ref="J46:T46" si="9">IF(J42=J4,IF(ISBLANK(J44),"Check","Ok"),"")</f>
        <v/>
      </c>
      <c r="K46" s="165" t="str">
        <f t="shared" si="9"/>
        <v/>
      </c>
      <c r="L46" s="165" t="str">
        <f t="shared" si="9"/>
        <v/>
      </c>
      <c r="M46" s="165" t="str">
        <f t="shared" si="9"/>
        <v/>
      </c>
      <c r="N46" s="165" t="str">
        <f t="shared" si="9"/>
        <v/>
      </c>
      <c r="O46" s="165" t="str">
        <f t="shared" si="9"/>
        <v>Ok</v>
      </c>
      <c r="P46" s="165" t="str">
        <f t="shared" si="9"/>
        <v>Ok</v>
      </c>
      <c r="Q46" s="165" t="str">
        <f t="shared" si="9"/>
        <v>Ok</v>
      </c>
      <c r="R46" s="165" t="str">
        <f t="shared" si="9"/>
        <v>Ok</v>
      </c>
      <c r="S46" s="165" t="str">
        <f t="shared" si="9"/>
        <v>Ok</v>
      </c>
      <c r="T46" s="165" t="str">
        <f t="shared" si="9"/>
        <v/>
      </c>
      <c r="U46" s="166"/>
      <c r="V46" s="17"/>
      <c r="W46" s="81" t="str">
        <f>IF(COUNTIF(J46:T46,"Check")=0,"Ok","Check")</f>
        <v>Ok</v>
      </c>
    </row>
    <row r="47" spans="1:30">
      <c r="A47" s="17"/>
      <c r="B47" s="17"/>
      <c r="C47" s="17"/>
      <c r="D47" s="120"/>
      <c r="E47" s="120"/>
      <c r="F47" s="120"/>
      <c r="G47" s="121"/>
      <c r="H47" s="121"/>
      <c r="I47" s="120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30" customFormat="1" ht="13">
      <c r="A48" s="32"/>
      <c r="B48" s="38" t="s">
        <v>21</v>
      </c>
      <c r="C48" s="32"/>
      <c r="D48" s="32"/>
      <c r="E48" s="32"/>
      <c r="F48" s="118"/>
      <c r="G48" s="118"/>
      <c r="H48" s="118"/>
      <c r="I48" s="118"/>
      <c r="J48" s="34"/>
      <c r="K48" s="119"/>
      <c r="L48" s="34"/>
      <c r="M48" s="119"/>
      <c r="N48" s="34"/>
      <c r="O48" s="34"/>
      <c r="P48" s="34"/>
      <c r="Q48" s="34"/>
      <c r="R48" s="34"/>
      <c r="S48" s="34"/>
      <c r="T48" s="34"/>
      <c r="U48" s="34"/>
      <c r="V48" s="119"/>
      <c r="W48" s="35"/>
      <c r="X48" s="36"/>
      <c r="Y48" s="36"/>
      <c r="Z48" s="36"/>
      <c r="AA48" s="36"/>
      <c r="AB48" s="36"/>
      <c r="AC48" s="37"/>
      <c r="AD48" s="37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  <row r="55" spans="7:8" hidden="1">
      <c r="G55" s="20"/>
      <c r="H55" s="20"/>
    </row>
    <row r="56" spans="7:8" hidden="1">
      <c r="G56" s="20"/>
      <c r="H56" s="20"/>
    </row>
    <row r="57" spans="7:8" hidden="1">
      <c r="G57" s="20"/>
      <c r="H57" s="20"/>
    </row>
    <row r="58" spans="7:8" hidden="1">
      <c r="G58" s="20"/>
      <c r="H58" s="20"/>
    </row>
  </sheetData>
  <mergeCells count="1">
    <mergeCell ref="N3:S3"/>
  </mergeCells>
  <conditionalFormatting sqref="J32:M36 O35:O36">
    <cfRule type="expression" dxfId="77" priority="25">
      <formula>J$30=J$4</formula>
    </cfRule>
  </conditionalFormatting>
  <conditionalFormatting sqref="J10:T10">
    <cfRule type="expression" dxfId="76" priority="37">
      <formula>J$10=J$4</formula>
    </cfRule>
  </conditionalFormatting>
  <conditionalFormatting sqref="J12:T24">
    <cfRule type="expression" dxfId="75" priority="13">
      <formula>J$10=J$4</formula>
    </cfRule>
  </conditionalFormatting>
  <conditionalFormatting sqref="J26:T26">
    <cfRule type="cellIs" dxfId="74" priority="30" operator="equal">
      <formula>"Check"</formula>
    </cfRule>
    <cfRule type="cellIs" dxfId="73" priority="31" operator="equal">
      <formula>"Ok"</formula>
    </cfRule>
  </conditionalFormatting>
  <conditionalFormatting sqref="J30:T30">
    <cfRule type="expression" dxfId="72" priority="15">
      <formula>J$10=J$4</formula>
    </cfRule>
  </conditionalFormatting>
  <conditionalFormatting sqref="J38:T38">
    <cfRule type="cellIs" dxfId="71" priority="26" operator="equal">
      <formula>"Check"</formula>
    </cfRule>
    <cfRule type="cellIs" dxfId="70" priority="27" operator="equal">
      <formula>"Ok"</formula>
    </cfRule>
  </conditionalFormatting>
  <conditionalFormatting sqref="J42:T42">
    <cfRule type="expression" dxfId="69" priority="14">
      <formula>J$10=J$4</formula>
    </cfRule>
  </conditionalFormatting>
  <conditionalFormatting sqref="J44:T44">
    <cfRule type="expression" dxfId="68" priority="16">
      <formula>J$42=J$4</formula>
    </cfRule>
  </conditionalFormatting>
  <conditionalFormatting sqref="J46:T46">
    <cfRule type="cellIs" dxfId="67" priority="21" operator="equal">
      <formula>"Check"</formula>
    </cfRule>
    <cfRule type="cellIs" dxfId="66" priority="22" operator="equal">
      <formula>"Ok"</formula>
    </cfRule>
  </conditionalFormatting>
  <conditionalFormatting sqref="N32:N36">
    <cfRule type="expression" dxfId="65" priority="19">
      <formula>N$10=N$4</formula>
    </cfRule>
  </conditionalFormatting>
  <conditionalFormatting sqref="O32:T34 P35:T36">
    <cfRule type="expression" dxfId="64" priority="20">
      <formula>O$10=O$4</formula>
    </cfRule>
  </conditionalFormatting>
  <conditionalFormatting sqref="S1">
    <cfRule type="cellIs" dxfId="63" priority="39" operator="equal">
      <formula>"Check"</formula>
    </cfRule>
    <cfRule type="cellIs" dxfId="62" priority="40" operator="equal">
      <formula>"Ok"</formula>
    </cfRule>
  </conditionalFormatting>
  <conditionalFormatting sqref="V1">
    <cfRule type="cellIs" dxfId="61" priority="41" operator="equal">
      <formula>"Check"</formula>
    </cfRule>
    <cfRule type="cellIs" dxfId="60" priority="42" operator="equal">
      <formula>"Ok"</formula>
    </cfRule>
  </conditionalFormatting>
  <conditionalFormatting sqref="W12:W24">
    <cfRule type="cellIs" dxfId="59" priority="11" operator="equal">
      <formula>"Check"</formula>
    </cfRule>
    <cfRule type="cellIs" dxfId="58" priority="12" operator="equal">
      <formula>"Ok"</formula>
    </cfRule>
  </conditionalFormatting>
  <conditionalFormatting sqref="W26">
    <cfRule type="cellIs" dxfId="57" priority="32" operator="equal">
      <formula>"Check"</formula>
    </cfRule>
    <cfRule type="cellIs" dxfId="56" priority="33" operator="equal">
      <formula>"Ok"</formula>
    </cfRule>
  </conditionalFormatting>
  <conditionalFormatting sqref="W32:W36">
    <cfRule type="cellIs" dxfId="55" priority="1" operator="equal">
      <formula>"Check"</formula>
    </cfRule>
    <cfRule type="cellIs" dxfId="54" priority="2" operator="equal">
      <formula>"Ok"</formula>
    </cfRule>
  </conditionalFormatting>
  <conditionalFormatting sqref="W38">
    <cfRule type="cellIs" dxfId="53" priority="28" operator="equal">
      <formula>"Check"</formula>
    </cfRule>
    <cfRule type="cellIs" dxfId="52" priority="29" operator="equal">
      <formula>"Ok"</formula>
    </cfRule>
  </conditionalFormatting>
  <conditionalFormatting sqref="W46">
    <cfRule type="cellIs" dxfId="51" priority="23" operator="equal">
      <formula>"Check"</formula>
    </cfRule>
    <cfRule type="cellIs" dxfId="50" priority="24" operator="equal">
      <formula>"Ok"</formula>
    </cfRule>
  </conditionalFormatting>
  <dataValidations count="4">
    <dataValidation type="list" allowBlank="1" showInputMessage="1" showErrorMessage="1" sqref="F27 F37 F39 F47" xr:uid="{00000000-0002-0000-0600-000000000000}">
      <formula1>"Real 2010,Real 2011,Real 2012,Real 2013,Real 2014,Real 2015,Nominal"</formula1>
    </dataValidation>
    <dataValidation type="list" allowBlank="1" showInputMessage="1" showErrorMessage="1" sqref="U32:U37 I47 U27 I27 U47 I32:I37 U39 I39 U12:U25" xr:uid="{00000000-0002-0000-0600-000001000000}">
      <formula1>#REF!</formula1>
    </dataValidation>
    <dataValidation type="decimal" operator="greaterThanOrEqual" allowBlank="1" showInputMessage="1" showErrorMessage="1" sqref="J44:T44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E44 E25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8"/>
  <sheetViews>
    <sheetView showGridLines="0" showZeros="0" zoomScale="110" zoomScaleNormal="110" workbookViewId="0"/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2.77734375" style="16" customWidth="1"/>
    <col min="7" max="9" width="3.44140625" style="16" customWidth="1"/>
    <col min="10" max="20" width="12.33203125" style="8" customWidth="1"/>
    <col min="21" max="21" width="19.44140625" style="8" customWidth="1"/>
    <col min="22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9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250</v>
      </c>
      <c r="T1" s="29"/>
      <c r="V1" s="200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4"/>
      <c r="O3" s="224"/>
      <c r="P3" s="224"/>
      <c r="Q3" s="224"/>
      <c r="R3" s="224"/>
      <c r="S3" s="224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216">
        <f>IF(YEAR(M$4)=BaseYear,'Input|Reported opex'!M47,0)</f>
        <v>341.3976217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21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357.5877523156671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226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287.34423848058498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226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358.39261319524599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227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289.37730350948499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227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360.92837132408897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228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2.2594410371947657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228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2.8181075839998884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229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2.2586726892271614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229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2.8171492552809654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213">
        <f t="shared" ca="1" si="1"/>
        <v>357.5877523156671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-1.1948832315631199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-1.1948832315631199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213">
        <f t="shared" si="2"/>
        <v>2.5357581288429856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213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213">
        <f t="shared" ca="1" si="3"/>
        <v>358.92862721294699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213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213">
        <f t="shared" si="4"/>
        <v>9.5832871892298499E-4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SaaS</v>
      </c>
      <c r="D37" s="65" t="s">
        <v>87</v>
      </c>
      <c r="E37" s="16" t="str">
        <f>'Input|Reported opex'!E63</f>
        <v>$millions</v>
      </c>
      <c r="F37" s="98">
        <f>'Input|Reported opex'!F63</f>
        <v>44713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14.95858710380702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SaaS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16.926145463351709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213">
        <f t="shared" ca="1" si="5"/>
        <v>375.85573100501762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165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4.9182185067413193E-3</v>
      </c>
      <c r="P61" s="72">
        <f ca="1">IF(P58=P4,AVERAGE(OFFSET('Input|Rate of change'!Q106,0,0,COUNTA('Input|Rate of change'!$J$95:$M$95),1)),0)</f>
        <v>4.9256500836850087E-3</v>
      </c>
      <c r="Q61" s="72">
        <f ca="1">IF(Q58=Q4,AVERAGE(OFFSET('Input|Rate of change'!R106,0,0,COUNTA('Input|Rate of change'!$J$95:$M$95),1)),0)</f>
        <v>4.9331409961618309E-3</v>
      </c>
      <c r="R61" s="72">
        <f ca="1">IF(R58=R4,AVERAGE(OFFSET('Input|Rate of change'!S106,0,0,COUNTA('Input|Rate of change'!$J$95:$M$95),1)),0)</f>
        <v>4.940691151696713E-3</v>
      </c>
      <c r="S61" s="72">
        <f ca="1">IF(S58=S4,AVERAGE(OFFSET('Input|Rate of change'!T106,0,0,COUNTA('Input|Rate of change'!$J$95:$M$95),1)),0)</f>
        <v>4.9483004398987087E-3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168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4.9182185067413453E-3</v>
      </c>
      <c r="P62" s="72">
        <f t="array" aca="1" ref="P62" ca="1">IF(P$58=P$4,PRODUCT(1+$J61:P61)-1,0)</f>
        <v>9.8680940138256013E-3</v>
      </c>
      <c r="Q62" s="72">
        <f t="array" aca="1" ref="Q62" ca="1">IF(Q$58=Q$4,PRODUCT(1+$J61:Q61)-1,0)</f>
        <v>1.4849915709121086E-2</v>
      </c>
      <c r="R62" s="72">
        <f t="array" aca="1" ref="R62" ca="1">IF(R$58=R$4,PRODUCT(1+$J61:R61)-1,0)</f>
        <v>1.9863975707965276E-2</v>
      </c>
      <c r="S62" s="72">
        <f t="array" aca="1" ref="S62" ca="1">IF(S$58=S$4,PRODUCT(1+$J61:S61)-1,0)</f>
        <v>2.4910569067597921E-2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166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6.3428887835993326E-3</v>
      </c>
      <c r="P64" s="72">
        <f>SUMPRODUCT('Input|Rate of change'!Q38:Q45,'Input|Rate of change'!Q51:Q58)</f>
        <v>5.1743645929035326E-3</v>
      </c>
      <c r="Q64" s="72">
        <f>SUMPRODUCT('Input|Rate of change'!R38:R45,'Input|Rate of change'!R51:R58)</f>
        <v>5.1128682195037654E-3</v>
      </c>
      <c r="R64" s="72">
        <f>SUMPRODUCT('Input|Rate of change'!S38:S45,'Input|Rate of change'!S51:S58)</f>
        <v>6.0478218347641529E-3</v>
      </c>
      <c r="S64" s="72">
        <f>SUMPRODUCT('Input|Rate of change'!T38:T45,'Input|Rate of change'!T51:T58)</f>
        <v>6.9652392022688803E-3</v>
      </c>
      <c r="T64" s="72">
        <f>SUMPRODUCT('Input|Rate of change'!U38:U45,'Input|Rate of change'!U51:U58)</f>
        <v>0</v>
      </c>
    </row>
    <row r="65" spans="1:31" outlineLevel="1">
      <c r="C65" s="15" t="s">
        <v>169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6.342888783599232E-3</v>
      </c>
      <c r="P65" s="72">
        <f t="array" ref="P65">IF(P$58=P$4,PRODUCT(1+$J64:P64)-1,0)</f>
        <v>1.1550073795641325E-2</v>
      </c>
      <c r="Q65" s="72">
        <f t="array" ref="Q65">IF(Q$58=Q$4,PRODUCT(1+$J64:Q64)-1,0)</f>
        <v>1.672199602038793E-2</v>
      </c>
      <c r="R65" s="72">
        <f t="array" ref="R65">IF(R$58=R$4,PRODUCT(1+$J64:R64)-1,0)</f>
        <v>2.2870949507804994E-2</v>
      </c>
      <c r="S65" s="72">
        <f t="array" ref="S65">IF(S$58=S$4,PRODUCT(1+$J64:S64)-1,0)</f>
        <v>2.9995490344178588E-2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167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170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6.2358414883254554E-3</v>
      </c>
      <c r="P70" s="88">
        <f t="shared" ca="1" si="6"/>
        <v>5.0748742770485578E-3</v>
      </c>
      <c r="Q70" s="88">
        <f t="shared" ca="1" si="6"/>
        <v>5.0208755569098873E-3</v>
      </c>
      <c r="R70" s="88">
        <f t="shared" ca="1" si="6"/>
        <v>5.9633014392554973E-3</v>
      </c>
      <c r="S70" s="88">
        <f t="shared" ca="1" si="6"/>
        <v>6.8882657096842603E-3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6.2358414883254554E-3</v>
      </c>
      <c r="P71" s="72">
        <f t="array" aca="1" ref="P71" ca="1">IF(P$58=P$4,PRODUCT(1+$J70:P70)-1,"")</f>
        <v>1.1342361876938822E-2</v>
      </c>
      <c r="Q71" s="72">
        <f t="array" aca="1" ref="Q71" ca="1">IF(Q$58=Q$4,PRODUCT(1+$J70:Q70)-1,"")</f>
        <v>1.6420186021354199E-2</v>
      </c>
      <c r="R71" s="72">
        <f t="array" aca="1" ref="R71" ca="1">IF(R$58=R$4,PRODUCT(1+$J70:R70)-1,"")</f>
        <v>2.2481405979543734E-2</v>
      </c>
      <c r="S71" s="72">
        <f t="array" aca="1" ref="S71" ca="1">IF(S$58=S$4,PRODUCT(1+$J70:S70)-1,"")</f>
        <v>2.9524529587142467E-2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Cyber Security Uplift</v>
      </c>
      <c r="D77" s="16" t="s">
        <v>30</v>
      </c>
      <c r="E77" s="16" t="str">
        <f t="shared" ref="E77:E101" si="8">$E$8</f>
        <v>$millions</v>
      </c>
      <c r="F77" s="98">
        <f t="shared" ref="F77:F91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4.6079304703185402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10.864367011139377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11.336723314989669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10.438636416428739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10.360522985425856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U77" s="210"/>
    </row>
    <row r="78" spans="1:31" outlineLevel="1">
      <c r="C78" s="75" t="str">
        <f>'Input|Step changes'!C13</f>
        <v>Smart Meter Rollout - IT upgrades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2.2946371971451232E-2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8.2231948827914375E-2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0.17186412807613011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0.40511395956225232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0.61002113484536091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U78" s="210"/>
    </row>
    <row r="79" spans="1:31" outlineLevel="1">
      <c r="C79" s="75" t="str">
        <f>'Input|Step changes'!C14</f>
        <v>IT Infrastructure Refresh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0.79851365036789823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1.278996334754221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1.9949560103916504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2.6629348774267956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3.1888686265523658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U79" s="210"/>
    </row>
    <row r="80" spans="1:31" outlineLevel="1">
      <c r="C80" s="75" t="str">
        <f>'Input|Step changes'!C15</f>
        <v xml:space="preserve">Operationalising Cyber Security 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/>
      <c r="K80" s="79"/>
      <c r="L80" s="79"/>
      <c r="M80" s="79"/>
      <c r="N80" s="79"/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T80" s="79"/>
      <c r="U80" s="210"/>
    </row>
    <row r="81" spans="1:31" outlineLevel="1">
      <c r="C81" s="75" t="str">
        <f>'Input|Step changes'!C16</f>
        <v>CER Compliance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K81" s="79">
        <f>'Input|Step changes'!K12*INDEX('Input|Rate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L81" s="79">
        <f>'Input|Step changes'!L12*INDEX('Input|Rate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M81" s="79">
        <f>'Input|Step changes'!M12*INDEX('Input|Rate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N81" s="79">
        <f>'Input|Step changes'!N12*INDEX('Input|Rate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0.31456636954797784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0.52050550356859648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0.52050550356859648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0.58839752577319604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0.58839752577319604</v>
      </c>
      <c r="T81" s="79">
        <f>'Input|Step changes'!T12*INDEX('Input|Rate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U81" s="210"/>
    </row>
    <row r="82" spans="1:31" outlineLevel="1">
      <c r="C82" s="75" t="str">
        <f>'Input|Step changes'!C17</f>
        <v>CER Integration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0.60622755928781769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0.74155508186456109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0.8740820053673225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1.0034669850359264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1.1298271587182207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U82" s="210"/>
    </row>
    <row r="83" spans="1:31" outlineLevel="1">
      <c r="C83" s="75" t="str">
        <f>'Input|Step changes'!C18</f>
        <v>Network Visability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1.0454109124444955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1.2029000108798062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1.3595659232963087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1.515005631564037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1.6223263343185645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U83" s="210"/>
    </row>
    <row r="84" spans="1:31" outlineLevel="1">
      <c r="C84" s="75" t="str">
        <f>'Input|Step changes'!C19</f>
        <v>Increases to Insurance Premiums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K84" s="79">
        <f>'Input|Step changes'!K15*INDEX('Input|Rate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L84" s="79">
        <f>'Input|Step changes'!L15*INDEX('Input|Rate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M84" s="79">
        <f>'Input|Step changes'!M15*INDEX('Input|Rate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N84" s="79">
        <f>'Input|Step changes'!N15*INDEX('Input|Rate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2.2319733408643292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3.3128306484834185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4.1377744201234012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4.6358020212945394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5.0642708934024627</v>
      </c>
      <c r="T84" s="79">
        <f>'Input|Step changes'!T15*INDEX('Input|Rate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U84" s="210"/>
    </row>
    <row r="85" spans="1:31" outlineLevel="1">
      <c r="C85" s="75" t="str">
        <f>'Input|Step changes'!C20</f>
        <v>Network Program Uplift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K85" s="79">
        <f>'Input|Step changes'!K16*INDEX('Input|Rate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L85" s="79">
        <f>'Input|Step changes'!L16*INDEX('Input|Rate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M85" s="79">
        <f>'Input|Step changes'!M16*INDEX('Input|Rate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N85" s="79">
        <f>'Input|Step changes'!N16*INDEX('Input|Rate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U85" s="210"/>
    </row>
    <row r="86" spans="1:31" outlineLevel="1">
      <c r="C86" s="75" t="str">
        <f>'Input|Step changes'!C21</f>
        <v>Reliability Improvements</v>
      </c>
      <c r="D86" s="16" t="s">
        <v>30</v>
      </c>
      <c r="E86" s="16" t="str">
        <f t="shared" si="8"/>
        <v>$millions</v>
      </c>
      <c r="F86" s="98">
        <f t="shared" si="9"/>
        <v>45809</v>
      </c>
      <c r="J86" s="79">
        <f>'Input|Step changes'!J21*INDEX('Input|Rate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K86" s="79">
        <f>'Input|Step changes'!K21*INDEX('Input|Rate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L86" s="79">
        <f>'Input|Step changes'!L21*INDEX('Input|Rate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M86" s="79">
        <f>'Input|Step changes'!M21*INDEX('Input|Rate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N86" s="79">
        <f>'Input|Step changes'!N21*INDEX('Input|Rate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O86" s="79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-4.9260084185998199E-2</v>
      </c>
      <c r="P86" s="79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-0.11494019643399581</v>
      </c>
      <c r="Q86" s="79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-0.18062030868199341</v>
      </c>
      <c r="R86" s="79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-0.24630042092999102</v>
      </c>
      <c r="S86" s="79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-0.31198053317798863</v>
      </c>
      <c r="T86" s="79">
        <f>'Input|Step changes'!T21*INDEX('Input|Rate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U86" s="210"/>
    </row>
    <row r="87" spans="1:31" outlineLevel="1">
      <c r="C87" s="75" t="str">
        <f>'Input|Step changes'!C22</f>
        <v>Transitioning to Electric Vehicles</v>
      </c>
      <c r="D87" s="16" t="s">
        <v>30</v>
      </c>
      <c r="E87" s="16" t="str">
        <f t="shared" si="8"/>
        <v>$millions</v>
      </c>
      <c r="F87" s="98">
        <f t="shared" si="9"/>
        <v>45809</v>
      </c>
      <c r="J87" s="79">
        <f>'Input|Step changes'!J22*INDEX('Input|Rate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K87" s="79">
        <f>'Input|Step changes'!K22*INDEX('Input|Rate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L87" s="79">
        <f>'Input|Step changes'!L22*INDEX('Input|Rate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M87" s="79">
        <f>'Input|Step changes'!M22*INDEX('Input|Rate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N87" s="79">
        <f>'Input|Step changes'!N22*INDEX('Input|Rate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O87" s="79">
        <f>'Input|Step changes'!O22*INDEX('Input|Rate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-3.1977142458366387E-2</v>
      </c>
      <c r="P87" s="79">
        <f>'Input|Step changes'!P22*INDEX('Input|Rate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-0.13238604869785889</v>
      </c>
      <c r="Q87" s="79">
        <f>'Input|Step changes'!Q22*INDEX('Input|Rate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-0.27550582610626495</v>
      </c>
      <c r="R87" s="79">
        <f>'Input|Step changes'!R22*INDEX('Input|Rate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-0.37316397391276779</v>
      </c>
      <c r="S87" s="79">
        <f>'Input|Step changes'!S22*INDEX('Input|Rate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-0.5251278187470263</v>
      </c>
      <c r="T87" s="79">
        <f>'Input|Step changes'!T22*INDEX('Input|Rate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U87" s="210"/>
    </row>
    <row r="88" spans="1:31" outlineLevel="1">
      <c r="C88" s="75"/>
      <c r="D88" s="16" t="s">
        <v>30</v>
      </c>
      <c r="E88" s="16" t="str">
        <f t="shared" si="8"/>
        <v>$millions</v>
      </c>
      <c r="F88" s="98">
        <f t="shared" si="9"/>
        <v>45809</v>
      </c>
      <c r="J88" s="79">
        <f>'Input|Step changes'!J23*INDEX('Input|Rate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K88" s="79">
        <f>'Input|Step changes'!K23*INDEX('Input|Rate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L88" s="79">
        <f>'Input|Step changes'!L23*INDEX('Input|Rate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M88" s="79">
        <f>'Input|Step changes'!M23*INDEX('Input|Rate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N88" s="79">
        <f>'Input|Step changes'!N23*INDEX('Input|Rate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O88" s="79">
        <f>'Input|Step changes'!O23*INDEX('Input|Rate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P88" s="79">
        <f>'Input|Step changes'!P23*INDEX('Input|Rate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Q88" s="79">
        <f>'Input|Step changes'!Q23*INDEX('Input|Rate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R88" s="79">
        <f>'Input|Step changes'!R23*INDEX('Input|Rate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S88" s="79">
        <f>'Input|Step changes'!S23*INDEX('Input|Rate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T88" s="79">
        <f>'Input|Step changes'!T23*INDEX('Input|Rate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</row>
    <row r="89" spans="1:31" outlineLevel="1">
      <c r="C89" s="75"/>
      <c r="D89" s="16" t="s">
        <v>30</v>
      </c>
      <c r="E89" s="16" t="str">
        <f t="shared" si="8"/>
        <v>$millions</v>
      </c>
      <c r="F89" s="98">
        <f t="shared" si="9"/>
        <v>45809</v>
      </c>
      <c r="J89" s="79">
        <f>'Input|Step changes'!J24*INDEX('Input|Rate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K89" s="79">
        <f>'Input|Step changes'!K24*INDEX('Input|Rate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L89" s="79">
        <f>'Input|Step changes'!L24*INDEX('Input|Rate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M89" s="79">
        <f>'Input|Step changes'!M24*INDEX('Input|Rate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N89" s="79">
        <f>'Input|Step changes'!N24*INDEX('Input|Rate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O89" s="79">
        <f>'Input|Step changes'!O24*INDEX('Input|Rate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P89" s="79">
        <f>'Input|Step changes'!P24*INDEX('Input|Rate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Q89" s="79">
        <f>'Input|Step changes'!Q24*INDEX('Input|Rate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R89" s="79">
        <f>'Input|Step changes'!R24*INDEX('Input|Rate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S89" s="79">
        <f>'Input|Step changes'!S24*INDEX('Input|Rate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T89" s="79">
        <f>'Input|Step changes'!T24*INDEX('Input|Rate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</row>
    <row r="90" spans="1:31" outlineLevel="1">
      <c r="C90" s="75"/>
      <c r="F90" s="67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</row>
    <row r="91" spans="1:31" ht="10.5" outlineLevel="1">
      <c r="C91" s="68" t="s">
        <v>48</v>
      </c>
      <c r="D91" s="76" t="s">
        <v>30</v>
      </c>
      <c r="E91" s="76" t="str">
        <f>$E$8</f>
        <v>$millions</v>
      </c>
      <c r="F91" s="101">
        <f t="shared" si="9"/>
        <v>45809</v>
      </c>
      <c r="G91" s="20"/>
      <c r="H91" s="20"/>
      <c r="I91" s="20"/>
      <c r="J91" s="80">
        <f>SUM(J76:J90)</f>
        <v>0</v>
      </c>
      <c r="K91" s="80">
        <f t="shared" ref="K91:S91" si="10">SUM(K76:K90)</f>
        <v>0</v>
      </c>
      <c r="L91" s="80">
        <f t="shared" si="10"/>
        <v>0</v>
      </c>
      <c r="M91" s="80">
        <f t="shared" si="10"/>
        <v>0</v>
      </c>
      <c r="N91" s="80">
        <f t="shared" si="10"/>
        <v>0</v>
      </c>
      <c r="O91" s="80">
        <f>SUM(O76:O90)</f>
        <v>13.016643405718126</v>
      </c>
      <c r="P91" s="80">
        <f t="shared" si="10"/>
        <v>21.226372251946021</v>
      </c>
      <c r="Q91" s="80">
        <f t="shared" si="10"/>
        <v>23.409657128584801</v>
      </c>
      <c r="R91" s="80">
        <f t="shared" si="10"/>
        <v>24.100204979802712</v>
      </c>
      <c r="S91" s="80">
        <f t="shared" si="10"/>
        <v>25.197438264670996</v>
      </c>
      <c r="T91" s="80">
        <f t="shared" ref="T91" si="11">SUM(T76:T90)</f>
        <v>0</v>
      </c>
    </row>
    <row r="92" spans="1:31" ht="10.5">
      <c r="C92" s="77"/>
      <c r="J92" s="64"/>
      <c r="K92" s="64"/>
      <c r="L92" s="64"/>
      <c r="M92" s="64"/>
      <c r="N92" s="22"/>
      <c r="O92" s="22"/>
      <c r="P92" s="22"/>
      <c r="Q92" s="22"/>
      <c r="R92" s="22"/>
      <c r="S92" s="22"/>
      <c r="T92" s="22"/>
    </row>
    <row r="93" spans="1:31" customFormat="1" ht="13">
      <c r="A93" s="32"/>
      <c r="B93" s="38" t="s">
        <v>107</v>
      </c>
      <c r="C93" s="32"/>
      <c r="D93" s="32"/>
      <c r="E93" s="32"/>
      <c r="F93" s="33"/>
      <c r="G93" s="33"/>
      <c r="H93" s="33"/>
      <c r="I93" s="33"/>
      <c r="J93" s="34"/>
      <c r="K93" s="35"/>
      <c r="L93" s="34"/>
      <c r="M93" s="35"/>
      <c r="N93" s="34"/>
      <c r="O93" s="34"/>
      <c r="P93" s="34"/>
      <c r="Q93" s="34"/>
      <c r="R93" s="34"/>
      <c r="S93" s="34"/>
      <c r="T93" s="34"/>
      <c r="U93" s="34"/>
      <c r="V93" s="34"/>
      <c r="W93" s="35"/>
      <c r="X93" s="35"/>
      <c r="Y93" s="36"/>
      <c r="Z93" s="36"/>
      <c r="AA93" s="36"/>
      <c r="AB93" s="36"/>
      <c r="AC93" s="36"/>
      <c r="AD93" s="37"/>
      <c r="AE93" s="37"/>
    </row>
    <row r="94" spans="1:31" outlineLevel="1">
      <c r="C94" s="15"/>
      <c r="J94" s="64"/>
      <c r="K94" s="64"/>
      <c r="L94" s="64"/>
    </row>
    <row r="95" spans="1:31" ht="10.5" outlineLevel="1">
      <c r="C95" s="9" t="s">
        <v>102</v>
      </c>
      <c r="D95" s="20" t="s">
        <v>7</v>
      </c>
      <c r="E95" s="20" t="s">
        <v>8</v>
      </c>
      <c r="F95" s="20" t="s">
        <v>22</v>
      </c>
      <c r="J95" s="99" t="str">
        <f>IF(YEAR(J$4)&gt;='Input|General'!$G$13,IF(YEAR(J$4)&lt;='Input|General'!$G$14,J$4,""),"")</f>
        <v/>
      </c>
      <c r="K95" s="99" t="str">
        <f>IF(YEAR(K$4)&gt;='Input|General'!$G$13,IF(YEAR(K$4)&lt;='Input|General'!$G$14,K$4,""),"")</f>
        <v/>
      </c>
      <c r="L95" s="99" t="str">
        <f>IF(YEAR(L$4)&gt;='Input|General'!$G$13,IF(YEAR(L$4)&lt;='Input|General'!$G$14,L$4,""),"")</f>
        <v/>
      </c>
      <c r="M95" s="99" t="str">
        <f>IF(YEAR(M$4)&gt;='Input|General'!$G$13,IF(YEAR(M$4)&lt;='Input|General'!$G$14,M$4,""),"")</f>
        <v/>
      </c>
      <c r="N95" s="99" t="str">
        <f>IF(YEAR(N$4)&gt;='Input|General'!$G$13,IF(YEAR(N$4)&lt;='Input|General'!$G$14,N$4,""),"")</f>
        <v/>
      </c>
      <c r="O95" s="99">
        <f>IF(YEAR(O$4)&gt;='Input|General'!$G$13,IF(YEAR(O$4)&lt;='Input|General'!$G$14,O$4,""),"")</f>
        <v>46174</v>
      </c>
      <c r="P95" s="99">
        <f>IF(YEAR(P$4)&gt;='Input|General'!$G$13,IF(YEAR(P$4)&lt;='Input|General'!$G$14,P$4,""),"")</f>
        <v>46539</v>
      </c>
      <c r="Q95" s="99">
        <f>IF(YEAR(Q$4)&gt;='Input|General'!$G$13,IF(YEAR(Q$4)&lt;='Input|General'!$G$14,Q$4,""),"")</f>
        <v>46905</v>
      </c>
      <c r="R95" s="99">
        <f>IF(YEAR(R$4)&gt;='Input|General'!$G$13,IF(YEAR(R$4)&lt;='Input|General'!$G$14,R$4,""),"")</f>
        <v>47270</v>
      </c>
      <c r="S95" s="99">
        <f>IF(YEAR(S$4)&gt;='Input|General'!$G$13,IF(YEAR(S$4)&lt;='Input|General'!$G$14,S$4,""),"")</f>
        <v>47635</v>
      </c>
      <c r="T95" s="99" t="str">
        <f>IF(YEAR(T$4)&gt;='Input|General'!$G$13,IF(YEAR(T$4)&lt;='Input|General'!$G$14,T$4,""),"")</f>
        <v/>
      </c>
    </row>
    <row r="96" spans="1:31" ht="10.5" outlineLevel="1">
      <c r="C96" s="9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39" outlineLevel="1">
      <c r="C97" s="75" t="str">
        <f>'Input|Step changes'!C32</f>
        <v>Enactment of the Small Compensation Claims Regime</v>
      </c>
      <c r="D97" s="16" t="s">
        <v>30</v>
      </c>
      <c r="E97" s="16" t="str">
        <f t="shared" si="8"/>
        <v>$millions</v>
      </c>
      <c r="F97" s="98">
        <f t="shared" ref="F97:F101" si="12">$F$8</f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</row>
    <row r="98" spans="1:39" outlineLevel="1">
      <c r="C98" s="75" t="str">
        <f>'Input|Step changes'!C33</f>
        <v>Innovation fund</v>
      </c>
      <c r="D98" s="16" t="s">
        <v>30</v>
      </c>
      <c r="E98" s="16" t="str">
        <f t="shared" si="8"/>
        <v>$millions</v>
      </c>
      <c r="F98" s="98">
        <f t="shared" si="12"/>
        <v>45809</v>
      </c>
      <c r="J98" s="79">
        <f>'Input|Step changes'!J33*INDEX('Input|Rate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K98" s="79">
        <f>'Input|Step changes'!K33*INDEX('Input|Rate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L98" s="79">
        <f>'Input|Step changes'!L33*INDEX('Input|Rate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M98" s="79">
        <f>'Input|Step changes'!M33*INDEX('Input|Rate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N98" s="79">
        <f>'Input|Step changes'!N33*INDEX('Input|Rate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O98" s="79">
        <f>'Input|Step changes'!O33*INDEX('Input|Rate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0.8</v>
      </c>
      <c r="P98" s="79">
        <f>'Input|Step changes'!P33*INDEX('Input|Rate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0.8</v>
      </c>
      <c r="Q98" s="79">
        <f>'Input|Step changes'!Q33*INDEX('Input|Rate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0.8</v>
      </c>
      <c r="R98" s="79">
        <f>'Input|Step changes'!R33*INDEX('Input|Rate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0.8</v>
      </c>
      <c r="S98" s="79">
        <f>'Input|Step changes'!S33*INDEX('Input|Rate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0.8</v>
      </c>
      <c r="T98" s="79">
        <f>'Input|Step changes'!T33*INDEX('Input|Rate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</row>
    <row r="99" spans="1:39" outlineLevel="1">
      <c r="C99" s="75">
        <f>'Input|Step changes'!C34</f>
        <v>0</v>
      </c>
      <c r="D99" s="16" t="s">
        <v>30</v>
      </c>
      <c r="E99" s="16" t="str">
        <f t="shared" si="8"/>
        <v>$millions</v>
      </c>
      <c r="F99" s="98">
        <f t="shared" si="12"/>
        <v>45809</v>
      </c>
      <c r="J99" s="79">
        <f>'Input|Step changes'!J34*INDEX('Input|Rate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K99" s="79">
        <f>'Input|Step changes'!K34*INDEX('Input|Rate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L99" s="79">
        <f>'Input|Step changes'!L34*INDEX('Input|Rate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M99" s="79">
        <f>'Input|Step changes'!M34*INDEX('Input|Rate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N99" s="79">
        <f>'Input|Step changes'!N34*INDEX('Input|Rate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O99" s="79">
        <f>'Input|Step changes'!O34*INDEX('Input|Rate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P99" s="79">
        <f>'Input|Step changes'!P34*INDEX('Input|Rate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Q99" s="79">
        <f>'Input|Step changes'!Q34*INDEX('Input|Rate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R99" s="79">
        <f>'Input|Step changes'!R34*INDEX('Input|Rate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S99" s="79">
        <f>'Input|Step changes'!S34*INDEX('Input|Rate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T99" s="79">
        <f>'Input|Step changes'!T34*INDEX('Input|Rate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</row>
    <row r="100" spans="1:39" outlineLevel="1">
      <c r="C100" s="75">
        <f>'Input|Step changes'!C35</f>
        <v>0</v>
      </c>
      <c r="D100" s="16" t="s">
        <v>30</v>
      </c>
      <c r="E100" s="16" t="str">
        <f t="shared" si="8"/>
        <v>$millions</v>
      </c>
      <c r="F100" s="98">
        <f t="shared" si="12"/>
        <v>45809</v>
      </c>
      <c r="J100" s="79">
        <f>'Input|Step changes'!J35*INDEX('Input|Rate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K100" s="79">
        <f>'Input|Step changes'!K35*INDEX('Input|Rate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L100" s="79">
        <f>'Input|Step changes'!L35*INDEX('Input|Rate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M100" s="79">
        <f>'Input|Step changes'!M35*INDEX('Input|Rate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N100" s="79">
        <f>'Input|Step changes'!N35*INDEX('Input|Rate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O100" s="79">
        <f>'Input|Step changes'!O35*INDEX('Input|Rate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P100" s="79">
        <f>'Input|Step changes'!P35*INDEX('Input|Rate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Q100" s="79">
        <f>'Input|Step changes'!Q35*INDEX('Input|Rate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R100" s="79">
        <f>'Input|Step changes'!R35*INDEX('Input|Rate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S100" s="79">
        <f>'Input|Step changes'!S35*INDEX('Input|Rate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T100" s="79">
        <f>'Input|Step changes'!T35*INDEX('Input|Rate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</row>
    <row r="101" spans="1:39" outlineLevel="1">
      <c r="C101" s="75">
        <f>'Input|Step changes'!C36</f>
        <v>0</v>
      </c>
      <c r="D101" s="16" t="s">
        <v>30</v>
      </c>
      <c r="E101" s="16" t="str">
        <f t="shared" si="8"/>
        <v>$millions</v>
      </c>
      <c r="F101" s="98">
        <f t="shared" si="12"/>
        <v>45809</v>
      </c>
      <c r="J101" s="79">
        <f>'Input|Step changes'!J36*INDEX('Input|Rate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K101" s="79">
        <f>'Input|Step changes'!K36*INDEX('Input|Rate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L101" s="79">
        <f>'Input|Step changes'!L36*INDEX('Input|Rate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M101" s="79">
        <f>'Input|Step changes'!M36*INDEX('Input|Rate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N101" s="79">
        <f>'Input|Step changes'!N36*INDEX('Input|Rate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O101" s="79">
        <f>'Input|Step changes'!O36*INDEX('Input|Rate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P101" s="79">
        <f>'Input|Step changes'!P36*INDEX('Input|Rate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Q101" s="79">
        <f>'Input|Step changes'!Q36*INDEX('Input|Rate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R101" s="79">
        <f>'Input|Step changes'!R36*INDEX('Input|Rate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S101" s="79">
        <f>'Input|Step changes'!S36*INDEX('Input|Rate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T101" s="79">
        <f>'Input|Step changes'!T36*INDEX('Input|Rate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</row>
    <row r="102" spans="1:39" outlineLevel="1">
      <c r="C102" s="75"/>
      <c r="F102" s="67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</row>
    <row r="103" spans="1:39" ht="10.5" outlineLevel="1">
      <c r="C103" s="68" t="s">
        <v>108</v>
      </c>
      <c r="D103" s="76" t="s">
        <v>30</v>
      </c>
      <c r="E103" s="76" t="str">
        <f>$E$8</f>
        <v>$millions</v>
      </c>
      <c r="F103" s="101">
        <f t="shared" ref="F103" si="13">$F$8</f>
        <v>45809</v>
      </c>
      <c r="G103" s="20"/>
      <c r="H103" s="20"/>
      <c r="I103" s="20"/>
      <c r="J103" s="80">
        <f t="shared" ref="J103:T103" si="14">SUM(J96:J101)</f>
        <v>0</v>
      </c>
      <c r="K103" s="80">
        <f t="shared" si="14"/>
        <v>0</v>
      </c>
      <c r="L103" s="80">
        <f t="shared" si="14"/>
        <v>0</v>
      </c>
      <c r="M103" s="80">
        <f t="shared" si="14"/>
        <v>0</v>
      </c>
      <c r="N103" s="80">
        <f t="shared" si="14"/>
        <v>0</v>
      </c>
      <c r="O103" s="80">
        <f t="shared" si="14"/>
        <v>0.8</v>
      </c>
      <c r="P103" s="80">
        <f t="shared" si="14"/>
        <v>0.8</v>
      </c>
      <c r="Q103" s="80">
        <f t="shared" si="14"/>
        <v>0.8</v>
      </c>
      <c r="R103" s="80">
        <f t="shared" si="14"/>
        <v>0.8</v>
      </c>
      <c r="S103" s="80">
        <f t="shared" si="14"/>
        <v>0.8</v>
      </c>
      <c r="T103" s="80">
        <f t="shared" si="14"/>
        <v>0</v>
      </c>
    </row>
    <row r="104" spans="1:39" ht="10.5">
      <c r="C104" s="77"/>
      <c r="J104" s="64"/>
      <c r="K104" s="64"/>
      <c r="L104" s="64"/>
      <c r="M104" s="64"/>
      <c r="N104" s="22"/>
      <c r="O104" s="22"/>
      <c r="P104" s="22"/>
      <c r="Q104" s="22"/>
      <c r="R104" s="22"/>
      <c r="S104" s="22"/>
      <c r="T104" s="22"/>
    </row>
    <row r="105" spans="1:39" customFormat="1" ht="13">
      <c r="A105" s="32"/>
      <c r="B105" s="38" t="s">
        <v>86</v>
      </c>
      <c r="C105" s="32"/>
      <c r="D105" s="32"/>
      <c r="E105" s="32"/>
      <c r="F105" s="33"/>
      <c r="G105" s="33"/>
      <c r="H105" s="33"/>
      <c r="I105" s="33"/>
      <c r="J105" s="34"/>
      <c r="K105" s="35"/>
      <c r="L105" s="34"/>
      <c r="M105" s="35"/>
      <c r="N105" s="34"/>
      <c r="O105" s="34"/>
      <c r="P105" s="34"/>
      <c r="Q105" s="34"/>
      <c r="R105" s="34"/>
      <c r="S105" s="34"/>
      <c r="T105" s="34"/>
      <c r="U105" s="34"/>
      <c r="V105" s="34"/>
      <c r="W105" s="35"/>
      <c r="X105" s="35"/>
      <c r="Y105" s="36"/>
      <c r="Z105" s="36"/>
      <c r="AA105" s="36"/>
      <c r="AB105" s="36"/>
      <c r="AC105" s="36"/>
      <c r="AD105" s="37"/>
      <c r="AE105" s="37"/>
    </row>
    <row r="106" spans="1:39" outlineLevel="1">
      <c r="C106" s="15"/>
      <c r="J106" s="64"/>
      <c r="K106" s="64"/>
      <c r="L106" s="64"/>
    </row>
    <row r="107" spans="1:39" ht="10.5" outlineLevel="1">
      <c r="C107" s="9"/>
      <c r="J107" s="99" t="str">
        <f>IF(YEAR(J$4)&gt;='Input|General'!$G$13,IF(YEAR(J$4)&lt;='Input|General'!$G$14,J$4,""),"")</f>
        <v/>
      </c>
      <c r="K107" s="99" t="str">
        <f>IF(YEAR(K$4)&gt;='Input|General'!$G$13,IF(YEAR(K$4)&lt;='Input|General'!$G$14,K$4,""),"")</f>
        <v/>
      </c>
      <c r="L107" s="99" t="str">
        <f>IF(YEAR(L$4)&gt;='Input|General'!$G$13,IF(YEAR(L$4)&lt;='Input|General'!$G$14,L$4,""),"")</f>
        <v/>
      </c>
      <c r="M107" s="99" t="str">
        <f>IF(YEAR(M$4)&gt;='Input|General'!$G$13,IF(YEAR(M$4)&lt;='Input|General'!$G$14,M$4,""),"")</f>
        <v/>
      </c>
      <c r="N107" s="99" t="str">
        <f>IF(YEAR(N$4)&gt;='Input|General'!$G$13,IF(YEAR(N$4)&lt;='Input|General'!$G$14,N$4,""),"")</f>
        <v/>
      </c>
      <c r="O107" s="99">
        <f>IF(YEAR(O$4)&gt;='Input|General'!$G$13,IF(YEAR(O$4)&lt;='Input|General'!$G$14,O$4,""),"")</f>
        <v>46174</v>
      </c>
      <c r="P107" s="99">
        <f>IF(YEAR(P$4)&gt;='Input|General'!$G$13,IF(YEAR(P$4)&lt;='Input|General'!$G$14,P$4,""),"")</f>
        <v>46539</v>
      </c>
      <c r="Q107" s="99">
        <f>IF(YEAR(Q$4)&gt;='Input|General'!$G$13,IF(YEAR(Q$4)&lt;='Input|General'!$G$14,Q$4,""),"")</f>
        <v>46905</v>
      </c>
      <c r="R107" s="99">
        <f>IF(YEAR(R$4)&gt;='Input|General'!$G$13,IF(YEAR(R$4)&lt;='Input|General'!$G$14,R$4,""),"")</f>
        <v>47270</v>
      </c>
      <c r="S107" s="99">
        <f>IF(YEAR(S$4)&gt;='Input|General'!$G$13,IF(YEAR(S$4)&lt;='Input|General'!$G$14,S$4,""),"")</f>
        <v>47635</v>
      </c>
      <c r="T107" s="99" t="str">
        <f>IF(YEAR(T$4)&gt;='Input|General'!$G$13,IF(YEAR(T$4)&lt;='Input|General'!$G$14,T$4,""),"")</f>
        <v/>
      </c>
    </row>
    <row r="108" spans="1:39" ht="10.5" outlineLevel="1">
      <c r="C108" s="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</row>
    <row r="109" spans="1:39" ht="10.5" outlineLevel="1">
      <c r="C109" s="77" t="s">
        <v>124</v>
      </c>
      <c r="D109" s="20" t="s">
        <v>30</v>
      </c>
      <c r="E109" s="20" t="str">
        <f>$E$8</f>
        <v>$millions</v>
      </c>
      <c r="F109" s="101">
        <f t="shared" ref="F109:F111" si="15">$F$8</f>
        <v>45809</v>
      </c>
      <c r="J109" s="90" t="str">
        <f t="shared" ref="J109:T109" si="16">IF(YEAR(J$4)&gt;=FPFirstYear,IF(YEAR(J$4)&lt;=FPLastYear,IF(ISBLANK(J107),"",(1+J71)*SUM($J54:$S54)+J91),""),"")</f>
        <v/>
      </c>
      <c r="K109" s="90" t="str">
        <f t="shared" si="16"/>
        <v/>
      </c>
      <c r="L109" s="90" t="str">
        <f t="shared" si="16"/>
        <v/>
      </c>
      <c r="M109" s="90" t="str">
        <f t="shared" si="16"/>
        <v/>
      </c>
      <c r="N109" s="90" t="str">
        <f t="shared" si="16"/>
        <v/>
      </c>
      <c r="O109" s="213">
        <f t="shared" ca="1" si="16"/>
        <v>391.21615117176174</v>
      </c>
      <c r="P109" s="213">
        <f t="shared" ca="1" si="16"/>
        <v>401.34519497154395</v>
      </c>
      <c r="Q109" s="213">
        <f t="shared" ca="1" si="16"/>
        <v>405.43700915389689</v>
      </c>
      <c r="R109" s="213">
        <f t="shared" ca="1" si="16"/>
        <v>408.40570126328231</v>
      </c>
      <c r="S109" s="213">
        <f t="shared" ca="1" si="16"/>
        <v>412.15013292024332</v>
      </c>
      <c r="T109" s="90" t="str">
        <f t="shared" si="16"/>
        <v/>
      </c>
      <c r="U109" s="208"/>
    </row>
    <row r="110" spans="1:39" ht="10.5" outlineLevel="1">
      <c r="C110" s="77" t="s">
        <v>100</v>
      </c>
      <c r="D110" s="20" t="s">
        <v>30</v>
      </c>
      <c r="E110" s="20" t="str">
        <f>$E$8</f>
        <v>$millions</v>
      </c>
      <c r="F110" s="101">
        <f t="shared" si="15"/>
        <v>45809</v>
      </c>
      <c r="J110" s="90" t="str">
        <f t="shared" ref="J110:T110" si="17">IF(YEAR(J$4)&gt;=FPFirstYear,IF(YEAR(J$4)&lt;=FPLastYear,IF(ISBLANK(J107),"",(1+J71)*SUM($J54:$S54)+J91+J103),""),"")</f>
        <v/>
      </c>
      <c r="K110" s="90" t="str">
        <f t="shared" si="17"/>
        <v/>
      </c>
      <c r="L110" s="90" t="str">
        <f t="shared" si="17"/>
        <v/>
      </c>
      <c r="M110" s="90" t="str">
        <f t="shared" si="17"/>
        <v/>
      </c>
      <c r="N110" s="90" t="str">
        <f t="shared" si="17"/>
        <v/>
      </c>
      <c r="O110" s="213">
        <f t="shared" ca="1" si="17"/>
        <v>392.01615117176175</v>
      </c>
      <c r="P110" s="213">
        <f t="shared" ca="1" si="17"/>
        <v>402.14519497154396</v>
      </c>
      <c r="Q110" s="213">
        <f t="shared" ca="1" si="17"/>
        <v>406.23700915389691</v>
      </c>
      <c r="R110" s="213">
        <f t="shared" ca="1" si="17"/>
        <v>409.20570126328232</v>
      </c>
      <c r="S110" s="213">
        <f t="shared" ca="1" si="17"/>
        <v>412.95013292024333</v>
      </c>
      <c r="T110" s="90" t="str">
        <f t="shared" si="17"/>
        <v/>
      </c>
      <c r="U110" s="208"/>
    </row>
    <row r="111" spans="1:39" ht="10.5" outlineLevel="1">
      <c r="C111" s="77" t="s">
        <v>101</v>
      </c>
      <c r="D111" s="20" t="s">
        <v>30</v>
      </c>
      <c r="E111" s="20" t="str">
        <f>$E$8</f>
        <v>$millions</v>
      </c>
      <c r="F111" s="101">
        <f t="shared" si="15"/>
        <v>45809</v>
      </c>
      <c r="J111" s="90" t="str">
        <f>IF(YEAR(J$4)&gt;=FPFirstYear,IF(YEAR(J$4)&lt;=FPLastYear,J110+'Input|Step changes'!J44,""),"")</f>
        <v/>
      </c>
      <c r="K111" s="90" t="str">
        <f>IF(YEAR(K$4)&gt;=FPFirstYear,IF(YEAR(K$4)&lt;=FPLastYear,K110+'Input|Step changes'!K44,""),"")</f>
        <v/>
      </c>
      <c r="L111" s="90" t="str">
        <f>IF(YEAR(L$4)&gt;=FPFirstYear,IF(YEAR(L$4)&lt;=FPLastYear,L110+'Input|Step changes'!L44,""),"")</f>
        <v/>
      </c>
      <c r="M111" s="90" t="str">
        <f>IF(YEAR(M$4)&gt;=FPFirstYear,IF(YEAR(M$4)&lt;=FPLastYear,M110+'Input|Step changes'!M44,""),"")</f>
        <v/>
      </c>
      <c r="N111" s="90" t="str">
        <f>IF(YEAR(N$4)&gt;=FPFirstYear,IF(YEAR(N$4)&lt;=FPLastYear,N110+'Input|Step changes'!N44,""),"")</f>
        <v/>
      </c>
      <c r="O111" s="213">
        <f ca="1">IF(YEAR(O$4)&gt;=FPFirstYear,IF(YEAR(O$4)&lt;=FPLastYear,O110+'Input|Step changes'!O44,""),"")</f>
        <v>394.66963305724278</v>
      </c>
      <c r="P111" s="213">
        <f ca="1">IF(YEAR(P$4)&gt;=FPFirstYear,IF(YEAR(P$4)&lt;=FPLastYear,P110+'Input|Step changes'!P44,""),"")</f>
        <v>404.83711763032278</v>
      </c>
      <c r="Q111" s="213">
        <f ca="1">IF(YEAR(Q$4)&gt;=FPFirstYear,IF(YEAR(Q$4)&lt;=FPLastYear,Q110+'Input|Step changes'!Q44,""),"")</f>
        <v>408.96525943651341</v>
      </c>
      <c r="R111" s="213">
        <f ca="1">IF(YEAR(R$4)&gt;=FPFirstYear,IF(YEAR(R$4)&lt;=FPLastYear,R110+'Input|Step changes'!R44,""),"")</f>
        <v>411.97856555851814</v>
      </c>
      <c r="S111" s="213">
        <f ca="1">IF(YEAR(S$4)&gt;=FPFirstYear,IF(YEAR(S$4)&lt;=FPLastYear,S110+'Input|Step changes'!S44,""),"")</f>
        <v>415.78406663445884</v>
      </c>
      <c r="T111" s="90" t="str">
        <f>IF(YEAR(T$4)&gt;=FPFirstYear,IF(YEAR(T$4)&lt;=FPLastYear,T110+'Input|Step changes'!T44,""),"")</f>
        <v/>
      </c>
      <c r="U111" s="208"/>
    </row>
    <row r="112" spans="1:39" ht="10.5">
      <c r="C112" s="77"/>
      <c r="J112" s="64"/>
      <c r="K112" s="64"/>
      <c r="L112" s="64"/>
      <c r="M112" s="64"/>
      <c r="N112" s="22"/>
      <c r="O112" s="22"/>
      <c r="P112" s="22"/>
      <c r="Q112" s="22"/>
      <c r="R112" s="22"/>
      <c r="S112" s="22"/>
      <c r="T112" s="22"/>
    </row>
    <row r="113" spans="1:31" customFormat="1" ht="13">
      <c r="A113" s="32"/>
      <c r="B113" s="38" t="s">
        <v>21</v>
      </c>
      <c r="C113" s="32"/>
      <c r="D113" s="32"/>
      <c r="E113" s="32"/>
      <c r="F113" s="33"/>
      <c r="G113" s="33"/>
      <c r="H113" s="33"/>
      <c r="I113" s="33"/>
      <c r="J113" s="34"/>
      <c r="K113" s="35"/>
      <c r="L113" s="34"/>
      <c r="M113" s="35"/>
      <c r="N113" s="34"/>
      <c r="O113" s="34"/>
      <c r="P113" s="34"/>
      <c r="Q113" s="34"/>
      <c r="R113" s="34"/>
      <c r="S113" s="34"/>
      <c r="T113" s="34"/>
      <c r="U113" s="34"/>
      <c r="V113" s="34"/>
      <c r="W113" s="35"/>
      <c r="X113" s="35"/>
      <c r="Y113" s="36"/>
      <c r="Z113" s="36"/>
      <c r="AA113" s="36"/>
      <c r="AB113" s="36"/>
      <c r="AC113" s="36"/>
      <c r="AD113" s="37"/>
      <c r="AE113" s="37"/>
    </row>
    <row r="114" spans="1:31"/>
    <row r="115" spans="1:31">
      <c r="O115" s="215"/>
      <c r="P115" s="215"/>
      <c r="Q115" s="215"/>
      <c r="R115" s="215"/>
      <c r="S115" s="215"/>
    </row>
    <row r="116" spans="1:31">
      <c r="O116" s="214"/>
      <c r="P116" s="214"/>
      <c r="Q116" s="214"/>
      <c r="R116" s="214"/>
      <c r="S116" s="214"/>
    </row>
    <row r="122" spans="1:31" hidden="1">
      <c r="D122" s="8"/>
      <c r="E122" s="8"/>
      <c r="F122" s="8"/>
      <c r="G122" s="8"/>
      <c r="H122" s="8"/>
      <c r="I122" s="8"/>
    </row>
    <row r="123" spans="1:31" hidden="1">
      <c r="D123" s="8"/>
      <c r="E123" s="8"/>
      <c r="F123" s="8"/>
      <c r="G123" s="8"/>
      <c r="H123" s="8"/>
      <c r="I123" s="8"/>
    </row>
    <row r="124" spans="1:31" hidden="1">
      <c r="D124" s="8"/>
      <c r="E124" s="8"/>
      <c r="F124" s="8"/>
      <c r="G124" s="8"/>
      <c r="H124" s="8"/>
      <c r="I124" s="8"/>
    </row>
    <row r="125" spans="1:31" hidden="1">
      <c r="D125" s="8"/>
      <c r="E125" s="8"/>
      <c r="F125" s="8"/>
      <c r="G125" s="8"/>
      <c r="H125" s="8"/>
      <c r="I125" s="8"/>
    </row>
    <row r="126" spans="1:31" hidden="1">
      <c r="D126" s="8"/>
      <c r="E126" s="8"/>
      <c r="F126" s="8"/>
      <c r="G126" s="8"/>
      <c r="H126" s="8"/>
      <c r="I126" s="8"/>
    </row>
    <row r="127" spans="1:31" hidden="1">
      <c r="D127" s="8"/>
      <c r="E127" s="8"/>
      <c r="F127" s="8"/>
      <c r="G127" s="8"/>
      <c r="H127" s="8"/>
      <c r="I127" s="8"/>
    </row>
    <row r="128" spans="1:31" hidden="1">
      <c r="D128" s="8"/>
      <c r="E128" s="8"/>
      <c r="F128" s="8"/>
      <c r="G128" s="8"/>
      <c r="H128" s="8"/>
      <c r="I128" s="8"/>
    </row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  <row r="197" s="8" customFormat="1" hidden="1"/>
    <row r="198" s="8" customFormat="1" hidden="1"/>
  </sheetData>
  <mergeCells count="1">
    <mergeCell ref="N3:S3"/>
  </mergeCells>
  <conditionalFormatting sqref="J10:T10">
    <cfRule type="expression" dxfId="49" priority="28">
      <formula>J$10=J$4</formula>
    </cfRule>
  </conditionalFormatting>
  <conditionalFormatting sqref="J12:T24">
    <cfRule type="cellIs" dxfId="48" priority="9" operator="equal">
      <formula>0</formula>
    </cfRule>
  </conditionalFormatting>
  <conditionalFormatting sqref="J25:T25">
    <cfRule type="expression" dxfId="47" priority="27">
      <formula>J$10=J$4</formula>
    </cfRule>
  </conditionalFormatting>
  <conditionalFormatting sqref="J26:T54">
    <cfRule type="cellIs" dxfId="46" priority="1" operator="equal">
      <formula>0</formula>
    </cfRule>
  </conditionalFormatting>
  <conditionalFormatting sqref="J54:T54">
    <cfRule type="expression" dxfId="45" priority="26">
      <formula>J$10=J$4</formula>
    </cfRule>
  </conditionalFormatting>
  <conditionalFormatting sqref="J58:T58 J75:T75 J95:T95">
    <cfRule type="expression" dxfId="44" priority="118">
      <formula>J$58=J$4</formula>
    </cfRule>
  </conditionalFormatting>
  <conditionalFormatting sqref="J61:T68">
    <cfRule type="cellIs" dxfId="43" priority="100" operator="equal">
      <formula>0</formula>
    </cfRule>
  </conditionalFormatting>
  <conditionalFormatting sqref="J70:T70">
    <cfRule type="expression" dxfId="42" priority="112">
      <formula>J$58=J$4</formula>
    </cfRule>
  </conditionalFormatting>
  <conditionalFormatting sqref="J70:T71">
    <cfRule type="cellIs" dxfId="41" priority="19" operator="equal">
      <formula>0</formula>
    </cfRule>
  </conditionalFormatting>
  <conditionalFormatting sqref="J77:T89 J97:T103">
    <cfRule type="cellIs" dxfId="40" priority="98" operator="equal">
      <formula>0</formula>
    </cfRule>
  </conditionalFormatting>
  <conditionalFormatting sqref="J91:T91">
    <cfRule type="expression" dxfId="39" priority="116">
      <formula>J$75=J$4</formula>
    </cfRule>
    <cfRule type="cellIs" dxfId="38" priority="117" operator="equal">
      <formula>0</formula>
    </cfRule>
  </conditionalFormatting>
  <conditionalFormatting sqref="J103:T103">
    <cfRule type="expression" dxfId="37" priority="114">
      <formula>J$95=J$4</formula>
    </cfRule>
  </conditionalFormatting>
  <conditionalFormatting sqref="J107:T107">
    <cfRule type="expression" dxfId="36" priority="121">
      <formula>J$107=J$4</formula>
    </cfRule>
  </conditionalFormatting>
  <conditionalFormatting sqref="J109:T111">
    <cfRule type="cellIs" dxfId="35" priority="29" operator="equal">
      <formula>0</formula>
    </cfRule>
  </conditionalFormatting>
  <conditionalFormatting sqref="S1:T1">
    <cfRule type="cellIs" dxfId="34" priority="107" operator="equal">
      <formula>"Check"</formula>
    </cfRule>
    <cfRule type="cellIs" dxfId="33" priority="108" operator="equal">
      <formula>"Ok"</formula>
    </cfRule>
  </conditionalFormatting>
  <conditionalFormatting sqref="W1">
    <cfRule type="cellIs" dxfId="32" priority="109" operator="equal">
      <formula>"Check"</formula>
    </cfRule>
    <cfRule type="cellIs" dxfId="31" priority="110" operator="equal">
      <formula>"Ok"</formula>
    </cfRule>
  </conditionalFormatting>
  <dataValidations count="3">
    <dataValidation type="list" allowBlank="1" showInputMessage="1" showErrorMessage="1" sqref="F104 F92 F112" xr:uid="{00000000-0002-0000-0700-000000000000}">
      <formula1>"Real 2010,Real 2011,Real 2012,Real 2013,Real 2014,Real 2015,Nominal"</formula1>
    </dataValidation>
    <dataValidation type="list" allowBlank="1" showInputMessage="1" showErrorMessage="1" sqref="F90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9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250</v>
      </c>
      <c r="T1" s="29"/>
      <c r="V1" s="200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4"/>
      <c r="O3" s="224"/>
      <c r="P3" s="224"/>
      <c r="Q3" s="224"/>
      <c r="R3" s="224"/>
      <c r="S3" s="224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forecast'!C109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K13" s="104">
        <f>IF(K11="",0,'Calc|Opex forecast'!K109*INDEX('Input|Rate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L13" s="104">
        <f>IF(L11="",0,'Calc|Opex forecast'!L109*INDEX('Input|Rate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M13" s="104">
        <f>IF(M11="",0,'Calc|Opex forecast'!M109*INDEX('Input|Rate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N13" s="104">
        <f>IF(N11="",0,'Calc|Opex forecast'!N109*INDEX('Input|Rate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O13" s="104">
        <f ca="1">IF(O11="",0,'Calc|Opex forecast'!O109*INDEX('Input|Rate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391.21615117176174</v>
      </c>
      <c r="P13" s="104">
        <f ca="1">IF(P11="",0,'Calc|Opex forecast'!P109*INDEX('Input|Rate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401.34519497154395</v>
      </c>
      <c r="Q13" s="104">
        <f ca="1">IF(Q11="",0,'Calc|Opex forecast'!Q109*INDEX('Input|Rate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405.43700915389689</v>
      </c>
      <c r="R13" s="104">
        <f ca="1">IF(R11="",0,'Calc|Opex forecast'!R109*INDEX('Input|Rate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408.40570126328231</v>
      </c>
      <c r="S13" s="104">
        <f ca="1">IF(S11="",0,'Calc|Opex forecast'!S109*INDEX('Input|Rate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412.15013292024332</v>
      </c>
      <c r="T13" s="104">
        <f>IF(T11="",0,'Calc|Opex forecast'!T109*INDEX('Input|Rate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U13" s="15"/>
      <c r="V13" s="91"/>
    </row>
    <row r="14" spans="1:27">
      <c r="C14" s="15" t="str">
        <f>'Input|Step changes'!C32</f>
        <v>Enactment of the Small Compensation Claims Regime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K14" s="104">
        <f>IF(K$11="",0,'Calc|Opex forecast'!K97*INDEX('Input|Rate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L14" s="104">
        <f>IF(L$11="",0,'Calc|Opex forecast'!L97*INDEX('Input|Rate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M14" s="104">
        <f>IF(M$11="",0,'Calc|Opex forecast'!M97*INDEX('Input|Rate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N14" s="104">
        <f>IF(N$11="",0,'Calc|Opex forecast'!N97*INDEX('Input|Rate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O14" s="104">
        <f>IF(O$11="",0,'Calc|Opex forecast'!O97*INDEX('Input|Rate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P14" s="104">
        <f>IF(P$11="",0,'Calc|Opex forecast'!P97*INDEX('Input|Rate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Q14" s="104">
        <f>IF(Q$11="",0,'Calc|Opex forecast'!Q97*INDEX('Input|Rate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R14" s="104">
        <f>IF(R$11="",0,'Calc|Opex forecast'!R97*INDEX('Input|Rate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S14" s="104">
        <f>IF(S$11="",0,'Calc|Opex forecast'!S97*INDEX('Input|Rate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T14" s="104">
        <f>IF(T$11="",0,'Calc|Opex forecast'!T97*INDEX('Input|Rate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U14" s="15"/>
      <c r="V14" s="91"/>
    </row>
    <row r="15" spans="1:27">
      <c r="C15" s="15" t="str">
        <f>'Input|Step changes'!C33</f>
        <v>Innovation fund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K15" s="104">
        <f>IF(K$11="",0,'Calc|Opex forecast'!K98*INDEX('Input|Rate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L15" s="104">
        <f>IF(L$11="",0,'Calc|Opex forecast'!L98*INDEX('Input|Rate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M15" s="104">
        <f>IF(M$11="",0,'Calc|Opex forecast'!M98*INDEX('Input|Rate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N15" s="104">
        <f>IF(N$11="",0,'Calc|Opex forecast'!N98*INDEX('Input|Rate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O15" s="104">
        <f>IF(O$11="",0,'Calc|Opex forecast'!O98*INDEX('Input|Rate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0.8</v>
      </c>
      <c r="P15" s="104">
        <f>IF(P$11="",0,'Calc|Opex forecast'!P98*INDEX('Input|Rate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0.8</v>
      </c>
      <c r="Q15" s="104">
        <f>IF(Q$11="",0,'Calc|Opex forecast'!Q98*INDEX('Input|Rate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0.8</v>
      </c>
      <c r="R15" s="104">
        <f>IF(R$11="",0,'Calc|Opex forecast'!R98*INDEX('Input|Rate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0.8</v>
      </c>
      <c r="S15" s="104">
        <f>IF(S$11="",0,'Calc|Opex forecast'!S98*INDEX('Input|Rate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0.8</v>
      </c>
      <c r="T15" s="104">
        <f>IF(T$11="",0,'Calc|Opex forecast'!T98*INDEX('Input|Rate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U15" s="15"/>
      <c r="V15" s="91"/>
    </row>
    <row r="16" spans="1:27">
      <c r="C16" s="15">
        <f>'Input|Step changes'!C34</f>
        <v>0</v>
      </c>
      <c r="D16" s="24" t="s">
        <v>98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K16" s="104">
        <f>IF(K$11="",0,'Calc|Opex forecast'!K99*INDEX('Input|Rate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L16" s="104">
        <f>IF(L$11="",0,'Calc|Opex forecast'!L99*INDEX('Input|Rate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M16" s="104">
        <f>IF(M$11="",0,'Calc|Opex forecast'!M99*INDEX('Input|Rate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N16" s="104">
        <f>IF(N$11="",0,'Calc|Opex forecast'!N99*INDEX('Input|Rate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O16" s="104">
        <f>IF(O$11="",0,'Calc|Opex forecast'!O99*INDEX('Input|Rate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P16" s="104">
        <f>IF(P$11="",0,'Calc|Opex forecast'!P99*INDEX('Input|Rate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Q16" s="104">
        <f>IF(Q$11="",0,'Calc|Opex forecast'!Q99*INDEX('Input|Rate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R16" s="104">
        <f>IF(R$11="",0,'Calc|Opex forecast'!R99*INDEX('Input|Rate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S16" s="104">
        <f>IF(S$11="",0,'Calc|Opex forecast'!S99*INDEX('Input|Rate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T16" s="104">
        <f>IF(T$11="",0,'Calc|Opex forecast'!T99*INDEX('Input|Rate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U16" s="15"/>
      <c r="V16" s="91"/>
    </row>
    <row r="17" spans="1:24">
      <c r="C17" s="15">
        <f>'Input|Step changes'!C35</f>
        <v>0</v>
      </c>
      <c r="D17" s="24" t="s">
        <v>98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K17" s="104">
        <f>IF(K$11="",0,'Calc|Opex forecast'!K100*INDEX('Input|Rate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L17" s="104">
        <f>IF(L$11="",0,'Calc|Opex forecast'!L100*INDEX('Input|Rate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M17" s="104">
        <f>IF(M$11="",0,'Calc|Opex forecast'!M100*INDEX('Input|Rate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N17" s="104">
        <f>IF(N$11="",0,'Calc|Opex forecast'!N100*INDEX('Input|Rate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O17" s="104">
        <f>IF(O$11="",0,'Calc|Opex forecast'!O100*INDEX('Input|Rate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P17" s="104">
        <f>IF(P$11="",0,'Calc|Opex forecast'!P100*INDEX('Input|Rate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Q17" s="104">
        <f>IF(Q$11="",0,'Calc|Opex forecast'!Q100*INDEX('Input|Rate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R17" s="104">
        <f>IF(R$11="",0,'Calc|Opex forecast'!R100*INDEX('Input|Rate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S17" s="104">
        <f>IF(S$11="",0,'Calc|Opex forecast'!S100*INDEX('Input|Rate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T17" s="104">
        <f>IF(T$11="",0,'Calc|Opex forecast'!T100*INDEX('Input|Rate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U17" s="15"/>
      <c r="V17" s="112"/>
    </row>
    <row r="18" spans="1:24">
      <c r="C18" s="15">
        <f>'Input|Step changes'!C36</f>
        <v>0</v>
      </c>
      <c r="D18" s="24" t="s">
        <v>98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K18" s="104">
        <f>IF(K$11="",0,'Calc|Opex forecast'!K101*INDEX('Input|Rate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L18" s="104">
        <f>IF(L$11="",0,'Calc|Opex forecast'!L101*INDEX('Input|Rate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M18" s="104">
        <f>IF(M$11="",0,'Calc|Opex forecast'!M101*INDEX('Input|Rate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N18" s="104">
        <f>IF(N$11="",0,'Calc|Opex forecast'!N101*INDEX('Input|Rate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O18" s="104">
        <f>IF(O$11="",0,'Calc|Opex forecast'!O101*INDEX('Input|Rate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P18" s="104">
        <f>IF(P$11="",0,'Calc|Opex forecast'!P101*INDEX('Input|Rate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Q18" s="104">
        <f>IF(Q$11="",0,'Calc|Opex forecast'!Q101*INDEX('Input|Rate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R18" s="104">
        <f>IF(R$11="",0,'Calc|Opex forecast'!R101*INDEX('Input|Rate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S18" s="104">
        <f>IF(S$11="",0,'Calc|Opex forecast'!S101*INDEX('Input|Rate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T18" s="104">
        <f>IF(T$11="",0,'Calc|Opex forecast'!T101*INDEX('Input|Rate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J11:T11">
    <cfRule type="expression" dxfId="30" priority="7">
      <formula>J$11=J$4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S1:T1">
    <cfRule type="cellIs" dxfId="26" priority="1" operator="equal">
      <formula>"Check"</formula>
    </cfRule>
    <cfRule type="cellIs" dxfId="25" priority="2" operator="equal">
      <formula>"Ok"</formula>
    </cfRule>
  </conditionalFormatting>
  <conditionalFormatting sqref="W1">
    <cfRule type="cellIs" dxfId="24" priority="13" operator="equal">
      <formula>"Check"</formula>
    </cfRule>
    <cfRule type="cellIs" dxfId="23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/>
  </sheetViews>
  <sheetFormatPr defaultColWidth="0" defaultRowHeight="11.25" customHeight="1" zeroHeight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199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0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209</v>
      </c>
      <c r="C2" s="41"/>
      <c r="D2" s="41"/>
      <c r="E2" s="41"/>
      <c r="F2" s="105"/>
      <c r="G2" s="105"/>
      <c r="H2" s="105"/>
      <c r="I2" s="100" t="s">
        <v>109</v>
      </c>
      <c r="J2" s="100"/>
      <c r="K2" s="100"/>
      <c r="L2" s="105"/>
      <c r="M2" s="224"/>
      <c r="N2" s="224"/>
      <c r="O2" s="224"/>
      <c r="P2" s="224"/>
      <c r="Q2" s="224"/>
      <c r="R2" s="224"/>
      <c r="S2" s="105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44348</v>
      </c>
      <c r="J3" s="94">
        <f>DATE(PPFirstYear+1,MONTH('Input|General'!$G$9),1)</f>
        <v>44713</v>
      </c>
      <c r="K3" s="94">
        <f>DATE(PPFirstYear+2,MONTH('Input|General'!$G$9),1)</f>
        <v>45078</v>
      </c>
      <c r="L3" s="94">
        <f>DATE(PPFirstYear+3,MONTH('Input|General'!$G$9),1)</f>
        <v>45444</v>
      </c>
      <c r="M3" s="94">
        <f>DATE(PPFirstYear+4,MONTH('Input|General'!$G$9),1)</f>
        <v>45809</v>
      </c>
      <c r="N3" s="94">
        <f>DATE(PPFirstYear+5,MONTH('Input|General'!$G$9),1)</f>
        <v>46174</v>
      </c>
      <c r="O3" s="94">
        <f>DATE(PPFirstYear+6,MONTH('Input|General'!$G$9),1)</f>
        <v>46539</v>
      </c>
      <c r="P3" s="94">
        <f>DATE(PPFirstYear+7,MONTH('Input|General'!$G$9),1)</f>
        <v>46905</v>
      </c>
      <c r="Q3" s="94">
        <f>DATE(PPFirstYear+8,MONTH('Input|General'!$G$9),1)</f>
        <v>47270</v>
      </c>
      <c r="R3" s="94">
        <f>DATE(PPFirstYear+9,MONTH('Input|General'!$G$9),1)</f>
        <v>47635</v>
      </c>
      <c r="S3" s="94">
        <f>DATE(PPFirstYear+10,MONTH('Input|General'!$G$9),1)</f>
        <v>48000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195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184"/>
      <c r="B8" s="184"/>
      <c r="C8" s="184"/>
      <c r="D8" s="184"/>
      <c r="E8" s="184"/>
      <c r="F8" s="16"/>
      <c r="G8" s="16"/>
      <c r="H8" s="16"/>
      <c r="I8" s="185"/>
      <c r="J8" s="184"/>
      <c r="K8" s="184"/>
      <c r="L8" s="184"/>
      <c r="M8" s="184"/>
      <c r="N8" s="185"/>
      <c r="O8" s="184"/>
      <c r="P8" s="184"/>
      <c r="Q8" s="184"/>
      <c r="R8" s="184"/>
      <c r="S8" s="184"/>
      <c r="T8" s="184"/>
      <c r="U8" s="184"/>
      <c r="V8" s="184"/>
      <c r="W8" s="184"/>
      <c r="X8" s="185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</row>
    <row r="9" spans="1:39" ht="14.5">
      <c r="A9" s="184"/>
      <c r="B9" s="184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forecast'!J107</f>
        <v/>
      </c>
      <c r="J9" s="99" t="str">
        <f>'Calc|Opex forecast'!K107</f>
        <v/>
      </c>
      <c r="K9" s="99" t="str">
        <f>'Calc|Opex forecast'!L107</f>
        <v/>
      </c>
      <c r="L9" s="99" t="str">
        <f>'Calc|Opex forecast'!M107</f>
        <v/>
      </c>
      <c r="M9" s="99" t="str">
        <f>'Calc|Opex forecast'!N107</f>
        <v/>
      </c>
      <c r="N9" s="99">
        <f>'Calc|Opex forecast'!O107</f>
        <v>46174</v>
      </c>
      <c r="O9" s="99">
        <f>'Calc|Opex forecast'!P107</f>
        <v>46539</v>
      </c>
      <c r="P9" s="99">
        <f>'Calc|Opex forecast'!Q107</f>
        <v>46905</v>
      </c>
      <c r="Q9" s="99">
        <f>'Calc|Opex forecast'!R107</f>
        <v>47270</v>
      </c>
      <c r="R9" s="99">
        <f>'Calc|Opex forecast'!S107</f>
        <v>47635</v>
      </c>
      <c r="S9" s="99" t="str">
        <f>'Calc|Opex forecast'!T107</f>
        <v/>
      </c>
      <c r="T9" s="186"/>
      <c r="U9" s="99" t="s">
        <v>196</v>
      </c>
      <c r="V9" s="184"/>
      <c r="W9" s="184"/>
      <c r="X9" s="187" t="s">
        <v>197</v>
      </c>
      <c r="Y9" s="187" t="s">
        <v>198</v>
      </c>
      <c r="Z9" s="187" t="s">
        <v>199</v>
      </c>
      <c r="AA9" s="187" t="s">
        <v>200</v>
      </c>
      <c r="AB9" s="186"/>
      <c r="AC9" s="186"/>
      <c r="AD9" s="186"/>
      <c r="AE9" s="184"/>
      <c r="AF9" s="184"/>
      <c r="AG9" s="184"/>
      <c r="AH9" s="184"/>
      <c r="AI9" s="184"/>
      <c r="AJ9" s="184"/>
      <c r="AK9" s="184"/>
      <c r="AL9" s="184"/>
      <c r="AM9" s="184"/>
    </row>
    <row r="10" spans="1:39" ht="14.5">
      <c r="A10" s="184"/>
      <c r="B10" s="184"/>
      <c r="C10" s="16"/>
      <c r="D10" s="16"/>
      <c r="E10" s="16"/>
      <c r="F10" s="16"/>
      <c r="G10" s="16"/>
      <c r="H10" s="16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</row>
    <row r="11" spans="1:39" ht="14.5">
      <c r="A11" s="184"/>
      <c r="B11" s="15" t="str">
        <f>"Based on reported opex in "&amp;IF(MONTH('Input|General'!$G$9)=12,BaseYear,BaseYear-1&amp;"–"&amp;RIGHT(BaseYear,2))</f>
        <v>Based on reported opex in 2023–24</v>
      </c>
      <c r="C11" s="65" t="s">
        <v>201</v>
      </c>
      <c r="D11" s="16" t="str">
        <f>'Calc|Opex forecast'!$E$8</f>
        <v>$millions</v>
      </c>
      <c r="E11" s="98">
        <f>'Calc|Opex forecast'!$F$8</f>
        <v>45809</v>
      </c>
      <c r="F11" s="16"/>
      <c r="G11" s="16"/>
      <c r="H11" s="16"/>
      <c r="I11" s="66" t="str">
        <f>IF('Calc|Opex forecast'!J107='Calc|Opex forecast'!J4,SUM('Calc|Opex forecast'!$J$26:$S$26),"")</f>
        <v/>
      </c>
      <c r="J11" s="66" t="str">
        <f>IF('Calc|Opex forecast'!K107='Calc|Opex forecast'!K4,SUM('Calc|Opex forecast'!$J$26:$S$26),"")</f>
        <v/>
      </c>
      <c r="K11" s="66" t="str">
        <f>IF('Calc|Opex forecast'!L107='Calc|Opex forecast'!L4,SUM('Calc|Opex forecast'!$J$26:$S$26),"")</f>
        <v/>
      </c>
      <c r="L11" s="66" t="str">
        <f>IF('Calc|Opex forecast'!M107='Calc|Opex forecast'!M4,SUM('Calc|Opex forecast'!$J$26:$S$26),"")</f>
        <v/>
      </c>
      <c r="M11" s="66" t="str">
        <f>IF('Calc|Opex forecast'!N107='Calc|Opex forecast'!N4,SUM('Calc|Opex forecast'!$J$26:$S$26),"")</f>
        <v/>
      </c>
      <c r="N11" s="66">
        <f ca="1">IF('Calc|Opex forecast'!O107='Calc|Opex forecast'!O4,SUM('Calc|Opex forecast'!$J$26:$S$26),"")</f>
        <v>357.5877523156671</v>
      </c>
      <c r="O11" s="66">
        <f ca="1">IF('Calc|Opex forecast'!P107='Calc|Opex forecast'!P4,SUM('Calc|Opex forecast'!$J$26:$S$26),"")</f>
        <v>357.5877523156671</v>
      </c>
      <c r="P11" s="66">
        <f ca="1">IF('Calc|Opex forecast'!Q107='Calc|Opex forecast'!Q4,SUM('Calc|Opex forecast'!$J$26:$S$26),"")</f>
        <v>357.5877523156671</v>
      </c>
      <c r="Q11" s="66">
        <f ca="1">IF('Calc|Opex forecast'!R107='Calc|Opex forecast'!R4,SUM('Calc|Opex forecast'!$J$26:$S$26),"")</f>
        <v>357.5877523156671</v>
      </c>
      <c r="R11" s="66">
        <f ca="1">IF('Calc|Opex forecast'!S107='Calc|Opex forecast'!S4,SUM('Calc|Opex forecast'!$J$26:$S$26),"")</f>
        <v>357.5877523156671</v>
      </c>
      <c r="S11" s="66" t="str">
        <f>IF('Calc|Opex forecast'!T107='Calc|Opex forecast'!T4,SUM('Calc|Opex forecast'!$J$26:$S$26),"")</f>
        <v/>
      </c>
      <c r="T11" s="66"/>
      <c r="U11" s="70">
        <f ca="1">SUM(I11:S11)</f>
        <v>1787.9387615783355</v>
      </c>
      <c r="V11" s="188"/>
      <c r="W11" s="184"/>
      <c r="X11" s="66"/>
      <c r="Y11" s="66">
        <f ca="1">U11</f>
        <v>1787.9387615783355</v>
      </c>
      <c r="Z11" s="66"/>
      <c r="AA11" s="66"/>
      <c r="AB11" s="186"/>
      <c r="AC11" s="186"/>
      <c r="AD11" s="186"/>
      <c r="AE11" s="186"/>
      <c r="AF11" s="186"/>
      <c r="AG11" s="184"/>
      <c r="AH11" s="184"/>
      <c r="AI11" s="184"/>
      <c r="AJ11" s="184"/>
      <c r="AK11" s="184"/>
      <c r="AL11" s="184"/>
      <c r="AM11" s="184"/>
    </row>
    <row r="12" spans="1:39" ht="14.5">
      <c r="A12" s="184"/>
      <c r="B12" s="15" t="s">
        <v>84</v>
      </c>
      <c r="C12" s="65" t="s">
        <v>201</v>
      </c>
      <c r="D12" s="16" t="str">
        <f>'Calc|Opex forecast'!$E$8</f>
        <v>$millions</v>
      </c>
      <c r="E12" s="98">
        <f>'Calc|Opex forecast'!$F$8</f>
        <v>45809</v>
      </c>
      <c r="F12" s="16"/>
      <c r="G12" s="16"/>
      <c r="H12" s="16"/>
      <c r="I12" s="66" t="str">
        <f>IF('Calc|Opex forecast'!J107='Calc|Opex forecast'!J4,SUM('Calc|Opex forecast'!$J$52:$S$52),"")</f>
        <v/>
      </c>
      <c r="J12" s="66" t="str">
        <f>IF('Calc|Opex forecast'!K107='Calc|Opex forecast'!K4,SUM('Calc|Opex forecast'!$J$52:$S$52),"")</f>
        <v/>
      </c>
      <c r="K12" s="66" t="str">
        <f>IF('Calc|Opex forecast'!L107='Calc|Opex forecast'!L4,SUM('Calc|Opex forecast'!$J$52:$S$52),"")</f>
        <v/>
      </c>
      <c r="L12" s="66" t="str">
        <f>IF('Calc|Opex forecast'!M107='Calc|Opex forecast'!M4,SUM('Calc|Opex forecast'!$J$52:$S$52),"")</f>
        <v/>
      </c>
      <c r="M12" s="66" t="str">
        <f>IF('Calc|Opex forecast'!N107='Calc|Opex forecast'!N4,SUM('Calc|Opex forecast'!$J$52:$S$52),"")</f>
        <v/>
      </c>
      <c r="N12" s="66">
        <f ca="1">IF('Calc|Opex forecast'!O107='Calc|Opex forecast'!O4,SUM('Calc|Opex forecast'!$J$52:$S$52),"")</f>
        <v>0</v>
      </c>
      <c r="O12" s="66">
        <f ca="1">IF('Calc|Opex forecast'!P107='Calc|Opex forecast'!P4,SUM('Calc|Opex forecast'!$J$52:$S$52),"")</f>
        <v>0</v>
      </c>
      <c r="P12" s="66">
        <f ca="1">IF('Calc|Opex forecast'!Q107='Calc|Opex forecast'!Q4,SUM('Calc|Opex forecast'!$J$52:$S$52),"")</f>
        <v>0</v>
      </c>
      <c r="Q12" s="66">
        <f ca="1">IF('Calc|Opex forecast'!R107='Calc|Opex forecast'!R4,SUM('Calc|Opex forecast'!$J$52:$S$52),"")</f>
        <v>0</v>
      </c>
      <c r="R12" s="66">
        <f ca="1">IF('Calc|Opex forecast'!S107='Calc|Opex forecast'!S4,SUM('Calc|Opex forecast'!$J$52:$S$52),"")</f>
        <v>0</v>
      </c>
      <c r="S12" s="66" t="str">
        <f>IF('Calc|Opex forecast'!T107='Calc|Opex forecast'!T4,SUM('Calc|Opex forecast'!$J$52:$S$52),"")</f>
        <v/>
      </c>
      <c r="T12" s="66"/>
      <c r="U12" s="70">
        <f ca="1">SUM(I12:S12)</f>
        <v>0</v>
      </c>
      <c r="V12" s="188">
        <f t="shared" ref="V12:V22" ca="1" si="0">U12/($U$23-U12)</f>
        <v>0</v>
      </c>
      <c r="W12" s="184"/>
      <c r="X12" s="66">
        <f ca="1">SUM($U$11:$U11)-AA12</f>
        <v>1787.9387615783355</v>
      </c>
      <c r="Y12" s="66"/>
      <c r="Z12" s="66">
        <f ca="1">IF(U12&gt;0,U12,0)</f>
        <v>0</v>
      </c>
      <c r="AA12" s="66">
        <f ca="1">IF(U12&lt;0,-U12,0)</f>
        <v>0</v>
      </c>
      <c r="AB12" s="186"/>
      <c r="AC12" s="186"/>
      <c r="AD12" s="186"/>
      <c r="AE12" s="186"/>
      <c r="AF12" s="186"/>
      <c r="AG12" s="184"/>
      <c r="AH12" s="184"/>
      <c r="AI12" s="184"/>
      <c r="AJ12" s="184"/>
      <c r="AK12" s="184"/>
      <c r="AL12" s="184"/>
      <c r="AM12" s="184"/>
    </row>
    <row r="13" spans="1:39" ht="14.5">
      <c r="A13" s="184"/>
      <c r="B13" s="15" t="s">
        <v>202</v>
      </c>
      <c r="C13" s="65" t="s">
        <v>201</v>
      </c>
      <c r="D13" s="16" t="str">
        <f>'Calc|Opex forecast'!$E$8</f>
        <v>$millions</v>
      </c>
      <c r="E13" s="98">
        <f>'Calc|Opex forecast'!$F$8</f>
        <v>45809</v>
      </c>
      <c r="F13" s="16"/>
      <c r="G13" s="16"/>
      <c r="H13" s="16"/>
      <c r="I13" s="66" t="str">
        <f>IF('Calc|Opex forecast'!J107='Calc|Opex forecast'!J4,SUM('Calc|Opex forecast'!$J$29:$S$29),"")</f>
        <v/>
      </c>
      <c r="J13" s="66" t="str">
        <f>IF('Calc|Opex forecast'!K107='Calc|Opex forecast'!K4,SUM('Calc|Opex forecast'!$J$29:$S$29),"")</f>
        <v/>
      </c>
      <c r="K13" s="66" t="str">
        <f>IF('Calc|Opex forecast'!L107='Calc|Opex forecast'!L4,SUM('Calc|Opex forecast'!$J$29:$S$29),"")</f>
        <v/>
      </c>
      <c r="L13" s="66" t="str">
        <f>IF('Calc|Opex forecast'!M107='Calc|Opex forecast'!M4,SUM('Calc|Opex forecast'!$J$29:$S$29),"")</f>
        <v/>
      </c>
      <c r="M13" s="66" t="str">
        <f>IF('Calc|Opex forecast'!N107='Calc|Opex forecast'!N4,SUM('Calc|Opex forecast'!$J$29:$S$29),"")</f>
        <v/>
      </c>
      <c r="N13" s="66">
        <f>IF('Calc|Opex forecast'!O107='Calc|Opex forecast'!O4,SUM('Calc|Opex forecast'!$J$29:$S$29),"")</f>
        <v>-1.1948832315631199</v>
      </c>
      <c r="O13" s="66">
        <f>IF('Calc|Opex forecast'!P107='Calc|Opex forecast'!P4,SUM('Calc|Opex forecast'!$J$29:$S$29),"")</f>
        <v>-1.1948832315631199</v>
      </c>
      <c r="P13" s="66">
        <f>IF('Calc|Opex forecast'!Q107='Calc|Opex forecast'!Q4,SUM('Calc|Opex forecast'!$J$29:$S$29),"")</f>
        <v>-1.1948832315631199</v>
      </c>
      <c r="Q13" s="66">
        <f>IF('Calc|Opex forecast'!R107='Calc|Opex forecast'!R4,SUM('Calc|Opex forecast'!$J$29:$S$29),"")</f>
        <v>-1.1948832315631199</v>
      </c>
      <c r="R13" s="66">
        <f>IF('Calc|Opex forecast'!S107='Calc|Opex forecast'!S4,SUM('Calc|Opex forecast'!$J$29:$S$29),"")</f>
        <v>-1.1948832315631199</v>
      </c>
      <c r="S13" s="66" t="str">
        <f>IF('Calc|Opex forecast'!T107='Calc|Opex forecast'!T4,SUM('Calc|Opex forecast'!$J$29:$S$29),"")</f>
        <v/>
      </c>
      <c r="T13" s="66"/>
      <c r="U13" s="70">
        <f>SUM(I13:S13)</f>
        <v>-5.9744161578155994</v>
      </c>
      <c r="V13" s="188">
        <f t="shared" ca="1" si="0"/>
        <v>-2.9254674652541761E-3</v>
      </c>
      <c r="W13" s="184"/>
      <c r="X13" s="66">
        <f ca="1">SUM($U$11:$U12)-AA13</f>
        <v>1781.96434542052</v>
      </c>
      <c r="Y13" s="66"/>
      <c r="Z13" s="66">
        <f t="shared" ref="Z13:Z22" si="1">IF(U13&gt;0,U13,0)</f>
        <v>0</v>
      </c>
      <c r="AA13" s="66">
        <f t="shared" ref="AA13:AA22" si="2">IF(U13&lt;0,-U13,0)</f>
        <v>5.9744161578155994</v>
      </c>
      <c r="AB13" s="186"/>
      <c r="AC13" s="186"/>
      <c r="AD13" s="186"/>
      <c r="AE13" s="186"/>
      <c r="AF13" s="186"/>
      <c r="AG13" s="184"/>
      <c r="AH13" s="184"/>
      <c r="AI13" s="184"/>
      <c r="AJ13" s="184"/>
      <c r="AK13" s="184"/>
      <c r="AL13" s="184"/>
      <c r="AM13" s="184"/>
    </row>
    <row r="14" spans="1:39" ht="14.5">
      <c r="A14" s="184"/>
      <c r="B14" s="15" t="s">
        <v>203</v>
      </c>
      <c r="C14" s="65" t="s">
        <v>201</v>
      </c>
      <c r="D14" s="16" t="str">
        <f>'Calc|Opex forecast'!$E$8</f>
        <v>$millions</v>
      </c>
      <c r="E14" s="98">
        <f>'Calc|Opex forecast'!$F$8</f>
        <v>45809</v>
      </c>
      <c r="F14" s="16"/>
      <c r="G14" s="16"/>
      <c r="H14" s="16"/>
      <c r="I14" s="66" t="str">
        <f>IF('Calc|Opex forecast'!J107='Calc|Opex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forecast'!K107='Calc|Opex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forecast'!L107='Calc|Opex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forecast'!M107='Calc|Opex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forecast'!N107='Calc|Opex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forecast'!O107='Calc|Opex forecast'!O4,SUM('Calc|Opex forecast'!$J$38:$S$38,'Calc|Opex forecast'!$J$41:$S$41,'Calc|Opex forecast'!$J$44:$S$44,'Calc|Opex forecast'!$J$47:$S$47,'Calc|Opex forecast'!$J$50:$S$50),"")</f>
        <v>16.926145463351709</v>
      </c>
      <c r="O14" s="66">
        <f>IF('Calc|Opex forecast'!P107='Calc|Opex forecast'!P4,SUM('Calc|Opex forecast'!$J$38:$S$38,'Calc|Opex forecast'!$J$41:$S$41,'Calc|Opex forecast'!$J$44:$S$44,'Calc|Opex forecast'!$J$47:$S$47,'Calc|Opex forecast'!$J$50:$S$50),"")</f>
        <v>16.926145463351709</v>
      </c>
      <c r="P14" s="66">
        <f>IF('Calc|Opex forecast'!Q107='Calc|Opex forecast'!Q4,SUM('Calc|Opex forecast'!$J$38:$S$38,'Calc|Opex forecast'!$J$41:$S$41,'Calc|Opex forecast'!$J$44:$S$44,'Calc|Opex forecast'!$J$47:$S$47,'Calc|Opex forecast'!$J$50:$S$50),"")</f>
        <v>16.926145463351709</v>
      </c>
      <c r="Q14" s="66">
        <f>IF('Calc|Opex forecast'!R107='Calc|Opex forecast'!R4,SUM('Calc|Opex forecast'!$J$38:$S$38,'Calc|Opex forecast'!$J$41:$S$41,'Calc|Opex forecast'!$J$44:$S$44,'Calc|Opex forecast'!$J$47:$S$47,'Calc|Opex forecast'!$J$50:$S$50),"")</f>
        <v>16.926145463351709</v>
      </c>
      <c r="R14" s="66">
        <f>IF('Calc|Opex forecast'!S107='Calc|Opex forecast'!S4,SUM('Calc|Opex forecast'!$J$38:$S$38,'Calc|Opex forecast'!$J$41:$S$41,'Calc|Opex forecast'!$J$44:$S$44,'Calc|Opex forecast'!$J$47:$S$47,'Calc|Opex forecast'!$J$50:$S$50),"")</f>
        <v>16.926145463351709</v>
      </c>
      <c r="S14" s="66" t="str">
        <f>IF('Calc|Opex forecast'!T107='Calc|Opex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84.630727316758538</v>
      </c>
      <c r="V14" s="188">
        <f t="shared" ca="1" si="0"/>
        <v>4.3364704623860953E-2</v>
      </c>
      <c r="W14" s="184"/>
      <c r="X14" s="66">
        <f ca="1">SUM($U$11:$U13)-AA14</f>
        <v>1781.96434542052</v>
      </c>
      <c r="Y14" s="66"/>
      <c r="Z14" s="66">
        <f t="shared" si="1"/>
        <v>84.630727316758538</v>
      </c>
      <c r="AA14" s="66">
        <f t="shared" si="2"/>
        <v>0</v>
      </c>
      <c r="AB14" s="186"/>
      <c r="AC14" s="186"/>
      <c r="AD14" s="186"/>
      <c r="AE14" s="186"/>
      <c r="AF14" s="186"/>
      <c r="AG14" s="184"/>
      <c r="AH14" s="184"/>
      <c r="AI14" s="184"/>
      <c r="AJ14" s="184"/>
      <c r="AK14" s="184"/>
      <c r="AL14" s="184"/>
      <c r="AM14" s="184"/>
    </row>
    <row r="15" spans="1:39" ht="14.5">
      <c r="A15" s="184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2023–24 to 2024–25 increment</v>
      </c>
      <c r="C15" s="65" t="s">
        <v>201</v>
      </c>
      <c r="D15" s="16" t="str">
        <f>'Calc|Opex forecast'!$E$8</f>
        <v>$millions</v>
      </c>
      <c r="E15" s="98">
        <f>'Calc|Opex forecast'!$F$8</f>
        <v>45809</v>
      </c>
      <c r="F15" s="16"/>
      <c r="G15" s="16"/>
      <c r="H15" s="16"/>
      <c r="I15" s="66" t="str">
        <f>IF('Calc|Opex forecast'!J107='Calc|Opex forecast'!J4,SUM('Calc|Opex forecast'!$J$31:$S$31),"")</f>
        <v/>
      </c>
      <c r="J15" s="66" t="str">
        <f>IF('Calc|Opex forecast'!K107='Calc|Opex forecast'!K4,SUM('Calc|Opex forecast'!$J$31:$S$31),"")</f>
        <v/>
      </c>
      <c r="K15" s="66" t="str">
        <f>IF('Calc|Opex forecast'!L107='Calc|Opex forecast'!L4,SUM('Calc|Opex forecast'!$J$31:$S$31),"")</f>
        <v/>
      </c>
      <c r="L15" s="66" t="str">
        <f>IF('Calc|Opex forecast'!M107='Calc|Opex forecast'!M4,SUM('Calc|Opex forecast'!$J$31:$S$31),"")</f>
        <v/>
      </c>
      <c r="M15" s="66" t="str">
        <f>IF('Calc|Opex forecast'!N107='Calc|Opex forecast'!N4,SUM('Calc|Opex forecast'!$J$31:$S$31),"")</f>
        <v/>
      </c>
      <c r="N15" s="66">
        <f>IF('Calc|Opex forecast'!O107='Calc|Opex forecast'!O4,SUM('Calc|Opex forecast'!$J$31:$S$31),"")</f>
        <v>2.5357581288429856</v>
      </c>
      <c r="O15" s="66">
        <f>IF('Calc|Opex forecast'!P107='Calc|Opex forecast'!P4,SUM('Calc|Opex forecast'!$J$31:$S$31),"")</f>
        <v>2.5357581288429856</v>
      </c>
      <c r="P15" s="66">
        <f>IF('Calc|Opex forecast'!Q107='Calc|Opex forecast'!Q4,SUM('Calc|Opex forecast'!$J$31:$S$31),"")</f>
        <v>2.5357581288429856</v>
      </c>
      <c r="Q15" s="66">
        <f>IF('Calc|Opex forecast'!R107='Calc|Opex forecast'!R4,SUM('Calc|Opex forecast'!$J$31:$S$31),"")</f>
        <v>2.5357581288429856</v>
      </c>
      <c r="R15" s="66">
        <f>IF('Calc|Opex forecast'!S107='Calc|Opex forecast'!S4,SUM('Calc|Opex forecast'!$J$31:$S$31),"")</f>
        <v>2.5357581288429856</v>
      </c>
      <c r="S15" s="66" t="str">
        <f>IF('Calc|Opex forecast'!T107='Calc|Opex forecast'!T4,SUM('Calc|Opex forecast'!$J$31:$S$31),"")</f>
        <v/>
      </c>
      <c r="T15" s="66"/>
      <c r="U15" s="70">
        <f>SUM(I15:S15)</f>
        <v>12.678790644214928</v>
      </c>
      <c r="V15" s="188">
        <f t="shared" ca="1" si="0"/>
        <v>6.2655995552253103E-3</v>
      </c>
      <c r="W15" s="184"/>
      <c r="X15" s="66">
        <f ca="1">SUM($U$11:$U14)-AA15</f>
        <v>1866.5950727372785</v>
      </c>
      <c r="Y15" s="66"/>
      <c r="Z15" s="66">
        <f t="shared" si="1"/>
        <v>12.678790644214928</v>
      </c>
      <c r="AA15" s="66">
        <f t="shared" si="2"/>
        <v>0</v>
      </c>
      <c r="AB15" s="186"/>
      <c r="AC15" s="186"/>
      <c r="AD15" s="186"/>
      <c r="AE15" s="186"/>
      <c r="AF15" s="186"/>
      <c r="AG15" s="184"/>
      <c r="AH15" s="184"/>
      <c r="AI15" s="184"/>
      <c r="AJ15" s="184"/>
      <c r="AK15" s="184"/>
      <c r="AL15" s="184"/>
      <c r="AM15" s="184"/>
    </row>
    <row r="16" spans="1:39" ht="14.5">
      <c r="A16" s="184"/>
      <c r="B16" s="15" t="s">
        <v>204</v>
      </c>
      <c r="C16" s="65" t="s">
        <v>201</v>
      </c>
      <c r="D16" s="16" t="str">
        <f>'Calc|Opex forecast'!$E$8</f>
        <v>$millions</v>
      </c>
      <c r="E16" s="98">
        <f>'Calc|Opex forecast'!$F$8</f>
        <v>45809</v>
      </c>
      <c r="F16" s="16"/>
      <c r="G16" s="16"/>
      <c r="H16" s="16"/>
      <c r="I16" s="66" t="str">
        <f>IF('Calc|Opex forecast'!J107='Calc|Opex forecast'!J4,SUM('Calc|Opex forecast'!$J$35:$T$35),"")</f>
        <v/>
      </c>
      <c r="J16" s="66" t="str">
        <f>IF('Calc|Opex forecast'!K107='Calc|Opex forecast'!K4,SUM('Calc|Opex forecast'!$J$35:$T$35),"")</f>
        <v/>
      </c>
      <c r="K16" s="66" t="str">
        <f>IF('Calc|Opex forecast'!L107='Calc|Opex forecast'!L4,SUM('Calc|Opex forecast'!$J$35:$T$35),"")</f>
        <v/>
      </c>
      <c r="L16" s="66" t="str">
        <f>IF('Calc|Opex forecast'!M107='Calc|Opex forecast'!M4,SUM('Calc|Opex forecast'!$J$35:$T$35),"")</f>
        <v/>
      </c>
      <c r="M16" s="66" t="str">
        <f>IF('Calc|Opex forecast'!N107='Calc|Opex forecast'!N4,SUM('Calc|Opex forecast'!$J$35:$T$35),"")</f>
        <v/>
      </c>
      <c r="N16" s="66">
        <f>IF('Calc|Opex forecast'!O107='Calc|Opex forecast'!O4,SUM('Calc|Opex forecast'!$J$35:$T$35),"")</f>
        <v>9.5832871892298499E-4</v>
      </c>
      <c r="O16" s="66">
        <f>IF('Calc|Opex forecast'!P107='Calc|Opex forecast'!P4,SUM('Calc|Opex forecast'!$J$35:$T$35),"")</f>
        <v>9.5832871892298499E-4</v>
      </c>
      <c r="P16" s="66">
        <f>IF('Calc|Opex forecast'!Q107='Calc|Opex forecast'!Q4,SUM('Calc|Opex forecast'!$J$35:$T$35),"")</f>
        <v>9.5832871892298499E-4</v>
      </c>
      <c r="Q16" s="66">
        <f>IF('Calc|Opex forecast'!R107='Calc|Opex forecast'!R4,SUM('Calc|Opex forecast'!$J$35:$T$35),"")</f>
        <v>9.5832871892298499E-4</v>
      </c>
      <c r="R16" s="66">
        <f>IF('Calc|Opex forecast'!S107='Calc|Opex forecast'!S4,SUM('Calc|Opex forecast'!$J$35:$T$35),"")</f>
        <v>9.5832871892298499E-4</v>
      </c>
      <c r="S16" s="66" t="str">
        <f>IF('Calc|Opex forecast'!T107='Calc|Opex forecast'!T4,SUM('Calc|Opex forecast'!$J$35:$T$35),"")</f>
        <v/>
      </c>
      <c r="T16" s="66"/>
      <c r="U16" s="70">
        <f t="shared" ref="U16:U22" si="3">SUM(I16:S16)</f>
        <v>4.791643594614925E-3</v>
      </c>
      <c r="V16" s="188">
        <f t="shared" ca="1" si="0"/>
        <v>2.353193866119849E-6</v>
      </c>
      <c r="W16" s="184"/>
      <c r="X16" s="66">
        <f ca="1">SUM($U$11:$U15)-AA16</f>
        <v>1879.2738633814934</v>
      </c>
      <c r="Y16" s="66"/>
      <c r="Z16" s="66">
        <f t="shared" si="1"/>
        <v>4.791643594614925E-3</v>
      </c>
      <c r="AA16" s="66">
        <f t="shared" si="2"/>
        <v>0</v>
      </c>
      <c r="AB16" s="186"/>
      <c r="AC16" s="186"/>
      <c r="AD16" s="186"/>
      <c r="AE16" s="186"/>
      <c r="AF16" s="186"/>
      <c r="AG16" s="184"/>
      <c r="AH16" s="184"/>
      <c r="AI16" s="184"/>
      <c r="AJ16" s="184"/>
      <c r="AK16" s="184"/>
      <c r="AL16" s="184"/>
      <c r="AM16" s="184"/>
    </row>
    <row r="17" spans="1:39" ht="14.5">
      <c r="A17" s="184"/>
      <c r="B17" s="15" t="s">
        <v>205</v>
      </c>
      <c r="C17" s="16" t="s">
        <v>30</v>
      </c>
      <c r="D17" s="16" t="str">
        <f>'Calc|Opex forecast'!$E$8</f>
        <v>$millions</v>
      </c>
      <c r="E17" s="98">
        <f>'Calc|Opex forecast'!$F$8</f>
        <v>45809</v>
      </c>
      <c r="F17" s="16"/>
      <c r="G17" s="16"/>
      <c r="H17" s="16"/>
      <c r="I17" s="66" t="str">
        <f>IF('Calc|Opex forecast'!J107='Calc|Opex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forecast'!K107='Calc|Opex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forecast'!L107='Calc|Opex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forecast'!M107='Calc|Opex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forecast'!N107='Calc|Opex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forecast'!O107='Calc|Opex forecast'!O4,'Calc|Opex forecast'!O62/('Calc|Opex forecast'!O$62+'Calc|Opex forecast'!O$65-'Calc|Opex forecast'!O$68)*'Calc|Opex forecast'!O$71*SUM('Calc|Opex forecast'!$J$54:$T$54),"")</f>
        <v>1.8410810911245448</v>
      </c>
      <c r="O17" s="66">
        <f ca="1">IF('Calc|Opex forecast'!P107='Calc|Opex forecast'!P4,'Calc|Opex forecast'!P62/('Calc|Opex forecast'!P$62+'Calc|Opex forecast'!P$65-'Calc|Opex forecast'!P$68)*'Calc|Opex forecast'!P$71*SUM('Calc|Opex forecast'!$J$54:$T$54),"")</f>
        <v>3.6924401125806443</v>
      </c>
      <c r="P17" s="66">
        <f ca="1">IF('Calc|Opex forecast'!Q107='Calc|Opex forecast'!Q4,'Calc|Opex forecast'!Q62/('Calc|Opex forecast'!Q$62+'Calc|Opex forecast'!Q$65-'Calc|Opex forecast'!Q$68)*'Calc|Opex forecast'!Q$71*SUM('Calc|Opex forecast'!$J$54:$T$54),"")</f>
        <v>5.5555092905500727</v>
      </c>
      <c r="Q17" s="66">
        <f ca="1">IF('Calc|Opex forecast'!R107='Calc|Opex forecast'!R4,'Calc|Opex forecast'!R62/('Calc|Opex forecast'!R$62+'Calc|Opex forecast'!R$65-'Calc|Opex forecast'!R$68)*'Calc|Opex forecast'!R$71*SUM('Calc|Opex forecast'!$J$54:$T$54),"")</f>
        <v>7.4319330809060693</v>
      </c>
      <c r="R17" s="66">
        <f ca="1">IF('Calc|Opex forecast'!S107='Calc|Opex forecast'!S4,'Calc|Opex forecast'!S62/('Calc|Opex forecast'!S$62+'Calc|Opex forecast'!S$65-'Calc|Opex forecast'!S$68)*'Calc|Opex forecast'!S$71*SUM('Calc|Opex forecast'!$J$54:$T$54),"")</f>
        <v>9.3216484644566879</v>
      </c>
      <c r="S17" s="66" t="str">
        <f t="array" ref="S17">IF('Calc|Opex forecast'!T107='Calc|Opex forecast'!T4,(PRODUCT(1+'Calc|Opex forecast'!$J61:T61)-1)*PRODUCT(1+'Calc|Opex forecast'!$J64:T64)*PRODUCT(1-'Calc|Opex forecast'!$J67:T67)*SUM('Calc|Opex forecast'!$J$54:$S$54),"")</f>
        <v/>
      </c>
      <c r="T17" s="66"/>
      <c r="U17" s="189">
        <f t="shared" ca="1" si="3"/>
        <v>27.842612039618018</v>
      </c>
      <c r="V17" s="188">
        <f t="shared" ca="1" si="0"/>
        <v>1.3863136090901465E-2</v>
      </c>
      <c r="W17" s="184"/>
      <c r="X17" s="66">
        <f ca="1">SUM($U$11:$U16)-AA17</f>
        <v>1879.278655025088</v>
      </c>
      <c r="Y17" s="66"/>
      <c r="Z17" s="66">
        <f t="shared" ca="1" si="1"/>
        <v>27.842612039618018</v>
      </c>
      <c r="AA17" s="66">
        <f t="shared" ca="1" si="2"/>
        <v>0</v>
      </c>
      <c r="AB17" s="186"/>
      <c r="AC17" s="186"/>
      <c r="AD17" s="186"/>
      <c r="AE17" s="186"/>
      <c r="AF17" s="190"/>
      <c r="AG17" s="184"/>
      <c r="AH17" s="184"/>
      <c r="AI17" s="184"/>
      <c r="AJ17" s="184"/>
      <c r="AK17" s="184"/>
      <c r="AL17" s="184"/>
      <c r="AM17" s="184"/>
    </row>
    <row r="18" spans="1:39" ht="14.5">
      <c r="A18" s="184"/>
      <c r="B18" s="15" t="s">
        <v>206</v>
      </c>
      <c r="C18" s="16" t="s">
        <v>30</v>
      </c>
      <c r="D18" s="16" t="str">
        <f>'Calc|Opex forecast'!$E$8</f>
        <v>$millions</v>
      </c>
      <c r="E18" s="98">
        <f>'Calc|Opex forecast'!$F$8</f>
        <v>45809</v>
      </c>
      <c r="F18" s="16"/>
      <c r="G18" s="16"/>
      <c r="H18" s="16"/>
      <c r="I18" s="66" t="str">
        <f>IF('Calc|Opex forecast'!J107='Calc|Opex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forecast'!K107='Calc|Opex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forecast'!L107='Calc|Opex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forecast'!M107='Calc|Opex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forecast'!N107='Calc|Opex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forecast'!O107='Calc|Opex forecast'!O4,'Calc|Opex forecast'!O65/('Calc|Opex forecast'!O$62+'Calc|Opex forecast'!O$65-'Calc|Opex forecast'!O$68)*'Calc|Opex forecast'!O$71*SUM('Calc|Opex forecast'!$J$54:$T$54),"")</f>
        <v>2.3743907649861269</v>
      </c>
      <c r="O18" s="66">
        <f ca="1">IF('Calc|Opex forecast'!P107='Calc|Opex forecast'!P4,'Calc|Opex forecast'!P65/('Calc|Opex forecast'!P$62+'Calc|Opex forecast'!P$65-'Calc|Opex forecast'!P$68)*'Calc|Opex forecast'!P$71*SUM('Calc|Opex forecast'!$J$54:$T$54),"")</f>
        <v>4.321802743928167</v>
      </c>
      <c r="P18" s="66">
        <f ca="1">IF('Calc|Opex forecast'!Q107='Calc|Opex forecast'!Q4,'Calc|Opex forecast'!Q65/('Calc|Opex forecast'!Q$62+'Calc|Opex forecast'!Q$65-'Calc|Opex forecast'!Q$68)*'Calc|Opex forecast'!Q$71*SUM('Calc|Opex forecast'!$J$54:$T$54),"")</f>
        <v>6.2558741791878401</v>
      </c>
      <c r="Q18" s="66">
        <f ca="1">IF('Calc|Opex forecast'!R107='Calc|Opex forecast'!R4,'Calc|Opex forecast'!R65/('Calc|Opex forecast'!R$62+'Calc|Opex forecast'!R$65-'Calc|Opex forecast'!R$68)*'Calc|Opex forecast'!R$71*SUM('Calc|Opex forecast'!$J$54:$T$54),"")</f>
        <v>8.5569660745522231</v>
      </c>
      <c r="R18" s="66">
        <f ca="1">IF('Calc|Opex forecast'!S107='Calc|Opex forecast'!S4,'Calc|Opex forecast'!S65/('Calc|Opex forecast'!S$62+'Calc|Opex forecast'!S$65-'Calc|Opex forecast'!S$68)*'Calc|Opex forecast'!S$71*SUM('Calc|Opex forecast'!$J$54:$T$54),"")</f>
        <v>11.224449178526928</v>
      </c>
      <c r="S18" s="66" t="str">
        <f t="array" ref="S18">IF('Calc|Opex forecast'!T107='Calc|Opex forecast'!T4,(PRODUCT(1+'Calc|Opex forecast'!$J64:T64)-1)*PRODUCT(1-'Calc|Opex forecast'!$J67:T67)*SUM('Calc|Opex forecast'!$J$54:$S$54),"")</f>
        <v/>
      </c>
      <c r="T18" s="66"/>
      <c r="U18" s="189">
        <f t="shared" ca="1" si="3"/>
        <v>32.733482941181279</v>
      </c>
      <c r="V18" s="188">
        <f t="shared" ca="1" si="0"/>
        <v>1.6338140254123102E-2</v>
      </c>
      <c r="W18" s="184"/>
      <c r="X18" s="66">
        <f ca="1">SUM($U$11:$U17)-AA18</f>
        <v>1907.121267064706</v>
      </c>
      <c r="Y18" s="66"/>
      <c r="Z18" s="66">
        <f t="shared" ca="1" si="1"/>
        <v>32.733482941181279</v>
      </c>
      <c r="AA18" s="66">
        <f t="shared" ca="1" si="2"/>
        <v>0</v>
      </c>
      <c r="AB18" s="186"/>
      <c r="AC18" s="186"/>
      <c r="AD18" s="186"/>
      <c r="AE18" s="186"/>
      <c r="AF18" s="186"/>
      <c r="AG18" s="184"/>
      <c r="AH18" s="184"/>
      <c r="AI18" s="184"/>
      <c r="AJ18" s="184"/>
      <c r="AK18" s="184"/>
      <c r="AL18" s="184"/>
      <c r="AM18" s="184"/>
    </row>
    <row r="19" spans="1:39" ht="14.5">
      <c r="A19" s="184"/>
      <c r="B19" s="15" t="s">
        <v>207</v>
      </c>
      <c r="C19" s="16" t="s">
        <v>30</v>
      </c>
      <c r="D19" s="16" t="str">
        <f>'Calc|Opex forecast'!$E$8</f>
        <v>$millions</v>
      </c>
      <c r="E19" s="98">
        <f>'Calc|Opex forecast'!$F$8</f>
        <v>45809</v>
      </c>
      <c r="F19" s="16"/>
      <c r="G19" s="16"/>
      <c r="H19" s="16"/>
      <c r="I19" s="66" t="str">
        <f>IF('Calc|Opex forecast'!J107='Calc|Opex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forecast'!K107='Calc|Opex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forecast'!L107='Calc|Opex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forecast'!M107='Calc|Opex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forecast'!N107='Calc|Opex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forecast'!O107='Calc|Opex forecast'!O4,-'Calc|Opex forecast'!O68/('Calc|Opex forecast'!O$62+'Calc|Opex forecast'!O$65-'Calc|Opex forecast'!O$68)*'Calc|Opex forecast'!O$71*SUM('Calc|Opex forecast'!$J$54:$T$54),"")</f>
        <v>-1.8716950950846905</v>
      </c>
      <c r="O19" s="66">
        <f ca="1">IF('Calc|Opex forecast'!P107='Calc|Opex forecast'!P4,-'Calc|Opex forecast'!P68/('Calc|Opex forecast'!P$62+'Calc|Opex forecast'!P$65-'Calc|Opex forecast'!P$68)*'Calc|Opex forecast'!P$71*SUM('Calc|Opex forecast'!$J$54:$T$54),"")</f>
        <v>-3.7511511419285259</v>
      </c>
      <c r="P19" s="66">
        <f ca="1">IF('Calc|Opex forecast'!Q107='Calc|Opex forecast'!Q4,-'Calc|Opex forecast'!Q68/('Calc|Opex forecast'!Q$62+'Calc|Opex forecast'!Q$65-'Calc|Opex forecast'!Q$68)*'Calc|Opex forecast'!Q$71*SUM('Calc|Opex forecast'!$J$54:$T$54),"")</f>
        <v>-5.6397624494434586</v>
      </c>
      <c r="Q19" s="66">
        <f ca="1">IF('Calc|Opex forecast'!R107='Calc|Opex forecast'!R4,-'Calc|Opex forecast'!R68/('Calc|Opex forecast'!R$62+'Calc|Opex forecast'!R$65-'Calc|Opex forecast'!R$68)*'Calc|Opex forecast'!R$71*SUM('Calc|Opex forecast'!$J$54:$T$54),"")</f>
        <v>-7.5391338769963072</v>
      </c>
      <c r="R19" s="66">
        <f ca="1">IF('Calc|Opex forecast'!S107='Calc|Opex forecast'!S4,-'Calc|Opex forecast'!S68/('Calc|Opex forecast'!S$62+'Calc|Opex forecast'!S$65-'Calc|Opex forecast'!S$68)*'Calc|Opex forecast'!S$71*SUM('Calc|Opex forecast'!$J$54:$T$54),"")</f>
        <v>-9.4491339924289122</v>
      </c>
      <c r="S19" s="66" t="str">
        <f t="array" ref="S19">IF('Calc|Opex forecast'!T107='Calc|Opex forecast'!T4,(PRODUCT(1-'Calc|Opex forecast'!$J67:T67)-1)*SUM('Calc|Opex forecast'!$J$54:$S$54),"")</f>
        <v/>
      </c>
      <c r="T19" s="66"/>
      <c r="U19" s="189">
        <f t="shared" ca="1" si="3"/>
        <v>-28.250876555881895</v>
      </c>
      <c r="V19" s="188">
        <f t="shared" ca="1" si="0"/>
        <v>-1.3684221224910729E-2</v>
      </c>
      <c r="W19" s="191"/>
      <c r="X19" s="66">
        <f ca="1">SUM($U$11:$U18)-AA19</f>
        <v>1911.6038734500055</v>
      </c>
      <c r="Y19" s="66"/>
      <c r="Z19" s="66">
        <f t="shared" ca="1" si="1"/>
        <v>0</v>
      </c>
      <c r="AA19" s="66">
        <f t="shared" ca="1" si="2"/>
        <v>28.250876555881895</v>
      </c>
      <c r="AB19" s="186"/>
      <c r="AC19" s="186"/>
      <c r="AD19" s="186"/>
      <c r="AE19" s="186"/>
      <c r="AF19" s="186"/>
      <c r="AG19" s="184"/>
      <c r="AH19" s="184"/>
      <c r="AI19" s="184"/>
      <c r="AJ19" s="184"/>
      <c r="AK19" s="184"/>
      <c r="AL19" s="184"/>
      <c r="AM19" s="184"/>
    </row>
    <row r="20" spans="1:39" ht="14.5">
      <c r="A20" s="184"/>
      <c r="B20" s="15" t="s">
        <v>97</v>
      </c>
      <c r="C20" s="65" t="s">
        <v>201</v>
      </c>
      <c r="D20" s="16" t="str">
        <f>'Calc|Opex forecast'!$E$8</f>
        <v>$millions</v>
      </c>
      <c r="E20" s="98">
        <f>'Calc|Opex forecast'!$F$8</f>
        <v>45809</v>
      </c>
      <c r="F20" s="16"/>
      <c r="G20" s="16"/>
      <c r="H20" s="16"/>
      <c r="I20" s="66" t="str">
        <f>IF('Calc|Opex forecast'!J107='Calc|Opex forecast'!J4,'Calc|Opex forecast'!J91,"")</f>
        <v/>
      </c>
      <c r="J20" s="66" t="str">
        <f>IF('Calc|Opex forecast'!K107='Calc|Opex forecast'!K4,'Calc|Opex forecast'!K91,"")</f>
        <v/>
      </c>
      <c r="K20" s="66" t="str">
        <f>IF('Calc|Opex forecast'!L107='Calc|Opex forecast'!L4,'Calc|Opex forecast'!L91,"")</f>
        <v/>
      </c>
      <c r="L20" s="66" t="str">
        <f>IF('Calc|Opex forecast'!M107='Calc|Opex forecast'!M4,'Calc|Opex forecast'!M91,"")</f>
        <v/>
      </c>
      <c r="M20" s="66" t="str">
        <f>IF('Calc|Opex forecast'!N107='Calc|Opex forecast'!N4,'Calc|Opex forecast'!N91,"")</f>
        <v/>
      </c>
      <c r="N20" s="66">
        <f>IF('Calc|Opex forecast'!O107='Calc|Opex forecast'!O4,'Calc|Opex forecast'!O91,"")</f>
        <v>13.016643405718126</v>
      </c>
      <c r="O20" s="66">
        <f>IF('Calc|Opex forecast'!P107='Calc|Opex forecast'!P4,'Calc|Opex forecast'!P91,"")</f>
        <v>21.226372251946021</v>
      </c>
      <c r="P20" s="66">
        <f>IF('Calc|Opex forecast'!Q107='Calc|Opex forecast'!Q4,'Calc|Opex forecast'!Q91,"")</f>
        <v>23.409657128584801</v>
      </c>
      <c r="Q20" s="66">
        <f>IF('Calc|Opex forecast'!R107='Calc|Opex forecast'!R4,'Calc|Opex forecast'!R91,"")</f>
        <v>24.100204979802712</v>
      </c>
      <c r="R20" s="66">
        <f>IF('Calc|Opex forecast'!S107='Calc|Opex forecast'!S4,'Calc|Opex forecast'!S91,"")</f>
        <v>25.197438264670996</v>
      </c>
      <c r="S20" s="66" t="str">
        <f>IF('Calc|Opex forecast'!T107='Calc|Opex forecast'!T4,'Calc|Opex forecast'!T91,"")</f>
        <v/>
      </c>
      <c r="T20" s="66"/>
      <c r="U20" s="70">
        <f t="shared" si="3"/>
        <v>106.95031603072265</v>
      </c>
      <c r="V20" s="188">
        <f t="shared" ca="1" si="0"/>
        <v>5.5435227754423638E-2</v>
      </c>
      <c r="W20" s="192"/>
      <c r="X20" s="66">
        <f ca="1">SUM($U$11:$U19)-AA20</f>
        <v>1911.6038734500055</v>
      </c>
      <c r="Y20" s="66"/>
      <c r="Z20" s="66">
        <f t="shared" si="1"/>
        <v>106.95031603072265</v>
      </c>
      <c r="AA20" s="66">
        <f t="shared" si="2"/>
        <v>0</v>
      </c>
      <c r="AB20" s="186"/>
      <c r="AC20" s="186"/>
      <c r="AD20" s="186"/>
      <c r="AE20" s="186"/>
      <c r="AF20" s="186"/>
      <c r="AG20" s="184"/>
      <c r="AH20" s="184"/>
      <c r="AI20" s="184"/>
      <c r="AJ20" s="184"/>
      <c r="AK20" s="184"/>
      <c r="AL20" s="184"/>
      <c r="AM20" s="184"/>
    </row>
    <row r="21" spans="1:39" ht="14.5">
      <c r="A21" s="184"/>
      <c r="B21" s="15" t="s">
        <v>102</v>
      </c>
      <c r="C21" s="65" t="s">
        <v>201</v>
      </c>
      <c r="D21" s="16" t="str">
        <f>'Calc|Opex forecast'!$E$8</f>
        <v>$millions</v>
      </c>
      <c r="E21" s="98">
        <f>'Calc|Opex forecast'!$F$8</f>
        <v>45809</v>
      </c>
      <c r="F21" s="16"/>
      <c r="G21" s="16"/>
      <c r="H21" s="16"/>
      <c r="I21" s="66" t="str">
        <f>IF('Calc|Opex forecast'!J107='Calc|Opex forecast'!J4,'Calc|Opex forecast'!J103,"")</f>
        <v/>
      </c>
      <c r="J21" s="66" t="str">
        <f>IF('Calc|Opex forecast'!K107='Calc|Opex forecast'!K4,'Calc|Opex forecast'!K103,"")</f>
        <v/>
      </c>
      <c r="K21" s="66" t="str">
        <f>IF('Calc|Opex forecast'!L107='Calc|Opex forecast'!L4,'Calc|Opex forecast'!L103,"")</f>
        <v/>
      </c>
      <c r="L21" s="66" t="str">
        <f>IF('Calc|Opex forecast'!M107='Calc|Opex forecast'!M4,'Calc|Opex forecast'!M103,"")</f>
        <v/>
      </c>
      <c r="M21" s="66" t="str">
        <f>IF('Calc|Opex forecast'!N107='Calc|Opex forecast'!N4,'Calc|Opex forecast'!N103,"")</f>
        <v/>
      </c>
      <c r="N21" s="66">
        <f>IF('Calc|Opex forecast'!O107='Calc|Opex forecast'!O4,'Calc|Opex forecast'!O103,"")</f>
        <v>0.8</v>
      </c>
      <c r="O21" s="66">
        <f>IF('Calc|Opex forecast'!P107='Calc|Opex forecast'!P4,'Calc|Opex forecast'!P103,"")</f>
        <v>0.8</v>
      </c>
      <c r="P21" s="66">
        <f>IF('Calc|Opex forecast'!Q107='Calc|Opex forecast'!Q4,'Calc|Opex forecast'!Q103,"")</f>
        <v>0.8</v>
      </c>
      <c r="Q21" s="66">
        <f>IF('Calc|Opex forecast'!R107='Calc|Opex forecast'!R4,'Calc|Opex forecast'!R103,"")</f>
        <v>0.8</v>
      </c>
      <c r="R21" s="66">
        <f>IF('Calc|Opex forecast'!S107='Calc|Opex forecast'!S4,'Calc|Opex forecast'!S103,"")</f>
        <v>0.8</v>
      </c>
      <c r="S21" s="66" t="str">
        <f>IF('Calc|Opex forecast'!T107='Calc|Opex forecast'!T4,'Calc|Opex forecast'!T103,"")</f>
        <v/>
      </c>
      <c r="T21" s="66"/>
      <c r="U21" s="70">
        <f t="shared" si="3"/>
        <v>4</v>
      </c>
      <c r="V21" s="188">
        <f t="shared" ca="1" si="0"/>
        <v>1.968276653053898E-3</v>
      </c>
      <c r="W21" s="192"/>
      <c r="X21" s="66">
        <f ca="1">SUM($U$11:$U20)-AA21</f>
        <v>2018.5541894807282</v>
      </c>
      <c r="Y21" s="66"/>
      <c r="Z21" s="66">
        <f t="shared" si="1"/>
        <v>4</v>
      </c>
      <c r="AA21" s="66">
        <f t="shared" si="2"/>
        <v>0</v>
      </c>
      <c r="AB21" s="186"/>
      <c r="AC21" s="186"/>
      <c r="AD21" s="186"/>
      <c r="AE21" s="186"/>
      <c r="AF21" s="186"/>
      <c r="AG21" s="184"/>
      <c r="AH21" s="184"/>
      <c r="AI21" s="184"/>
      <c r="AJ21" s="184"/>
      <c r="AK21" s="184"/>
      <c r="AL21" s="184"/>
      <c r="AM21" s="184"/>
    </row>
    <row r="22" spans="1:39" ht="14.5">
      <c r="A22" s="184"/>
      <c r="B22" s="15" t="s">
        <v>39</v>
      </c>
      <c r="C22" s="65" t="s">
        <v>201</v>
      </c>
      <c r="D22" s="16" t="str">
        <f>'Calc|Opex forecast'!$E$8</f>
        <v>$millions</v>
      </c>
      <c r="E22" s="98">
        <f>'Calc|Opex forecast'!$F$8</f>
        <v>45809</v>
      </c>
      <c r="F22" s="16"/>
      <c r="G22" s="16"/>
      <c r="H22" s="16"/>
      <c r="I22" s="66" t="str">
        <f>IF('Calc|Opex forecast'!J107='Calc|Opex forecast'!J4,'Input|Step changes'!J44,"")</f>
        <v/>
      </c>
      <c r="J22" s="66" t="str">
        <f>IF('Calc|Opex forecast'!K107='Calc|Opex forecast'!K4,'Input|Step changes'!K44,"")</f>
        <v/>
      </c>
      <c r="K22" s="66" t="str">
        <f>IF('Calc|Opex forecast'!L107='Calc|Opex forecast'!L4,'Input|Step changes'!L44,"")</f>
        <v/>
      </c>
      <c r="L22" s="66" t="str">
        <f>IF('Calc|Opex forecast'!M107='Calc|Opex forecast'!M4,'Input|Step changes'!M44,"")</f>
        <v/>
      </c>
      <c r="M22" s="66" t="str">
        <f>IF('Calc|Opex forecast'!N107='Calc|Opex forecast'!N4,'Input|Step changes'!N44,"")</f>
        <v/>
      </c>
      <c r="N22" s="66">
        <f>IF('Calc|Opex forecast'!O107='Calc|Opex forecast'!O4,'Input|Step changes'!O44,"")</f>
        <v>2.6534818854810438</v>
      </c>
      <c r="O22" s="66">
        <f>IF('Calc|Opex forecast'!P107='Calc|Opex forecast'!P4,'Input|Step changes'!P44,"")</f>
        <v>2.6919226587788496</v>
      </c>
      <c r="P22" s="66">
        <f>IF('Calc|Opex forecast'!Q107='Calc|Opex forecast'!Q4,'Input|Step changes'!Q44,"")</f>
        <v>2.7282502826165067</v>
      </c>
      <c r="Q22" s="66">
        <f>IF('Calc|Opex forecast'!R107='Calc|Opex forecast'!R4,'Input|Step changes'!R44,"")</f>
        <v>2.7728642952357951</v>
      </c>
      <c r="R22" s="66">
        <f>IF('Calc|Opex forecast'!S107='Calc|Opex forecast'!S4,'Input|Step changes'!S44,"")</f>
        <v>2.833933714215481</v>
      </c>
      <c r="S22" s="66" t="str">
        <f>IF('Calc|Opex forecast'!T107='Calc|Opex forecast'!T4,'Input|Step changes'!T44,"")</f>
        <v/>
      </c>
      <c r="T22" s="66"/>
      <c r="U22" s="70">
        <f t="shared" si="3"/>
        <v>13.680452836327676</v>
      </c>
      <c r="V22" s="188">
        <f t="shared" ca="1" si="0"/>
        <v>6.7639487275443552E-3</v>
      </c>
      <c r="W22" s="184"/>
      <c r="X22" s="66">
        <f ca="1">SUM($U$11:$U21)-AA22</f>
        <v>2022.5541894807282</v>
      </c>
      <c r="Y22" s="66"/>
      <c r="Z22" s="66">
        <f t="shared" si="1"/>
        <v>13.680452836327676</v>
      </c>
      <c r="AA22" s="66">
        <f t="shared" si="2"/>
        <v>0</v>
      </c>
      <c r="AB22" s="186"/>
      <c r="AC22" s="186"/>
      <c r="AD22" s="186"/>
      <c r="AE22" s="186"/>
      <c r="AF22" s="186"/>
      <c r="AG22" s="184"/>
      <c r="AH22" s="184"/>
      <c r="AI22" s="184"/>
      <c r="AJ22" s="184"/>
      <c r="AK22" s="184"/>
      <c r="AL22" s="184"/>
      <c r="AM22" s="184"/>
    </row>
    <row r="23" spans="1:39" ht="14.5">
      <c r="A23" s="184"/>
      <c r="B23" s="15" t="s">
        <v>208</v>
      </c>
      <c r="C23" s="65" t="s">
        <v>201</v>
      </c>
      <c r="D23" s="16" t="str">
        <f>'Calc|Opex forecast'!$E$8</f>
        <v>$millions</v>
      </c>
      <c r="E23" s="98">
        <f>'Calc|Opex forecast'!$F$8</f>
        <v>45809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forecast'!O111</f>
        <v>394.66963305724278</v>
      </c>
      <c r="O23" s="66">
        <f ca="1">'Calc|Opex forecast'!P111</f>
        <v>404.83711763032278</v>
      </c>
      <c r="P23" s="66">
        <f ca="1">'Calc|Opex forecast'!Q111</f>
        <v>408.96525943651341</v>
      </c>
      <c r="Q23" s="66">
        <f ca="1">'Calc|Opex forecast'!R111</f>
        <v>411.97856555851814</v>
      </c>
      <c r="R23" s="66">
        <f ca="1">'Calc|Opex forecast'!S111</f>
        <v>415.78406663445884</v>
      </c>
      <c r="S23" s="66" t="str">
        <f>'Calc|Opex forecast'!T111</f>
        <v/>
      </c>
      <c r="T23" s="66"/>
      <c r="U23" s="70">
        <f ca="1">SUM(I23:S23)</f>
        <v>2036.2346423170559</v>
      </c>
      <c r="V23" s="81" t="str">
        <f ca="1">IF(ROUND(U23,6)=ROUND(SUM(U11:U22),6),"OK","Check")</f>
        <v>OK</v>
      </c>
      <c r="W23" s="184"/>
      <c r="X23" s="66"/>
      <c r="Y23" s="66">
        <f ca="1">U23</f>
        <v>2036.2346423170559</v>
      </c>
      <c r="Z23" s="66"/>
      <c r="AA23" s="66"/>
      <c r="AB23" s="186"/>
      <c r="AC23" s="184"/>
      <c r="AD23" s="193"/>
      <c r="AE23" s="184"/>
      <c r="AF23" s="186"/>
      <c r="AG23" s="184"/>
      <c r="AH23" s="184"/>
      <c r="AI23" s="184"/>
      <c r="AJ23" s="184"/>
      <c r="AK23" s="184"/>
      <c r="AL23" s="184"/>
      <c r="AM23" s="184"/>
    </row>
    <row r="24" spans="1:39" ht="14.5">
      <c r="A24" s="184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88"/>
      <c r="W24" s="184"/>
      <c r="X24" s="186"/>
      <c r="Y24" s="186"/>
      <c r="Z24" s="186"/>
      <c r="AA24" s="186"/>
      <c r="AB24" s="186"/>
      <c r="AC24" s="186"/>
      <c r="AD24" s="186"/>
      <c r="AE24" s="186"/>
      <c r="AF24" s="186"/>
      <c r="AG24" s="184"/>
      <c r="AH24" s="184"/>
      <c r="AI24" s="184"/>
      <c r="AJ24" s="184"/>
      <c r="AK24" s="184"/>
      <c r="AL24" s="184"/>
      <c r="AM24" s="184"/>
    </row>
    <row r="25" spans="1:39" ht="14.5">
      <c r="A25" s="184"/>
      <c r="B25" s="194"/>
      <c r="C25" s="194"/>
      <c r="D25" s="194"/>
      <c r="E25" s="194"/>
      <c r="F25" s="16"/>
      <c r="G25" s="16"/>
      <c r="H25" s="16"/>
      <c r="I25" s="194"/>
      <c r="J25" s="194"/>
      <c r="K25" s="194"/>
      <c r="L25" s="194"/>
      <c r="M25" s="194"/>
      <c r="N25" s="184"/>
      <c r="O25" s="184"/>
      <c r="P25" s="184"/>
      <c r="Q25" s="184"/>
      <c r="R25" s="184"/>
      <c r="S25" s="184"/>
      <c r="T25" s="195"/>
      <c r="U25" s="191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</row>
    <row r="26" spans="1:39" ht="14.5">
      <c r="A26" s="184"/>
      <c r="B26" s="184"/>
      <c r="C26" s="184"/>
      <c r="D26" s="184"/>
      <c r="E26" s="184"/>
      <c r="F26" s="16"/>
      <c r="G26" s="16"/>
      <c r="H26" s="16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</row>
    <row r="27" spans="1:39" ht="14.5">
      <c r="A27" s="184"/>
      <c r="B27" s="184"/>
      <c r="C27" s="184"/>
      <c r="D27" s="184"/>
      <c r="E27" s="184"/>
      <c r="F27" s="16"/>
      <c r="G27" s="16"/>
      <c r="H27" s="16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</row>
    <row r="28" spans="1:39" ht="14.5">
      <c r="A28" s="184"/>
      <c r="B28" s="184"/>
      <c r="C28" s="184"/>
      <c r="D28" s="184"/>
      <c r="E28" s="184"/>
      <c r="F28" s="16"/>
      <c r="G28" s="16"/>
      <c r="H28" s="16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</row>
    <row r="29" spans="1:39" ht="14.5">
      <c r="A29" s="184"/>
      <c r="B29" s="184"/>
      <c r="C29" s="184"/>
      <c r="D29" s="184"/>
      <c r="E29" s="184"/>
      <c r="F29" s="16"/>
      <c r="G29" s="16"/>
      <c r="H29" s="16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</row>
    <row r="30" spans="1:39" ht="14.5">
      <c r="A30" s="184"/>
      <c r="B30" s="184"/>
      <c r="C30" s="184"/>
      <c r="D30" s="184"/>
      <c r="E30" s="184"/>
      <c r="F30" s="16"/>
      <c r="G30" s="16"/>
      <c r="H30" s="16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96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sheetProtection selectLockedCells="1"/>
  <mergeCells count="1">
    <mergeCell ref="M2:R2"/>
  </mergeCells>
  <conditionalFormatting sqref="I9:S9 U9">
    <cfRule type="expression" dxfId="22" priority="12">
      <formula>I$88=I$4</formula>
    </cfRule>
  </conditionalFormatting>
  <conditionalFormatting sqref="I11:V22 I23:U23 I24:V24">
    <cfRule type="cellIs" dxfId="21" priority="9" operator="equal">
      <formula>0</formula>
    </cfRule>
  </conditionalFormatting>
  <conditionalFormatting sqref="V1">
    <cfRule type="cellIs" dxfId="20" priority="1" operator="equal">
      <formula>"Check"</formula>
    </cfRule>
    <cfRule type="cellIs" dxfId="19" priority="2" operator="equal">
      <formula>"Ok"</formula>
    </cfRule>
  </conditionalFormatting>
  <conditionalFormatting sqref="V23">
    <cfRule type="cellIs" dxfId="18" priority="7" operator="equal">
      <formula>"Check"</formula>
    </cfRule>
    <cfRule type="cellIs" dxfId="17" priority="8" operator="equal">
      <formula>"Ok"</formula>
    </cfRule>
  </conditionalFormatting>
  <conditionalFormatting sqref="X11:AA23">
    <cfRule type="cellIs" dxfId="16" priority="3" operator="equal">
      <formula>0</formula>
    </cfRule>
  </conditionalFormatting>
  <conditionalFormatting sqref="Y1">
    <cfRule type="cellIs" dxfId="15" priority="10" operator="equal">
      <formula>"Check"</formula>
    </cfRule>
    <cfRule type="cellIs" dxfId="14" priority="11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9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0" t="s">
        <v>24</v>
      </c>
      <c r="V1" s="29" t="str">
        <f>'Check|List'!$S$1</f>
        <v>Ok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180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181</v>
      </c>
      <c r="D8" s="16" t="s">
        <v>184</v>
      </c>
      <c r="E8" s="16"/>
      <c r="F8" s="16"/>
      <c r="G8" s="39" t="s">
        <v>181</v>
      </c>
    </row>
    <row r="9" spans="1:30">
      <c r="C9" s="15" t="s">
        <v>182</v>
      </c>
      <c r="D9" s="16" t="s">
        <v>184</v>
      </c>
      <c r="E9" s="16"/>
      <c r="F9" s="16"/>
      <c r="G9" s="39" t="s">
        <v>182</v>
      </c>
    </row>
    <row r="10" spans="1:30">
      <c r="C10" s="15" t="s">
        <v>183</v>
      </c>
      <c r="D10" s="16" t="s">
        <v>64</v>
      </c>
      <c r="E10" s="16"/>
      <c r="F10" s="16"/>
      <c r="G10" s="39" t="s">
        <v>183</v>
      </c>
      <c r="T10" s="17"/>
    </row>
    <row r="11" spans="1:30">
      <c r="C11" s="15" t="s">
        <v>185</v>
      </c>
      <c r="D11" s="16" t="s">
        <v>184</v>
      </c>
      <c r="E11" s="16"/>
      <c r="F11" s="16"/>
      <c r="G11" s="39" t="s">
        <v>185</v>
      </c>
    </row>
    <row r="12" spans="1:30">
      <c r="C12" s="15" t="s">
        <v>186</v>
      </c>
      <c r="D12" s="16" t="s">
        <v>64</v>
      </c>
      <c r="E12" s="16"/>
      <c r="F12" s="16"/>
      <c r="G12" s="39" t="s">
        <v>186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9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0" t="s">
        <v>24</v>
      </c>
      <c r="S1" s="29" t="str">
        <f>IF(COUNTIF(G10:G16,"Check")=0,"Ok","Check")</f>
        <v>Ok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01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201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01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01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01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01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30" ht="10.5">
      <c r="C16" s="15" t="str">
        <f>Index!C13</f>
        <v>Output | Models</v>
      </c>
      <c r="D16" s="201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f9e2a3-ddce-444d-9f34-47b009369a7d">
      <Terms xmlns="http://schemas.microsoft.com/office/infopath/2007/PartnerControls"/>
    </lcf76f155ced4ddcb4097134ff3c332f>
    <TaxCatchAll xmlns="a7057c79-7d51-421d-a905-1d0948ddf619" xsi:nil="true"/>
    <Hyperlink xmlns="d3f9e2a3-ddce-444d-9f34-47b009369a7d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CDA99-9513-4E4B-A213-34FFE335F3D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7057c79-7d51-421d-a905-1d0948ddf619"/>
    <ds:schemaRef ds:uri="http://schemas.microsoft.com/office/2006/metadata/properties"/>
    <ds:schemaRef ds:uri="http://purl.org/dc/elements/1.1/"/>
    <ds:schemaRef ds:uri="http://schemas.microsoft.com/office/infopath/2007/PartnerControls"/>
    <ds:schemaRef ds:uri="d3f9e2a3-ddce-444d-9f34-47b009369a7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E9EBAC3-8A28-4102-9718-1B65C45A8E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BD112-9969-45CE-9A4D-DF16F0992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Index</vt:lpstr>
      <vt:lpstr>SAPowerNetworksAmendments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Drc</vt:lpstr>
      <vt:lpstr>Dv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Craig Parsons</cp:lastModifiedBy>
  <dcterms:created xsi:type="dcterms:W3CDTF">2024-09-10T01:52:49Z</dcterms:created>
  <dcterms:modified xsi:type="dcterms:W3CDTF">2024-11-30T04:46:14Z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2024-09-12T22:56:32Z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22ac49c7-45e2-4f61-8f8a-15affae8bc07</vt:lpwstr>
  </property>
  <property fmtid="{D5CDD505-2E9C-101B-9397-08002B2CF9AE}" pid="8" name="MSIP_Label_d9d5a995-dfdf-4407-9a97-edbbc68c9f53_ContentBits">
    <vt:lpwstr>0</vt:lpwstr>
  </property>
  <property fmtid="{D5CDD505-2E9C-101B-9397-08002B2CF9AE}" pid="9" name="ContentTypeId">
    <vt:lpwstr>0x010100F847192EE784F942B38F164D75803B86</vt:lpwstr>
  </property>
  <property fmtid="{D5CDD505-2E9C-101B-9397-08002B2CF9AE}" pid="10" name="MediaServiceImageTags">
    <vt:lpwstr/>
  </property>
</Properties>
</file>