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filterPrivacy="1" defaultThemeVersion="166925"/>
  <xr:revisionPtr revIDLastSave="14" documentId="8_{27475ACB-3ADC-45F8-A7B7-36E833A1ED1D}" xr6:coauthVersionLast="47" xr6:coauthVersionMax="47" xr10:uidLastSave="{88D07A4E-33BB-48C4-B03D-03EE3A979582}"/>
  <bookViews>
    <workbookView xWindow="-120" yWindow="-120" windowWidth="51840" windowHeight="21120" xr2:uid="{A2D2B472-8820-456D-AE31-E2947906465D}"/>
  </bookViews>
  <sheets>
    <sheet name="Input data" sheetId="9" r:id="rId1"/>
    <sheet name="1. Non-concessional" sheetId="2" r:id="rId2"/>
    <sheet name="1b. Non-conc EqRaisCost Part B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9" l="1"/>
  <c r="H19" i="2" l="1"/>
  <c r="I19" i="2"/>
  <c r="J19" i="2"/>
  <c r="K19" i="2"/>
  <c r="G19" i="2"/>
  <c r="I46" i="9"/>
  <c r="C74" i="4" l="1"/>
  <c r="C73" i="4"/>
  <c r="E24" i="4" l="1"/>
  <c r="F24" i="4"/>
  <c r="G24" i="4"/>
  <c r="H24" i="4"/>
  <c r="I24" i="4"/>
  <c r="J24" i="4"/>
  <c r="K24" i="4"/>
  <c r="E25" i="4"/>
  <c r="F25" i="4"/>
  <c r="G25" i="4"/>
  <c r="H25" i="4"/>
  <c r="I25" i="4"/>
  <c r="J25" i="4"/>
  <c r="K25" i="4"/>
  <c r="E26" i="4"/>
  <c r="F26" i="4"/>
  <c r="G26" i="4"/>
  <c r="H26" i="4"/>
  <c r="I26" i="4"/>
  <c r="J26" i="4"/>
  <c r="K26" i="4"/>
  <c r="F23" i="4"/>
  <c r="G23" i="4"/>
  <c r="H23" i="4"/>
  <c r="I23" i="4"/>
  <c r="J23" i="4"/>
  <c r="K23" i="4"/>
  <c r="E23" i="4"/>
  <c r="F18" i="4"/>
  <c r="G18" i="4"/>
  <c r="H18" i="4"/>
  <c r="I18" i="4"/>
  <c r="J18" i="4"/>
  <c r="K18" i="4"/>
  <c r="E18" i="4"/>
  <c r="F17" i="4"/>
  <c r="G17" i="4"/>
  <c r="H17" i="4"/>
  <c r="I17" i="4"/>
  <c r="J17" i="4"/>
  <c r="K17" i="4"/>
  <c r="E17" i="4"/>
  <c r="D33" i="2" l="1"/>
  <c r="E33" i="2"/>
  <c r="F33" i="2"/>
  <c r="G33" i="2"/>
  <c r="H33" i="2"/>
  <c r="I33" i="2"/>
  <c r="J33" i="2"/>
  <c r="K33" i="2"/>
  <c r="C33" i="2"/>
  <c r="F21" i="2" l="1"/>
  <c r="G21" i="2"/>
  <c r="H21" i="2"/>
  <c r="I21" i="2"/>
  <c r="J21" i="2"/>
  <c r="K21" i="2"/>
  <c r="E21" i="2"/>
  <c r="D32" i="2"/>
  <c r="F32" i="2"/>
  <c r="G32" i="2"/>
  <c r="H32" i="2"/>
  <c r="I32" i="2"/>
  <c r="J32" i="2"/>
  <c r="K32" i="2"/>
  <c r="E20" i="2" l="1"/>
  <c r="E32" i="2" s="1"/>
  <c r="H31" i="2" l="1"/>
  <c r="I31" i="2"/>
  <c r="J31" i="2"/>
  <c r="K31" i="2"/>
  <c r="G31" i="2"/>
  <c r="G69" i="4" l="1"/>
  <c r="J69" i="4"/>
  <c r="K69" i="4"/>
  <c r="F69" i="4"/>
  <c r="E68" i="4"/>
  <c r="I69" i="4"/>
  <c r="F45" i="9"/>
  <c r="G45" i="9" s="1"/>
  <c r="H69" i="4" l="1"/>
  <c r="F68" i="4"/>
  <c r="G68" i="4"/>
  <c r="H45" i="9"/>
  <c r="D15" i="9"/>
  <c r="E15" i="9"/>
  <c r="F15" i="9"/>
  <c r="C15" i="9"/>
  <c r="H68" i="4" l="1"/>
  <c r="I45" i="9"/>
  <c r="D12" i="2"/>
  <c r="D36" i="2" s="1"/>
  <c r="E12" i="2"/>
  <c r="F12" i="2"/>
  <c r="C12" i="2"/>
  <c r="C36" i="2" s="1"/>
  <c r="D11" i="2"/>
  <c r="D35" i="2" s="1"/>
  <c r="E11" i="2"/>
  <c r="F11" i="2"/>
  <c r="C11" i="2"/>
  <c r="C35" i="2" s="1"/>
  <c r="D10" i="2"/>
  <c r="D34" i="2" s="1"/>
  <c r="E10" i="2"/>
  <c r="F10" i="2"/>
  <c r="C10" i="2"/>
  <c r="C34" i="2" s="1"/>
  <c r="J45" i="9" l="1"/>
  <c r="I68" i="4"/>
  <c r="D13" i="2"/>
  <c r="C13" i="2"/>
  <c r="F13" i="2"/>
  <c r="E13" i="2"/>
  <c r="K45" i="9" l="1"/>
  <c r="J68" i="4"/>
  <c r="D37" i="2"/>
  <c r="F19" i="2"/>
  <c r="E19" i="2"/>
  <c r="E18" i="2"/>
  <c r="D9" i="2"/>
  <c r="E9" i="2"/>
  <c r="F9" i="2"/>
  <c r="C9" i="2"/>
  <c r="C8" i="2"/>
  <c r="C32" i="2" s="1"/>
  <c r="C6" i="2"/>
  <c r="C30" i="2" s="1"/>
  <c r="K68" i="4" l="1"/>
  <c r="C37" i="2"/>
  <c r="F23" i="2"/>
  <c r="F35" i="2" s="1"/>
  <c r="G23" i="2"/>
  <c r="G35" i="2" s="1"/>
  <c r="I23" i="2"/>
  <c r="I35" i="2" s="1"/>
  <c r="H23" i="2"/>
  <c r="H35" i="2" s="1"/>
  <c r="E24" i="2"/>
  <c r="E36" i="2" s="1"/>
  <c r="K23" i="2"/>
  <c r="K35" i="2" s="1"/>
  <c r="J23" i="2"/>
  <c r="J35" i="2" s="1"/>
  <c r="E22" i="2" l="1"/>
  <c r="E34" i="2" s="1"/>
  <c r="D24" i="9"/>
  <c r="C24" i="9"/>
  <c r="E23" i="2" l="1"/>
  <c r="D7" i="2"/>
  <c r="D31" i="2" s="1"/>
  <c r="C7" i="2"/>
  <c r="E24" i="9"/>
  <c r="F24" i="9"/>
  <c r="E35" i="2" l="1"/>
  <c r="E11" i="4"/>
  <c r="E7" i="2"/>
  <c r="E31" i="2" s="1"/>
  <c r="C31" i="2"/>
  <c r="C14" i="2"/>
  <c r="E25" i="2"/>
  <c r="E26" i="2" s="1"/>
  <c r="F7" i="2"/>
  <c r="F31" i="2" l="1"/>
  <c r="E37" i="2"/>
  <c r="K29" i="4" l="1"/>
  <c r="J29" i="4"/>
  <c r="I29" i="4"/>
  <c r="H29" i="4"/>
  <c r="G29" i="4"/>
  <c r="F29" i="4"/>
  <c r="E29" i="4"/>
  <c r="I28" i="4"/>
  <c r="I30" i="4" s="1"/>
  <c r="I37" i="4" s="1"/>
  <c r="H28" i="4"/>
  <c r="H30" i="4" s="1"/>
  <c r="H37" i="4" s="1"/>
  <c r="G28" i="4"/>
  <c r="K27" i="4"/>
  <c r="K28" i="4" s="1"/>
  <c r="J27" i="4"/>
  <c r="J28" i="4" s="1"/>
  <c r="J30" i="4" s="1"/>
  <c r="J37" i="4" s="1"/>
  <c r="J43" i="4" s="1"/>
  <c r="I27" i="4"/>
  <c r="H27" i="4"/>
  <c r="G27" i="4"/>
  <c r="F27" i="4"/>
  <c r="F28" i="4" s="1"/>
  <c r="E27" i="4"/>
  <c r="E28" i="4" s="1"/>
  <c r="L26" i="4"/>
  <c r="L25" i="4"/>
  <c r="L24" i="4"/>
  <c r="L23" i="4"/>
  <c r="K19" i="4"/>
  <c r="J19" i="4"/>
  <c r="I19" i="4"/>
  <c r="H19" i="4"/>
  <c r="G19" i="4"/>
  <c r="F19" i="4"/>
  <c r="E19" i="4"/>
  <c r="E46" i="4" s="1"/>
  <c r="L18" i="4"/>
  <c r="L17" i="4"/>
  <c r="E9" i="4"/>
  <c r="L9" i="4" s="1"/>
  <c r="G30" i="4" l="1"/>
  <c r="G37" i="4" s="1"/>
  <c r="K30" i="4"/>
  <c r="K37" i="4" s="1"/>
  <c r="K43" i="4" s="1"/>
  <c r="F30" i="4"/>
  <c r="F37" i="4" s="1"/>
  <c r="L19" i="4"/>
  <c r="L29" i="4"/>
  <c r="L28" i="4"/>
  <c r="L27" i="4"/>
  <c r="F43" i="4"/>
  <c r="G46" i="4"/>
  <c r="H46" i="4"/>
  <c r="G43" i="4"/>
  <c r="I43" i="4"/>
  <c r="I46" i="4"/>
  <c r="F46" i="4"/>
  <c r="J46" i="4"/>
  <c r="K46" i="4"/>
  <c r="H43" i="4"/>
  <c r="E30" i="4"/>
  <c r="L46" i="4" l="1"/>
  <c r="L30" i="4"/>
  <c r="E37" i="4"/>
  <c r="L37" i="4" l="1"/>
  <c r="E43" i="4"/>
  <c r="L43" i="4" s="1"/>
  <c r="F8" i="4" l="1"/>
  <c r="H8" i="4"/>
  <c r="E8" i="4"/>
  <c r="I8" i="4" l="1"/>
  <c r="E10" i="4"/>
  <c r="E7" i="4"/>
  <c r="J8" i="4"/>
  <c r="G8" i="4"/>
  <c r="K8" i="4"/>
  <c r="F18" i="2" l="1"/>
  <c r="L8" i="4"/>
  <c r="F22" i="2" l="1"/>
  <c r="F24" i="2"/>
  <c r="F36" i="2" s="1"/>
  <c r="F7" i="4"/>
  <c r="E12" i="4"/>
  <c r="F34" i="2" l="1"/>
  <c r="F11" i="4"/>
  <c r="F25" i="2"/>
  <c r="F26" i="2" s="1"/>
  <c r="F10" i="4"/>
  <c r="E34" i="4"/>
  <c r="E35" i="4" s="1"/>
  <c r="F37" i="2" l="1"/>
  <c r="F12" i="4"/>
  <c r="F34" i="4" s="1"/>
  <c r="F35" i="4" s="1"/>
  <c r="E36" i="4"/>
  <c r="C38" i="2" l="1"/>
  <c r="F36" i="4"/>
  <c r="F38" i="4" s="1"/>
  <c r="E38" i="4"/>
  <c r="E42" i="4"/>
  <c r="D6" i="2"/>
  <c r="D14" i="2" s="1"/>
  <c r="D30" i="2" l="1"/>
  <c r="F42" i="4"/>
  <c r="F44" i="4" s="1"/>
  <c r="E44" i="4"/>
  <c r="D38" i="2" l="1"/>
  <c r="E6" i="2"/>
  <c r="E14" i="2" s="1"/>
  <c r="F6" i="2" l="1"/>
  <c r="F14" i="2" s="1"/>
  <c r="E30" i="2"/>
  <c r="E38" i="2" s="1"/>
  <c r="G18" i="2" l="1"/>
  <c r="G30" i="2" s="1"/>
  <c r="F30" i="2"/>
  <c r="G22" i="2" l="1"/>
  <c r="G11" i="4" s="1"/>
  <c r="G24" i="2"/>
  <c r="G7" i="4"/>
  <c r="F38" i="2"/>
  <c r="G10" i="4" l="1"/>
  <c r="G36" i="2"/>
  <c r="G34" i="2"/>
  <c r="G25" i="2"/>
  <c r="G26" i="2" s="1"/>
  <c r="H18" i="2" s="1"/>
  <c r="H30" i="2" s="1"/>
  <c r="G12" i="4" l="1"/>
  <c r="G34" i="4" s="1"/>
  <c r="G35" i="4" s="1"/>
  <c r="G36" i="4" s="1"/>
  <c r="G38" i="4" s="1"/>
  <c r="H24" i="2"/>
  <c r="H7" i="4"/>
  <c r="H22" i="2"/>
  <c r="H11" i="4" s="1"/>
  <c r="G42" i="4" l="1"/>
  <c r="G44" i="4" s="1"/>
  <c r="H34" i="2"/>
  <c r="H10" i="4"/>
  <c r="H36" i="2"/>
  <c r="H25" i="2"/>
  <c r="H26" i="2" s="1"/>
  <c r="I18" i="2" s="1"/>
  <c r="I30" i="2" s="1"/>
  <c r="I22" i="2" l="1"/>
  <c r="I11" i="4" s="1"/>
  <c r="I24" i="2"/>
  <c r="I10" i="4" s="1"/>
  <c r="H12" i="4"/>
  <c r="H34" i="4" s="1"/>
  <c r="H35" i="4" s="1"/>
  <c r="H36" i="4" s="1"/>
  <c r="I7" i="4"/>
  <c r="G37" i="2"/>
  <c r="G38" i="2" l="1"/>
  <c r="I12" i="4"/>
  <c r="I34" i="4" s="1"/>
  <c r="I35" i="4" s="1"/>
  <c r="I25" i="2"/>
  <c r="I26" i="2" s="1"/>
  <c r="J18" i="2" s="1"/>
  <c r="J30" i="2" s="1"/>
  <c r="I34" i="2"/>
  <c r="I36" i="2"/>
  <c r="H38" i="4"/>
  <c r="H42" i="4"/>
  <c r="H44" i="4" s="1"/>
  <c r="I36" i="4" l="1"/>
  <c r="I42" i="4" s="1"/>
  <c r="J22" i="2"/>
  <c r="J7" i="4"/>
  <c r="J24" i="2"/>
  <c r="J10" i="4" s="1"/>
  <c r="J34" i="2" l="1"/>
  <c r="J11" i="4"/>
  <c r="J12" i="4" s="1"/>
  <c r="J34" i="4" s="1"/>
  <c r="J35" i="4" s="1"/>
  <c r="I38" i="4"/>
  <c r="J36" i="2"/>
  <c r="J25" i="2"/>
  <c r="J26" i="2" s="1"/>
  <c r="K18" i="2" s="1"/>
  <c r="K30" i="2" s="1"/>
  <c r="H37" i="2"/>
  <c r="H38" i="2" s="1"/>
  <c r="I44" i="4"/>
  <c r="K7" i="4" l="1"/>
  <c r="L7" i="4" s="1"/>
  <c r="K24" i="2"/>
  <c r="K36" i="2" s="1"/>
  <c r="K22" i="2"/>
  <c r="J36" i="4"/>
  <c r="K34" i="2" l="1"/>
  <c r="K11" i="4"/>
  <c r="L11" i="4" s="1"/>
  <c r="K25" i="2"/>
  <c r="K26" i="2" s="1"/>
  <c r="K10" i="4"/>
  <c r="L10" i="4" s="1"/>
  <c r="J42" i="4"/>
  <c r="J38" i="4"/>
  <c r="K12" i="4" l="1"/>
  <c r="K34" i="4" s="1"/>
  <c r="K35" i="4" s="1"/>
  <c r="L35" i="4" s="1"/>
  <c r="J44" i="4"/>
  <c r="L34" i="4" l="1"/>
  <c r="L12" i="4"/>
  <c r="I37" i="2"/>
  <c r="I38" i="2" s="1"/>
  <c r="K36" i="4"/>
  <c r="K42" i="4" l="1"/>
  <c r="K38" i="4"/>
  <c r="L38" i="4" s="1"/>
  <c r="L36" i="4"/>
  <c r="K44" i="4" l="1"/>
  <c r="L44" i="4" s="1"/>
  <c r="L42" i="4"/>
  <c r="J37" i="2" l="1"/>
  <c r="J38" i="2" s="1"/>
  <c r="L51" i="4"/>
  <c r="L55" i="4" s="1"/>
  <c r="L50" i="4"/>
  <c r="L52" i="4" l="1"/>
  <c r="L54" i="4"/>
  <c r="L56" i="4" s="1"/>
  <c r="L62" i="4" s="1"/>
  <c r="L64" i="4" s="1"/>
  <c r="L65" i="4" s="1"/>
  <c r="I2" i="2" l="1"/>
  <c r="K37" i="2"/>
  <c r="K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8" authorId="0" shapeId="0" xr:uid="{35FE83A9-FA69-420C-9EB1-EE17E7830386}">
      <text>
        <r>
          <rPr>
            <b/>
            <sz val="9"/>
            <color indexed="81"/>
            <rFont val="Tahoma"/>
            <family val="2"/>
          </rPr>
          <t>The 2025-26 Opening RAB includes the Part A 2024-25 Early works Closing RAB.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659ACB99-8D8D-44BC-9C1C-9F2FF75337D3}">
      <text>
        <r>
          <rPr>
            <sz val="9"/>
            <color indexed="81"/>
            <rFont val="Tahoma"/>
            <family val="2"/>
          </rPr>
          <t xml:space="preserve">Value determined through iteration using Goal Seek function.  See cell G63.
</t>
        </r>
      </text>
    </comment>
    <comment ref="B25" authorId="0" shapeId="0" xr:uid="{906C0AFE-206A-4B11-8DC1-0C4D2DF3E8DA}">
      <text>
        <r>
          <rPr>
            <sz val="9"/>
            <color indexed="81"/>
            <rFont val="Tahoma"/>
            <family val="2"/>
          </rPr>
          <t xml:space="preserve">Interest payments are included in the Capitalised allowed return (Row 11), so a separate allowance is not required.
</t>
        </r>
      </text>
    </comment>
  </commentList>
</comments>
</file>

<file path=xl/sharedStrings.xml><?xml version="1.0" encoding="utf-8"?>
<sst xmlns="http://schemas.openxmlformats.org/spreadsheetml/2006/main" count="229" uniqueCount="113">
  <si>
    <t>Financing rates and information</t>
  </si>
  <si>
    <t>Non-concessional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</si>
  <si>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</si>
  <si>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</si>
  <si>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</si>
  <si>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</si>
  <si>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</si>
  <si>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</si>
  <si>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</si>
  <si>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</si>
  <si>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</si>
  <si>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WACC</t>
  </si>
  <si>
    <t>Debt raising costs %</t>
  </si>
  <si>
    <t>Gearing (as per 2022 RORI)</t>
  </si>
  <si>
    <t>Part A decision - early works equity raising costs and allowed revenue</t>
  </si>
  <si>
    <t>$m nominal</t>
  </si>
  <si>
    <t>2030-31</t>
  </si>
  <si>
    <t>Part A decision equity raising costs</t>
  </si>
  <si>
    <t>Part A decision allowed return on Opening RAB</t>
  </si>
  <si>
    <t>Part A decision allowed return on annual expenditure and equity raising costs</t>
  </si>
  <si>
    <t>Part A decision debt raising costs</t>
  </si>
  <si>
    <t>Part A decision allowed return</t>
  </si>
  <si>
    <t>Early works expenditure and grant funding</t>
  </si>
  <si>
    <t>Early works updated actual and forecast expenditure and grant funding</t>
  </si>
  <si>
    <t>Actual as per Part A Decision</t>
  </si>
  <si>
    <t>Actual (updated from the Part A Decision forecast)</t>
  </si>
  <si>
    <t>Forecast (updated from the Part A Decision forecast)</t>
  </si>
  <si>
    <t>Opening RAB 1 July 2021</t>
  </si>
  <si>
    <t>Expenditure</t>
  </si>
  <si>
    <t>Grant funding</t>
  </si>
  <si>
    <t>Net expenditure</t>
  </si>
  <si>
    <t>Construction costs (to 30 June 2030)</t>
  </si>
  <si>
    <t>Construction costs forecast</t>
  </si>
  <si>
    <t>Total</t>
  </si>
  <si>
    <t>Construction costs Opening RAB</t>
  </si>
  <si>
    <t>Construction expenditure</t>
  </si>
  <si>
    <r>
      <t xml:space="preserve">Equity raising costs inputs </t>
    </r>
    <r>
      <rPr>
        <b/>
        <sz val="12"/>
        <color theme="4"/>
        <rFont val="Calibri"/>
        <family val="2"/>
        <scheme val="minor"/>
      </rPr>
      <t>(these are all zero because revenue will not be recovered from customers until the link is operational in 2030-31, ie after the first regulatory period)</t>
    </r>
  </si>
  <si>
    <t>Tax Payable</t>
  </si>
  <si>
    <t>Dividends</t>
  </si>
  <si>
    <t>Revenue (smoothed)</t>
  </si>
  <si>
    <t>Opex</t>
  </si>
  <si>
    <t>Interest Payment</t>
  </si>
  <si>
    <t>Revenue Adjustments</t>
  </si>
  <si>
    <t>Equity raising cost inflation forecasts</t>
  </si>
  <si>
    <t>CPI</t>
  </si>
  <si>
    <t>Dec-23
(Actual)</t>
  </si>
  <si>
    <t>Dec-24
(Forecast)</t>
  </si>
  <si>
    <t>Dec-25
(Forecast)</t>
  </si>
  <si>
    <t>Dec-26
(Forecast)</t>
  </si>
  <si>
    <t>Dec-27
(Forecast)</t>
  </si>
  <si>
    <t>Dec-28
(Forecast)</t>
  </si>
  <si>
    <t>Dec-29
(Forecast)</t>
  </si>
  <si>
    <t xml:space="preserve">Index (ABS actual and forecast calculated) </t>
  </si>
  <si>
    <t>% change</t>
  </si>
  <si>
    <t>RBA August Statement on Monetary Policy forecasts to December 2026, then glide path to mid-point of target band in year 5, then mid point of target band thereafter</t>
  </si>
  <si>
    <t>Equity raising cost rate assumptions</t>
  </si>
  <si>
    <t>Dividend Reinvestment Plan Costs</t>
  </si>
  <si>
    <t>DRPC</t>
  </si>
  <si>
    <t>Subsequent Equity Raising Costs of 3.00%</t>
  </si>
  <si>
    <t>SEO</t>
  </si>
  <si>
    <t>Non-concessional RAB roll forward including capitalised return on capital to 30 June 2030</t>
  </si>
  <si>
    <t>Equity raising costs check</t>
  </si>
  <si>
    <t>Part A - Early works</t>
  </si>
  <si>
    <t>Opening RAB</t>
  </si>
  <si>
    <t>Expenditure net of grant funding</t>
  </si>
  <si>
    <t>Allowed rate of return</t>
  </si>
  <si>
    <t>Maximum allowed revenue</t>
  </si>
  <si>
    <t>Closing RAB</t>
  </si>
  <si>
    <t>Part B - Construction costs</t>
  </si>
  <si>
    <t>Part B equity raising costs</t>
  </si>
  <si>
    <t>Part B allowed return on Opening RAB</t>
  </si>
  <si>
    <t>Part B allowed return on annual expenditure and equity raising costs</t>
  </si>
  <si>
    <t>Part B debt raising costs</t>
  </si>
  <si>
    <t>Part A and Part B combined</t>
  </si>
  <si>
    <t>Equity raising costs</t>
  </si>
  <si>
    <t>Allowed return on Opening RAB</t>
  </si>
  <si>
    <t>Allowed return on annual expenditure and equity raising costs</t>
  </si>
  <si>
    <t>Debt raising costs</t>
  </si>
  <si>
    <t>MLPL Equity Raising Costs Calculation</t>
  </si>
  <si>
    <t xml:space="preserve">Please note:  Inputs are contained in green shaded cells. </t>
  </si>
  <si>
    <t>Year</t>
  </si>
  <si>
    <t>RAB and Expenditure ($m Nominal)</t>
  </si>
  <si>
    <t>Equity raising costs (see cell G61)</t>
  </si>
  <si>
    <t>Capitalised allowed return</t>
  </si>
  <si>
    <t>Total expenditure including capitalised allowed return</t>
  </si>
  <si>
    <t>Expenditure Rate</t>
  </si>
  <si>
    <t>na</t>
  </si>
  <si>
    <t>Dividend Assessment ($m Nominal)</t>
  </si>
  <si>
    <t>Dividend Reinvestment</t>
  </si>
  <si>
    <t>Benchmark Cash Flows ($m Nominal)</t>
  </si>
  <si>
    <t>Internal Cash Flow</t>
  </si>
  <si>
    <t>Retained Cash Flow (excl. dividend reinvestment)</t>
  </si>
  <si>
    <t>Benchmark Expenditure Funding ($m Nominal)</t>
  </si>
  <si>
    <t>Expenditure Funding Requirement</t>
  </si>
  <si>
    <t>Debt Component</t>
  </si>
  <si>
    <t>Equity Component</t>
  </si>
  <si>
    <t>Equity Requirement (SEO)</t>
  </si>
  <si>
    <t>Benchmark Expenditure Funding ($m Real Dec 2023)</t>
  </si>
  <si>
    <t>Equity Requirement</t>
  </si>
  <si>
    <t>Equity Raising Costs ($m Real Dec 2023)</t>
  </si>
  <si>
    <t>Dividend Reinvestment Plan Requirement</t>
  </si>
  <si>
    <t>External Equity (SEO) Requirement</t>
  </si>
  <si>
    <t>Total Equity Requirement</t>
  </si>
  <si>
    <t>External Equity Raising (SEO) Costs</t>
  </si>
  <si>
    <t>Total Equity Raising Costs</t>
  </si>
  <si>
    <t>Detailed calculations and assumptions</t>
  </si>
  <si>
    <t>Iterative calculation of Equity Raising cost allowance</t>
  </si>
  <si>
    <t>Total Equity Raising Costs as calculated above</t>
  </si>
  <si>
    <t>Equity raising cost allowance required (determined by Goal Seek)</t>
  </si>
  <si>
    <t>Difference</t>
  </si>
  <si>
    <t xml:space="preserve">Difference = </t>
  </si>
  <si>
    <t>Consumer Price Index, actual and forecast</t>
  </si>
  <si>
    <t xml:space="preserve">Index (ABS actual and RBA forecast)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</si>
</sst>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0.000%"/>
    <numFmt numFmtId="168" formatCode="0.000000000000"/>
    <numFmt numFmtId="169" formatCode="0.0;\-0.0;0.0;@"/>
    <numFmt numFmtId="170" formatCode="[$$-C09]#,##0.00"/>
    <numFmt numFmtId="171" formatCode="_-* #,##0.0_-;\-* #,##0.0_-;_-* &quot;-&quot;?_-;_-@_-"/>
    <numFmt numFmtId="172" formatCode="0.0000000"/>
    <numFmt numFmtId="173" formatCode="_-* #,##0.00_-;\-* #,##0.00_-;_-* &quot;-&quot;?_-;_-@_-"/>
    <numFmt numFmtId="174" formatCode="_-* #,##0.00000000000000_-;\-* #,##0.00000000000000_-;_-* &quot;-&quot;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6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lightTrellis">
        <fgColor theme="0" tint="-0.14990691854609822"/>
        <bgColor indexed="65"/>
      </patternFill>
    </fill>
    <fill>
      <patternFill patternType="lightTrellis">
        <fgColor theme="0" tint="-0.14990691854609822"/>
        <bgColor theme="0" tint="-0.14999847407452621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210">
    <xf numFmtId="0" fontId="0" fillId="0" borderId="0" xfId="0"/>
    <xf numFmtId="165" fontId="0" fillId="0" borderId="0" xfId="0" applyNumberFormat="1"/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/>
    <xf numFmtId="0" fontId="1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166" fontId="0" fillId="0" borderId="13" xfId="0" applyNumberFormat="1" applyBorder="1"/>
    <xf numFmtId="0" fontId="0" fillId="0" borderId="13" xfId="0" applyBorder="1"/>
    <xf numFmtId="166" fontId="0" fillId="0" borderId="7" xfId="0" applyNumberFormat="1" applyBorder="1"/>
    <xf numFmtId="0" fontId="0" fillId="0" borderId="14" xfId="0" applyBorder="1"/>
    <xf numFmtId="0" fontId="0" fillId="0" borderId="7" xfId="0" applyBorder="1"/>
    <xf numFmtId="0" fontId="1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0" fillId="0" borderId="11" xfId="0" applyNumberFormat="1" applyBorder="1"/>
    <xf numFmtId="0" fontId="1" fillId="2" borderId="15" xfId="0" applyFont="1" applyFill="1" applyBorder="1" applyAlignment="1">
      <alignment horizontal="right"/>
    </xf>
    <xf numFmtId="10" fontId="0" fillId="0" borderId="13" xfId="0" applyNumberFormat="1" applyBorder="1"/>
    <xf numFmtId="0" fontId="1" fillId="0" borderId="10" xfId="0" applyFont="1" applyBorder="1" applyAlignment="1">
      <alignment horizontal="right"/>
    </xf>
    <xf numFmtId="0" fontId="0" fillId="0" borderId="12" xfId="0" applyBorder="1" applyAlignment="1">
      <alignment horizontal="right"/>
    </xf>
    <xf numFmtId="165" fontId="0" fillId="0" borderId="12" xfId="0" applyNumberFormat="1" applyBorder="1"/>
    <xf numFmtId="165" fontId="0" fillId="0" borderId="19" xfId="0" applyNumberFormat="1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right"/>
    </xf>
    <xf numFmtId="165" fontId="1" fillId="0" borderId="2" xfId="0" applyNumberFormat="1" applyFont="1" applyBorder="1"/>
    <xf numFmtId="165" fontId="1" fillId="0" borderId="12" xfId="0" applyNumberFormat="1" applyFont="1" applyBorder="1"/>
    <xf numFmtId="165" fontId="1" fillId="0" borderId="13" xfId="0" applyNumberFormat="1" applyFont="1" applyBorder="1"/>
    <xf numFmtId="0" fontId="2" fillId="0" borderId="0" xfId="0" applyFont="1" applyAlignment="1">
      <alignment horizontal="left"/>
    </xf>
    <xf numFmtId="165" fontId="1" fillId="0" borderId="19" xfId="0" applyNumberFormat="1" applyFont="1" applyBorder="1"/>
    <xf numFmtId="165" fontId="1" fillId="0" borderId="7" xfId="0" applyNumberFormat="1" applyFont="1" applyBorder="1"/>
    <xf numFmtId="0" fontId="1" fillId="0" borderId="4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9" xfId="0" applyFont="1" applyBorder="1"/>
    <xf numFmtId="0" fontId="5" fillId="0" borderId="24" xfId="0" applyFont="1" applyBorder="1"/>
    <xf numFmtId="0" fontId="5" fillId="0" borderId="25" xfId="0" applyFont="1" applyBorder="1"/>
    <xf numFmtId="0" fontId="5" fillId="3" borderId="0" xfId="0" applyFont="1" applyFill="1"/>
    <xf numFmtId="0" fontId="5" fillId="0" borderId="3" xfId="0" applyFont="1" applyBorder="1"/>
    <xf numFmtId="0" fontId="5" fillId="0" borderId="10" xfId="0" applyFont="1" applyBorder="1"/>
    <xf numFmtId="0" fontId="7" fillId="4" borderId="18" xfId="0" applyFont="1" applyFill="1" applyBorder="1"/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5" borderId="18" xfId="0" applyFont="1" applyFill="1" applyBorder="1"/>
    <xf numFmtId="0" fontId="7" fillId="5" borderId="16" xfId="0" applyFont="1" applyFill="1" applyBorder="1" applyAlignment="1">
      <alignment horizontal="right"/>
    </xf>
    <xf numFmtId="0" fontId="7" fillId="5" borderId="17" xfId="0" applyFont="1" applyFill="1" applyBorder="1" applyAlignment="1">
      <alignment horizontal="right"/>
    </xf>
    <xf numFmtId="0" fontId="7" fillId="0" borderId="3" xfId="0" applyFont="1" applyBorder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6" fillId="0" borderId="3" xfId="0" applyFont="1" applyBorder="1"/>
    <xf numFmtId="43" fontId="6" fillId="0" borderId="0" xfId="0" applyNumberFormat="1" applyFont="1"/>
    <xf numFmtId="43" fontId="6" fillId="0" borderId="10" xfId="0" applyNumberFormat="1" applyFont="1" applyBorder="1"/>
    <xf numFmtId="0" fontId="5" fillId="0" borderId="3" xfId="0" applyFont="1" applyBorder="1" applyAlignment="1">
      <alignment horizontal="left" indent="2"/>
    </xf>
    <xf numFmtId="43" fontId="5" fillId="0" borderId="0" xfId="0" applyNumberFormat="1" applyFont="1"/>
    <xf numFmtId="43" fontId="5" fillId="0" borderId="10" xfId="0" applyNumberFormat="1" applyFont="1" applyBorder="1"/>
    <xf numFmtId="0" fontId="5" fillId="0" borderId="0" xfId="0" applyFont="1" applyAlignment="1">
      <alignment horizontal="right"/>
    </xf>
    <xf numFmtId="4" fontId="5" fillId="0" borderId="0" xfId="0" applyNumberFormat="1" applyFont="1"/>
    <xf numFmtId="10" fontId="5" fillId="3" borderId="0" xfId="0" applyNumberFormat="1" applyFont="1" applyFill="1"/>
    <xf numFmtId="0" fontId="4" fillId="0" borderId="26" xfId="0" applyFont="1" applyBorder="1"/>
    <xf numFmtId="10" fontId="4" fillId="0" borderId="27" xfId="1" applyNumberFormat="1" applyFont="1" applyFill="1" applyBorder="1" applyAlignment="1">
      <alignment horizontal="right" indent="1"/>
    </xf>
    <xf numFmtId="10" fontId="4" fillId="0" borderId="28" xfId="1" applyNumberFormat="1" applyFont="1" applyFill="1" applyBorder="1" applyAlignment="1">
      <alignment horizontal="right" indent="1"/>
    </xf>
    <xf numFmtId="10" fontId="4" fillId="0" borderId="29" xfId="1" applyNumberFormat="1" applyFont="1" applyFill="1" applyBorder="1" applyAlignment="1">
      <alignment horizontal="right" indent="1"/>
    </xf>
    <xf numFmtId="10" fontId="4" fillId="0" borderId="0" xfId="1" applyNumberFormat="1" applyFont="1" applyFill="1" applyBorder="1" applyAlignment="1">
      <alignment horizontal="left" wrapText="1"/>
    </xf>
    <xf numFmtId="10" fontId="4" fillId="0" borderId="0" xfId="1" applyNumberFormat="1" applyFont="1" applyFill="1" applyBorder="1"/>
    <xf numFmtId="10" fontId="7" fillId="0" borderId="10" xfId="1" applyNumberFormat="1" applyFont="1" applyFill="1" applyBorder="1"/>
    <xf numFmtId="0" fontId="5" fillId="6" borderId="0" xfId="0" applyFont="1" applyFill="1"/>
    <xf numFmtId="0" fontId="7" fillId="0" borderId="30" xfId="0" applyFont="1" applyBorder="1"/>
    <xf numFmtId="0" fontId="7" fillId="0" borderId="31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4" fillId="0" borderId="3" xfId="0" applyFont="1" applyBorder="1"/>
    <xf numFmtId="43" fontId="6" fillId="0" borderId="14" xfId="0" applyNumberFormat="1" applyFont="1" applyBorder="1"/>
    <xf numFmtId="43" fontId="5" fillId="0" borderId="28" xfId="0" applyNumberFormat="1" applyFont="1" applyBorder="1"/>
    <xf numFmtId="0" fontId="5" fillId="0" borderId="0" xfId="0" applyFont="1" applyAlignment="1">
      <alignment horizontal="left" wrapText="1"/>
    </xf>
    <xf numFmtId="10" fontId="5" fillId="0" borderId="0" xfId="1" applyNumberFormat="1" applyFont="1" applyFill="1"/>
    <xf numFmtId="10" fontId="5" fillId="0" borderId="0" xfId="1" applyNumberFormat="1" applyFont="1"/>
    <xf numFmtId="43" fontId="4" fillId="0" borderId="0" xfId="1" applyNumberFormat="1" applyFont="1" applyFill="1" applyBorder="1"/>
    <xf numFmtId="43" fontId="7" fillId="5" borderId="16" xfId="0" applyNumberFormat="1" applyFont="1" applyFill="1" applyBorder="1" applyAlignment="1">
      <alignment horizontal="right"/>
    </xf>
    <xf numFmtId="43" fontId="7" fillId="5" borderId="17" xfId="0" applyNumberFormat="1" applyFont="1" applyFill="1" applyBorder="1" applyAlignment="1">
      <alignment horizontal="right"/>
    </xf>
    <xf numFmtId="43" fontId="7" fillId="0" borderId="0" xfId="0" applyNumberFormat="1" applyFont="1" applyAlignment="1">
      <alignment horizontal="right"/>
    </xf>
    <xf numFmtId="43" fontId="7" fillId="0" borderId="10" xfId="0" applyNumberFormat="1" applyFont="1" applyBorder="1" applyAlignment="1">
      <alignment horizontal="right"/>
    </xf>
    <xf numFmtId="0" fontId="4" fillId="0" borderId="3" xfId="2" applyBorder="1"/>
    <xf numFmtId="43" fontId="6" fillId="0" borderId="29" xfId="0" applyNumberFormat="1" applyFont="1" applyBorder="1"/>
    <xf numFmtId="43" fontId="5" fillId="0" borderId="27" xfId="0" applyNumberFormat="1" applyFont="1" applyBorder="1"/>
    <xf numFmtId="43" fontId="6" fillId="0" borderId="32" xfId="0" applyNumberFormat="1" applyFont="1" applyBorder="1"/>
    <xf numFmtId="43" fontId="7" fillId="0" borderId="31" xfId="0" applyNumberFormat="1" applyFont="1" applyBorder="1" applyAlignment="1">
      <alignment horizontal="right"/>
    </xf>
    <xf numFmtId="43" fontId="7" fillId="0" borderId="22" xfId="0" applyNumberFormat="1" applyFont="1" applyBorder="1" applyAlignment="1">
      <alignment horizontal="right"/>
    </xf>
    <xf numFmtId="43" fontId="6" fillId="0" borderId="33" xfId="0" applyNumberFormat="1" applyFont="1" applyBorder="1"/>
    <xf numFmtId="43" fontId="6" fillId="0" borderId="34" xfId="0" applyNumberFormat="1" applyFont="1" applyBorder="1"/>
    <xf numFmtId="0" fontId="5" fillId="0" borderId="1" xfId="0" applyFont="1" applyBorder="1"/>
    <xf numFmtId="0" fontId="5" fillId="0" borderId="23" xfId="0" applyFont="1" applyBorder="1"/>
    <xf numFmtId="0" fontId="5" fillId="0" borderId="11" xfId="0" applyFont="1" applyBorder="1"/>
    <xf numFmtId="0" fontId="6" fillId="7" borderId="18" xfId="0" applyFont="1" applyFill="1" applyBorder="1"/>
    <xf numFmtId="0" fontId="5" fillId="7" borderId="16" xfId="0" applyFont="1" applyFill="1" applyBorder="1"/>
    <xf numFmtId="0" fontId="6" fillId="7" borderId="17" xfId="0" applyFont="1" applyFill="1" applyBorder="1"/>
    <xf numFmtId="0" fontId="5" fillId="0" borderId="0" xfId="0" applyFont="1" applyAlignment="1">
      <alignment horizontal="right" vertical="center"/>
    </xf>
    <xf numFmtId="168" fontId="5" fillId="0" borderId="10" xfId="0" applyNumberFormat="1" applyFont="1" applyBorder="1"/>
    <xf numFmtId="168" fontId="5" fillId="8" borderId="10" xfId="0" applyNumberFormat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17" fontId="5" fillId="0" borderId="0" xfId="0" applyNumberFormat="1" applyFont="1"/>
    <xf numFmtId="169" fontId="5" fillId="0" borderId="0" xfId="0" applyNumberFormat="1" applyFont="1"/>
    <xf numFmtId="170" fontId="5" fillId="0" borderId="10" xfId="0" applyNumberFormat="1" applyFont="1" applyBorder="1"/>
    <xf numFmtId="0" fontId="5" fillId="7" borderId="17" xfId="0" applyFont="1" applyFill="1" applyBorder="1"/>
    <xf numFmtId="17" fontId="5" fillId="0" borderId="3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0" fontId="5" fillId="0" borderId="0" xfId="0" applyNumberFormat="1" applyFont="1"/>
    <xf numFmtId="0" fontId="6" fillId="7" borderId="16" xfId="0" applyFont="1" applyFill="1" applyBorder="1"/>
    <xf numFmtId="0" fontId="5" fillId="0" borderId="3" xfId="0" applyFont="1" applyBorder="1" applyAlignment="1">
      <alignment horizontal="left" wrapText="1"/>
    </xf>
    <xf numFmtId="0" fontId="10" fillId="0" borderId="0" xfId="0" applyFont="1"/>
    <xf numFmtId="166" fontId="0" fillId="0" borderId="21" xfId="0" applyNumberFormat="1" applyBorder="1"/>
    <xf numFmtId="0" fontId="1" fillId="0" borderId="15" xfId="0" applyFont="1" applyBorder="1" applyAlignment="1">
      <alignment horizontal="right"/>
    </xf>
    <xf numFmtId="0" fontId="11" fillId="0" borderId="0" xfId="0" applyFont="1"/>
    <xf numFmtId="0" fontId="1" fillId="0" borderId="23" xfId="0" applyFont="1" applyBorder="1" applyAlignment="1">
      <alignment horizontal="right"/>
    </xf>
    <xf numFmtId="0" fontId="0" fillId="0" borderId="23" xfId="0" applyBorder="1"/>
    <xf numFmtId="167" fontId="0" fillId="0" borderId="35" xfId="0" applyNumberFormat="1" applyBorder="1"/>
    <xf numFmtId="10" fontId="0" fillId="0" borderId="11" xfId="0" applyNumberFormat="1" applyBorder="1"/>
    <xf numFmtId="171" fontId="0" fillId="0" borderId="12" xfId="0" applyNumberFormat="1" applyBorder="1"/>
    <xf numFmtId="171" fontId="0" fillId="0" borderId="0" xfId="0" applyNumberFormat="1" applyAlignment="1">
      <alignment horizontal="left"/>
    </xf>
    <xf numFmtId="172" fontId="0" fillId="0" borderId="0" xfId="0" applyNumberFormat="1"/>
    <xf numFmtId="0" fontId="12" fillId="0" borderId="0" xfId="0" applyFont="1"/>
    <xf numFmtId="0" fontId="1" fillId="0" borderId="0" xfId="0" applyFont="1"/>
    <xf numFmtId="171" fontId="1" fillId="0" borderId="12" xfId="0" applyNumberFormat="1" applyFont="1" applyBorder="1"/>
    <xf numFmtId="165" fontId="0" fillId="0" borderId="37" xfId="0" applyNumberFormat="1" applyBorder="1"/>
    <xf numFmtId="165" fontId="0" fillId="0" borderId="36" xfId="0" applyNumberFormat="1" applyBorder="1"/>
    <xf numFmtId="0" fontId="1" fillId="9" borderId="12" xfId="0" applyFont="1" applyFill="1" applyBorder="1"/>
    <xf numFmtId="0" fontId="0" fillId="9" borderId="12" xfId="0" applyFill="1" applyBorder="1"/>
    <xf numFmtId="0" fontId="0" fillId="9" borderId="37" xfId="0" applyFill="1" applyBorder="1"/>
    <xf numFmtId="0" fontId="1" fillId="9" borderId="7" xfId="0" applyFont="1" applyFill="1" applyBorder="1"/>
    <xf numFmtId="0" fontId="1" fillId="9" borderId="13" xfId="0" applyFont="1" applyFill="1" applyBorder="1"/>
    <xf numFmtId="171" fontId="1" fillId="0" borderId="7" xfId="0" applyNumberFormat="1" applyFont="1" applyBorder="1"/>
    <xf numFmtId="171" fontId="0" fillId="0" borderId="37" xfId="0" applyNumberFormat="1" applyBorder="1"/>
    <xf numFmtId="0" fontId="0" fillId="0" borderId="38" xfId="0" applyBorder="1" applyAlignment="1">
      <alignment horizontal="right"/>
    </xf>
    <xf numFmtId="0" fontId="0" fillId="2" borderId="38" xfId="0" applyFill="1" applyBorder="1" applyAlignment="1">
      <alignment horizontal="right"/>
    </xf>
    <xf numFmtId="10" fontId="0" fillId="2" borderId="37" xfId="0" applyNumberFormat="1" applyFill="1" applyBorder="1"/>
    <xf numFmtId="10" fontId="0" fillId="2" borderId="36" xfId="0" applyNumberFormat="1" applyFill="1" applyBorder="1"/>
    <xf numFmtId="10" fontId="0" fillId="10" borderId="37" xfId="0" applyNumberFormat="1" applyFill="1" applyBorder="1"/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17" fontId="6" fillId="0" borderId="9" xfId="0" applyNumberFormat="1" applyFont="1" applyBorder="1" applyAlignment="1">
      <alignment horizontal="right"/>
    </xf>
    <xf numFmtId="17" fontId="1" fillId="2" borderId="5" xfId="0" applyNumberFormat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69" fontId="5" fillId="0" borderId="10" xfId="0" applyNumberFormat="1" applyFont="1" applyBorder="1" applyAlignment="1">
      <alignment horizontal="center"/>
    </xf>
    <xf numFmtId="0" fontId="0" fillId="9" borderId="13" xfId="0" applyFill="1" applyBorder="1" applyAlignment="1">
      <alignment horizontal="center"/>
    </xf>
    <xf numFmtId="169" fontId="5" fillId="0" borderId="12" xfId="0" applyNumberFormat="1" applyFont="1" applyBorder="1" applyAlignment="1">
      <alignment horizontal="center"/>
    </xf>
    <xf numFmtId="10" fontId="5" fillId="0" borderId="13" xfId="0" applyNumberFormat="1" applyFon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0" fontId="5" fillId="0" borderId="0" xfId="1" applyNumberFormat="1" applyFont="1" applyFill="1" applyBorder="1"/>
    <xf numFmtId="0" fontId="2" fillId="0" borderId="4" xfId="0" applyFont="1" applyBorder="1" applyAlignment="1">
      <alignment horizontal="center" wrapText="1"/>
    </xf>
    <xf numFmtId="17" fontId="6" fillId="2" borderId="5" xfId="0" applyNumberFormat="1" applyFont="1" applyFill="1" applyBorder="1" applyAlignment="1">
      <alignment horizontal="center"/>
    </xf>
    <xf numFmtId="17" fontId="6" fillId="2" borderId="15" xfId="0" applyNumberFormat="1" applyFont="1" applyFill="1" applyBorder="1" applyAlignment="1">
      <alignment horizontal="center"/>
    </xf>
    <xf numFmtId="165" fontId="1" fillId="0" borderId="8" xfId="0" applyNumberFormat="1" applyFont="1" applyBorder="1"/>
    <xf numFmtId="165" fontId="1" fillId="0" borderId="20" xfId="0" applyNumberFormat="1" applyFont="1" applyBorder="1"/>
    <xf numFmtId="171" fontId="1" fillId="0" borderId="19" xfId="0" applyNumberFormat="1" applyFont="1" applyBorder="1"/>
    <xf numFmtId="171" fontId="0" fillId="0" borderId="19" xfId="0" applyNumberFormat="1" applyBorder="1"/>
    <xf numFmtId="171" fontId="0" fillId="0" borderId="36" xfId="0" applyNumberFormat="1" applyBorder="1"/>
    <xf numFmtId="171" fontId="1" fillId="0" borderId="8" xfId="0" applyNumberFormat="1" applyFont="1" applyBorder="1"/>
    <xf numFmtId="164" fontId="0" fillId="0" borderId="0" xfId="0" applyNumberFormat="1"/>
    <xf numFmtId="173" fontId="0" fillId="0" borderId="0" xfId="0" applyNumberFormat="1"/>
    <xf numFmtId="0" fontId="0" fillId="0" borderId="0" xfId="0" applyAlignment="1">
      <alignment wrapText="1"/>
    </xf>
    <xf numFmtId="165" fontId="0" fillId="0" borderId="39" xfId="0" applyNumberFormat="1" applyBorder="1" applyAlignment="1">
      <alignment horizontal="center"/>
    </xf>
    <xf numFmtId="165" fontId="0" fillId="0" borderId="40" xfId="0" applyNumberFormat="1" applyBorder="1"/>
    <xf numFmtId="0" fontId="0" fillId="0" borderId="40" xfId="0" applyBorder="1"/>
    <xf numFmtId="0" fontId="0" fillId="0" borderId="41" xfId="0" applyBorder="1"/>
    <xf numFmtId="0" fontId="1" fillId="0" borderId="3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165" fontId="0" fillId="0" borderId="0" xfId="0" applyNumberForma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/>
    <xf numFmtId="0" fontId="0" fillId="0" borderId="3" xfId="0" applyBorder="1"/>
    <xf numFmtId="0" fontId="0" fillId="0" borderId="42" xfId="0" applyBorder="1" applyAlignment="1">
      <alignment horizontal="right"/>
    </xf>
    <xf numFmtId="0" fontId="0" fillId="0" borderId="7" xfId="0" applyBorder="1" applyAlignment="1">
      <alignment horizontal="center"/>
    </xf>
    <xf numFmtId="0" fontId="14" fillId="0" borderId="0" xfId="0" applyFont="1" applyAlignment="1">
      <alignment horizontal="right"/>
    </xf>
    <xf numFmtId="166" fontId="14" fillId="0" borderId="0" xfId="0" applyNumberFormat="1" applyFont="1"/>
    <xf numFmtId="0" fontId="14" fillId="0" borderId="0" xfId="0" applyFont="1"/>
    <xf numFmtId="166" fontId="0" fillId="0" borderId="12" xfId="0" applyNumberFormat="1" applyBorder="1"/>
    <xf numFmtId="171" fontId="0" fillId="0" borderId="0" xfId="0" applyNumberFormat="1"/>
    <xf numFmtId="17" fontId="6" fillId="2" borderId="5" xfId="0" applyNumberFormat="1" applyFont="1" applyFill="1" applyBorder="1" applyAlignment="1">
      <alignment horizontal="center" wrapText="1"/>
    </xf>
    <xf numFmtId="171" fontId="1" fillId="0" borderId="13" xfId="0" applyNumberFormat="1" applyFont="1" applyBorder="1"/>
    <xf numFmtId="171" fontId="1" fillId="0" borderId="20" xfId="0" applyNumberFormat="1" applyFont="1" applyBorder="1"/>
    <xf numFmtId="174" fontId="0" fillId="0" borderId="0" xfId="0" applyNumberFormat="1"/>
    <xf numFmtId="10" fontId="0" fillId="8" borderId="13" xfId="0" applyNumberFormat="1" applyFill="1" applyBorder="1"/>
    <xf numFmtId="10" fontId="0" fillId="8" borderId="11" xfId="0" applyNumberFormat="1" applyFill="1" applyBorder="1"/>
    <xf numFmtId="167" fontId="0" fillId="8" borderId="35" xfId="0" applyNumberFormat="1" applyFill="1" applyBorder="1"/>
    <xf numFmtId="167" fontId="0" fillId="8" borderId="25" xfId="0" applyNumberFormat="1" applyFill="1" applyBorder="1"/>
    <xf numFmtId="166" fontId="0" fillId="8" borderId="21" xfId="0" applyNumberFormat="1" applyFill="1" applyBorder="1"/>
    <xf numFmtId="0" fontId="1" fillId="8" borderId="21" xfId="0" applyFont="1" applyFill="1" applyBorder="1" applyAlignment="1">
      <alignment horizontal="right"/>
    </xf>
    <xf numFmtId="166" fontId="0" fillId="8" borderId="12" xfId="0" applyNumberFormat="1" applyFill="1" applyBorder="1"/>
    <xf numFmtId="166" fontId="0" fillId="8" borderId="7" xfId="0" applyNumberFormat="1" applyFill="1" applyBorder="1"/>
    <xf numFmtId="166" fontId="0" fillId="8" borderId="13" xfId="0" applyNumberFormat="1" applyFill="1" applyBorder="1"/>
    <xf numFmtId="0" fontId="0" fillId="8" borderId="12" xfId="0" applyFill="1" applyBorder="1"/>
    <xf numFmtId="0" fontId="0" fillId="8" borderId="10" xfId="0" applyFill="1" applyBorder="1"/>
    <xf numFmtId="0" fontId="0" fillId="8" borderId="7" xfId="0" applyFill="1" applyBorder="1"/>
    <xf numFmtId="0" fontId="0" fillId="8" borderId="14" xfId="0" applyFill="1" applyBorder="1"/>
    <xf numFmtId="0" fontId="0" fillId="8" borderId="13" xfId="0" applyFill="1" applyBorder="1"/>
    <xf numFmtId="0" fontId="0" fillId="8" borderId="11" xfId="0" applyFill="1" applyBorder="1"/>
    <xf numFmtId="10" fontId="5" fillId="8" borderId="13" xfId="0" applyNumberFormat="1" applyFont="1" applyFill="1" applyBorder="1" applyAlignment="1">
      <alignment horizontal="center"/>
    </xf>
    <xf numFmtId="10" fontId="5" fillId="8" borderId="11" xfId="0" applyNumberFormat="1" applyFont="1" applyFill="1" applyBorder="1" applyAlignment="1">
      <alignment horizontal="center"/>
    </xf>
    <xf numFmtId="10" fontId="5" fillId="8" borderId="35" xfId="1" applyNumberFormat="1" applyFont="1" applyFill="1" applyBorder="1"/>
    <xf numFmtId="10" fontId="5" fillId="8" borderId="13" xfId="1" applyNumberFormat="1" applyFont="1" applyFill="1" applyBorder="1"/>
  </cellXfs>
  <cellStyles count="3">
    <cellStyle name="Normal" xfId="0" builtinId="0"/>
    <cellStyle name="Normal 2 2" xfId="2" xr:uid="{1DDD0B96-F033-4EF2-A090-9AD6571A82C5}"/>
    <cellStyle name="Percent" xfId="1" builtinId="5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B77E-C70B-4DA0-A041-E8ED62CBED25}">
  <dimension ref="B2:M50"/>
  <sheetViews>
    <sheetView tabSelected="1" topLeftCell="A21" zoomScale="85" zoomScaleNormal="85" workbookViewId="0">
      <selection activeCell="F52" sqref="F52"/>
    </sheetView>
  </sheetViews>
  <sheetFormatPr defaultRowHeight="15"/>
  <cols>
    <col min="1" max="1" width="11.42578125" customWidth="1"/>
    <col min="2" max="2" width="75.140625" customWidth="1"/>
    <col min="3" max="3" width="10.85546875" customWidth="1"/>
    <col min="4" max="13" width="10.5703125" customWidth="1"/>
  </cols>
  <sheetData>
    <row r="2" spans="2:12" ht="20.45" customHeight="1" thickBot="1">
      <c r="B2" s="117" t="s">
        <v>0</v>
      </c>
    </row>
    <row r="3" spans="2:12">
      <c r="B3" s="18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2" t="s">
        <v>10</v>
      </c>
    </row>
    <row r="4" spans="2:12" ht="15.75" thickBot="1">
      <c r="B4" s="10" t="s">
        <v>11</v>
      </c>
      <c r="C4" s="23">
        <v>3.2928406449951805E-2</v>
      </c>
      <c r="D4" s="23">
        <v>3.3858772158287365E-2</v>
      </c>
      <c r="E4" s="23">
        <v>3.6448994199134846E-2</v>
      </c>
      <c r="F4" s="23">
        <v>3.8724034525525405E-2</v>
      </c>
      <c r="G4" s="191">
        <v>5.2401192189295856E-2</v>
      </c>
      <c r="H4" s="191">
        <v>5.4676232515686388E-2</v>
      </c>
      <c r="I4" s="191">
        <v>5.6951272842076912E-2</v>
      </c>
      <c r="J4" s="191">
        <v>5.9226313168467444E-2</v>
      </c>
      <c r="K4" s="192">
        <v>6.1501353494857969E-2</v>
      </c>
    </row>
    <row r="5" spans="2:12">
      <c r="B5" s="19" t="s">
        <v>12</v>
      </c>
      <c r="C5" s="120">
        <v>8.8802683870124234E-4</v>
      </c>
      <c r="D5" s="120">
        <v>8.8802683870124234E-4</v>
      </c>
      <c r="E5" s="120">
        <v>8.8802683870124234E-4</v>
      </c>
      <c r="F5" s="120">
        <v>8.8802683870124234E-4</v>
      </c>
      <c r="G5" s="193">
        <v>8.8802683870124234E-4</v>
      </c>
      <c r="H5" s="193">
        <v>8.8802683870124234E-4</v>
      </c>
      <c r="I5" s="193">
        <v>8.8802683870124234E-4</v>
      </c>
      <c r="J5" s="193">
        <v>8.8802683870124234E-4</v>
      </c>
      <c r="K5" s="194">
        <v>8.8802683870124234E-4</v>
      </c>
    </row>
    <row r="6" spans="2:12" ht="15.75" thickBot="1">
      <c r="B6" s="10" t="s">
        <v>13</v>
      </c>
      <c r="C6" s="23">
        <v>0.6</v>
      </c>
      <c r="D6" s="23">
        <v>0.6</v>
      </c>
      <c r="E6" s="23">
        <v>0.6</v>
      </c>
      <c r="F6" s="23">
        <v>0.6</v>
      </c>
      <c r="G6" s="23">
        <v>0.6</v>
      </c>
      <c r="H6" s="23">
        <v>0.6</v>
      </c>
      <c r="I6" s="23">
        <v>0.6</v>
      </c>
      <c r="J6" s="23">
        <v>0.6</v>
      </c>
      <c r="K6" s="121">
        <v>0.6</v>
      </c>
    </row>
    <row r="8" spans="2:12" ht="21">
      <c r="B8" s="117" t="s">
        <v>14</v>
      </c>
      <c r="E8" s="125"/>
      <c r="F8" s="126"/>
      <c r="G8" s="126"/>
    </row>
    <row r="9" spans="2:12" ht="15.75" thickBot="1">
      <c r="B9" s="118" t="s">
        <v>15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2:12">
      <c r="B10" s="18"/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4" t="s">
        <v>16</v>
      </c>
    </row>
    <row r="11" spans="2:12">
      <c r="B11" s="7" t="s">
        <v>17</v>
      </c>
      <c r="C11" s="195">
        <v>1.5641132028619287</v>
      </c>
      <c r="D11" s="196"/>
      <c r="E11" s="196"/>
      <c r="F11" s="196"/>
      <c r="G11" s="147"/>
      <c r="H11" s="147"/>
      <c r="I11" s="147"/>
      <c r="J11" s="147"/>
      <c r="K11" s="147"/>
      <c r="L11" s="153"/>
    </row>
    <row r="12" spans="2:12">
      <c r="B12" s="7" t="s">
        <v>18</v>
      </c>
      <c r="C12" s="197">
        <v>0.16460398281753799</v>
      </c>
      <c r="D12" s="197">
        <v>1.2867092624359078</v>
      </c>
      <c r="E12" s="197">
        <v>2.4356330942790971</v>
      </c>
      <c r="F12" s="197">
        <v>4.8063908275387259</v>
      </c>
      <c r="G12" s="147"/>
      <c r="H12" s="147"/>
      <c r="I12" s="147"/>
      <c r="J12" s="147"/>
      <c r="K12" s="147"/>
      <c r="L12" s="153"/>
    </row>
    <row r="13" spans="2:12">
      <c r="B13" s="7" t="s">
        <v>19</v>
      </c>
      <c r="C13" s="197">
        <v>0.52762550181330292</v>
      </c>
      <c r="D13" s="197">
        <v>0.45428842940891867</v>
      </c>
      <c r="E13" s="197">
        <v>0.97264426450138608</v>
      </c>
      <c r="F13" s="197">
        <v>0.49770842372183649</v>
      </c>
      <c r="G13" s="147"/>
      <c r="H13" s="147"/>
      <c r="I13" s="147"/>
      <c r="J13" s="147"/>
      <c r="K13" s="147"/>
      <c r="L13" s="153"/>
    </row>
    <row r="14" spans="2:12">
      <c r="B14" s="7" t="s">
        <v>20</v>
      </c>
      <c r="C14" s="198">
        <v>2.6634648364401337E-3</v>
      </c>
      <c r="D14" s="198">
        <v>2.024820663856635E-2</v>
      </c>
      <c r="E14" s="198">
        <v>3.5604399042651176E-2</v>
      </c>
      <c r="F14" s="198">
        <v>6.6132634749022742E-2</v>
      </c>
      <c r="G14" s="152"/>
      <c r="H14" s="152"/>
      <c r="I14" s="152"/>
      <c r="J14" s="152"/>
      <c r="K14" s="152"/>
      <c r="L14" s="154"/>
    </row>
    <row r="15" spans="2:12" ht="15.75" thickBot="1">
      <c r="B15" s="10" t="s">
        <v>21</v>
      </c>
      <c r="C15" s="13">
        <f>SUM(C12:C14)</f>
        <v>0.69489294946728097</v>
      </c>
      <c r="D15" s="13">
        <f t="shared" ref="D15:F15" si="0">SUM(D12:D14)</f>
        <v>1.7612458984833927</v>
      </c>
      <c r="E15" s="13">
        <f t="shared" si="0"/>
        <v>3.4438817578231342</v>
      </c>
      <c r="F15" s="13">
        <f t="shared" si="0"/>
        <v>5.3702318860095852</v>
      </c>
      <c r="G15" s="149"/>
      <c r="H15" s="149"/>
      <c r="I15" s="149"/>
      <c r="J15" s="149"/>
      <c r="K15" s="149"/>
      <c r="L15" s="155"/>
    </row>
    <row r="16" spans="2:12">
      <c r="B16" s="6"/>
      <c r="C16" s="124"/>
      <c r="D16" s="124"/>
      <c r="E16" s="124"/>
      <c r="F16" s="124"/>
      <c r="G16" s="5"/>
      <c r="H16" s="5"/>
      <c r="I16" s="5"/>
      <c r="J16" s="5"/>
      <c r="K16" s="5"/>
    </row>
    <row r="17" spans="2:13" ht="21">
      <c r="B17" s="117" t="s">
        <v>22</v>
      </c>
      <c r="C17" s="5"/>
      <c r="D17" s="5"/>
      <c r="E17" s="5"/>
      <c r="F17" s="5"/>
      <c r="G17" s="5"/>
      <c r="H17" s="5"/>
      <c r="I17" s="5"/>
      <c r="J17" s="5"/>
      <c r="K17" s="5"/>
    </row>
    <row r="18" spans="2:13" ht="15.75" thickBot="1">
      <c r="B18" s="118" t="s">
        <v>15</v>
      </c>
      <c r="C18" s="5"/>
      <c r="D18" s="5"/>
      <c r="E18" s="5"/>
      <c r="F18" s="5"/>
      <c r="G18" s="5"/>
      <c r="H18" s="5"/>
      <c r="I18" s="5"/>
      <c r="J18" s="5"/>
      <c r="K18" s="5"/>
    </row>
    <row r="19" spans="2:13">
      <c r="B19" s="18" t="s">
        <v>23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8</v>
      </c>
      <c r="J19" s="3" t="s">
        <v>9</v>
      </c>
      <c r="K19" s="3" t="s">
        <v>10</v>
      </c>
      <c r="L19" s="4" t="s">
        <v>16</v>
      </c>
    </row>
    <row r="20" spans="2:13" s="168" customFormat="1" ht="90">
      <c r="B20" s="173"/>
      <c r="C20" s="177" t="s">
        <v>24</v>
      </c>
      <c r="D20" s="177" t="s">
        <v>25</v>
      </c>
      <c r="E20" s="177" t="s">
        <v>25</v>
      </c>
      <c r="F20" s="177" t="s">
        <v>26</v>
      </c>
      <c r="G20" s="174"/>
      <c r="H20" s="174"/>
      <c r="I20" s="174"/>
      <c r="J20" s="174"/>
      <c r="K20" s="174"/>
      <c r="L20" s="175"/>
    </row>
    <row r="21" spans="2:13">
      <c r="B21" s="7" t="s">
        <v>27</v>
      </c>
      <c r="C21" s="15">
        <v>4.9988444800000007</v>
      </c>
      <c r="D21" s="15"/>
      <c r="E21" s="15"/>
      <c r="F21" s="15"/>
      <c r="G21" s="17"/>
      <c r="H21" s="17"/>
      <c r="I21" s="17"/>
      <c r="J21" s="17"/>
      <c r="K21" s="17"/>
      <c r="L21" s="16"/>
    </row>
    <row r="22" spans="2:13">
      <c r="B22" s="7" t="s">
        <v>28</v>
      </c>
      <c r="C22" s="185">
        <v>40.148643055070004</v>
      </c>
      <c r="D22" s="197">
        <v>48.243290540000004</v>
      </c>
      <c r="E22" s="197">
        <v>56.162873749999996</v>
      </c>
      <c r="F22" s="197">
        <v>82.312476956671716</v>
      </c>
      <c r="G22" s="185"/>
      <c r="H22" s="12"/>
      <c r="I22" s="12"/>
      <c r="J22" s="12"/>
      <c r="K22" s="12"/>
      <c r="L22" s="8"/>
    </row>
    <row r="23" spans="2:13">
      <c r="B23" s="7" t="s">
        <v>29</v>
      </c>
      <c r="C23" s="15">
        <v>-9.4042514199999996</v>
      </c>
      <c r="D23" s="198">
        <v>-27.167000000000002</v>
      </c>
      <c r="E23" s="198">
        <v>-9.7025000000000006</v>
      </c>
      <c r="F23" s="198">
        <v>-21.345500000000001</v>
      </c>
      <c r="G23" s="15"/>
      <c r="H23" s="17"/>
      <c r="I23" s="17"/>
      <c r="J23" s="17"/>
      <c r="K23" s="17"/>
      <c r="L23" s="16"/>
    </row>
    <row r="24" spans="2:13" ht="15.75" thickBot="1">
      <c r="B24" s="10" t="s">
        <v>30</v>
      </c>
      <c r="C24" s="13">
        <f>C22+C23</f>
        <v>30.744391635070002</v>
      </c>
      <c r="D24" s="13">
        <f t="shared" ref="D24:F24" si="1">D22+D23</f>
        <v>21.076290540000002</v>
      </c>
      <c r="E24" s="13">
        <f t="shared" si="1"/>
        <v>46.460373749999995</v>
      </c>
      <c r="F24" s="13">
        <f t="shared" si="1"/>
        <v>60.966976956671715</v>
      </c>
      <c r="G24" s="13"/>
      <c r="H24" s="14"/>
      <c r="I24" s="14"/>
      <c r="J24" s="14"/>
      <c r="K24" s="14"/>
      <c r="L24" s="11"/>
      <c r="M24" s="5"/>
    </row>
    <row r="25" spans="2:13">
      <c r="B25" s="182"/>
      <c r="C25" s="183"/>
      <c r="D25" s="183"/>
      <c r="E25" s="183"/>
      <c r="F25" s="183"/>
      <c r="G25" s="184"/>
      <c r="H25" s="184"/>
      <c r="I25" s="184"/>
      <c r="J25" s="184"/>
      <c r="K25" s="184"/>
      <c r="L25" s="184"/>
      <c r="M25" s="183"/>
    </row>
    <row r="26" spans="2:13" ht="21">
      <c r="B26" s="117" t="s">
        <v>31</v>
      </c>
      <c r="C26" s="5"/>
      <c r="D26" s="5"/>
      <c r="E26" s="5"/>
      <c r="F26" s="5"/>
    </row>
    <row r="27" spans="2:13" ht="15.75" thickBot="1">
      <c r="B27" s="118" t="s">
        <v>15</v>
      </c>
      <c r="C27" s="5"/>
      <c r="D27" s="5"/>
      <c r="E27" s="5"/>
      <c r="F27" s="5"/>
      <c r="G27" s="5"/>
      <c r="H27" s="5"/>
    </row>
    <row r="28" spans="2:13">
      <c r="B28" s="36" t="s">
        <v>32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3" t="s">
        <v>8</v>
      </c>
      <c r="J28" s="3" t="s">
        <v>9</v>
      </c>
      <c r="K28" s="3" t="s">
        <v>10</v>
      </c>
      <c r="L28" s="116" t="s">
        <v>33</v>
      </c>
    </row>
    <row r="29" spans="2:13">
      <c r="B29" s="7" t="s">
        <v>34</v>
      </c>
      <c r="C29" s="147"/>
      <c r="D29" s="147"/>
      <c r="E29" s="115">
        <v>0</v>
      </c>
      <c r="F29" s="25"/>
      <c r="G29" s="29"/>
      <c r="H29" s="25"/>
      <c r="I29" s="25"/>
      <c r="J29" s="25"/>
      <c r="K29" s="25"/>
      <c r="L29" s="24"/>
    </row>
    <row r="30" spans="2:13" ht="15.75" thickBot="1">
      <c r="B30" s="10" t="s">
        <v>35</v>
      </c>
      <c r="C30" s="149"/>
      <c r="D30" s="149"/>
      <c r="E30" s="199">
        <v>36.788287883609371</v>
      </c>
      <c r="F30" s="199">
        <v>178.28525431521368</v>
      </c>
      <c r="G30" s="199">
        <v>482.22062681352008</v>
      </c>
      <c r="H30" s="199">
        <v>1199.1014787911611</v>
      </c>
      <c r="I30" s="199">
        <v>1001.8978494612011</v>
      </c>
      <c r="J30" s="199">
        <v>776.46397611920497</v>
      </c>
      <c r="K30" s="199">
        <v>346.56017550258804</v>
      </c>
      <c r="L30" s="21">
        <f>SUM(E30:K30)</f>
        <v>4021.3176488864983</v>
      </c>
    </row>
    <row r="31" spans="2:13">
      <c r="K31" s="5"/>
    </row>
    <row r="32" spans="2:13" ht="21">
      <c r="B32" s="117" t="s">
        <v>36</v>
      </c>
    </row>
    <row r="33" spans="2:12" ht="15.75" thickBot="1">
      <c r="B33" s="118" t="s">
        <v>15</v>
      </c>
    </row>
    <row r="34" spans="2:12">
      <c r="B34" s="178"/>
      <c r="C34" s="146">
        <v>44531</v>
      </c>
      <c r="D34" s="146">
        <v>44896</v>
      </c>
      <c r="E34" s="158">
        <v>45261</v>
      </c>
      <c r="F34" s="158">
        <v>45627</v>
      </c>
      <c r="G34" s="158">
        <v>45992</v>
      </c>
      <c r="H34" s="158">
        <v>46357</v>
      </c>
      <c r="I34" s="158">
        <v>46722</v>
      </c>
      <c r="J34" s="158">
        <v>47088</v>
      </c>
      <c r="K34" s="159">
        <v>47453</v>
      </c>
    </row>
    <row r="35" spans="2:12">
      <c r="B35" s="7" t="s">
        <v>37</v>
      </c>
      <c r="C35" s="12"/>
      <c r="D35" s="12"/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1">
        <v>0</v>
      </c>
    </row>
    <row r="36" spans="2:12">
      <c r="B36" s="180" t="s">
        <v>38</v>
      </c>
      <c r="C36" s="181"/>
      <c r="D36" s="17"/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3">
        <v>0</v>
      </c>
    </row>
    <row r="37" spans="2:12">
      <c r="B37" s="179"/>
      <c r="C37" s="12"/>
      <c r="D37" s="12"/>
      <c r="E37" s="12"/>
      <c r="F37" s="12"/>
      <c r="G37" s="12"/>
      <c r="H37" s="12"/>
      <c r="I37" s="12"/>
      <c r="J37" s="12"/>
      <c r="K37" s="8"/>
    </row>
    <row r="38" spans="2:12">
      <c r="B38" s="7" t="s">
        <v>39</v>
      </c>
      <c r="C38" s="12"/>
      <c r="D38" s="12"/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1">
        <v>0</v>
      </c>
    </row>
    <row r="39" spans="2:12">
      <c r="B39" s="7" t="s">
        <v>40</v>
      </c>
      <c r="C39" s="12"/>
      <c r="D39" s="12"/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1">
        <v>0</v>
      </c>
    </row>
    <row r="40" spans="2:12">
      <c r="B40" s="7" t="s">
        <v>41</v>
      </c>
      <c r="C40" s="12"/>
      <c r="D40" s="12"/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1">
        <v>0</v>
      </c>
    </row>
    <row r="41" spans="2:12" ht="15.75" thickBot="1">
      <c r="B41" s="10" t="s">
        <v>42</v>
      </c>
      <c r="C41" s="14"/>
      <c r="D41" s="14"/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5">
        <v>0</v>
      </c>
    </row>
    <row r="43" spans="2:12" ht="21.6" customHeight="1" thickBot="1">
      <c r="B43" s="117" t="s">
        <v>43</v>
      </c>
    </row>
    <row r="44" spans="2:12" ht="26.25">
      <c r="B44" s="145" t="s">
        <v>44</v>
      </c>
      <c r="C44" s="187">
        <v>44531</v>
      </c>
      <c r="D44" s="187">
        <v>44896</v>
      </c>
      <c r="E44" s="187" t="s">
        <v>45</v>
      </c>
      <c r="F44" s="187" t="s">
        <v>46</v>
      </c>
      <c r="G44" s="187" t="s">
        <v>47</v>
      </c>
      <c r="H44" s="187" t="s">
        <v>48</v>
      </c>
      <c r="I44" s="187" t="s">
        <v>49</v>
      </c>
      <c r="J44" s="187" t="s">
        <v>50</v>
      </c>
      <c r="K44" s="187" t="s">
        <v>51</v>
      </c>
    </row>
    <row r="45" spans="2:12">
      <c r="B45" s="109" t="s">
        <v>52</v>
      </c>
      <c r="C45" s="147"/>
      <c r="D45" s="147"/>
      <c r="E45" s="150">
        <v>136.1</v>
      </c>
      <c r="F45" s="150">
        <f>E45*(1+F46)</f>
        <v>140.18299999999999</v>
      </c>
      <c r="G45" s="150">
        <f t="shared" ref="G45:K45" si="2">F45*(1+G46)</f>
        <v>145.36977099999999</v>
      </c>
      <c r="H45" s="150">
        <f t="shared" si="2"/>
        <v>149.14938504599999</v>
      </c>
      <c r="I45" s="150">
        <f t="shared" si="2"/>
        <v>152.95269436467299</v>
      </c>
      <c r="J45" s="150">
        <f t="shared" si="2"/>
        <v>156.77651172378981</v>
      </c>
      <c r="K45" s="148">
        <f t="shared" si="2"/>
        <v>160.69592451688453</v>
      </c>
    </row>
    <row r="46" spans="2:12" ht="15.75" thickBot="1">
      <c r="B46" s="142" t="s">
        <v>53</v>
      </c>
      <c r="C46" s="149"/>
      <c r="D46" s="149"/>
      <c r="E46" s="151"/>
      <c r="F46" s="206">
        <v>0.03</v>
      </c>
      <c r="G46" s="206">
        <v>3.6999999999999998E-2</v>
      </c>
      <c r="H46" s="206">
        <v>2.5999999999999999E-2</v>
      </c>
      <c r="I46" s="151">
        <f>H46-($H$46-$J$46)/2</f>
        <v>2.5500000000000002E-2</v>
      </c>
      <c r="J46" s="206">
        <v>2.5000000000000001E-2</v>
      </c>
      <c r="K46" s="207">
        <v>2.5000000000000001E-2</v>
      </c>
      <c r="L46" t="s">
        <v>54</v>
      </c>
    </row>
    <row r="48" spans="2:12" ht="20.45" customHeight="1" thickBot="1">
      <c r="B48" s="117" t="s">
        <v>55</v>
      </c>
      <c r="C48" s="37"/>
      <c r="D48" s="37"/>
    </row>
    <row r="49" spans="2:4">
      <c r="B49" s="143" t="s">
        <v>56</v>
      </c>
      <c r="C49" s="208">
        <v>0.01</v>
      </c>
      <c r="D49" s="41" t="s">
        <v>57</v>
      </c>
    </row>
    <row r="50" spans="2:4" ht="15.75" thickBot="1">
      <c r="B50" s="144" t="s">
        <v>58</v>
      </c>
      <c r="C50" s="209">
        <v>0.03</v>
      </c>
      <c r="D50" s="95" t="s">
        <v>59</v>
      </c>
    </row>
  </sheetData>
  <conditionalFormatting sqref="C36">
    <cfRule type="cellIs" dxfId="3" priority="1" operator="equal">
      <formula>"ERROR"</formula>
    </cfRule>
    <cfRule type="cellIs" dxfId="2" priority="2" operator="equal">
      <formula>"OK"</formula>
    </cfRule>
  </conditionalFormatting>
  <pageMargins left="0.7" right="0.7" top="0.75" bottom="0.75" header="0.3" footer="0.3"/>
  <pageSetup paperSize="9" orientation="portrait" r:id="rId1"/>
  <ignoredErrors>
    <ignoredError sqref="C15:F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CE2B-30E8-40F0-9F63-4215EDF9C9A7}">
  <dimension ref="B1:M41"/>
  <sheetViews>
    <sheetView topLeftCell="A11" zoomScale="85" zoomScaleNormal="85" workbookViewId="0">
      <selection activeCell="G18" sqref="G18"/>
    </sheetView>
  </sheetViews>
  <sheetFormatPr defaultRowHeight="15"/>
  <cols>
    <col min="2" max="2" width="88.85546875" customWidth="1"/>
    <col min="3" max="11" width="9.5703125" customWidth="1"/>
    <col min="12" max="12" width="9.7109375" customWidth="1"/>
  </cols>
  <sheetData>
    <row r="1" spans="2:13" ht="15.75" thickBot="1">
      <c r="B1" s="6"/>
      <c r="C1" s="1"/>
      <c r="E1" s="1"/>
      <c r="F1" s="1"/>
      <c r="G1" s="1"/>
      <c r="H1" s="1"/>
      <c r="I1" s="1"/>
      <c r="J1" s="1"/>
      <c r="K1" s="1"/>
      <c r="L1" s="1"/>
      <c r="M1" s="1"/>
    </row>
    <row r="2" spans="2:13" ht="27" thickBot="1">
      <c r="B2" s="33" t="s">
        <v>60</v>
      </c>
      <c r="C2" s="1"/>
      <c r="E2" s="1"/>
      <c r="F2" s="1"/>
      <c r="G2" s="1"/>
      <c r="H2" s="1"/>
      <c r="I2" s="169" t="str">
        <f>IF('1b. Non-conc EqRaisCost Part B'!L65=0,"OK","ERROR")</f>
        <v>OK</v>
      </c>
      <c r="J2" s="170" t="s">
        <v>61</v>
      </c>
      <c r="K2" s="171"/>
      <c r="L2" s="172"/>
    </row>
    <row r="3" spans="2:13" ht="26.25">
      <c r="B3" s="33"/>
      <c r="C3" s="1"/>
      <c r="E3" s="1"/>
      <c r="F3" s="1"/>
      <c r="G3" s="1"/>
      <c r="H3" s="1"/>
      <c r="I3" s="1"/>
      <c r="L3" s="176"/>
      <c r="M3" s="1"/>
    </row>
    <row r="4" spans="2:13" ht="15.75" thickBot="1">
      <c r="B4" s="2" t="s">
        <v>15</v>
      </c>
    </row>
    <row r="5" spans="2:13" ht="26.25">
      <c r="B5" s="28" t="s">
        <v>62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2:13">
      <c r="B6" s="9" t="s">
        <v>63</v>
      </c>
      <c r="C6" s="31">
        <f>'Input data'!C21</f>
        <v>4.9988444800000007</v>
      </c>
      <c r="D6" s="31">
        <f>C14</f>
        <v>38.002242267399211</v>
      </c>
      <c r="E6" s="31">
        <f t="shared" ref="E6:F6" si="0">D14</f>
        <v>60.839778705882608</v>
      </c>
      <c r="F6" s="31">
        <f t="shared" si="0"/>
        <v>110.74403421370573</v>
      </c>
      <c r="G6" s="130"/>
      <c r="H6" s="130"/>
      <c r="I6" s="130"/>
      <c r="J6" s="130"/>
      <c r="K6" s="130"/>
    </row>
    <row r="7" spans="2:13">
      <c r="B7" s="9" t="s">
        <v>64</v>
      </c>
      <c r="C7" s="31">
        <f>'Input data'!C24</f>
        <v>30.744391635070002</v>
      </c>
      <c r="D7" s="31">
        <f>'Input data'!D24</f>
        <v>21.076290540000002</v>
      </c>
      <c r="E7" s="31">
        <f>'Input data'!E24</f>
        <v>46.460373749999995</v>
      </c>
      <c r="F7" s="31">
        <f>'Input data'!F24</f>
        <v>60.966976956671715</v>
      </c>
      <c r="G7" s="130"/>
      <c r="H7" s="130"/>
      <c r="I7" s="130"/>
      <c r="J7" s="130"/>
      <c r="K7" s="130"/>
    </row>
    <row r="8" spans="2:13">
      <c r="B8" s="9" t="s">
        <v>17</v>
      </c>
      <c r="C8" s="31">
        <f>'Input data'!C11</f>
        <v>1.5641132028619287</v>
      </c>
      <c r="D8" s="31"/>
      <c r="E8" s="31"/>
      <c r="F8" s="31"/>
      <c r="G8" s="130"/>
      <c r="H8" s="130"/>
      <c r="I8" s="130"/>
      <c r="J8" s="130"/>
      <c r="K8" s="130"/>
    </row>
    <row r="9" spans="2:13">
      <c r="B9" s="138" t="s">
        <v>65</v>
      </c>
      <c r="C9" s="139">
        <f>'Input data'!C4</f>
        <v>3.2928406449951805E-2</v>
      </c>
      <c r="D9" s="139">
        <f>'Input data'!D4</f>
        <v>3.3858772158287365E-2</v>
      </c>
      <c r="E9" s="139">
        <f>'Input data'!E4</f>
        <v>3.6448994199134846E-2</v>
      </c>
      <c r="F9" s="139">
        <f>'Input data'!F4</f>
        <v>3.8724034525525405E-2</v>
      </c>
      <c r="G9" s="141"/>
      <c r="H9" s="141"/>
      <c r="I9" s="141"/>
      <c r="J9" s="141"/>
      <c r="K9" s="141"/>
    </row>
    <row r="10" spans="2:13">
      <c r="B10" s="7" t="s">
        <v>18</v>
      </c>
      <c r="C10" s="26">
        <f>'Input data'!C12</f>
        <v>0.16460398281753799</v>
      </c>
      <c r="D10" s="26">
        <f>'Input data'!D12</f>
        <v>1.2867092624359078</v>
      </c>
      <c r="E10" s="26">
        <f>'Input data'!E12</f>
        <v>2.4356330942790971</v>
      </c>
      <c r="F10" s="26">
        <f>'Input data'!F12</f>
        <v>4.8063908275387259</v>
      </c>
      <c r="G10" s="131"/>
      <c r="H10" s="131"/>
      <c r="I10" s="131"/>
      <c r="J10" s="131"/>
      <c r="K10" s="131"/>
    </row>
    <row r="11" spans="2:13">
      <c r="B11" s="7" t="s">
        <v>19</v>
      </c>
      <c r="C11" s="26">
        <f>'Input data'!C13</f>
        <v>0.52762550181330292</v>
      </c>
      <c r="D11" s="26">
        <f>'Input data'!D13</f>
        <v>0.45428842940891867</v>
      </c>
      <c r="E11" s="26">
        <f>'Input data'!E13</f>
        <v>0.97264426450138608</v>
      </c>
      <c r="F11" s="26">
        <f>'Input data'!F13</f>
        <v>0.49770842372183649</v>
      </c>
      <c r="G11" s="131"/>
      <c r="H11" s="131"/>
      <c r="I11" s="131"/>
      <c r="J11" s="131"/>
      <c r="K11" s="131"/>
    </row>
    <row r="12" spans="2:13">
      <c r="B12" s="7" t="s">
        <v>20</v>
      </c>
      <c r="C12" s="26">
        <f>'Input data'!C14</f>
        <v>2.6634648364401337E-3</v>
      </c>
      <c r="D12" s="26">
        <f>'Input data'!D14</f>
        <v>2.024820663856635E-2</v>
      </c>
      <c r="E12" s="26">
        <f>'Input data'!E14</f>
        <v>3.5604399042651176E-2</v>
      </c>
      <c r="F12" s="26">
        <f>'Input data'!F14</f>
        <v>6.6132634749022742E-2</v>
      </c>
      <c r="G12" s="132"/>
      <c r="H12" s="132"/>
      <c r="I12" s="132"/>
      <c r="J12" s="132"/>
      <c r="K12" s="132"/>
    </row>
    <row r="13" spans="2:13">
      <c r="B13" s="9" t="s">
        <v>66</v>
      </c>
      <c r="C13" s="31">
        <f>SUM(C10:C12)</f>
        <v>0.69489294946728097</v>
      </c>
      <c r="D13" s="31">
        <f>SUM(D10:D12)</f>
        <v>1.7612458984833927</v>
      </c>
      <c r="E13" s="31">
        <f>SUM(E10:E12)</f>
        <v>3.4438817578231342</v>
      </c>
      <c r="F13" s="31">
        <f>SUM(F10:F12)</f>
        <v>5.3702318860095852</v>
      </c>
      <c r="G13" s="133"/>
      <c r="H13" s="133"/>
      <c r="I13" s="133"/>
      <c r="J13" s="133"/>
      <c r="K13" s="133"/>
    </row>
    <row r="14" spans="2:13" ht="15.75" thickBot="1">
      <c r="B14" s="20" t="s">
        <v>67</v>
      </c>
      <c r="C14" s="30">
        <f>C6+C7+C8+C13</f>
        <v>38.002242267399211</v>
      </c>
      <c r="D14" s="30">
        <f t="shared" ref="D14:F14" si="1">D6+D7+D8+D13</f>
        <v>60.839778705882608</v>
      </c>
      <c r="E14" s="30">
        <f t="shared" si="1"/>
        <v>110.74403421370573</v>
      </c>
      <c r="F14" s="30">
        <f t="shared" si="1"/>
        <v>177.08124305638702</v>
      </c>
      <c r="G14" s="134"/>
      <c r="H14" s="134"/>
      <c r="I14" s="134"/>
      <c r="J14" s="134"/>
      <c r="K14" s="134"/>
    </row>
    <row r="16" spans="2:13" ht="15.75" thickBot="1">
      <c r="B16" s="2" t="s">
        <v>15</v>
      </c>
    </row>
    <row r="17" spans="2:12" ht="26.25">
      <c r="B17" s="157" t="s">
        <v>68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4" t="s">
        <v>10</v>
      </c>
    </row>
    <row r="18" spans="2:12">
      <c r="B18" s="9" t="s">
        <v>63</v>
      </c>
      <c r="C18" s="130"/>
      <c r="D18" s="130"/>
      <c r="E18" s="31">
        <f>'Input data'!E29</f>
        <v>0</v>
      </c>
      <c r="F18" s="31">
        <f>E26</f>
        <v>90.797602739425926</v>
      </c>
      <c r="G18" s="31">
        <f>F14+F26</f>
        <v>453.14770353679887</v>
      </c>
      <c r="H18" s="31">
        <f t="shared" ref="H18:K18" si="2">G26</f>
        <v>971.82840680946208</v>
      </c>
      <c r="I18" s="31">
        <f t="shared" si="2"/>
        <v>2256.9285418555219</v>
      </c>
      <c r="J18" s="31">
        <f t="shared" si="2"/>
        <v>3416.6985217117303</v>
      </c>
      <c r="K18" s="34">
        <f t="shared" si="2"/>
        <v>4420.0042435784189</v>
      </c>
    </row>
    <row r="19" spans="2:12">
      <c r="B19" s="9" t="s">
        <v>64</v>
      </c>
      <c r="C19" s="130"/>
      <c r="D19" s="130"/>
      <c r="E19" s="31">
        <f>'Input data'!E30</f>
        <v>36.788287883609371</v>
      </c>
      <c r="F19" s="31">
        <f>'Input data'!F30</f>
        <v>178.28525431521368</v>
      </c>
      <c r="G19" s="31">
        <f>'Input data'!G30</f>
        <v>482.22062681352008</v>
      </c>
      <c r="H19" s="31">
        <f>'Input data'!H30</f>
        <v>1199.1014787911611</v>
      </c>
      <c r="I19" s="31">
        <f>'Input data'!I30</f>
        <v>1001.8978494612011</v>
      </c>
      <c r="J19" s="31">
        <f>'Input data'!J30</f>
        <v>776.46397611920497</v>
      </c>
      <c r="K19" s="34">
        <f>'Input data'!K30</f>
        <v>346.56017550258804</v>
      </c>
    </row>
    <row r="20" spans="2:12">
      <c r="B20" s="9" t="s">
        <v>69</v>
      </c>
      <c r="C20" s="130"/>
      <c r="D20" s="130"/>
      <c r="E20" s="31">
        <f>'1b. Non-conc EqRaisCost Part B'!L63</f>
        <v>52.39847787943112</v>
      </c>
      <c r="F20" s="31"/>
      <c r="G20" s="31"/>
      <c r="H20" s="31"/>
      <c r="I20" s="31"/>
      <c r="J20" s="31"/>
      <c r="K20" s="34"/>
    </row>
    <row r="21" spans="2:12">
      <c r="B21" s="138" t="s">
        <v>65</v>
      </c>
      <c r="C21" s="141"/>
      <c r="D21" s="141"/>
      <c r="E21" s="139">
        <f>'Input data'!E4</f>
        <v>3.6448994199134846E-2</v>
      </c>
      <c r="F21" s="139">
        <f>'Input data'!F4</f>
        <v>3.8724034525525405E-2</v>
      </c>
      <c r="G21" s="139">
        <f>'Input data'!G4</f>
        <v>5.2401192189295856E-2</v>
      </c>
      <c r="H21" s="139">
        <f>'Input data'!H4</f>
        <v>5.4676232515686388E-2</v>
      </c>
      <c r="I21" s="139">
        <f>'Input data'!I4</f>
        <v>5.6951272842076912E-2</v>
      </c>
      <c r="J21" s="139">
        <f>'Input data'!J4</f>
        <v>5.9226313168467444E-2</v>
      </c>
      <c r="K21" s="140">
        <f>'Input data'!K4</f>
        <v>6.1501353494857969E-2</v>
      </c>
    </row>
    <row r="22" spans="2:12">
      <c r="B22" s="7" t="s">
        <v>70</v>
      </c>
      <c r="C22" s="131"/>
      <c r="D22" s="131"/>
      <c r="E22" s="26">
        <f t="shared" ref="E22:K22" si="3">E18*E21</f>
        <v>0</v>
      </c>
      <c r="F22" s="26">
        <f t="shared" si="3"/>
        <v>3.5160495033164696</v>
      </c>
      <c r="G22" s="26">
        <f t="shared" si="3"/>
        <v>23.745479903169858</v>
      </c>
      <c r="H22" s="26">
        <f t="shared" si="3"/>
        <v>53.135915936063206</v>
      </c>
      <c r="I22" s="26">
        <f t="shared" si="3"/>
        <v>128.53495317228462</v>
      </c>
      <c r="J22" s="26">
        <f t="shared" si="3"/>
        <v>202.3584566491387</v>
      </c>
      <c r="K22" s="27">
        <f t="shared" si="3"/>
        <v>271.83624343308867</v>
      </c>
    </row>
    <row r="23" spans="2:12">
      <c r="B23" s="7" t="s">
        <v>71</v>
      </c>
      <c r="C23" s="131"/>
      <c r="D23" s="131"/>
      <c r="E23" s="26">
        <f t="shared" ref="E23:K23" si="4">((E19+E20)*((1+E21)^0.5-1))</f>
        <v>1.6108369763854458</v>
      </c>
      <c r="F23" s="26">
        <f t="shared" si="4"/>
        <v>3.419175497582335</v>
      </c>
      <c r="G23" s="26">
        <f t="shared" si="4"/>
        <v>12.473152162391374</v>
      </c>
      <c r="H23" s="26">
        <f t="shared" si="4"/>
        <v>32.344934494120317</v>
      </c>
      <c r="I23" s="26">
        <f t="shared" si="4"/>
        <v>28.134649351803574</v>
      </c>
      <c r="J23" s="26">
        <f t="shared" si="4"/>
        <v>22.66281710612617</v>
      </c>
      <c r="K23" s="27">
        <f t="shared" si="4"/>
        <v>10.497958492424207</v>
      </c>
    </row>
    <row r="24" spans="2:12">
      <c r="B24" s="137" t="s">
        <v>72</v>
      </c>
      <c r="C24" s="132"/>
      <c r="D24" s="132"/>
      <c r="E24" s="128">
        <f>E18*'Input data'!E6*'Input data'!E5</f>
        <v>0</v>
      </c>
      <c r="F24" s="128">
        <f>F18*'Input data'!F6*'Input data'!F5</f>
        <v>4.8378424873406198E-2</v>
      </c>
      <c r="G24" s="128">
        <f>G18*'Input data'!G6*'Input data'!G5</f>
        <v>0.24144439358190675</v>
      </c>
      <c r="H24" s="128">
        <f>H18*'Input data'!H6*'Input data'!H5</f>
        <v>0.5178058247154429</v>
      </c>
      <c r="I24" s="128">
        <f>I18*'Input data'!I6*'Input data'!I5</f>
        <v>1.202527870919138</v>
      </c>
      <c r="J24" s="128">
        <f>J18*'Input data'!J6*'Input data'!J5</f>
        <v>1.8204719922185255</v>
      </c>
      <c r="K24" s="129">
        <f>K18*'Input data'!K6*'Input data'!K5</f>
        <v>2.3550494372826116</v>
      </c>
    </row>
    <row r="25" spans="2:12">
      <c r="B25" s="9" t="s">
        <v>66</v>
      </c>
      <c r="C25" s="133"/>
      <c r="D25" s="133"/>
      <c r="E25" s="35">
        <f t="shared" ref="E25:K25" si="5">SUM(E22:E24)</f>
        <v>1.6108369763854458</v>
      </c>
      <c r="F25" s="35">
        <f t="shared" si="5"/>
        <v>6.9836034257722108</v>
      </c>
      <c r="G25" s="35">
        <f t="shared" si="5"/>
        <v>36.460076459143139</v>
      </c>
      <c r="H25" s="35">
        <f t="shared" si="5"/>
        <v>85.998656254898961</v>
      </c>
      <c r="I25" s="35">
        <f t="shared" si="5"/>
        <v>157.87213039500733</v>
      </c>
      <c r="J25" s="35">
        <f t="shared" si="5"/>
        <v>226.8417457474834</v>
      </c>
      <c r="K25" s="160">
        <f t="shared" si="5"/>
        <v>284.68925136279552</v>
      </c>
    </row>
    <row r="26" spans="2:12" ht="15.75" thickBot="1">
      <c r="B26" s="20" t="s">
        <v>67</v>
      </c>
      <c r="C26" s="134"/>
      <c r="D26" s="134"/>
      <c r="E26" s="32">
        <f t="shared" ref="E26:K26" si="6">E18++E19+E20+E25</f>
        <v>90.797602739425926</v>
      </c>
      <c r="F26" s="32">
        <f t="shared" si="6"/>
        <v>276.06646048041182</v>
      </c>
      <c r="G26" s="32">
        <f t="shared" si="6"/>
        <v>971.82840680946208</v>
      </c>
      <c r="H26" s="32">
        <f t="shared" si="6"/>
        <v>2256.9285418555219</v>
      </c>
      <c r="I26" s="32">
        <f t="shared" si="6"/>
        <v>3416.6985217117303</v>
      </c>
      <c r="J26" s="32">
        <f t="shared" si="6"/>
        <v>4420.0042435784189</v>
      </c>
      <c r="K26" s="161">
        <f t="shared" si="6"/>
        <v>5051.2536704438025</v>
      </c>
    </row>
    <row r="27" spans="2:12">
      <c r="E27" s="1"/>
      <c r="F27" s="1"/>
      <c r="G27" s="1"/>
      <c r="H27" s="1"/>
      <c r="I27" s="1"/>
      <c r="J27" s="1"/>
      <c r="K27" s="1"/>
    </row>
    <row r="28" spans="2:12" ht="15.75" thickBot="1">
      <c r="B28" s="2" t="s">
        <v>15</v>
      </c>
    </row>
    <row r="29" spans="2:12" ht="26.25">
      <c r="B29" s="157" t="s">
        <v>73</v>
      </c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3" t="s">
        <v>8</v>
      </c>
      <c r="J29" s="3" t="s">
        <v>9</v>
      </c>
      <c r="K29" s="4" t="s">
        <v>10</v>
      </c>
    </row>
    <row r="30" spans="2:12">
      <c r="B30" s="9" t="s">
        <v>63</v>
      </c>
      <c r="C30" s="127">
        <f t="shared" ref="C30:K30" si="7">C6+C18</f>
        <v>4.9988444800000007</v>
      </c>
      <c r="D30" s="127">
        <f t="shared" si="7"/>
        <v>38.002242267399211</v>
      </c>
      <c r="E30" s="127">
        <f t="shared" si="7"/>
        <v>60.839778705882608</v>
      </c>
      <c r="F30" s="127">
        <f t="shared" si="7"/>
        <v>201.54163695313167</v>
      </c>
      <c r="G30" s="127">
        <f t="shared" si="7"/>
        <v>453.14770353679887</v>
      </c>
      <c r="H30" s="127">
        <f t="shared" si="7"/>
        <v>971.82840680946208</v>
      </c>
      <c r="I30" s="127">
        <f t="shared" si="7"/>
        <v>2256.9285418555219</v>
      </c>
      <c r="J30" s="127">
        <f t="shared" si="7"/>
        <v>3416.6985217117303</v>
      </c>
      <c r="K30" s="162">
        <f t="shared" si="7"/>
        <v>4420.0042435784189</v>
      </c>
    </row>
    <row r="31" spans="2:12">
      <c r="B31" s="9" t="s">
        <v>64</v>
      </c>
      <c r="C31" s="127">
        <f t="shared" ref="C31:K31" si="8">C7+C19</f>
        <v>30.744391635070002</v>
      </c>
      <c r="D31" s="127">
        <f t="shared" si="8"/>
        <v>21.076290540000002</v>
      </c>
      <c r="E31" s="127">
        <f t="shared" si="8"/>
        <v>83.248661633609373</v>
      </c>
      <c r="F31" s="127">
        <f t="shared" si="8"/>
        <v>239.25223127188539</v>
      </c>
      <c r="G31" s="127">
        <f t="shared" si="8"/>
        <v>482.22062681352008</v>
      </c>
      <c r="H31" s="127">
        <f t="shared" si="8"/>
        <v>1199.1014787911611</v>
      </c>
      <c r="I31" s="127">
        <f t="shared" si="8"/>
        <v>1001.8978494612011</v>
      </c>
      <c r="J31" s="127">
        <f t="shared" si="8"/>
        <v>776.46397611920497</v>
      </c>
      <c r="K31" s="162">
        <f t="shared" si="8"/>
        <v>346.56017550258804</v>
      </c>
    </row>
    <row r="32" spans="2:12">
      <c r="B32" s="9" t="s">
        <v>74</v>
      </c>
      <c r="C32" s="127">
        <f t="shared" ref="C32:K32" si="9">C8+C20</f>
        <v>1.5641132028619287</v>
      </c>
      <c r="D32" s="127">
        <f t="shared" si="9"/>
        <v>0</v>
      </c>
      <c r="E32" s="127">
        <f t="shared" si="9"/>
        <v>52.39847787943112</v>
      </c>
      <c r="F32" s="127">
        <f t="shared" si="9"/>
        <v>0</v>
      </c>
      <c r="G32" s="127">
        <f t="shared" si="9"/>
        <v>0</v>
      </c>
      <c r="H32" s="127">
        <f t="shared" si="9"/>
        <v>0</v>
      </c>
      <c r="I32" s="127">
        <f t="shared" si="9"/>
        <v>0</v>
      </c>
      <c r="J32" s="127">
        <f t="shared" si="9"/>
        <v>0</v>
      </c>
      <c r="K32" s="162">
        <f t="shared" si="9"/>
        <v>0</v>
      </c>
      <c r="L32" s="186"/>
    </row>
    <row r="33" spans="2:12">
      <c r="B33" s="138" t="s">
        <v>65</v>
      </c>
      <c r="C33" s="139">
        <f>'Input data'!C4</f>
        <v>3.2928406449951805E-2</v>
      </c>
      <c r="D33" s="139">
        <f>'Input data'!D4</f>
        <v>3.3858772158287365E-2</v>
      </c>
      <c r="E33" s="139">
        <f>'Input data'!E4</f>
        <v>3.6448994199134846E-2</v>
      </c>
      <c r="F33" s="139">
        <f>'Input data'!F4</f>
        <v>3.8724034525525405E-2</v>
      </c>
      <c r="G33" s="139">
        <f>'Input data'!G4</f>
        <v>5.2401192189295856E-2</v>
      </c>
      <c r="H33" s="139">
        <f>'Input data'!H4</f>
        <v>5.4676232515686388E-2</v>
      </c>
      <c r="I33" s="139">
        <f>'Input data'!I4</f>
        <v>5.6951272842076912E-2</v>
      </c>
      <c r="J33" s="139">
        <f>'Input data'!J4</f>
        <v>5.9226313168467444E-2</v>
      </c>
      <c r="K33" s="140">
        <f>'Input data'!K4</f>
        <v>6.1501353494857969E-2</v>
      </c>
    </row>
    <row r="34" spans="2:12">
      <c r="B34" s="7" t="s">
        <v>75</v>
      </c>
      <c r="C34" s="122">
        <f t="shared" ref="C34:K34" si="10">C10+C22</f>
        <v>0.16460398281753799</v>
      </c>
      <c r="D34" s="122">
        <f t="shared" si="10"/>
        <v>1.2867092624359078</v>
      </c>
      <c r="E34" s="122">
        <f t="shared" si="10"/>
        <v>2.4356330942790971</v>
      </c>
      <c r="F34" s="122">
        <f t="shared" si="10"/>
        <v>8.322440330855196</v>
      </c>
      <c r="G34" s="122">
        <f t="shared" si="10"/>
        <v>23.745479903169858</v>
      </c>
      <c r="H34" s="122">
        <f t="shared" si="10"/>
        <v>53.135915936063206</v>
      </c>
      <c r="I34" s="122">
        <f t="shared" si="10"/>
        <v>128.53495317228462</v>
      </c>
      <c r="J34" s="122">
        <f t="shared" si="10"/>
        <v>202.3584566491387</v>
      </c>
      <c r="K34" s="163">
        <f t="shared" si="10"/>
        <v>271.83624343308867</v>
      </c>
      <c r="L34" s="167"/>
    </row>
    <row r="35" spans="2:12">
      <c r="B35" s="7" t="s">
        <v>76</v>
      </c>
      <c r="C35" s="122">
        <f t="shared" ref="C35:K35" si="11">C11+C23</f>
        <v>0.52762550181330292</v>
      </c>
      <c r="D35" s="122">
        <f t="shared" si="11"/>
        <v>0.45428842940891867</v>
      </c>
      <c r="E35" s="122">
        <f t="shared" si="11"/>
        <v>2.5834812408868317</v>
      </c>
      <c r="F35" s="122">
        <f t="shared" si="11"/>
        <v>3.9168839213041715</v>
      </c>
      <c r="G35" s="122">
        <f t="shared" si="11"/>
        <v>12.473152162391374</v>
      </c>
      <c r="H35" s="122">
        <f t="shared" si="11"/>
        <v>32.344934494120317</v>
      </c>
      <c r="I35" s="122">
        <f t="shared" si="11"/>
        <v>28.134649351803574</v>
      </c>
      <c r="J35" s="122">
        <f t="shared" si="11"/>
        <v>22.66281710612617</v>
      </c>
      <c r="K35" s="163">
        <f t="shared" si="11"/>
        <v>10.497958492424207</v>
      </c>
      <c r="L35" s="167"/>
    </row>
    <row r="36" spans="2:12">
      <c r="B36" s="137" t="s">
        <v>77</v>
      </c>
      <c r="C36" s="136">
        <f t="shared" ref="C36:K36" si="12">C12+C24</f>
        <v>2.6634648364401337E-3</v>
      </c>
      <c r="D36" s="136">
        <f t="shared" si="12"/>
        <v>2.024820663856635E-2</v>
      </c>
      <c r="E36" s="136">
        <f t="shared" si="12"/>
        <v>3.5604399042651176E-2</v>
      </c>
      <c r="F36" s="136">
        <f t="shared" si="12"/>
        <v>0.11451105962242894</v>
      </c>
      <c r="G36" s="136">
        <f t="shared" si="12"/>
        <v>0.24144439358190675</v>
      </c>
      <c r="H36" s="136">
        <f t="shared" si="12"/>
        <v>0.5178058247154429</v>
      </c>
      <c r="I36" s="136">
        <f t="shared" si="12"/>
        <v>1.202527870919138</v>
      </c>
      <c r="J36" s="136">
        <f t="shared" si="12"/>
        <v>1.8204719922185255</v>
      </c>
      <c r="K36" s="164">
        <f t="shared" si="12"/>
        <v>2.3550494372826116</v>
      </c>
    </row>
    <row r="37" spans="2:12">
      <c r="B37" s="9" t="s">
        <v>66</v>
      </c>
      <c r="C37" s="135">
        <f>SUM(C34:C36)</f>
        <v>0.69489294946728097</v>
      </c>
      <c r="D37" s="135">
        <f t="shared" ref="D37:K37" si="13">SUM(D34:D36)</f>
        <v>1.7612458984833927</v>
      </c>
      <c r="E37" s="135">
        <f t="shared" si="13"/>
        <v>5.0547187342085804</v>
      </c>
      <c r="F37" s="135">
        <f t="shared" si="13"/>
        <v>12.353835311781795</v>
      </c>
      <c r="G37" s="135">
        <f t="shared" si="13"/>
        <v>36.460076459143139</v>
      </c>
      <c r="H37" s="135">
        <f t="shared" si="13"/>
        <v>85.998656254898961</v>
      </c>
      <c r="I37" s="135">
        <f t="shared" si="13"/>
        <v>157.87213039500733</v>
      </c>
      <c r="J37" s="135">
        <f t="shared" si="13"/>
        <v>226.8417457474834</v>
      </c>
      <c r="K37" s="165">
        <f t="shared" si="13"/>
        <v>284.68925136279552</v>
      </c>
      <c r="L37" s="190"/>
    </row>
    <row r="38" spans="2:12" ht="15.75" thickBot="1">
      <c r="B38" s="20" t="s">
        <v>67</v>
      </c>
      <c r="C38" s="188">
        <f>C30+C31+C32+C37</f>
        <v>38.002242267399211</v>
      </c>
      <c r="D38" s="188">
        <f t="shared" ref="D38:K38" si="14">D30+D31+D32+D37</f>
        <v>60.839778705882608</v>
      </c>
      <c r="E38" s="188">
        <f t="shared" si="14"/>
        <v>201.54163695313167</v>
      </c>
      <c r="F38" s="188">
        <f t="shared" si="14"/>
        <v>453.14770353679882</v>
      </c>
      <c r="G38" s="188">
        <f t="shared" si="14"/>
        <v>971.82840680946208</v>
      </c>
      <c r="H38" s="188">
        <f t="shared" si="14"/>
        <v>2256.9285418555219</v>
      </c>
      <c r="I38" s="188">
        <f t="shared" si="14"/>
        <v>3416.6985217117303</v>
      </c>
      <c r="J38" s="188">
        <f t="shared" si="14"/>
        <v>4420.0042435784189</v>
      </c>
      <c r="K38" s="189">
        <f t="shared" si="14"/>
        <v>5051.2536704438025</v>
      </c>
    </row>
    <row r="39" spans="2:12">
      <c r="B39" s="2"/>
      <c r="C39" s="166"/>
      <c r="D39" s="166"/>
      <c r="E39" s="166"/>
      <c r="F39" s="166"/>
      <c r="G39" s="166"/>
      <c r="H39" s="166"/>
      <c r="I39" s="166"/>
      <c r="J39" s="166"/>
      <c r="K39" s="166"/>
      <c r="L39" s="166"/>
    </row>
    <row r="40" spans="2:12">
      <c r="B40" s="123"/>
      <c r="C40" s="166"/>
      <c r="D40" s="166"/>
      <c r="E40" s="166"/>
      <c r="F40" s="166"/>
      <c r="G40" s="166"/>
      <c r="H40" s="166"/>
      <c r="I40" s="166"/>
      <c r="J40" s="166"/>
      <c r="K40" s="166"/>
      <c r="L40" s="166"/>
    </row>
    <row r="41" spans="2:12">
      <c r="B41" s="168"/>
      <c r="K41" s="166"/>
    </row>
  </sheetData>
  <conditionalFormatting sqref="I2 L3">
    <cfRule type="cellIs" dxfId="1" priority="1" operator="equal">
      <formula>"ERROR"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r:id="rId1"/>
  <ignoredErrors>
    <ignoredError sqref="G18 C33:K3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DB1F-E2AF-481D-ACDB-57FECE8F20AF}">
  <dimension ref="A1:AB75"/>
  <sheetViews>
    <sheetView zoomScale="85" zoomScaleNormal="85" workbookViewId="0">
      <selection activeCell="B3" sqref="B3"/>
    </sheetView>
  </sheetViews>
  <sheetFormatPr defaultColWidth="8.85546875" defaultRowHeight="12.75"/>
  <cols>
    <col min="1" max="1" width="3" style="37" customWidth="1"/>
    <col min="2" max="2" width="53" style="37" customWidth="1"/>
    <col min="3" max="11" width="11.42578125" style="37" customWidth="1"/>
    <col min="12" max="12" width="16.5703125" style="37" customWidth="1"/>
    <col min="13" max="13" width="90.7109375" style="38" customWidth="1"/>
    <col min="14" max="15" width="8.85546875" style="37" bestFit="1"/>
    <col min="16" max="16" width="14.42578125" style="37" bestFit="1" customWidth="1"/>
    <col min="17" max="18" width="8.85546875" style="37" bestFit="1"/>
    <col min="19" max="19" width="16.28515625" style="37" bestFit="1" customWidth="1"/>
    <col min="20" max="22" width="8.85546875" style="37" bestFit="1"/>
    <col min="23" max="24" width="8.85546875" style="37"/>
    <col min="25" max="25" width="15" style="37" bestFit="1" customWidth="1"/>
    <col min="26" max="16384" width="8.85546875" style="37"/>
  </cols>
  <sheetData>
    <row r="1" spans="1:28" ht="13.5" thickBot="1"/>
    <row r="2" spans="1:28">
      <c r="B2" s="39" t="s">
        <v>78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28">
      <c r="A3" s="42"/>
      <c r="B3" s="43" t="s">
        <v>79</v>
      </c>
      <c r="L3" s="44"/>
    </row>
    <row r="4" spans="1:28">
      <c r="A4" s="42"/>
      <c r="B4" s="45" t="s">
        <v>80</v>
      </c>
      <c r="C4" s="46" t="s">
        <v>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7" t="s">
        <v>33</v>
      </c>
    </row>
    <row r="5" spans="1:28">
      <c r="A5" s="42"/>
      <c r="B5" s="48" t="s">
        <v>81</v>
      </c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1:28">
      <c r="A6" s="42"/>
      <c r="B6" s="51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28">
      <c r="A7" s="42"/>
      <c r="B7" s="54" t="s">
        <v>63</v>
      </c>
      <c r="C7" s="55"/>
      <c r="D7" s="55"/>
      <c r="E7" s="55">
        <f>'1. Non-concessional'!E18</f>
        <v>0</v>
      </c>
      <c r="F7" s="55">
        <f>'1. Non-concessional'!F18</f>
        <v>90.797602739425926</v>
      </c>
      <c r="G7" s="55">
        <f>'1. Non-concessional'!G18</f>
        <v>453.14770353679887</v>
      </c>
      <c r="H7" s="55">
        <f>'1. Non-concessional'!H18</f>
        <v>971.82840680946208</v>
      </c>
      <c r="I7" s="55">
        <f>'1. Non-concessional'!I18</f>
        <v>2256.9285418555219</v>
      </c>
      <c r="J7" s="55">
        <f>'1. Non-concessional'!J18</f>
        <v>3416.6985217117303</v>
      </c>
      <c r="K7" s="55">
        <f>'1. Non-concessional'!K18</f>
        <v>4420.0042435784189</v>
      </c>
      <c r="L7" s="56">
        <f>SUM(C7:K7)</f>
        <v>11609.405020231359</v>
      </c>
    </row>
    <row r="8" spans="1:28">
      <c r="A8" s="42"/>
      <c r="B8" s="57" t="s">
        <v>28</v>
      </c>
      <c r="C8" s="58"/>
      <c r="D8" s="58"/>
      <c r="E8" s="58">
        <f>'1. Non-concessional'!E19</f>
        <v>36.788287883609371</v>
      </c>
      <c r="F8" s="58">
        <f>'1. Non-concessional'!F19</f>
        <v>178.28525431521368</v>
      </c>
      <c r="G8" s="58">
        <f>'1. Non-concessional'!G19</f>
        <v>482.22062681352008</v>
      </c>
      <c r="H8" s="58">
        <f>'1. Non-concessional'!H19</f>
        <v>1199.1014787911611</v>
      </c>
      <c r="I8" s="58">
        <f>'1. Non-concessional'!I19</f>
        <v>1001.8978494612011</v>
      </c>
      <c r="J8" s="58">
        <f>'1. Non-concessional'!J19</f>
        <v>776.46397611920497</v>
      </c>
      <c r="K8" s="58">
        <f>'1. Non-concessional'!K19</f>
        <v>346.56017550258804</v>
      </c>
      <c r="L8" s="59">
        <f>+SUM(C8:K8)</f>
        <v>4021.3176488864983</v>
      </c>
    </row>
    <row r="9" spans="1:28">
      <c r="A9" s="42"/>
      <c r="B9" s="57" t="s">
        <v>82</v>
      </c>
      <c r="C9" s="58"/>
      <c r="D9" s="58"/>
      <c r="E9" s="58">
        <f>+L63</f>
        <v>52.39847787943112</v>
      </c>
      <c r="F9" s="58"/>
      <c r="H9" s="58"/>
      <c r="I9" s="58"/>
      <c r="J9" s="58"/>
      <c r="K9" s="58"/>
      <c r="L9" s="59">
        <f t="shared" ref="L9:L11" si="0">+SUM(C9:K9)</f>
        <v>52.39847787943112</v>
      </c>
    </row>
    <row r="10" spans="1:28">
      <c r="A10" s="42"/>
      <c r="B10" s="57" t="s">
        <v>77</v>
      </c>
      <c r="C10" s="58"/>
      <c r="D10" s="58"/>
      <c r="E10" s="58">
        <f>'1. Non-concessional'!E24</f>
        <v>0</v>
      </c>
      <c r="F10" s="58">
        <f>'1. Non-concessional'!F24</f>
        <v>4.8378424873406198E-2</v>
      </c>
      <c r="G10" s="58">
        <f>'1. Non-concessional'!G24</f>
        <v>0.24144439358190675</v>
      </c>
      <c r="H10" s="58">
        <f>'1. Non-concessional'!H24</f>
        <v>0.5178058247154429</v>
      </c>
      <c r="I10" s="58">
        <f>'1. Non-concessional'!I24</f>
        <v>1.202527870919138</v>
      </c>
      <c r="J10" s="58">
        <f>'1. Non-concessional'!J24</f>
        <v>1.8204719922185255</v>
      </c>
      <c r="K10" s="58">
        <f>'1. Non-concessional'!K24</f>
        <v>2.3550494372826116</v>
      </c>
      <c r="L10" s="59">
        <f t="shared" ref="L10" si="1">+SUM(C10:K10)</f>
        <v>6.1856779435910312</v>
      </c>
    </row>
    <row r="11" spans="1:28">
      <c r="A11" s="42"/>
      <c r="B11" s="57" t="s">
        <v>83</v>
      </c>
      <c r="C11" s="58"/>
      <c r="D11" s="58"/>
      <c r="E11" s="58">
        <f>'1. Non-concessional'!E22+'1. Non-concessional'!E23</f>
        <v>1.6108369763854458</v>
      </c>
      <c r="F11" s="58">
        <f>'1. Non-concessional'!F22+'1. Non-concessional'!F23</f>
        <v>6.9352250008988046</v>
      </c>
      <c r="G11" s="58">
        <f>'1. Non-concessional'!G22+'1. Non-concessional'!G23</f>
        <v>36.218632065561231</v>
      </c>
      <c r="H11" s="58">
        <f>'1. Non-concessional'!H22+'1. Non-concessional'!H23</f>
        <v>85.480850430183523</v>
      </c>
      <c r="I11" s="58">
        <f>'1. Non-concessional'!I22+'1. Non-concessional'!I23</f>
        <v>156.66960252408819</v>
      </c>
      <c r="J11" s="58">
        <f>'1. Non-concessional'!J22+'1. Non-concessional'!J23</f>
        <v>225.02127375526487</v>
      </c>
      <c r="K11" s="58">
        <f>'1. Non-concessional'!K22+'1. Non-concessional'!K23</f>
        <v>282.3342019255129</v>
      </c>
      <c r="L11" s="59">
        <f t="shared" si="0"/>
        <v>794.27062267789495</v>
      </c>
    </row>
    <row r="12" spans="1:28">
      <c r="A12" s="42"/>
      <c r="B12" s="54" t="s">
        <v>84</v>
      </c>
      <c r="C12" s="55"/>
      <c r="D12" s="55"/>
      <c r="E12" s="55">
        <f>+SUM(E8:E11)</f>
        <v>90.797602739425926</v>
      </c>
      <c r="F12" s="55">
        <f t="shared" ref="F12:J12" si="2">+SUM(F8:F11)</f>
        <v>185.26885774098591</v>
      </c>
      <c r="G12" s="55">
        <f t="shared" si="2"/>
        <v>518.68070327266321</v>
      </c>
      <c r="H12" s="55">
        <f t="shared" si="2"/>
        <v>1285.1001350460601</v>
      </c>
      <c r="I12" s="55">
        <f t="shared" si="2"/>
        <v>1159.7699798562085</v>
      </c>
      <c r="J12" s="55">
        <f t="shared" si="2"/>
        <v>1003.3057218666884</v>
      </c>
      <c r="K12" s="55">
        <f>+SUM(K8:K11)</f>
        <v>631.24942686538361</v>
      </c>
      <c r="L12" s="56">
        <f>SUM(C12:K12)</f>
        <v>4874.1724273874161</v>
      </c>
      <c r="X12" s="60"/>
      <c r="Y12" s="61"/>
      <c r="Z12" s="61"/>
      <c r="AA12" s="61"/>
      <c r="AB12" s="61"/>
    </row>
    <row r="13" spans="1:28">
      <c r="A13" s="62"/>
      <c r="B13" s="63" t="s">
        <v>85</v>
      </c>
      <c r="C13" s="64"/>
      <c r="D13" s="65"/>
      <c r="E13" s="65" t="s">
        <v>86</v>
      </c>
      <c r="F13" s="65" t="s">
        <v>86</v>
      </c>
      <c r="G13" s="65" t="s">
        <v>86</v>
      </c>
      <c r="H13" s="65" t="s">
        <v>86</v>
      </c>
      <c r="I13" s="65" t="s">
        <v>86</v>
      </c>
      <c r="J13" s="65" t="s">
        <v>86</v>
      </c>
      <c r="K13" s="65" t="s">
        <v>86</v>
      </c>
      <c r="L13" s="66" t="s">
        <v>86</v>
      </c>
      <c r="M13" s="67"/>
      <c r="X13" s="60"/>
      <c r="Y13" s="61"/>
      <c r="Z13" s="61"/>
      <c r="AA13" s="61"/>
      <c r="AB13" s="61"/>
    </row>
    <row r="14" spans="1:28">
      <c r="A14" s="42"/>
      <c r="B14" s="43"/>
      <c r="C14" s="68"/>
      <c r="D14" s="68"/>
      <c r="E14" s="68"/>
      <c r="F14" s="68"/>
      <c r="G14" s="68"/>
      <c r="H14" s="68"/>
      <c r="I14" s="68"/>
      <c r="J14" s="68"/>
      <c r="K14" s="68"/>
      <c r="L14" s="69"/>
      <c r="X14" s="60"/>
      <c r="Y14" s="61"/>
      <c r="Z14" s="61"/>
      <c r="AA14" s="61"/>
      <c r="AB14" s="61"/>
    </row>
    <row r="15" spans="1:28">
      <c r="A15" s="42"/>
      <c r="B15" s="48" t="s">
        <v>87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28">
      <c r="A16" s="70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3"/>
    </row>
    <row r="17" spans="1:24">
      <c r="A17" s="42"/>
      <c r="B17" s="74" t="s">
        <v>37</v>
      </c>
      <c r="C17" s="58"/>
      <c r="D17" s="58"/>
      <c r="E17" s="58">
        <f>'Input data'!E35</f>
        <v>0</v>
      </c>
      <c r="F17" s="58">
        <f>'Input data'!F35</f>
        <v>0</v>
      </c>
      <c r="G17" s="58">
        <f>'Input data'!G35</f>
        <v>0</v>
      </c>
      <c r="H17" s="58">
        <f>'Input data'!H35</f>
        <v>0</v>
      </c>
      <c r="I17" s="58">
        <f>'Input data'!I35</f>
        <v>0</v>
      </c>
      <c r="J17" s="58">
        <f>'Input data'!J35</f>
        <v>0</v>
      </c>
      <c r="K17" s="58">
        <f>'Input data'!K35</f>
        <v>0</v>
      </c>
      <c r="L17" s="56">
        <f t="shared" ref="L17:L19" si="3">SUM(C17:K17)</f>
        <v>0</v>
      </c>
    </row>
    <row r="18" spans="1:24">
      <c r="A18" s="42"/>
      <c r="B18" s="43" t="s">
        <v>38</v>
      </c>
      <c r="C18" s="58"/>
      <c r="D18" s="58"/>
      <c r="E18" s="58">
        <f>'Input data'!E36</f>
        <v>0</v>
      </c>
      <c r="F18" s="58">
        <f>'Input data'!F36</f>
        <v>0</v>
      </c>
      <c r="G18" s="58">
        <f>'Input data'!G36</f>
        <v>0</v>
      </c>
      <c r="H18" s="58">
        <f>'Input data'!H36</f>
        <v>0</v>
      </c>
      <c r="I18" s="58">
        <f>'Input data'!I36</f>
        <v>0</v>
      </c>
      <c r="J18" s="58">
        <f>'Input data'!J36</f>
        <v>0</v>
      </c>
      <c r="K18" s="58">
        <f>'Input data'!K36</f>
        <v>0</v>
      </c>
      <c r="L18" s="75">
        <f t="shared" si="3"/>
        <v>0</v>
      </c>
    </row>
    <row r="19" spans="1:24">
      <c r="A19" s="42"/>
      <c r="B19" s="63" t="s">
        <v>88</v>
      </c>
      <c r="C19" s="76"/>
      <c r="D19" s="76"/>
      <c r="E19" s="76">
        <f t="shared" ref="E19:K19" si="4">E18*0.3</f>
        <v>0</v>
      </c>
      <c r="F19" s="76">
        <f t="shared" si="4"/>
        <v>0</v>
      </c>
      <c r="G19" s="76">
        <f t="shared" si="4"/>
        <v>0</v>
      </c>
      <c r="H19" s="76">
        <f t="shared" si="4"/>
        <v>0</v>
      </c>
      <c r="I19" s="76">
        <f t="shared" si="4"/>
        <v>0</v>
      </c>
      <c r="J19" s="76">
        <f t="shared" si="4"/>
        <v>0</v>
      </c>
      <c r="K19" s="76">
        <f t="shared" si="4"/>
        <v>0</v>
      </c>
      <c r="L19" s="56">
        <f t="shared" si="3"/>
        <v>0</v>
      </c>
      <c r="M19" s="77"/>
      <c r="N19" s="78"/>
      <c r="X19" s="79"/>
    </row>
    <row r="20" spans="1:24">
      <c r="A20" s="42"/>
      <c r="B20" s="43"/>
      <c r="C20" s="80"/>
      <c r="D20" s="80"/>
      <c r="E20" s="80"/>
      <c r="F20" s="80"/>
      <c r="G20" s="80"/>
      <c r="H20" s="80"/>
      <c r="I20" s="80"/>
      <c r="J20" s="80"/>
      <c r="K20" s="80"/>
      <c r="L20" s="56"/>
      <c r="X20" s="79"/>
    </row>
    <row r="21" spans="1:24">
      <c r="A21" s="42"/>
      <c r="B21" s="48" t="s">
        <v>89</v>
      </c>
      <c r="C21" s="81"/>
      <c r="D21" s="81"/>
      <c r="E21" s="81"/>
      <c r="F21" s="81"/>
      <c r="G21" s="81"/>
      <c r="H21" s="81"/>
      <c r="I21" s="81"/>
      <c r="J21" s="81"/>
      <c r="K21" s="81"/>
      <c r="L21" s="82"/>
      <c r="X21" s="79"/>
    </row>
    <row r="22" spans="1:24">
      <c r="A22" s="70"/>
      <c r="B22" s="51"/>
      <c r="C22" s="83"/>
      <c r="D22" s="83"/>
      <c r="E22" s="83"/>
      <c r="F22" s="83"/>
      <c r="G22" s="83"/>
      <c r="H22" s="83"/>
      <c r="I22" s="83"/>
      <c r="J22" s="83"/>
      <c r="K22" s="83"/>
      <c r="L22" s="84"/>
    </row>
    <row r="23" spans="1:24">
      <c r="A23" s="42"/>
      <c r="B23" s="43" t="s">
        <v>39</v>
      </c>
      <c r="C23" s="58"/>
      <c r="D23" s="58"/>
      <c r="E23" s="58">
        <f>'Input data'!E38</f>
        <v>0</v>
      </c>
      <c r="F23" s="58">
        <f>'Input data'!F38</f>
        <v>0</v>
      </c>
      <c r="G23" s="58">
        <f>'Input data'!G38</f>
        <v>0</v>
      </c>
      <c r="H23" s="58">
        <f>'Input data'!H38</f>
        <v>0</v>
      </c>
      <c r="I23" s="58">
        <f>'Input data'!I38</f>
        <v>0</v>
      </c>
      <c r="J23" s="58">
        <f>'Input data'!J38</f>
        <v>0</v>
      </c>
      <c r="K23" s="58">
        <f>'Input data'!K38</f>
        <v>0</v>
      </c>
      <c r="L23" s="56">
        <f t="shared" ref="L23:L30" si="5">SUM(C23:K23)</f>
        <v>0</v>
      </c>
    </row>
    <row r="24" spans="1:24">
      <c r="A24" s="42"/>
      <c r="B24" s="43" t="s">
        <v>40</v>
      </c>
      <c r="C24" s="58"/>
      <c r="D24" s="58"/>
      <c r="E24" s="58">
        <f>'Input data'!E39</f>
        <v>0</v>
      </c>
      <c r="F24" s="58">
        <f>'Input data'!F39</f>
        <v>0</v>
      </c>
      <c r="G24" s="58">
        <f>'Input data'!G39</f>
        <v>0</v>
      </c>
      <c r="H24" s="58">
        <f>'Input data'!H39</f>
        <v>0</v>
      </c>
      <c r="I24" s="58">
        <f>'Input data'!I39</f>
        <v>0</v>
      </c>
      <c r="J24" s="58">
        <f>'Input data'!J39</f>
        <v>0</v>
      </c>
      <c r="K24" s="58">
        <f>'Input data'!K39</f>
        <v>0</v>
      </c>
      <c r="L24" s="56">
        <f t="shared" si="5"/>
        <v>0</v>
      </c>
    </row>
    <row r="25" spans="1:24" ht="12" customHeight="1">
      <c r="A25" s="42"/>
      <c r="B25" s="74" t="s">
        <v>41</v>
      </c>
      <c r="C25" s="58"/>
      <c r="D25" s="58"/>
      <c r="E25" s="58">
        <f>'Input data'!E40</f>
        <v>0</v>
      </c>
      <c r="F25" s="58">
        <f>'Input data'!F40</f>
        <v>0</v>
      </c>
      <c r="G25" s="58">
        <f>'Input data'!G40</f>
        <v>0</v>
      </c>
      <c r="H25" s="58">
        <f>'Input data'!H40</f>
        <v>0</v>
      </c>
      <c r="I25" s="58">
        <f>'Input data'!I40</f>
        <v>0</v>
      </c>
      <c r="J25" s="58">
        <f>'Input data'!J40</f>
        <v>0</v>
      </c>
      <c r="K25" s="58">
        <f>'Input data'!K40</f>
        <v>0</v>
      </c>
      <c r="L25" s="56">
        <f t="shared" si="5"/>
        <v>0</v>
      </c>
    </row>
    <row r="26" spans="1:24">
      <c r="A26" s="42"/>
      <c r="B26" s="85" t="s">
        <v>42</v>
      </c>
      <c r="C26" s="58"/>
      <c r="D26" s="58"/>
      <c r="E26" s="58">
        <f>'Input data'!E41</f>
        <v>0</v>
      </c>
      <c r="F26" s="58">
        <f>'Input data'!F41</f>
        <v>0</v>
      </c>
      <c r="G26" s="58">
        <f>'Input data'!G41</f>
        <v>0</v>
      </c>
      <c r="H26" s="58">
        <f>'Input data'!H41</f>
        <v>0</v>
      </c>
      <c r="I26" s="58">
        <f>'Input data'!I41</f>
        <v>0</v>
      </c>
      <c r="J26" s="58">
        <f>'Input data'!J41</f>
        <v>0</v>
      </c>
      <c r="K26" s="58">
        <f>'Input data'!K41</f>
        <v>0</v>
      </c>
      <c r="L26" s="56">
        <f t="shared" si="5"/>
        <v>0</v>
      </c>
    </row>
    <row r="27" spans="1:24">
      <c r="A27" s="42"/>
      <c r="B27" s="74" t="s">
        <v>37</v>
      </c>
      <c r="C27" s="58"/>
      <c r="D27" s="58"/>
      <c r="E27" s="58">
        <f t="shared" ref="E27:K27" si="6">E17</f>
        <v>0</v>
      </c>
      <c r="F27" s="58">
        <f t="shared" si="6"/>
        <v>0</v>
      </c>
      <c r="G27" s="58">
        <f t="shared" si="6"/>
        <v>0</v>
      </c>
      <c r="H27" s="58">
        <f t="shared" si="6"/>
        <v>0</v>
      </c>
      <c r="I27" s="58">
        <f t="shared" si="6"/>
        <v>0</v>
      </c>
      <c r="J27" s="58">
        <f t="shared" si="6"/>
        <v>0</v>
      </c>
      <c r="K27" s="58">
        <f t="shared" si="6"/>
        <v>0</v>
      </c>
      <c r="L27" s="56">
        <f t="shared" si="5"/>
        <v>0</v>
      </c>
    </row>
    <row r="28" spans="1:24">
      <c r="A28" s="42"/>
      <c r="B28" s="63" t="s">
        <v>90</v>
      </c>
      <c r="C28" s="76"/>
      <c r="D28" s="76"/>
      <c r="E28" s="76">
        <f t="shared" ref="E28:K28" si="7">E23-E24-E25-E26-E27</f>
        <v>0</v>
      </c>
      <c r="F28" s="76">
        <f t="shared" si="7"/>
        <v>0</v>
      </c>
      <c r="G28" s="76">
        <f t="shared" si="7"/>
        <v>0</v>
      </c>
      <c r="H28" s="76">
        <f t="shared" si="7"/>
        <v>0</v>
      </c>
      <c r="I28" s="76">
        <f t="shared" si="7"/>
        <v>0</v>
      </c>
      <c r="J28" s="76">
        <f t="shared" si="7"/>
        <v>0</v>
      </c>
      <c r="K28" s="76">
        <f t="shared" si="7"/>
        <v>0</v>
      </c>
      <c r="L28" s="86">
        <f t="shared" si="5"/>
        <v>0</v>
      </c>
    </row>
    <row r="29" spans="1:24">
      <c r="A29" s="42"/>
      <c r="B29" s="43" t="s">
        <v>38</v>
      </c>
      <c r="C29" s="58"/>
      <c r="D29" s="58"/>
      <c r="E29" s="58">
        <f t="shared" ref="E29:K29" si="8">E18</f>
        <v>0</v>
      </c>
      <c r="F29" s="58">
        <f t="shared" si="8"/>
        <v>0</v>
      </c>
      <c r="G29" s="58">
        <f t="shared" si="8"/>
        <v>0</v>
      </c>
      <c r="H29" s="58">
        <f t="shared" si="8"/>
        <v>0</v>
      </c>
      <c r="I29" s="58">
        <f t="shared" si="8"/>
        <v>0</v>
      </c>
      <c r="J29" s="58">
        <f t="shared" si="8"/>
        <v>0</v>
      </c>
      <c r="K29" s="58">
        <f t="shared" si="8"/>
        <v>0</v>
      </c>
      <c r="L29" s="56">
        <f t="shared" si="5"/>
        <v>0</v>
      </c>
    </row>
    <row r="30" spans="1:24">
      <c r="A30" s="42"/>
      <c r="B30" s="63" t="s">
        <v>91</v>
      </c>
      <c r="C30" s="76"/>
      <c r="D30" s="76"/>
      <c r="E30" s="76">
        <f t="shared" ref="E30:K30" si="9">E28-E29</f>
        <v>0</v>
      </c>
      <c r="F30" s="76">
        <f t="shared" si="9"/>
        <v>0</v>
      </c>
      <c r="G30" s="76">
        <f t="shared" si="9"/>
        <v>0</v>
      </c>
      <c r="H30" s="76">
        <f t="shared" si="9"/>
        <v>0</v>
      </c>
      <c r="I30" s="76">
        <f t="shared" si="9"/>
        <v>0</v>
      </c>
      <c r="J30" s="76">
        <f t="shared" si="9"/>
        <v>0</v>
      </c>
      <c r="K30" s="76">
        <f t="shared" si="9"/>
        <v>0</v>
      </c>
      <c r="L30" s="86">
        <f t="shared" si="5"/>
        <v>0</v>
      </c>
    </row>
    <row r="31" spans="1:24">
      <c r="A31" s="42"/>
      <c r="B31" s="43"/>
      <c r="C31" s="58"/>
      <c r="D31" s="58"/>
      <c r="E31" s="58"/>
      <c r="F31" s="58"/>
      <c r="G31" s="58"/>
      <c r="H31" s="58"/>
      <c r="I31" s="58"/>
      <c r="J31" s="58"/>
      <c r="K31" s="58"/>
      <c r="L31" s="56"/>
    </row>
    <row r="32" spans="1:24">
      <c r="A32" s="42"/>
      <c r="B32" s="48" t="s">
        <v>92</v>
      </c>
      <c r="C32" s="81"/>
      <c r="D32" s="81"/>
      <c r="E32" s="81"/>
      <c r="F32" s="81"/>
      <c r="G32" s="81"/>
      <c r="H32" s="81"/>
      <c r="I32" s="81"/>
      <c r="J32" s="81"/>
      <c r="K32" s="81"/>
      <c r="L32" s="82"/>
    </row>
    <row r="33" spans="1:12">
      <c r="A33" s="70"/>
      <c r="B33" s="51"/>
      <c r="C33" s="83"/>
      <c r="D33" s="83"/>
      <c r="E33" s="83"/>
      <c r="F33" s="83"/>
      <c r="G33" s="83"/>
      <c r="H33" s="83"/>
      <c r="I33" s="83"/>
      <c r="J33" s="83"/>
      <c r="K33" s="83"/>
      <c r="L33" s="84"/>
    </row>
    <row r="34" spans="1:12">
      <c r="A34" s="42"/>
      <c r="B34" s="74" t="s">
        <v>93</v>
      </c>
      <c r="C34" s="58"/>
      <c r="D34" s="58"/>
      <c r="E34" s="58">
        <f t="shared" ref="E34:K34" si="10">E12</f>
        <v>90.797602739425926</v>
      </c>
      <c r="F34" s="58">
        <f t="shared" si="10"/>
        <v>185.26885774098591</v>
      </c>
      <c r="G34" s="58">
        <f t="shared" si="10"/>
        <v>518.68070327266321</v>
      </c>
      <c r="H34" s="58">
        <f t="shared" si="10"/>
        <v>1285.1001350460601</v>
      </c>
      <c r="I34" s="58">
        <f t="shared" si="10"/>
        <v>1159.7699798562085</v>
      </c>
      <c r="J34" s="58">
        <f t="shared" si="10"/>
        <v>1003.3057218666884</v>
      </c>
      <c r="K34" s="58">
        <f t="shared" si="10"/>
        <v>631.24942686538361</v>
      </c>
      <c r="L34" s="56">
        <f t="shared" ref="L34:L46" si="11">SUM(C34:K34)</f>
        <v>4874.1724273874161</v>
      </c>
    </row>
    <row r="35" spans="1:12">
      <c r="A35" s="42"/>
      <c r="B35" s="74" t="s">
        <v>94</v>
      </c>
      <c r="C35" s="58"/>
      <c r="D35" s="58"/>
      <c r="E35" s="58">
        <f>E34*'Input data'!E6</f>
        <v>54.478561643655553</v>
      </c>
      <c r="F35" s="58">
        <f>F34*'Input data'!F6</f>
        <v>111.16131464459154</v>
      </c>
      <c r="G35" s="58">
        <f>G34*'Input data'!G6</f>
        <v>311.20842196359791</v>
      </c>
      <c r="H35" s="58">
        <f>H34*'Input data'!H6</f>
        <v>771.0600810276361</v>
      </c>
      <c r="I35" s="58">
        <f>I34*'Input data'!I6</f>
        <v>695.8619879137251</v>
      </c>
      <c r="J35" s="58">
        <f>J34*'Input data'!J6</f>
        <v>601.98343312001305</v>
      </c>
      <c r="K35" s="58">
        <f>K34*'Input data'!K6</f>
        <v>378.74965611923017</v>
      </c>
      <c r="L35" s="56">
        <f t="shared" si="11"/>
        <v>2924.5034564324496</v>
      </c>
    </row>
    <row r="36" spans="1:12">
      <c r="A36" s="42"/>
      <c r="B36" s="74" t="s">
        <v>95</v>
      </c>
      <c r="C36" s="58"/>
      <c r="D36" s="58"/>
      <c r="E36" s="58">
        <f t="shared" ref="E36:K36" si="12">E34-E35</f>
        <v>36.319041095770373</v>
      </c>
      <c r="F36" s="58">
        <f t="shared" si="12"/>
        <v>74.107543096394366</v>
      </c>
      <c r="G36" s="58">
        <f t="shared" si="12"/>
        <v>207.47228130906529</v>
      </c>
      <c r="H36" s="58">
        <f t="shared" si="12"/>
        <v>514.04005401842403</v>
      </c>
      <c r="I36" s="58">
        <f t="shared" si="12"/>
        <v>463.90799194248336</v>
      </c>
      <c r="J36" s="58">
        <f t="shared" si="12"/>
        <v>401.32228874667533</v>
      </c>
      <c r="K36" s="58">
        <f t="shared" si="12"/>
        <v>252.49977074615344</v>
      </c>
      <c r="L36" s="56">
        <f t="shared" si="11"/>
        <v>1949.6689709549664</v>
      </c>
    </row>
    <row r="37" spans="1:12">
      <c r="A37" s="42"/>
      <c r="B37" s="63" t="s">
        <v>91</v>
      </c>
      <c r="C37" s="76"/>
      <c r="D37" s="76"/>
      <c r="E37" s="76">
        <f t="shared" ref="E37:K37" si="13">E30</f>
        <v>0</v>
      </c>
      <c r="F37" s="76">
        <f t="shared" si="13"/>
        <v>0</v>
      </c>
      <c r="G37" s="76">
        <f t="shared" si="13"/>
        <v>0</v>
      </c>
      <c r="H37" s="76">
        <f t="shared" si="13"/>
        <v>0</v>
      </c>
      <c r="I37" s="76">
        <f t="shared" si="13"/>
        <v>0</v>
      </c>
      <c r="J37" s="76">
        <f t="shared" si="13"/>
        <v>0</v>
      </c>
      <c r="K37" s="76">
        <f t="shared" si="13"/>
        <v>0</v>
      </c>
      <c r="L37" s="86">
        <f t="shared" si="11"/>
        <v>0</v>
      </c>
    </row>
    <row r="38" spans="1:12">
      <c r="A38" s="42"/>
      <c r="B38" s="63" t="s">
        <v>96</v>
      </c>
      <c r="C38" s="58"/>
      <c r="D38" s="58"/>
      <c r="E38" s="58">
        <f t="shared" ref="E38:K38" si="14">E36-E37</f>
        <v>36.319041095770373</v>
      </c>
      <c r="F38" s="58">
        <f t="shared" si="14"/>
        <v>74.107543096394366</v>
      </c>
      <c r="G38" s="58">
        <f t="shared" si="14"/>
        <v>207.47228130906529</v>
      </c>
      <c r="H38" s="58">
        <f t="shared" si="14"/>
        <v>514.04005401842403</v>
      </c>
      <c r="I38" s="58">
        <f t="shared" si="14"/>
        <v>463.90799194248336</v>
      </c>
      <c r="J38" s="58">
        <f t="shared" si="14"/>
        <v>401.32228874667533</v>
      </c>
      <c r="K38" s="58">
        <f t="shared" si="14"/>
        <v>252.49977074615344</v>
      </c>
      <c r="L38" s="56">
        <f t="shared" si="11"/>
        <v>1949.6689709549664</v>
      </c>
    </row>
    <row r="39" spans="1:12">
      <c r="A39" s="42"/>
      <c r="B39" s="43"/>
      <c r="C39" s="58"/>
      <c r="D39" s="58"/>
      <c r="E39" s="58"/>
      <c r="F39" s="58"/>
      <c r="G39" s="58"/>
      <c r="H39" s="58"/>
      <c r="I39" s="58"/>
      <c r="J39" s="58"/>
      <c r="K39" s="58"/>
      <c r="L39" s="75"/>
    </row>
    <row r="40" spans="1:12">
      <c r="A40" s="42"/>
      <c r="B40" s="48" t="s">
        <v>97</v>
      </c>
      <c r="C40" s="81"/>
      <c r="D40" s="81"/>
      <c r="E40" s="81"/>
      <c r="F40" s="81"/>
      <c r="G40" s="81"/>
      <c r="H40" s="81"/>
      <c r="I40" s="81"/>
      <c r="J40" s="81"/>
      <c r="K40" s="81"/>
      <c r="L40" s="82"/>
    </row>
    <row r="41" spans="1:12">
      <c r="A41" s="42"/>
      <c r="B41" s="43"/>
      <c r="C41" s="83"/>
      <c r="D41" s="83"/>
      <c r="E41" s="83"/>
      <c r="F41" s="83"/>
      <c r="G41" s="83"/>
      <c r="H41" s="83"/>
      <c r="I41" s="83"/>
      <c r="J41" s="83"/>
      <c r="K41" s="83"/>
      <c r="L41" s="84"/>
    </row>
    <row r="42" spans="1:12">
      <c r="A42" s="42"/>
      <c r="B42" s="43" t="s">
        <v>95</v>
      </c>
      <c r="C42" s="58"/>
      <c r="D42" s="58"/>
      <c r="E42" s="58">
        <f>E36/E68*$E$68</f>
        <v>36.319041095770373</v>
      </c>
      <c r="F42" s="58">
        <f t="shared" ref="F42:K42" si="15">F36/F68*$E$68</f>
        <v>71.949070967373174</v>
      </c>
      <c r="G42" s="58">
        <f t="shared" si="15"/>
        <v>194.24242943991285</v>
      </c>
      <c r="H42" s="58">
        <f t="shared" si="15"/>
        <v>469.06563731610754</v>
      </c>
      <c r="I42" s="58">
        <f t="shared" si="15"/>
        <v>412.7934977911363</v>
      </c>
      <c r="J42" s="58">
        <f t="shared" si="15"/>
        <v>348.39379252583723</v>
      </c>
      <c r="K42" s="58">
        <f t="shared" si="15"/>
        <v>213.85246017823363</v>
      </c>
      <c r="L42" s="56">
        <f t="shared" si="11"/>
        <v>1746.615929314371</v>
      </c>
    </row>
    <row r="43" spans="1:12">
      <c r="A43" s="42"/>
      <c r="B43" s="43" t="s">
        <v>91</v>
      </c>
      <c r="C43" s="58"/>
      <c r="D43" s="58"/>
      <c r="E43" s="58">
        <f>E37/E68*$E$68</f>
        <v>0</v>
      </c>
      <c r="F43" s="58">
        <f t="shared" ref="F43:K43" si="16">F37/F68*$E$68</f>
        <v>0</v>
      </c>
      <c r="G43" s="58">
        <f t="shared" si="16"/>
        <v>0</v>
      </c>
      <c r="H43" s="58">
        <f t="shared" si="16"/>
        <v>0</v>
      </c>
      <c r="I43" s="58">
        <f t="shared" si="16"/>
        <v>0</v>
      </c>
      <c r="J43" s="58">
        <f t="shared" si="16"/>
        <v>0</v>
      </c>
      <c r="K43" s="58">
        <f t="shared" si="16"/>
        <v>0</v>
      </c>
      <c r="L43" s="56">
        <f t="shared" si="11"/>
        <v>0</v>
      </c>
    </row>
    <row r="44" spans="1:12">
      <c r="A44" s="42"/>
      <c r="B44" s="43" t="s">
        <v>98</v>
      </c>
      <c r="C44" s="87"/>
      <c r="D44" s="76"/>
      <c r="E44" s="76">
        <f t="shared" ref="E44:K44" si="17">E42-E43</f>
        <v>36.319041095770373</v>
      </c>
      <c r="F44" s="76">
        <f t="shared" si="17"/>
        <v>71.949070967373174</v>
      </c>
      <c r="G44" s="76">
        <f t="shared" si="17"/>
        <v>194.24242943991285</v>
      </c>
      <c r="H44" s="76">
        <f t="shared" si="17"/>
        <v>469.06563731610754</v>
      </c>
      <c r="I44" s="76">
        <f t="shared" si="17"/>
        <v>412.7934977911363</v>
      </c>
      <c r="J44" s="76">
        <f t="shared" si="17"/>
        <v>348.39379252583723</v>
      </c>
      <c r="K44" s="76">
        <f t="shared" si="17"/>
        <v>213.85246017823363</v>
      </c>
      <c r="L44" s="86">
        <f t="shared" si="11"/>
        <v>1746.615929314371</v>
      </c>
    </row>
    <row r="45" spans="1:12">
      <c r="A45" s="42"/>
      <c r="B45" s="43"/>
      <c r="C45" s="58"/>
      <c r="D45" s="58"/>
      <c r="E45" s="58"/>
      <c r="F45" s="58"/>
      <c r="G45" s="58"/>
      <c r="H45" s="58"/>
      <c r="I45" s="58"/>
      <c r="J45" s="58"/>
      <c r="K45" s="58"/>
      <c r="L45" s="56"/>
    </row>
    <row r="46" spans="1:12">
      <c r="A46" s="42"/>
      <c r="B46" s="43" t="s">
        <v>88</v>
      </c>
      <c r="C46" s="87"/>
      <c r="D46" s="76"/>
      <c r="E46" s="76">
        <f>E19/E68*$E$68</f>
        <v>0</v>
      </c>
      <c r="F46" s="76">
        <f t="shared" ref="F46:K46" si="18">F19/F68*$E$68</f>
        <v>0</v>
      </c>
      <c r="G46" s="76">
        <f t="shared" si="18"/>
        <v>0</v>
      </c>
      <c r="H46" s="76">
        <f t="shared" si="18"/>
        <v>0</v>
      </c>
      <c r="I46" s="76">
        <f t="shared" si="18"/>
        <v>0</v>
      </c>
      <c r="J46" s="76">
        <f t="shared" si="18"/>
        <v>0</v>
      </c>
      <c r="K46" s="76">
        <f t="shared" si="18"/>
        <v>0</v>
      </c>
      <c r="L46" s="88">
        <f t="shared" si="11"/>
        <v>0</v>
      </c>
    </row>
    <row r="47" spans="1:12">
      <c r="A47" s="42"/>
      <c r="B47" s="43"/>
      <c r="C47" s="58"/>
      <c r="D47" s="58"/>
      <c r="E47" s="58"/>
      <c r="F47" s="58"/>
      <c r="G47" s="58"/>
      <c r="H47" s="58"/>
      <c r="I47" s="58"/>
      <c r="J47" s="58"/>
      <c r="K47" s="58"/>
      <c r="L47" s="75"/>
    </row>
    <row r="48" spans="1:12">
      <c r="A48" s="42"/>
      <c r="B48" s="48" t="s">
        <v>99</v>
      </c>
      <c r="C48" s="81"/>
      <c r="D48" s="81"/>
      <c r="E48" s="81"/>
      <c r="F48" s="81"/>
      <c r="G48" s="81"/>
      <c r="H48" s="81"/>
      <c r="I48" s="81"/>
      <c r="J48" s="81"/>
      <c r="K48" s="81"/>
      <c r="L48" s="82"/>
    </row>
    <row r="49" spans="1:13">
      <c r="A49" s="70"/>
      <c r="B49" s="71"/>
      <c r="C49" s="89"/>
      <c r="D49" s="89"/>
      <c r="E49" s="89"/>
      <c r="F49" s="89"/>
      <c r="G49" s="89"/>
      <c r="H49" s="89"/>
      <c r="I49" s="89"/>
      <c r="J49" s="89"/>
      <c r="K49" s="89"/>
      <c r="L49" s="90"/>
    </row>
    <row r="50" spans="1:13">
      <c r="A50" s="42"/>
      <c r="B50" s="74" t="s">
        <v>100</v>
      </c>
      <c r="C50" s="83"/>
      <c r="D50" s="83"/>
      <c r="E50" s="83"/>
      <c r="F50" s="83"/>
      <c r="G50" s="83"/>
      <c r="H50" s="83"/>
      <c r="I50" s="83"/>
      <c r="J50" s="83"/>
      <c r="K50" s="83"/>
      <c r="L50" s="84">
        <f>IF(L44&gt;0,MIN(L44,L46),0)</f>
        <v>0</v>
      </c>
    </row>
    <row r="51" spans="1:13">
      <c r="A51" s="42"/>
      <c r="B51" s="43" t="s">
        <v>101</v>
      </c>
      <c r="C51" s="83"/>
      <c r="D51" s="83"/>
      <c r="E51" s="83"/>
      <c r="F51" s="83"/>
      <c r="G51" s="83"/>
      <c r="H51" s="83"/>
      <c r="I51" s="83"/>
      <c r="J51" s="83"/>
      <c r="K51" s="83"/>
      <c r="L51" s="84">
        <f>IF((L44-L46)&gt;0,(L44-L46),0)</f>
        <v>1746.615929314371</v>
      </c>
    </row>
    <row r="52" spans="1:13">
      <c r="A52" s="42"/>
      <c r="B52" s="43" t="s">
        <v>102</v>
      </c>
      <c r="C52" s="83"/>
      <c r="D52" s="83"/>
      <c r="E52" s="83"/>
      <c r="F52" s="83"/>
      <c r="G52" s="83"/>
      <c r="H52" s="83"/>
      <c r="I52" s="83"/>
      <c r="J52" s="83"/>
      <c r="K52" s="83"/>
      <c r="L52" s="91">
        <f>SUM(L50:L51)</f>
        <v>1746.615929314371</v>
      </c>
    </row>
    <row r="53" spans="1:13">
      <c r="A53" s="42"/>
      <c r="B53" s="43"/>
      <c r="C53" s="83"/>
      <c r="D53" s="83"/>
      <c r="E53" s="83"/>
      <c r="F53" s="83"/>
      <c r="G53" s="83"/>
      <c r="H53" s="83"/>
      <c r="I53" s="83"/>
      <c r="J53" s="83"/>
      <c r="K53" s="83"/>
      <c r="L53" s="84"/>
    </row>
    <row r="54" spans="1:13">
      <c r="A54" s="42"/>
      <c r="B54" s="74" t="s">
        <v>56</v>
      </c>
      <c r="C54" s="58"/>
      <c r="D54" s="58"/>
      <c r="E54" s="58"/>
      <c r="F54" s="58"/>
      <c r="G54" s="58"/>
      <c r="H54" s="58"/>
      <c r="I54" s="58"/>
      <c r="J54" s="58"/>
      <c r="K54" s="58"/>
      <c r="L54" s="56">
        <f>L50*C73</f>
        <v>0</v>
      </c>
    </row>
    <row r="55" spans="1:13">
      <c r="A55" s="42"/>
      <c r="B55" s="74" t="s">
        <v>103</v>
      </c>
      <c r="C55" s="58"/>
      <c r="D55" s="58"/>
      <c r="E55" s="58"/>
      <c r="F55" s="58"/>
      <c r="G55" s="58"/>
      <c r="H55" s="58"/>
      <c r="I55" s="58"/>
      <c r="J55" s="58"/>
      <c r="K55" s="58"/>
      <c r="L55" s="56">
        <f>L51*C74</f>
        <v>52.398477879431127</v>
      </c>
    </row>
    <row r="56" spans="1:13">
      <c r="A56" s="42"/>
      <c r="B56" s="74" t="s">
        <v>104</v>
      </c>
      <c r="C56" s="58"/>
      <c r="D56" s="58"/>
      <c r="E56" s="58"/>
      <c r="F56" s="58"/>
      <c r="G56" s="58"/>
      <c r="H56" s="58"/>
      <c r="I56" s="58"/>
      <c r="J56" s="58"/>
      <c r="K56" s="58"/>
      <c r="L56" s="92">
        <f>SUM(L54:L55)</f>
        <v>52.398477879431127</v>
      </c>
    </row>
    <row r="57" spans="1:13" ht="13.5" thickBot="1">
      <c r="A57" s="42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5"/>
    </row>
    <row r="58" spans="1:13" ht="13.5" thickBot="1"/>
    <row r="59" spans="1:13">
      <c r="B59" s="39" t="s">
        <v>105</v>
      </c>
      <c r="C59" s="40"/>
      <c r="D59" s="40"/>
      <c r="E59" s="40"/>
      <c r="F59" s="40"/>
      <c r="G59" s="40"/>
      <c r="H59" s="40"/>
      <c r="I59" s="40"/>
      <c r="J59" s="40"/>
      <c r="K59" s="40"/>
      <c r="L59" s="41"/>
    </row>
    <row r="60" spans="1:13">
      <c r="B60" s="54"/>
      <c r="L60" s="44"/>
    </row>
    <row r="61" spans="1:13">
      <c r="B61" s="96" t="s">
        <v>106</v>
      </c>
      <c r="C61" s="97"/>
      <c r="D61" s="97"/>
      <c r="E61" s="97"/>
      <c r="F61" s="97"/>
      <c r="G61" s="97"/>
      <c r="H61" s="97"/>
      <c r="I61" s="97"/>
      <c r="J61" s="97"/>
      <c r="K61" s="97"/>
      <c r="L61" s="98"/>
      <c r="M61" s="37"/>
    </row>
    <row r="62" spans="1:13">
      <c r="B62" s="43"/>
      <c r="K62" s="99" t="s">
        <v>107</v>
      </c>
      <c r="L62" s="100">
        <f>L56</f>
        <v>52.398477879431127</v>
      </c>
    </row>
    <row r="63" spans="1:13">
      <c r="B63" s="43"/>
      <c r="K63" s="99" t="s">
        <v>108</v>
      </c>
      <c r="L63" s="101">
        <v>52.39847787943112</v>
      </c>
      <c r="M63" s="102"/>
    </row>
    <row r="64" spans="1:13">
      <c r="B64" s="43"/>
      <c r="K64" s="103" t="s">
        <v>109</v>
      </c>
      <c r="L64" s="100">
        <f>L63-L62</f>
        <v>0</v>
      </c>
      <c r="M64" s="102"/>
    </row>
    <row r="65" spans="1:13">
      <c r="A65" s="104"/>
      <c r="B65" s="43"/>
      <c r="C65" s="105"/>
      <c r="K65" s="37" t="s">
        <v>110</v>
      </c>
      <c r="L65" s="106">
        <f>+L64*1000000</f>
        <v>0</v>
      </c>
      <c r="M65" s="102"/>
    </row>
    <row r="66" spans="1:13">
      <c r="B66" s="96" t="s">
        <v>111</v>
      </c>
      <c r="C66" s="97"/>
      <c r="D66" s="97"/>
      <c r="E66" s="97"/>
      <c r="F66" s="97"/>
      <c r="G66" s="97"/>
      <c r="H66" s="97"/>
      <c r="I66" s="97"/>
      <c r="J66" s="97"/>
      <c r="K66" s="97"/>
      <c r="L66" s="107"/>
    </row>
    <row r="67" spans="1:13">
      <c r="B67" s="108" t="s">
        <v>44</v>
      </c>
      <c r="C67" s="104"/>
      <c r="D67" s="104"/>
      <c r="E67" s="104">
        <v>45261</v>
      </c>
      <c r="F67" s="104">
        <v>45627</v>
      </c>
      <c r="G67" s="104">
        <v>45992</v>
      </c>
      <c r="H67" s="104">
        <v>46357</v>
      </c>
      <c r="I67" s="104">
        <v>46722</v>
      </c>
      <c r="J67" s="104">
        <v>47088</v>
      </c>
      <c r="K67" s="104">
        <v>47453</v>
      </c>
      <c r="L67" s="44"/>
      <c r="M67" s="37"/>
    </row>
    <row r="68" spans="1:13">
      <c r="B68" s="109" t="s">
        <v>112</v>
      </c>
      <c r="C68" s="105"/>
      <c r="D68" s="105"/>
      <c r="E68" s="105">
        <f>'Input data'!E45</f>
        <v>136.1</v>
      </c>
      <c r="F68" s="105">
        <f>'Input data'!F45</f>
        <v>140.18299999999999</v>
      </c>
      <c r="G68" s="105">
        <f>'Input data'!G45</f>
        <v>145.36977099999999</v>
      </c>
      <c r="H68" s="105">
        <f>'Input data'!H45</f>
        <v>149.14938504599999</v>
      </c>
      <c r="I68" s="105">
        <f>'Input data'!I45</f>
        <v>152.95269436467299</v>
      </c>
      <c r="J68" s="105">
        <f>'Input data'!J45</f>
        <v>156.77651172378981</v>
      </c>
      <c r="K68" s="105">
        <f>'Input data'!K45</f>
        <v>160.69592451688453</v>
      </c>
      <c r="L68" s="44"/>
      <c r="M68" s="37"/>
    </row>
    <row r="69" spans="1:13">
      <c r="B69" s="110" t="s">
        <v>53</v>
      </c>
      <c r="C69" s="105"/>
      <c r="E69" s="111"/>
      <c r="F69" s="111">
        <f>'Input data'!F46</f>
        <v>0.03</v>
      </c>
      <c r="G69" s="111">
        <f>'Input data'!G46</f>
        <v>3.6999999999999998E-2</v>
      </c>
      <c r="H69" s="111">
        <f>'Input data'!H46</f>
        <v>2.5999999999999999E-2</v>
      </c>
      <c r="I69" s="111">
        <f>'Input data'!I46</f>
        <v>2.5500000000000002E-2</v>
      </c>
      <c r="J69" s="111">
        <f>'Input data'!J46</f>
        <v>2.5000000000000001E-2</v>
      </c>
      <c r="K69" s="111">
        <f>'Input data'!K46</f>
        <v>2.5000000000000001E-2</v>
      </c>
      <c r="L69" s="44"/>
      <c r="M69" s="114"/>
    </row>
    <row r="70" spans="1:13">
      <c r="B70" s="43"/>
      <c r="L70" s="44"/>
    </row>
    <row r="71" spans="1:13">
      <c r="B71" s="43"/>
      <c r="L71" s="44"/>
    </row>
    <row r="72" spans="1:13">
      <c r="B72" s="96" t="s">
        <v>55</v>
      </c>
      <c r="C72" s="112"/>
      <c r="D72" s="112"/>
      <c r="E72" s="112"/>
      <c r="F72" s="112"/>
      <c r="G72" s="112"/>
      <c r="H72" s="112"/>
      <c r="I72" s="112"/>
      <c r="J72" s="112"/>
      <c r="K72" s="112"/>
      <c r="L72" s="98"/>
    </row>
    <row r="73" spans="1:13" ht="18.600000000000001" customHeight="1">
      <c r="B73" s="113" t="s">
        <v>56</v>
      </c>
      <c r="C73" s="156">
        <f>'Input data'!C49</f>
        <v>0.01</v>
      </c>
      <c r="D73" s="37" t="s">
        <v>57</v>
      </c>
      <c r="L73" s="44"/>
    </row>
    <row r="74" spans="1:13" ht="18.600000000000001" customHeight="1">
      <c r="B74" s="113" t="s">
        <v>58</v>
      </c>
      <c r="C74" s="156">
        <f>'Input data'!C50</f>
        <v>0.03</v>
      </c>
      <c r="D74" s="37" t="s">
        <v>59</v>
      </c>
      <c r="L74" s="44"/>
    </row>
    <row r="75" spans="1:13" ht="13.5" thickBot="1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5"/>
    </row>
  </sheetData>
  <pageMargins left="0.7" right="0.7" top="0.75" bottom="0.75" header="0.3" footer="0.3"/>
  <pageSetup paperSize="9" orientation="portrait" r:id="rId1"/>
  <ignoredErrors>
    <ignoredError sqref="E37:K3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586B3CE1F2E4AAF925202CA5E8D0E" ma:contentTypeVersion="8" ma:contentTypeDescription="Create a new document." ma:contentTypeScope="" ma:versionID="e569010eeba83f3368bc184d5b2a9000">
  <xsd:schema xmlns:xsd="http://www.w3.org/2001/XMLSchema" xmlns:xs="http://www.w3.org/2001/XMLSchema" xmlns:p="http://schemas.microsoft.com/office/2006/metadata/properties" xmlns:ns2="ccf04475-cfa5-4af0-99fb-1507278cec05" xmlns:ns3="182c7b89-c3d7-4fc0-a205-87bfe3b3a364" targetNamespace="http://schemas.microsoft.com/office/2006/metadata/properties" ma:root="true" ma:fieldsID="2c04d859bc01a9824410c72466eba6eb" ns2:_="" ns3:_="">
    <xsd:import namespace="ccf04475-cfa5-4af0-99fb-1507278cec05"/>
    <xsd:import namespace="182c7b89-c3d7-4fc0-a205-87bfe3b3a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4475-cfa5-4af0-99fb-1507278cec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c7b89-c3d7-4fc0-a205-87bfe3b3a3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CE46E-3C7C-4C0C-AEF8-07B694302806}"/>
</file>

<file path=customXml/itemProps2.xml><?xml version="1.0" encoding="utf-8"?>
<ds:datastoreItem xmlns:ds="http://schemas.openxmlformats.org/officeDocument/2006/customXml" ds:itemID="{2F68B6A0-F156-47F8-84A8-530329047123}"/>
</file>

<file path=customXml/itemProps3.xml><?xml version="1.0" encoding="utf-8"?>
<ds:datastoreItem xmlns:ds="http://schemas.openxmlformats.org/officeDocument/2006/customXml" ds:itemID="{19F4650E-EA7E-4733-9F84-FD5F954F4F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Dianna Andoni</cp:lastModifiedBy>
  <cp:revision>1</cp:revision>
  <dcterms:created xsi:type="dcterms:W3CDTF">2024-11-28T22:51:26Z</dcterms:created>
  <dcterms:modified xsi:type="dcterms:W3CDTF">2024-12-10T03:13:45Z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0x0101005DE586B3CE1F2E4AAF925202CA5E8D0E</vt:lpwstr>
  </property>
</Properties>
</file>