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energyqonline.sharepoint.com/sites/AER2025/Shared Documents/General/Revised Regulatory Proposal (Energex &amp; Ergon)/Revised Reg Proposal Supporting Docs_Ergon/07 Inventive Schemes/"/>
    </mc:Choice>
  </mc:AlternateContent>
  <xr:revisionPtr revIDLastSave="24" documentId="13_ncr:1_{C7620395-64D7-4194-A348-19180A6C90B5}" xr6:coauthVersionLast="47" xr6:coauthVersionMax="47" xr10:uidLastSave="{2A4227FC-69A1-4336-9A77-E9717385EE35}"/>
  <bookViews>
    <workbookView xWindow="29550" yWindow="2070" windowWidth="18720" windowHeight="11820" tabRatio="811" firstSheet="1" activeTab="1" xr2:uid="{00000000-000D-0000-FFFF-FFFF00000000}"/>
  </bookViews>
  <sheets>
    <sheet name="Cover" sheetId="20" r:id="rId1"/>
    <sheet name="Output | Decision tables" sheetId="19" r:id="rId2"/>
    <sheet name="STPIS inputs" sheetId="21" r:id="rId3"/>
    <sheet name="Cap adjustment" sheetId="23" r:id="rId4"/>
    <sheet name="Annual performance and targets" sheetId="17" r:id="rId5"/>
    <sheet name="Incentive rates calc" sheetId="14" r:id="rId6"/>
    <sheet name="Change log" sheetId="22" state="hidden" r:id="rId7"/>
  </sheets>
  <externalReferences>
    <externalReference r:id="rId8"/>
  </externalReferences>
  <calcPr calcId="191028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9" l="1"/>
  <c r="I8" i="17"/>
  <c r="G19" i="23" l="1"/>
  <c r="F7" i="21" l="1"/>
  <c r="E7" i="21"/>
  <c r="D7" i="21"/>
  <c r="P22" i="17"/>
  <c r="O22" i="17"/>
  <c r="N22" i="17"/>
  <c r="M22" i="17"/>
  <c r="L22" i="17"/>
  <c r="Q22" i="17" s="1"/>
  <c r="P21" i="17"/>
  <c r="O21" i="17"/>
  <c r="N21" i="17"/>
  <c r="M21" i="17"/>
  <c r="L21" i="17"/>
  <c r="P20" i="17"/>
  <c r="O20" i="17"/>
  <c r="N20" i="17"/>
  <c r="M20" i="17"/>
  <c r="L20" i="17"/>
  <c r="I41" i="17"/>
  <c r="H41" i="17"/>
  <c r="D41" i="17"/>
  <c r="E41" i="17"/>
  <c r="F41" i="17"/>
  <c r="G41" i="17"/>
  <c r="C41" i="17"/>
  <c r="G22" i="17"/>
  <c r="F22" i="17"/>
  <c r="E22" i="17"/>
  <c r="D22" i="17"/>
  <c r="C22" i="17"/>
  <c r="G21" i="17"/>
  <c r="F21" i="17"/>
  <c r="E21" i="17"/>
  <c r="D21" i="17"/>
  <c r="C21" i="17"/>
  <c r="G20" i="17"/>
  <c r="F20" i="17"/>
  <c r="E20" i="17"/>
  <c r="D20" i="17"/>
  <c r="C20" i="17"/>
  <c r="H20" i="17" s="1"/>
  <c r="R21" i="17"/>
  <c r="Q21" i="17"/>
  <c r="R20" i="17"/>
  <c r="Q20" i="17"/>
  <c r="R11" i="17"/>
  <c r="Q11" i="17"/>
  <c r="R10" i="17"/>
  <c r="Q10" i="17"/>
  <c r="R9" i="17"/>
  <c r="Q9" i="17"/>
  <c r="I22" i="17"/>
  <c r="H22" i="17"/>
  <c r="I21" i="17"/>
  <c r="H21" i="17"/>
  <c r="I11" i="17"/>
  <c r="I10" i="17"/>
  <c r="I9" i="17"/>
  <c r="H8" i="17"/>
  <c r="H10" i="17"/>
  <c r="H11" i="17"/>
  <c r="H9" i="17"/>
  <c r="M9" i="17"/>
  <c r="N9" i="17"/>
  <c r="O9" i="17"/>
  <c r="P9" i="17"/>
  <c r="M10" i="17"/>
  <c r="N10" i="17"/>
  <c r="O10" i="17"/>
  <c r="P10" i="17"/>
  <c r="M11" i="17"/>
  <c r="N11" i="17"/>
  <c r="O11" i="17"/>
  <c r="P11" i="17"/>
  <c r="D9" i="17"/>
  <c r="E9" i="17"/>
  <c r="F9" i="17"/>
  <c r="G9" i="17"/>
  <c r="D10" i="17"/>
  <c r="E10" i="17"/>
  <c r="F10" i="17"/>
  <c r="G10" i="17"/>
  <c r="D11" i="17"/>
  <c r="E11" i="17"/>
  <c r="F11" i="17"/>
  <c r="G11" i="17"/>
  <c r="R22" i="17" l="1"/>
  <c r="I20" i="17"/>
  <c r="L10" i="17" l="1"/>
  <c r="L11" i="17"/>
  <c r="L9" i="17"/>
  <c r="C10" i="17"/>
  <c r="C11" i="17"/>
  <c r="C9" i="17"/>
  <c r="F19" i="23"/>
  <c r="I39" i="23"/>
  <c r="I38" i="23"/>
  <c r="I37" i="23"/>
  <c r="C19" i="23" l="1"/>
  <c r="E19" i="23"/>
  <c r="D19" i="23"/>
  <c r="B19" i="23"/>
  <c r="D22" i="23" l="1"/>
  <c r="D24" i="23" s="1"/>
  <c r="D28" i="23" s="1"/>
  <c r="D31" i="23" s="1"/>
  <c r="C28" i="23" l="1"/>
  <c r="D23" i="23"/>
  <c r="D26" i="23" s="1"/>
  <c r="D30" i="23" s="1"/>
  <c r="E28" i="23"/>
  <c r="E31" i="23" s="1"/>
  <c r="C32" i="17" l="1"/>
  <c r="C31" i="23"/>
  <c r="C26" i="23"/>
  <c r="C30" i="23" s="1"/>
  <c r="E26" i="23"/>
  <c r="E30" i="23" s="1"/>
  <c r="E33" i="17"/>
  <c r="E44" i="17" s="1"/>
  <c r="E31" i="17"/>
  <c r="E42" i="17" s="1"/>
  <c r="D33" i="17"/>
  <c r="D44" i="17" s="1"/>
  <c r="F33" i="17"/>
  <c r="F44" i="17" s="1"/>
  <c r="D32" i="17"/>
  <c r="D43" i="17" s="1"/>
  <c r="C33" i="17"/>
  <c r="F31" i="17"/>
  <c r="F42" i="17" s="1"/>
  <c r="E32" i="17"/>
  <c r="E43" i="17" s="1"/>
  <c r="F32" i="17"/>
  <c r="F43" i="17" s="1"/>
  <c r="C31" i="17"/>
  <c r="D31" i="17"/>
  <c r="D42" i="17" s="1"/>
  <c r="P32" i="17" l="1"/>
  <c r="P43" i="17" s="1"/>
  <c r="P31" i="17"/>
  <c r="P42" i="17" s="1"/>
  <c r="P33" i="17"/>
  <c r="P44" i="17" s="1"/>
  <c r="I33" i="17"/>
  <c r="H33" i="17"/>
  <c r="C44" i="17"/>
  <c r="C42" i="17"/>
  <c r="H31" i="17"/>
  <c r="G33" i="17"/>
  <c r="G44" i="17" s="1"/>
  <c r="G31" i="17"/>
  <c r="G42" i="17" s="1"/>
  <c r="G32" i="17"/>
  <c r="G43" i="17" s="1"/>
  <c r="H32" i="17"/>
  <c r="C43" i="17"/>
  <c r="N31" i="17"/>
  <c r="N42" i="17" s="1"/>
  <c r="L31" i="17"/>
  <c r="O31" i="17"/>
  <c r="O42" i="17" s="1"/>
  <c r="N33" i="17"/>
  <c r="N44" i="17" s="1"/>
  <c r="M32" i="17"/>
  <c r="M43" i="17" s="1"/>
  <c r="M33" i="17"/>
  <c r="M44" i="17" s="1"/>
  <c r="O32" i="17"/>
  <c r="O43" i="17" s="1"/>
  <c r="O33" i="17"/>
  <c r="O44" i="17" s="1"/>
  <c r="I31" i="17" l="1"/>
  <c r="L42" i="17"/>
  <c r="I42" i="17"/>
  <c r="I32" i="17"/>
  <c r="M31" i="17"/>
  <c r="M42" i="17" s="1"/>
  <c r="L32" i="17"/>
  <c r="L33" i="17"/>
  <c r="N32" i="17"/>
  <c r="N43" i="17" s="1"/>
  <c r="Q42" i="17" l="1"/>
  <c r="Q33" i="17"/>
  <c r="L44" i="17"/>
  <c r="R33" i="17"/>
  <c r="Q32" i="17"/>
  <c r="L43" i="17"/>
  <c r="R32" i="17"/>
  <c r="R42" i="17"/>
  <c r="Q31" i="17"/>
  <c r="R31" i="17"/>
  <c r="R43" i="17" l="1"/>
  <c r="Q43" i="17"/>
  <c r="R44" i="17"/>
  <c r="Q44" i="17"/>
  <c r="B7" i="21"/>
  <c r="F6" i="14"/>
  <c r="E6" i="14"/>
  <c r="D6" i="14"/>
  <c r="D5" i="14"/>
  <c r="E5" i="14"/>
  <c r="F5" i="14"/>
  <c r="C11" i="21"/>
  <c r="D11" i="14" s="1"/>
  <c r="D27" i="19" s="1"/>
  <c r="F11" i="14" l="1"/>
  <c r="F27" i="19" s="1"/>
  <c r="E11" i="14"/>
  <c r="E27" i="19" s="1"/>
  <c r="H42" i="17" l="1"/>
  <c r="I44" i="17"/>
  <c r="F14" i="19" s="1"/>
  <c r="H44" i="17"/>
  <c r="I43" i="17"/>
  <c r="E14" i="19" s="1"/>
  <c r="H43" i="17"/>
  <c r="F9" i="14"/>
  <c r="E13" i="19"/>
  <c r="D13" i="19"/>
  <c r="D14" i="19"/>
  <c r="E9" i="14"/>
  <c r="E8" i="14" l="1"/>
  <c r="F13" i="19"/>
  <c r="D8" i="14"/>
  <c r="F8" i="14"/>
  <c r="D9" i="14"/>
  <c r="D4" i="21" l="1"/>
  <c r="E4" i="21" l="1"/>
  <c r="F4" i="21" l="1"/>
  <c r="G4" i="21"/>
  <c r="H4" i="21" l="1"/>
  <c r="C4" i="21" s="1"/>
  <c r="E7" i="14" l="1"/>
  <c r="F7" i="14"/>
  <c r="D7" i="14"/>
  <c r="D12" i="14" l="1"/>
  <c r="D18" i="19" s="1"/>
  <c r="D13" i="14"/>
  <c r="D19" i="19" s="1"/>
  <c r="F12" i="14"/>
  <c r="F18" i="19" s="1"/>
  <c r="F13" i="14"/>
  <c r="F19" i="19" s="1"/>
  <c r="E12" i="14"/>
  <c r="E18" i="19" s="1"/>
  <c r="E13" i="14"/>
  <c r="E19" i="19" s="1"/>
</calcChain>
</file>

<file path=xl/sharedStrings.xml><?xml version="1.0" encoding="utf-8"?>
<sst xmlns="http://schemas.openxmlformats.org/spreadsheetml/2006/main" count="261" uniqueCount="137">
  <si>
    <t>Service Target Performance Incentive Scheme</t>
  </si>
  <si>
    <t>Electricity Distribution Network Service Provider</t>
  </si>
  <si>
    <t>Ergon Energy</t>
  </si>
  <si>
    <t>2025-30</t>
  </si>
  <si>
    <t>Contents</t>
  </si>
  <si>
    <t>Output | Decision tables</t>
  </si>
  <si>
    <t>Provides output including incentive rates, targets and VCR by feeders type.</t>
  </si>
  <si>
    <t>STPIS inputs</t>
  </si>
  <si>
    <t>Inputs average smoothed revenus, average annual energy consumptions, CPI and network feeders type.</t>
  </si>
  <si>
    <t>Annual performance and targets</t>
  </si>
  <si>
    <t>Calculates targets based on historical performance and adjusment by STPIS paramteres and network feeder types.</t>
  </si>
  <si>
    <t>Incentive rates calculations</t>
  </si>
  <si>
    <t>Calculates incentive rates by STPIS paramteres and network feeder types.</t>
  </si>
  <si>
    <t>Change log</t>
  </si>
  <si>
    <t>Provides log of updates made to the model template (rather than changes between preliminary and final model submissions).</t>
  </si>
  <si>
    <t>AER Decision STPIS for 2025-30</t>
  </si>
  <si>
    <t>Revenue at Risk</t>
  </si>
  <si>
    <t>± 1.8 %</t>
  </si>
  <si>
    <t>Beta</t>
  </si>
  <si>
    <t>Log normal</t>
  </si>
  <si>
    <t>Feeders classifications</t>
  </si>
  <si>
    <t>Urban</t>
  </si>
  <si>
    <t>Short rual</t>
  </si>
  <si>
    <t>Long rural</t>
  </si>
  <si>
    <t>Customer service parameter</t>
  </si>
  <si>
    <t>± 0.2 %</t>
  </si>
  <si>
    <t>STPIS Targets and incentive rates</t>
  </si>
  <si>
    <t>Classification</t>
  </si>
  <si>
    <t>Short rural</t>
  </si>
  <si>
    <t>SAIDI (minutes)</t>
  </si>
  <si>
    <t>SAIFI (interruptions)</t>
  </si>
  <si>
    <r>
      <rPr>
        <i/>
        <sz val="8"/>
        <rFont val="Arial"/>
        <family val="2"/>
      </rPr>
      <t xml:space="preserve">ir - </t>
    </r>
    <r>
      <rPr>
        <sz val="8"/>
        <rFont val="Arial"/>
        <family val="2"/>
      </rPr>
      <t>SAIDI</t>
    </r>
  </si>
  <si>
    <r>
      <rPr>
        <i/>
        <sz val="8"/>
        <rFont val="Arial"/>
        <family val="2"/>
      </rPr>
      <t>ir -</t>
    </r>
    <r>
      <rPr>
        <sz val="8"/>
        <rFont val="Arial"/>
        <family val="2"/>
      </rPr>
      <t xml:space="preserve"> SAIFI</t>
    </r>
  </si>
  <si>
    <t>Customer service</t>
  </si>
  <si>
    <t>Incentive rate</t>
  </si>
  <si>
    <t>Target</t>
  </si>
  <si>
    <t>Telephone answering (calls answered in 30 seconds)</t>
  </si>
  <si>
    <t>Value of customer reliablity ($/MWh)</t>
  </si>
  <si>
    <t>VCR</t>
  </si>
  <si>
    <t>Inputs</t>
  </si>
  <si>
    <t>Average</t>
  </si>
  <si>
    <t>2025-26</t>
  </si>
  <si>
    <t>2026-27</t>
  </si>
  <si>
    <t>2027-28</t>
  </si>
  <si>
    <t>2028-29</t>
  </si>
  <si>
    <t>2029-30</t>
  </si>
  <si>
    <t>Revenue Smoothing ($ Real 2024-25)</t>
  </si>
  <si>
    <t>VCR ($/MWh)</t>
  </si>
  <si>
    <t>AER, Value of customer reliability review, final report, December 2019, pp. 17 and 71.</t>
  </si>
  <si>
    <t>CPI</t>
  </si>
  <si>
    <t>ABS</t>
  </si>
  <si>
    <t>Updated to June 2024 for this draft decision.  Dec 2024 VCRs will be used for final decision.</t>
  </si>
  <si>
    <t>Backcasted  data Actual Data (Exclude &lt;= 3min Momentary)</t>
  </si>
  <si>
    <t>Measure</t>
  </si>
  <si>
    <t>2019/20</t>
  </si>
  <si>
    <t>2020/21</t>
  </si>
  <si>
    <t>2021/22</t>
  </si>
  <si>
    <t>2022/23</t>
  </si>
  <si>
    <t>Unplanned SAIDI - CBD</t>
  </si>
  <si>
    <t>Unplanned SAIDI - urban</t>
  </si>
  <si>
    <t>Unplanned SAIDI - short rural</t>
  </si>
  <si>
    <t>Unplanned SAIDI - long rural</t>
  </si>
  <si>
    <t>Unplanned SAIFI - CBD</t>
  </si>
  <si>
    <t>Unplanned SAIFI - urban</t>
  </si>
  <si>
    <t>Unplanned SAIFI - short rural</t>
  </si>
  <si>
    <t>Unplanned SAIFI - long rural</t>
  </si>
  <si>
    <t>Recast to STPIS v2.</t>
  </si>
  <si>
    <t>S-Factor (STPIS Compliance Model)</t>
  </si>
  <si>
    <t>Cummulative</t>
  </si>
  <si>
    <t>sum of the raw s-factors for the relaibility of supply parameters</t>
  </si>
  <si>
    <t>Reliability cap</t>
  </si>
  <si>
    <t>performance over the cap</t>
  </si>
  <si>
    <t>%above cap exlcuding telephone answering</t>
  </si>
  <si>
    <t>SAIDI proportion</t>
  </si>
  <si>
    <t>SAIFI proportion</t>
  </si>
  <si>
    <t>SAIDI Incentive rates in current regulatory period</t>
  </si>
  <si>
    <t>Use 2015-2020 regulatory control period as year where performanc exceeded the cap is 2019/20</t>
  </si>
  <si>
    <t>Adj required to 2025-30 RCP reliability targets due to R@R cap for 2020-25 SAIDI PSAIDI</t>
  </si>
  <si>
    <t>SAIFI Incentive rates in current regulatory period</t>
  </si>
  <si>
    <t>Adj required to 2025-30 RCP reliability targets due to R@R cap for 2020-25 SAIFI PSAIFI</t>
  </si>
  <si>
    <t>Adj required to 2025-30 RCP reliability targets due to R@R</t>
  </si>
  <si>
    <t>FORECAST ENERGY CONSUMPTION BY NETWORK TYPE</t>
  </si>
  <si>
    <t>Network Type</t>
  </si>
  <si>
    <t>2024/25</t>
  </si>
  <si>
    <t>2025/26</t>
  </si>
  <si>
    <t>2026/27</t>
  </si>
  <si>
    <t>2027/28</t>
  </si>
  <si>
    <t>2028/29</t>
  </si>
  <si>
    <t>5 Year Average MWH</t>
  </si>
  <si>
    <t xml:space="preserve"> URBAN</t>
  </si>
  <si>
    <t xml:space="preserve"> SHORT RURAL</t>
  </si>
  <si>
    <t xml:space="preserve"> LONG RURAL</t>
  </si>
  <si>
    <t>Historical STPIS performance and adjustments</t>
  </si>
  <si>
    <t>Source:</t>
  </si>
  <si>
    <t>Annual compliance actual</t>
  </si>
  <si>
    <t>SAIFI</t>
  </si>
  <si>
    <t>SAIDI</t>
  </si>
  <si>
    <t>2023/24</t>
  </si>
  <si>
    <t>Draft decision</t>
  </si>
  <si>
    <t>Final decision</t>
  </si>
  <si>
    <t>Telephone</t>
  </si>
  <si>
    <t>T:\AER\STPIS annual compliance\NSW QLD SA TAS 2018 - 19\Ausgrid\[FINAL Ausgrid STPIS compliance model 2018-19.xlsx]Actual Performance'</t>
  </si>
  <si>
    <t>T:\AER\STPIS annual compliance\NEM STPIS_FY22\STPIS-Assessment\Sent DNSP\[Ausgrid STPIS compliance FY2021-22_AER Final.xlsx]Actual Performance</t>
  </si>
  <si>
    <t>T:\AER\STPIS annual compliance\NEM STPIS_FY22\STPIS-Assessment\Sent DNSP\[Ausgrid STPIS compliance FY2021-22_AER Final.xlsx]Power BI output'!</t>
  </si>
  <si>
    <t>Revenue proposal</t>
  </si>
  <si>
    <t>[Ausgrid - IR#004 - STPIS incentive rates - 20230330.xlsx]Working sheet (2019 AER)</t>
  </si>
  <si>
    <t>Adjustments over cap and others</t>
  </si>
  <si>
    <t>Adjustments</t>
  </si>
  <si>
    <t>Decision</t>
  </si>
  <si>
    <t>Incentive rates calculation</t>
  </si>
  <si>
    <t>Incentive rate attributes</t>
  </si>
  <si>
    <t>Value of Customer Reliability (VCR) for NSW ($/MWh)</t>
  </si>
  <si>
    <r>
      <t>VCR</t>
    </r>
    <r>
      <rPr>
        <vertAlign val="subscript"/>
        <sz val="8"/>
        <color theme="1"/>
        <rFont val="Arial"/>
        <family val="2"/>
      </rPr>
      <t>n</t>
    </r>
  </si>
  <si>
    <t>Average annual energy consumption by network type (MWh)</t>
  </si>
  <si>
    <r>
      <t>C</t>
    </r>
    <r>
      <rPr>
        <vertAlign val="subscript"/>
        <sz val="8"/>
        <color theme="1"/>
        <rFont val="Arial"/>
        <family val="2"/>
      </rPr>
      <t>n</t>
    </r>
  </si>
  <si>
    <t>Average smoothed revenue requirement ($)</t>
  </si>
  <si>
    <t>R</t>
  </si>
  <si>
    <t>Average unplanned SAIFI target</t>
  </si>
  <si>
    <r>
      <t>SAIFI</t>
    </r>
    <r>
      <rPr>
        <vertAlign val="subscript"/>
        <sz val="8"/>
        <color theme="1"/>
        <rFont val="Arial"/>
        <family val="2"/>
      </rPr>
      <t>n</t>
    </r>
  </si>
  <si>
    <t>Average unplanned SAIDI target</t>
  </si>
  <si>
    <r>
      <t>SAIDI</t>
    </r>
    <r>
      <rPr>
        <vertAlign val="subscript"/>
        <sz val="8"/>
        <color theme="1"/>
        <rFont val="Arial"/>
        <family val="2"/>
      </rPr>
      <t>n</t>
    </r>
  </si>
  <si>
    <t>Network type weighting</t>
  </si>
  <si>
    <r>
      <t>w</t>
    </r>
    <r>
      <rPr>
        <vertAlign val="subscript"/>
        <sz val="8"/>
        <color theme="1"/>
        <rFont val="Arial"/>
        <family val="2"/>
      </rPr>
      <t>n</t>
    </r>
  </si>
  <si>
    <t>Inflation</t>
  </si>
  <si>
    <t>SAIDI Incentive rates</t>
  </si>
  <si>
    <t>SAIFI Incentive rates</t>
  </si>
  <si>
    <t>Changelog (to detail completion of inputs, and any changes to inputs)</t>
  </si>
  <si>
    <t>Date</t>
  </si>
  <si>
    <t>Cell range</t>
  </si>
  <si>
    <t>Description</t>
  </si>
  <si>
    <t>Changed format of decision tables tab</t>
  </si>
  <si>
    <t>C18 to F18; C19 to F19</t>
  </si>
  <si>
    <t>Output decision tables incentive rates calculation divided value by 100. This was removed as the value is also in percentage form</t>
  </si>
  <si>
    <t>C23-F23</t>
  </si>
  <si>
    <t>Output decision tables, fixed VCR not being escalated.</t>
  </si>
  <si>
    <t>STPIS performance targets for 2025-30 period</t>
  </si>
  <si>
    <t>STPIS Incentive rates for FY2025-30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</si>
</sst>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"/>
    <numFmt numFmtId="168" formatCode="_-* #,##0.000_-;\-* #,##0.000_-;_-* &quot;-&quot;??_-;_-@_-"/>
    <numFmt numFmtId="169" formatCode="0.0000"/>
    <numFmt numFmtId="170" formatCode="_-* #,##0.00000000000000_-;\-* #,##0.00000000000000_-;_-* &quot;-&quot;??_-;_-@_-"/>
    <numFmt numFmtId="171" formatCode="_-* #,##0.000000000000000_-;\-* #,##0.000000000000000_-;_-* &quot;-&quot;??_-;_-@_-"/>
    <numFmt numFmtId="172" formatCode="_-* #,##0_-;\-* #,##0_-;_-* &quot;-&quot;??_-;_-@_-"/>
    <numFmt numFmtId="173" formatCode="_-* #,##0.0_-;\-* #,##0.0_-;_-* &quot;-&quot;??_-;_-@_-"/>
    <numFmt numFmtId="174" formatCode="_(* #,##0.0_);_(* \(#,##0.0\);_(* &quot;-&quot;??_);_(@_)"/>
    <numFmt numFmtId="175" formatCode="_(&quot;$&quot;* #,##0_);_(&quot;$&quot;* \(#,##0\);_(&quot;$&quot;* &quot;-&quot;??_);_(@_)"/>
    <numFmt numFmtId="176" formatCode="#,##0.0000"/>
    <numFmt numFmtId="177" formatCode="0.00;\-0.00;\-;@"/>
    <numFmt numFmtId="178" formatCode="0.000;\-0.000;\-;@"/>
    <numFmt numFmtId="179" formatCode="0.0000%"/>
    <numFmt numFmtId="180" formatCode="0.00000;\-0.00000;\-;@"/>
    <numFmt numFmtId="181" formatCode="0.0000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u/>
      <sz val="10"/>
      <color indexed="12"/>
      <name val="Arial"/>
      <family val="2"/>
    </font>
    <font>
      <b/>
      <sz val="8"/>
      <color theme="1"/>
      <name val="Arial"/>
      <family val="2"/>
    </font>
    <font>
      <sz val="36"/>
      <name val="Arial"/>
      <family val="2"/>
    </font>
    <font>
      <sz val="26"/>
      <name val="Arial"/>
      <family val="2"/>
    </font>
    <font>
      <b/>
      <sz val="4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TimesNewRoman"/>
    </font>
    <font>
      <b/>
      <sz val="3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rgb="FF0070C0"/>
      <name val="Arial"/>
      <family val="2"/>
    </font>
    <font>
      <b/>
      <i/>
      <sz val="8"/>
      <color theme="0"/>
      <name val="Arial"/>
      <family val="2"/>
    </font>
    <font>
      <sz val="8"/>
      <color theme="8" tint="-0.249977111117893"/>
      <name val="Arial"/>
      <family val="2"/>
    </font>
    <font>
      <sz val="8"/>
      <color rgb="FFFF0000"/>
      <name val="Arial"/>
      <family val="2"/>
    </font>
    <font>
      <i/>
      <sz val="8"/>
      <color theme="0"/>
      <name val="Arial"/>
      <family val="2"/>
    </font>
    <font>
      <sz val="8"/>
      <color rgb="FF0070C0"/>
      <name val="Arial"/>
      <family val="2"/>
    </font>
    <font>
      <i/>
      <sz val="8"/>
      <color theme="8" tint="-0.249977111117893"/>
      <name val="Arial"/>
      <family val="2"/>
    </font>
    <font>
      <i/>
      <sz val="8"/>
      <name val="Arial"/>
      <family val="2"/>
    </font>
    <font>
      <vertAlign val="subscript"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name val="Helvetica"/>
      <family val="2"/>
    </font>
    <font>
      <sz val="10"/>
      <color theme="4"/>
      <name val="Helvetica"/>
      <family val="2"/>
    </font>
    <font>
      <sz val="8"/>
      <color theme="4"/>
      <name val="Arial"/>
      <family val="2"/>
    </font>
    <font>
      <sz val="10"/>
      <color theme="1"/>
      <name val="Calibri"/>
      <family val="2"/>
    </font>
    <font>
      <sz val="10"/>
      <color theme="4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4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4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3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5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3" borderId="2">
      <alignment vertical="center"/>
    </xf>
    <xf numFmtId="0" fontId="4" fillId="4" borderId="0">
      <alignment horizontal="left" vertical="center"/>
      <protection locked="0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8" fillId="11" borderId="0" applyNumberFormat="0" applyBorder="0" applyAlignment="0" applyProtection="0"/>
    <xf numFmtId="0" fontId="39" fillId="0" borderId="0" applyFill="0" applyBorder="0">
      <alignment horizontal="left" vertical="center"/>
    </xf>
    <xf numFmtId="0" fontId="40" fillId="14" borderId="6">
      <alignment horizontal="left" vertical="center"/>
      <protection locked="0"/>
    </xf>
    <xf numFmtId="0" fontId="42" fillId="0" borderId="0"/>
    <xf numFmtId="0" fontId="1" fillId="0" borderId="0"/>
    <xf numFmtId="0" fontId="1" fillId="0" borderId="0"/>
    <xf numFmtId="0" fontId="43" fillId="14" borderId="6">
      <alignment horizontal="left" vertical="center"/>
      <protection locked="0"/>
    </xf>
  </cellStyleXfs>
  <cellXfs count="183">
    <xf numFmtId="0" fontId="0" fillId="0" borderId="0" xfId="0"/>
    <xf numFmtId="0" fontId="0" fillId="6" borderId="0" xfId="0" applyFill="1"/>
    <xf numFmtId="0" fontId="2" fillId="6" borderId="0" xfId="0" applyFont="1" applyFill="1"/>
    <xf numFmtId="0" fontId="7" fillId="6" borderId="0" xfId="0" applyFont="1" applyFill="1"/>
    <xf numFmtId="0" fontId="8" fillId="0" borderId="0" xfId="0" applyFont="1" applyAlignment="1">
      <alignment vertical="center"/>
    </xf>
    <xf numFmtId="0" fontId="2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0" fillId="7" borderId="3" xfId="0" applyFill="1" applyBorder="1"/>
    <xf numFmtId="0" fontId="0" fillId="7" borderId="0" xfId="0" applyFill="1"/>
    <xf numFmtId="0" fontId="0" fillId="7" borderId="4" xfId="0" applyFill="1" applyBorder="1"/>
    <xf numFmtId="0" fontId="0" fillId="8" borderId="5" xfId="0" applyFill="1" applyBorder="1"/>
    <xf numFmtId="0" fontId="2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1" fillId="0" borderId="4" xfId="0" applyFont="1" applyBorder="1"/>
    <xf numFmtId="0" fontId="11" fillId="0" borderId="3" xfId="0" applyFont="1" applyBorder="1" applyAlignment="1">
      <alignment horizontal="left"/>
    </xf>
    <xf numFmtId="17" fontId="11" fillId="0" borderId="3" xfId="0" quotePrefix="1" applyNumberFormat="1" applyFont="1" applyBorder="1"/>
    <xf numFmtId="0" fontId="11" fillId="0" borderId="3" xfId="0" applyFont="1" applyBorder="1"/>
    <xf numFmtId="0" fontId="11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11" fillId="0" borderId="0" xfId="0" quotePrefix="1" applyFont="1"/>
    <xf numFmtId="0" fontId="13" fillId="0" borderId="0" xfId="0" applyFont="1"/>
    <xf numFmtId="17" fontId="11" fillId="0" borderId="0" xfId="0" quotePrefix="1" applyNumberFormat="1" applyFont="1"/>
    <xf numFmtId="0" fontId="12" fillId="6" borderId="0" xfId="0" applyFont="1" applyFill="1"/>
    <xf numFmtId="0" fontId="14" fillId="7" borderId="0" xfId="0" applyFont="1" applyFill="1"/>
    <xf numFmtId="0" fontId="10" fillId="7" borderId="0" xfId="0" applyFont="1" applyFill="1"/>
    <xf numFmtId="0" fontId="6" fillId="7" borderId="5" xfId="9" applyFont="1" applyFill="1" applyBorder="1"/>
    <xf numFmtId="0" fontId="18" fillId="7" borderId="5" xfId="9" applyFont="1" applyFill="1" applyBorder="1" applyAlignment="1">
      <alignment vertical="center"/>
    </xf>
    <xf numFmtId="172" fontId="16" fillId="0" borderId="0" xfId="9" applyNumberFormat="1" applyFont="1"/>
    <xf numFmtId="172" fontId="11" fillId="0" borderId="0" xfId="12" applyNumberFormat="1" applyFont="1" applyAlignment="1" applyProtection="1"/>
    <xf numFmtId="172" fontId="17" fillId="0" borderId="0" xfId="9" applyNumberFormat="1" applyFont="1"/>
    <xf numFmtId="173" fontId="17" fillId="0" borderId="0" xfId="9" applyNumberFormat="1" applyFont="1"/>
    <xf numFmtId="0" fontId="17" fillId="0" borderId="0" xfId="9" applyFont="1"/>
    <xf numFmtId="0" fontId="17" fillId="0" borderId="0" xfId="9" applyFont="1" applyAlignment="1">
      <alignment wrapText="1"/>
    </xf>
    <xf numFmtId="172" fontId="19" fillId="0" borderId="4" xfId="12" applyNumberFormat="1" applyFont="1" applyBorder="1" applyAlignment="1" applyProtection="1"/>
    <xf numFmtId="172" fontId="20" fillId="0" borderId="4" xfId="9" applyNumberFormat="1" applyFont="1" applyBorder="1"/>
    <xf numFmtId="172" fontId="17" fillId="0" borderId="4" xfId="9" applyNumberFormat="1" applyFont="1" applyBorder="1"/>
    <xf numFmtId="173" fontId="17" fillId="0" borderId="4" xfId="9" applyNumberFormat="1" applyFont="1" applyBorder="1"/>
    <xf numFmtId="0" fontId="17" fillId="0" borderId="4" xfId="9" applyFont="1" applyBorder="1"/>
    <xf numFmtId="172" fontId="16" fillId="0" borderId="0" xfId="9" quotePrefix="1" applyNumberFormat="1" applyFont="1"/>
    <xf numFmtId="0" fontId="2" fillId="7" borderId="5" xfId="9" applyFill="1" applyBorder="1" applyAlignment="1">
      <alignment horizontal="center" vertical="center"/>
    </xf>
    <xf numFmtId="0" fontId="18" fillId="7" borderId="5" xfId="9" applyFont="1" applyFill="1" applyBorder="1" applyAlignment="1">
      <alignment horizontal="center" vertical="center"/>
    </xf>
    <xf numFmtId="0" fontId="2" fillId="7" borderId="5" xfId="9" applyFill="1" applyBorder="1" applyAlignment="1">
      <alignment horizontal="center" vertical="center" wrapText="1"/>
    </xf>
    <xf numFmtId="165" fontId="18" fillId="7" borderId="5" xfId="9" applyNumberFormat="1" applyFont="1" applyFill="1" applyBorder="1" applyAlignment="1">
      <alignment horizontal="center" vertical="center" wrapText="1"/>
    </xf>
    <xf numFmtId="0" fontId="2" fillId="6" borderId="0" xfId="9" applyFill="1" applyAlignment="1">
      <alignment horizontal="center" vertical="center" wrapText="1"/>
    </xf>
    <xf numFmtId="0" fontId="2" fillId="6" borderId="0" xfId="9" applyFill="1" applyAlignment="1">
      <alignment horizontal="center" vertical="center"/>
    </xf>
    <xf numFmtId="0" fontId="2" fillId="0" borderId="0" xfId="9" applyAlignment="1">
      <alignment horizontal="center" vertical="center"/>
    </xf>
    <xf numFmtId="0" fontId="21" fillId="7" borderId="5" xfId="9" applyFont="1" applyFill="1" applyBorder="1" applyAlignment="1">
      <alignment horizontal="left" vertical="center" indent="1"/>
    </xf>
    <xf numFmtId="0" fontId="2" fillId="6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quotePrefix="1" applyFont="1" applyAlignment="1">
      <alignment horizontal="left" vertical="center"/>
    </xf>
    <xf numFmtId="17" fontId="11" fillId="0" borderId="0" xfId="0" quotePrefix="1" applyNumberFormat="1" applyFont="1" applyAlignment="1">
      <alignment vertical="center"/>
    </xf>
    <xf numFmtId="0" fontId="23" fillId="6" borderId="0" xfId="12" applyFont="1" applyFill="1" applyAlignment="1">
      <alignment vertical="center"/>
    </xf>
    <xf numFmtId="0" fontId="22" fillId="6" borderId="0" xfId="0" applyFont="1" applyFill="1"/>
    <xf numFmtId="0" fontId="24" fillId="6" borderId="0" xfId="0" applyFont="1" applyFill="1"/>
    <xf numFmtId="14" fontId="11" fillId="0" borderId="0" xfId="12" applyNumberFormat="1" applyFont="1" applyAlignment="1" applyProtection="1"/>
    <xf numFmtId="0" fontId="2" fillId="7" borderId="5" xfId="9" applyFill="1" applyBorder="1"/>
    <xf numFmtId="0" fontId="2" fillId="6" borderId="0" xfId="9" applyFill="1" applyAlignment="1">
      <alignment wrapText="1"/>
    </xf>
    <xf numFmtId="0" fontId="2" fillId="6" borderId="0" xfId="9" applyFill="1"/>
    <xf numFmtId="0" fontId="2" fillId="0" borderId="0" xfId="9"/>
    <xf numFmtId="0" fontId="25" fillId="0" borderId="0" xfId="0" applyFont="1"/>
    <xf numFmtId="0" fontId="22" fillId="0" borderId="0" xfId="0" applyFont="1" applyAlignment="1">
      <alignment horizontal="left" vertical="center" indent="1"/>
    </xf>
    <xf numFmtId="0" fontId="22" fillId="0" borderId="0" xfId="12" applyNumberFormat="1" applyFont="1" applyAlignment="1" applyProtection="1">
      <alignment horizontal="left" vertical="center" indent="1"/>
    </xf>
    <xf numFmtId="0" fontId="6" fillId="7" borderId="0" xfId="9" applyFont="1" applyFill="1" applyAlignment="1">
      <alignment vertical="center"/>
    </xf>
    <xf numFmtId="0" fontId="26" fillId="0" borderId="0" xfId="0" applyFont="1" applyAlignment="1">
      <alignment vertical="center"/>
    </xf>
    <xf numFmtId="0" fontId="26" fillId="7" borderId="1" xfId="9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164" fontId="26" fillId="0" borderId="1" xfId="0" applyNumberFormat="1" applyFont="1" applyBorder="1" applyAlignment="1">
      <alignment horizontal="center" vertical="center"/>
    </xf>
    <xf numFmtId="164" fontId="26" fillId="0" borderId="0" xfId="0" applyNumberFormat="1" applyFont="1" applyAlignment="1">
      <alignment vertical="center"/>
    </xf>
    <xf numFmtId="0" fontId="6" fillId="10" borderId="0" xfId="0" applyFont="1" applyFill="1" applyAlignment="1">
      <alignment vertical="center"/>
    </xf>
    <xf numFmtId="0" fontId="27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172" fontId="26" fillId="1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0" fontId="26" fillId="0" borderId="0" xfId="0" applyNumberFormat="1" applyFont="1" applyAlignment="1">
      <alignment horizontal="right" vertical="center"/>
    </xf>
    <xf numFmtId="10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10" fontId="26" fillId="0" borderId="0" xfId="0" applyNumberFormat="1" applyFont="1" applyAlignment="1">
      <alignment vertical="center"/>
    </xf>
    <xf numFmtId="0" fontId="26" fillId="0" borderId="0" xfId="0" applyFont="1" applyAlignment="1">
      <alignment horizontal="right" vertical="center"/>
    </xf>
    <xf numFmtId="169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66" fontId="26" fillId="0" borderId="0" xfId="1" applyFont="1" applyAlignment="1">
      <alignment vertical="center"/>
    </xf>
    <xf numFmtId="17" fontId="26" fillId="10" borderId="1" xfId="0" applyNumberFormat="1" applyFont="1" applyFill="1" applyBorder="1" applyAlignment="1">
      <alignment horizontal="left" vertical="center"/>
    </xf>
    <xf numFmtId="0" fontId="26" fillId="10" borderId="1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left" vertical="center"/>
    </xf>
    <xf numFmtId="0" fontId="28" fillId="10" borderId="0" xfId="0" applyFont="1" applyFill="1" applyAlignment="1">
      <alignment horizontal="left" vertical="center"/>
    </xf>
    <xf numFmtId="174" fontId="26" fillId="0" borderId="0" xfId="0" applyNumberFormat="1" applyFont="1" applyAlignment="1">
      <alignment horizontal="right"/>
    </xf>
    <xf numFmtId="174" fontId="11" fillId="0" borderId="0" xfId="15" applyNumberFormat="1" applyFont="1" applyFill="1" applyBorder="1" applyAlignment="1">
      <alignment horizontal="right"/>
    </xf>
    <xf numFmtId="0" fontId="26" fillId="0" borderId="0" xfId="0" applyFont="1"/>
    <xf numFmtId="175" fontId="26" fillId="0" borderId="0" xfId="2" applyNumberFormat="1" applyFont="1" applyFill="1"/>
    <xf numFmtId="0" fontId="26" fillId="0" borderId="1" xfId="0" applyFont="1" applyBorder="1" applyAlignment="1">
      <alignment horizontal="right" vertical="center"/>
    </xf>
    <xf numFmtId="37" fontId="26" fillId="0" borderId="1" xfId="0" applyNumberFormat="1" applyFont="1" applyBorder="1" applyAlignment="1">
      <alignment horizontal="center" vertical="center"/>
    </xf>
    <xf numFmtId="0" fontId="6" fillId="7" borderId="0" xfId="9" applyFont="1" applyFill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6" fillId="7" borderId="5" xfId="9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  <xf numFmtId="166" fontId="31" fillId="0" borderId="0" xfId="1" applyFont="1" applyAlignment="1">
      <alignment vertical="center"/>
    </xf>
    <xf numFmtId="0" fontId="30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6" fillId="2" borderId="1" xfId="1" applyFont="1" applyFill="1" applyBorder="1" applyAlignment="1">
      <alignment horizontal="left" vertical="center"/>
    </xf>
    <xf numFmtId="167" fontId="26" fillId="0" borderId="1" xfId="0" applyNumberFormat="1" applyFont="1" applyBorder="1" applyAlignment="1">
      <alignment horizontal="center" vertical="center"/>
    </xf>
    <xf numFmtId="167" fontId="26" fillId="5" borderId="1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6" fillId="5" borderId="1" xfId="0" applyFont="1" applyFill="1" applyBorder="1"/>
    <xf numFmtId="167" fontId="6" fillId="5" borderId="1" xfId="0" applyNumberFormat="1" applyFont="1" applyFill="1" applyBorder="1"/>
    <xf numFmtId="0" fontId="34" fillId="0" borderId="0" xfId="0" applyFont="1" applyAlignment="1">
      <alignment horizontal="left" indent="1"/>
    </xf>
    <xf numFmtId="0" fontId="33" fillId="0" borderId="0" xfId="0" applyFont="1"/>
    <xf numFmtId="0" fontId="34" fillId="0" borderId="0" xfId="0" applyFont="1" applyAlignment="1">
      <alignment horizontal="left" vertical="center"/>
    </xf>
    <xf numFmtId="168" fontId="26" fillId="0" borderId="1" xfId="1" applyNumberFormat="1" applyFont="1" applyBorder="1" applyAlignment="1">
      <alignment vertical="center"/>
    </xf>
    <xf numFmtId="168" fontId="6" fillId="5" borderId="1" xfId="1" applyNumberFormat="1" applyFont="1" applyFill="1" applyBorder="1" applyAlignment="1">
      <alignment vertical="center"/>
    </xf>
    <xf numFmtId="169" fontId="6" fillId="5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indent="1"/>
    </xf>
    <xf numFmtId="2" fontId="26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6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6" fillId="7" borderId="1" xfId="9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indent="2"/>
    </xf>
    <xf numFmtId="169" fontId="26" fillId="0" borderId="1" xfId="11" applyNumberFormat="1" applyFont="1" applyBorder="1" applyAlignment="1">
      <alignment horizontal="center" vertical="center"/>
    </xf>
    <xf numFmtId="169" fontId="26" fillId="0" borderId="0" xfId="0" applyNumberFormat="1" applyFont="1" applyAlignment="1">
      <alignment vertical="center"/>
    </xf>
    <xf numFmtId="0" fontId="11" fillId="0" borderId="1" xfId="0" applyFont="1" applyBorder="1" applyAlignment="1">
      <alignment horizontal="left" vertical="center" indent="1"/>
    </xf>
    <xf numFmtId="169" fontId="26" fillId="1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169" fontId="26" fillId="10" borderId="0" xfId="0" applyNumberFormat="1" applyFont="1" applyFill="1" applyAlignment="1">
      <alignment horizontal="center" vertical="center"/>
    </xf>
    <xf numFmtId="0" fontId="26" fillId="0" borderId="1" xfId="0" applyFont="1" applyBorder="1" applyAlignment="1">
      <alignment horizontal="left" vertical="center" indent="2"/>
    </xf>
    <xf numFmtId="3" fontId="26" fillId="0" borderId="1" xfId="2" applyNumberFormat="1" applyFont="1" applyBorder="1" applyAlignment="1">
      <alignment horizontal="center" vertical="center"/>
    </xf>
    <xf numFmtId="0" fontId="27" fillId="0" borderId="0" xfId="0" applyFont="1"/>
    <xf numFmtId="0" fontId="6" fillId="7" borderId="0" xfId="9" applyFont="1" applyFill="1" applyAlignment="1">
      <alignment horizontal="center"/>
    </xf>
    <xf numFmtId="0" fontId="6" fillId="7" borderId="0" xfId="9" applyFont="1" applyFill="1"/>
    <xf numFmtId="3" fontId="26" fillId="0" borderId="1" xfId="1" applyNumberFormat="1" applyFont="1" applyBorder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/>
    </xf>
    <xf numFmtId="166" fontId="26" fillId="0" borderId="0" xfId="0" applyNumberFormat="1" applyFont="1" applyAlignment="1">
      <alignment horizontal="center"/>
    </xf>
    <xf numFmtId="166" fontId="26" fillId="0" borderId="0" xfId="0" applyNumberFormat="1" applyFont="1"/>
    <xf numFmtId="171" fontId="26" fillId="0" borderId="0" xfId="0" applyNumberFormat="1" applyFont="1"/>
    <xf numFmtId="170" fontId="26" fillId="0" borderId="0" xfId="0" applyNumberFormat="1" applyFont="1"/>
    <xf numFmtId="0" fontId="37" fillId="10" borderId="0" xfId="9" applyFont="1" applyFill="1" applyAlignment="1">
      <alignment vertical="center"/>
    </xf>
    <xf numFmtId="169" fontId="26" fillId="0" borderId="0" xfId="0" applyNumberFormat="1" applyFont="1"/>
    <xf numFmtId="0" fontId="37" fillId="13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1" fillId="0" borderId="0" xfId="9" applyFont="1" applyAlignment="1" applyProtection="1">
      <alignment wrapText="1"/>
      <protection locked="0"/>
    </xf>
    <xf numFmtId="0" fontId="11" fillId="0" borderId="0" xfId="9" applyFont="1" applyProtection="1">
      <protection locked="0"/>
    </xf>
    <xf numFmtId="0" fontId="37" fillId="12" borderId="0" xfId="18" applyFont="1" applyFill="1" applyBorder="1" applyAlignment="1">
      <alignment horizontal="left" vertical="center"/>
    </xf>
    <xf numFmtId="4" fontId="19" fillId="0" borderId="4" xfId="19" applyNumberFormat="1" applyFont="1" applyBorder="1" applyAlignment="1">
      <alignment horizontal="center" wrapText="1"/>
    </xf>
    <xf numFmtId="177" fontId="41" fillId="14" borderId="7" xfId="20" applyNumberFormat="1" applyFont="1" applyBorder="1" applyAlignment="1">
      <alignment horizontal="center" vertical="center"/>
      <protection locked="0"/>
    </xf>
    <xf numFmtId="178" fontId="41" fillId="14" borderId="7" xfId="20" applyNumberFormat="1" applyFont="1" applyBorder="1" applyAlignment="1">
      <alignment horizontal="center" vertical="center"/>
      <protection locked="0"/>
    </xf>
    <xf numFmtId="10" fontId="41" fillId="14" borderId="7" xfId="11" applyNumberFormat="1" applyFont="1" applyFill="1" applyBorder="1" applyAlignment="1" applyProtection="1">
      <alignment horizontal="center" vertical="center"/>
      <protection locked="0"/>
    </xf>
    <xf numFmtId="179" fontId="41" fillId="14" borderId="7" xfId="11" applyNumberFormat="1" applyFont="1" applyFill="1" applyBorder="1" applyAlignment="1" applyProtection="1">
      <alignment horizontal="center" vertical="center"/>
      <protection locked="0"/>
    </xf>
    <xf numFmtId="168" fontId="26" fillId="5" borderId="1" xfId="1" applyNumberFormat="1" applyFont="1" applyFill="1" applyBorder="1" applyAlignment="1">
      <alignment vertical="center"/>
    </xf>
    <xf numFmtId="167" fontId="26" fillId="5" borderId="1" xfId="0" applyNumberFormat="1" applyFont="1" applyFill="1" applyBorder="1"/>
    <xf numFmtId="0" fontId="26" fillId="7" borderId="5" xfId="9" applyFont="1" applyFill="1" applyBorder="1" applyAlignment="1">
      <alignment vertical="center"/>
    </xf>
    <xf numFmtId="169" fontId="26" fillId="5" borderId="1" xfId="0" applyNumberFormat="1" applyFont="1" applyFill="1" applyBorder="1" applyAlignment="1">
      <alignment horizontal="center" vertical="center"/>
    </xf>
    <xf numFmtId="169" fontId="11" fillId="0" borderId="1" xfId="0" applyNumberFormat="1" applyFont="1" applyBorder="1" applyAlignment="1">
      <alignment horizontal="center" vertical="center"/>
    </xf>
    <xf numFmtId="169" fontId="33" fillId="0" borderId="1" xfId="0" applyNumberFormat="1" applyFont="1" applyBorder="1" applyAlignment="1">
      <alignment horizontal="center" vertical="center"/>
    </xf>
    <xf numFmtId="169" fontId="26" fillId="0" borderId="1" xfId="1" applyNumberFormat="1" applyFont="1" applyBorder="1" applyAlignment="1">
      <alignment vertical="center"/>
    </xf>
    <xf numFmtId="180" fontId="41" fillId="14" borderId="7" xfId="20" applyNumberFormat="1" applyFont="1" applyBorder="1" applyAlignment="1">
      <alignment horizontal="center" vertical="center"/>
      <protection locked="0"/>
    </xf>
    <xf numFmtId="0" fontId="41" fillId="14" borderId="7" xfId="11" applyNumberFormat="1" applyFont="1" applyFill="1" applyBorder="1" applyAlignment="1" applyProtection="1">
      <alignment horizontal="center" vertical="center"/>
      <protection locked="0"/>
    </xf>
    <xf numFmtId="0" fontId="26" fillId="0" borderId="0" xfId="21" applyFont="1"/>
    <xf numFmtId="0" fontId="44" fillId="12" borderId="0" xfId="18" applyFont="1" applyFill="1" applyBorder="1" applyAlignment="1">
      <alignment horizontal="left" vertical="center"/>
    </xf>
    <xf numFmtId="0" fontId="12" fillId="0" borderId="0" xfId="22" applyFont="1" applyAlignment="1">
      <alignment vertical="center"/>
    </xf>
    <xf numFmtId="0" fontId="12" fillId="0" borderId="0" xfId="23" applyFont="1" applyAlignment="1">
      <alignment vertical="center"/>
    </xf>
    <xf numFmtId="0" fontId="45" fillId="0" borderId="4" xfId="19" applyFont="1" applyBorder="1" applyAlignment="1">
      <alignment horizontal="left"/>
    </xf>
    <xf numFmtId="0" fontId="46" fillId="0" borderId="4" xfId="19" applyFont="1" applyBorder="1" applyAlignment="1">
      <alignment horizontal="center" vertical="center" wrapText="1"/>
    </xf>
    <xf numFmtId="0" fontId="46" fillId="0" borderId="1" xfId="19" applyFont="1" applyBorder="1" applyAlignment="1">
      <alignment horizontal="center" vertical="center" wrapText="1"/>
    </xf>
    <xf numFmtId="0" fontId="47" fillId="14" borderId="6" xfId="24" applyFont="1">
      <alignment horizontal="left" vertical="center"/>
      <protection locked="0"/>
    </xf>
    <xf numFmtId="3" fontId="47" fillId="14" borderId="7" xfId="20" applyNumberFormat="1" applyFont="1" applyBorder="1" applyAlignment="1">
      <alignment horizontal="center" vertical="center"/>
      <protection locked="0"/>
    </xf>
    <xf numFmtId="3" fontId="48" fillId="0" borderId="0" xfId="19" applyNumberFormat="1" applyFont="1" applyBorder="1" applyAlignment="1">
      <alignment horizontal="center" vertical="center"/>
    </xf>
    <xf numFmtId="10" fontId="26" fillId="10" borderId="1" xfId="11" applyNumberFormat="1" applyFont="1" applyFill="1" applyBorder="1" applyAlignment="1">
      <alignment horizontal="center" vertical="center"/>
    </xf>
    <xf numFmtId="179" fontId="19" fillId="0" borderId="8" xfId="15" applyNumberFormat="1" applyFont="1" applyFill="1" applyBorder="1" applyProtection="1"/>
    <xf numFmtId="181" fontId="26" fillId="0" borderId="1" xfId="11" applyNumberFormat="1" applyFont="1" applyBorder="1" applyAlignment="1">
      <alignment horizontal="center" vertical="center"/>
    </xf>
    <xf numFmtId="4" fontId="19" fillId="0" borderId="4" xfId="19" quotePrefix="1" applyNumberFormat="1" applyFont="1" applyBorder="1" applyAlignment="1">
      <alignment horizontal="center" wrapText="1"/>
    </xf>
    <xf numFmtId="0" fontId="47" fillId="14" borderId="9" xfId="24" applyFont="1" applyBorder="1" applyAlignment="1">
      <alignment horizontal="center" vertical="center" wrapText="1"/>
      <protection locked="0"/>
    </xf>
  </cellXfs>
  <cellStyles count="25">
    <cellStyle name="Accent1" xfId="18" builtinId="29"/>
    <cellStyle name="Comma" xfId="1" builtinId="3"/>
    <cellStyle name="Comma 2" xfId="3" xr:uid="{00000000-0005-0000-0000-000002000000}"/>
    <cellStyle name="Comma 2 2" xfId="14" xr:uid="{A62E1EA3-D681-47C9-BB06-520808197D59}"/>
    <cellStyle name="Comma 3" xfId="5" xr:uid="{00000000-0005-0000-0000-000003000000}"/>
    <cellStyle name="Comma 4" xfId="17" xr:uid="{ABBA96B8-F2EC-4EE9-B975-7A7B9A95F4A9}"/>
    <cellStyle name="Comma 81" xfId="16" xr:uid="{718DF1FF-E755-431E-B842-A3271CCB78C3}"/>
    <cellStyle name="Currency" xfId="2" builtinId="4"/>
    <cellStyle name="Currency 2" xfId="4" xr:uid="{00000000-0005-0000-0000-000005000000}"/>
    <cellStyle name="Currency 3" xfId="6" xr:uid="{00000000-0005-0000-0000-000006000000}"/>
    <cellStyle name="Currency 4" xfId="13" xr:uid="{9C62F3F8-8686-4759-BF8F-68C168C9DD84}"/>
    <cellStyle name="dms_1" xfId="7" xr:uid="{00000000-0005-0000-0000-000007000000}"/>
    <cellStyle name="Heading 3 Output" xfId="19" xr:uid="{C795EC3A-1A5C-4F7B-BCE2-649EC05005B5}"/>
    <cellStyle name="Heading 4 Assumptions" xfId="24" xr:uid="{CB8C4324-A05D-4956-987F-9C7977C77CBC}"/>
    <cellStyle name="Heading 4 Assumptions 2" xfId="20" xr:uid="{830AD566-F633-41E2-8ABD-B9233B4EF1AF}"/>
    <cellStyle name="Hyperlink" xfId="12" builtinId="8"/>
    <cellStyle name="Hyperlink 2" xfId="10" xr:uid="{00000000-0005-0000-0000-000009000000}"/>
    <cellStyle name="Normal" xfId="0" builtinId="0"/>
    <cellStyle name="Normal 11 6" xfId="23" xr:uid="{7CD97E2C-C855-4277-B493-3CDA6FD50A40}"/>
    <cellStyle name="Normal 123 2" xfId="22" xr:uid="{32BD6C72-23D4-4567-94DA-C21F3F145FAB}"/>
    <cellStyle name="Normal 146" xfId="21" xr:uid="{82F3EAC5-2410-49E5-B80F-6AFD696BA720}"/>
    <cellStyle name="Normal 2" xfId="9" xr:uid="{00000000-0005-0000-0000-00000B000000}"/>
    <cellStyle name="Percent" xfId="11" builtinId="5"/>
    <cellStyle name="Percent 2" xfId="15" xr:uid="{1A0322E6-0478-4101-AFA6-7E9703E2AD34}"/>
    <cellStyle name="RIN_TB2" xfId="8" xr:uid="{00000000-0005-0000-0000-00000D000000}"/>
  </cellStyles>
  <dxfs count="0"/>
  <tableStyles count="0" defaultTableStyle="TableStyleMedium2" defaultPivotStyle="PivotStyleLight16"/>
  <colors>
    <mruColors>
      <color rgb="FFFF00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22414</xdr:colOff>
      <xdr:row>5</xdr:row>
      <xdr:rowOff>145677</xdr:rowOff>
    </xdr:from>
    <xdr:to>
      <xdr:col>6</xdr:col>
      <xdr:colOff>65154</xdr:colOff>
      <xdr:row>9</xdr:row>
      <xdr:rowOff>33618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DD9A3E-11DA-4213-874F-580BE3D6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49" y="1568824"/>
          <a:ext cx="2586476" cy="119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17</xdr:col>
      <xdr:colOff>488397</xdr:colOff>
      <xdr:row>45</xdr:row>
      <xdr:rowOff>30025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CEBC21-ADC5-494B-AC8C-5E0FD4339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9596" y="439615"/>
          <a:ext cx="4137206" cy="6471368"/>
        </a:xfrm>
        <a:prstGeom prst="rect">
          <a:avLst/>
        </a:prstGeom>
      </xdr:spPr>
    </xdr:pic>
    <xdr:clientData/>
  </xdr:twoCellAnchor>
  <xdr:twoCellAnchor editAs="oneCell">
    <xdr:from>
      <xdr:col>17</xdr:col>
      <xdr:colOff>542925</xdr:colOff>
      <xdr:row>2</xdr:row>
      <xdr:rowOff>123825</xdr:rowOff>
    </xdr:from>
    <xdr:to>
      <xdr:col>24</xdr:col>
      <xdr:colOff>525814</xdr:colOff>
      <xdr:row>48</xdr:row>
      <xdr:rowOff>96388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7B7605-7FDF-469C-8A7B-F8495EF54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44775" y="409575"/>
          <a:ext cx="4243739" cy="68305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1236036</xdr:colOff>
      <xdr:row>0</xdr:row>
      <xdr:rowOff>63690</xdr:rowOff>
    </xdr:from>
    <xdr:to>
      <xdr:col>13</xdr:col>
      <xdr:colOff>307590</xdr:colOff>
      <xdr:row>38</xdr:row>
      <xdr:rowOff>12206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4A697-0F48-34F1-C1BA-2BD7F90D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4971" y="63690"/>
          <a:ext cx="3990292" cy="54735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nergyqonline.sharepoint.com/sites/AER2025Finance/Shared%20Documents/Revised%20Regulatory%20Proposal/RRP%2006.11.24%20AER%20Templates/ERG%20PTRMs/ERG%20PTRM%20RRP%2006.11.24%20SMOOTHED%20w%20JS%20SOLAR.xlsm" TargetMode="External"/><Relationship Id="rId1" Type="http://schemas.openxmlformats.org/officeDocument/2006/relationships/externalLinkPath" Target="/sites/AER2025Finance/Shared%20Documents/Revised%20Regulatory%20Proposal/RRP%2006.11.24%20AER%20Templates/ERG%20PTRMs/ERG%20PTRM%20RRP%2006.11.24%20SMOOTHED%20w%20JS%20SOL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ER NRs"/>
      <sheetName val="AER lookups"/>
      <sheetName val="AER ETL"/>
      <sheetName val="Business &amp; other details"/>
      <sheetName val="Intro"/>
      <sheetName val="Debt Raising Costs"/>
      <sheetName val="DMS input"/>
      <sheetName val="AER Amendments"/>
      <sheetName val="PTRM input"/>
      <sheetName val="WACC"/>
      <sheetName val="Assets"/>
      <sheetName val="Analysis"/>
      <sheetName val="Forecast revenues"/>
      <sheetName val="X factors"/>
      <sheetName val="Revenue summary"/>
      <sheetName val="DMIAM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4">
          <cell r="G44">
            <v>1455.2705221769475</v>
          </cell>
          <cell r="H44">
            <v>1512.4663029348628</v>
          </cell>
          <cell r="I44">
            <v>1574.4456595628308</v>
          </cell>
          <cell r="J44">
            <v>1678.2527980119571</v>
          </cell>
          <cell r="K44">
            <v>1741.5663410069837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B215-1727-4D99-95E3-812EBC62DFF7}">
  <dimension ref="A1:AJ32"/>
  <sheetViews>
    <sheetView showGridLines="0" zoomScale="85" zoomScaleNormal="85" workbookViewId="0">
      <selection activeCell="S3" sqref="S3"/>
    </sheetView>
  </sheetViews>
  <sheetFormatPr defaultColWidth="8.7109375" defaultRowHeight="15"/>
  <cols>
    <col min="1" max="4" width="9.28515625" customWidth="1"/>
    <col min="5" max="5" width="11.28515625" customWidth="1"/>
    <col min="8" max="8" width="7.28515625" customWidth="1"/>
    <col min="13" max="13" width="10.5703125" bestFit="1" customWidth="1"/>
  </cols>
  <sheetData>
    <row r="1" spans="1:36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36" ht="46.5">
      <c r="C2" s="11"/>
      <c r="D2" s="11"/>
      <c r="E2" s="11"/>
      <c r="F2" s="11"/>
      <c r="G2" s="11"/>
      <c r="H2" s="11"/>
      <c r="I2" s="11"/>
      <c r="J2" s="27" t="s">
        <v>0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36" ht="20.25">
      <c r="C3" s="11"/>
      <c r="D3" s="11"/>
      <c r="E3" s="11"/>
      <c r="F3" s="11"/>
      <c r="G3" s="11"/>
      <c r="H3" s="11"/>
      <c r="I3" s="11"/>
      <c r="J3" s="28" t="s">
        <v>1</v>
      </c>
      <c r="K3" s="11"/>
      <c r="L3" s="11"/>
      <c r="M3" s="11"/>
      <c r="N3" s="11"/>
      <c r="O3" s="11"/>
      <c r="P3" s="11"/>
      <c r="Q3" s="11"/>
      <c r="R3" s="11"/>
      <c r="S3" s="28" t="s">
        <v>2</v>
      </c>
      <c r="T3" s="11"/>
      <c r="U3" s="28" t="s">
        <v>3</v>
      </c>
      <c r="V3" s="11"/>
      <c r="W3" s="11"/>
      <c r="X3" s="11"/>
      <c r="Y3" s="11"/>
      <c r="Z3" s="11"/>
      <c r="AA3" s="11"/>
    </row>
    <row r="4" spans="1:36"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36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8" spans="1:36" ht="52.5">
      <c r="I8" s="6"/>
      <c r="J8" s="7"/>
    </row>
    <row r="9" spans="1:36" ht="20.25">
      <c r="L9" s="8"/>
      <c r="M9" s="9"/>
    </row>
    <row r="11" spans="1:36" ht="44.25">
      <c r="A11" s="1"/>
      <c r="B11" s="1"/>
      <c r="C11" s="1"/>
      <c r="E11" s="2"/>
      <c r="F11" s="3"/>
      <c r="H11" s="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36" s="5" customFormat="1" ht="12.75">
      <c r="A12" s="2"/>
      <c r="B12" s="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36" s="5" customFormat="1" ht="13.5" customHeight="1">
      <c r="A13" s="2"/>
      <c r="B13" s="2"/>
      <c r="C13" s="2"/>
      <c r="D13" s="18"/>
      <c r="E13" s="19"/>
      <c r="F13" s="19"/>
      <c r="G13" s="20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36" s="49" customFormat="1" ht="18" customHeight="1">
      <c r="A14" s="2"/>
      <c r="B14" s="2"/>
      <c r="C14" s="50" t="s">
        <v>4</v>
      </c>
      <c r="D14" s="43"/>
      <c r="E14" s="43"/>
      <c r="F14" s="43"/>
      <c r="G14" s="43"/>
      <c r="H14" s="43"/>
      <c r="I14" s="43"/>
      <c r="J14" s="43"/>
      <c r="K14" s="43"/>
      <c r="L14" s="44"/>
      <c r="M14" s="44"/>
      <c r="N14" s="44"/>
      <c r="O14" s="44"/>
      <c r="P14" s="45"/>
      <c r="Q14" s="46"/>
      <c r="R14" s="45"/>
      <c r="S14" s="46"/>
      <c r="T14" s="45"/>
      <c r="U14" s="45"/>
      <c r="V14" s="45"/>
      <c r="W14" s="45"/>
      <c r="X14" s="45"/>
      <c r="Y14" s="45"/>
      <c r="Z14" s="45"/>
      <c r="AA14" s="45"/>
      <c r="AB14" s="5"/>
      <c r="AC14" s="5"/>
      <c r="AD14" s="47"/>
      <c r="AE14" s="47"/>
      <c r="AF14" s="47"/>
      <c r="AG14" s="47"/>
      <c r="AH14" s="47"/>
      <c r="AI14" s="48"/>
      <c r="AJ14" s="48"/>
    </row>
    <row r="15" spans="1:36" s="5" customFormat="1" ht="12.75">
      <c r="A15" s="2"/>
      <c r="B15" s="2"/>
      <c r="C15" s="2"/>
      <c r="D15" s="22"/>
      <c r="E15" s="23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36" s="5" customFormat="1">
      <c r="A16" s="2"/>
      <c r="B16" s="2"/>
      <c r="C16" s="59"/>
      <c r="D16" s="21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3" s="54" customFormat="1" ht="23.25" customHeight="1">
      <c r="A17" s="51"/>
      <c r="B17" s="51"/>
      <c r="C17" s="58" t="s">
        <v>5</v>
      </c>
      <c r="D17" s="52"/>
      <c r="E17" s="53"/>
      <c r="F17" s="53"/>
      <c r="G17" s="53"/>
      <c r="H17" s="67" t="s">
        <v>6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</row>
    <row r="18" spans="1:23" s="54" customFormat="1" ht="23.25" customHeight="1">
      <c r="A18" s="51"/>
      <c r="B18" s="51"/>
      <c r="C18" s="58" t="s">
        <v>7</v>
      </c>
      <c r="D18" s="52"/>
      <c r="E18" s="55"/>
      <c r="F18" s="53"/>
      <c r="G18" s="53"/>
      <c r="H18" s="67" t="s">
        <v>8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</row>
    <row r="19" spans="1:23" s="54" customFormat="1" ht="23.25" customHeight="1">
      <c r="A19" s="51"/>
      <c r="B19" s="51"/>
      <c r="C19" s="58" t="s">
        <v>9</v>
      </c>
      <c r="D19" s="56"/>
      <c r="E19" s="57"/>
      <c r="F19" s="53"/>
      <c r="G19" s="53"/>
      <c r="H19" s="67" t="s">
        <v>10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</row>
    <row r="20" spans="1:23" s="54" customFormat="1" ht="23.25" customHeight="1">
      <c r="A20" s="51"/>
      <c r="B20" s="51"/>
      <c r="C20" s="58" t="s">
        <v>11</v>
      </c>
      <c r="D20" s="52"/>
      <c r="E20" s="53"/>
      <c r="F20" s="53"/>
      <c r="G20" s="53"/>
      <c r="H20" s="67" t="s">
        <v>12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1:23" s="54" customFormat="1" ht="23.25" customHeight="1">
      <c r="A21" s="51"/>
      <c r="B21" s="51"/>
      <c r="C21" s="58" t="s">
        <v>13</v>
      </c>
      <c r="D21" s="52"/>
      <c r="E21" s="53"/>
      <c r="F21" s="53"/>
      <c r="G21" s="53"/>
      <c r="H21" s="68" t="s">
        <v>14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3" s="5" customFormat="1">
      <c r="A22" s="2"/>
      <c r="B22" s="2"/>
      <c r="C22" s="59"/>
      <c r="D22" s="21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3" s="5" customFormat="1">
      <c r="A23" s="2"/>
      <c r="B23" s="2"/>
      <c r="C23" s="59"/>
      <c r="D23" s="16"/>
      <c r="E23" s="16"/>
      <c r="F23" s="16"/>
      <c r="G23" s="1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5"/>
      <c r="V23" s="15"/>
    </row>
    <row r="24" spans="1:23" ht="15.75">
      <c r="A24" s="1"/>
      <c r="B24" s="1"/>
      <c r="C24" s="60"/>
      <c r="D24" s="16"/>
      <c r="E24" s="16"/>
      <c r="F24" s="16"/>
      <c r="G24" s="1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3" ht="15.75">
      <c r="A25" s="1"/>
      <c r="B25" s="1"/>
      <c r="C25" s="60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3">
      <c r="A26" s="1"/>
      <c r="B26" s="1"/>
      <c r="C26" s="1"/>
      <c r="D26" s="22"/>
      <c r="E26" s="25"/>
      <c r="F26" s="15"/>
      <c r="G26" s="15"/>
      <c r="H26" s="15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3">
      <c r="A27" s="1"/>
      <c r="B27" s="1"/>
      <c r="C27" s="1"/>
      <c r="D27" s="21"/>
      <c r="E27" s="15"/>
      <c r="F27" s="15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3">
      <c r="A28" s="1"/>
      <c r="B28" s="1"/>
      <c r="C28" s="1"/>
      <c r="D28" s="21"/>
      <c r="E28" s="15"/>
      <c r="F28" s="15"/>
      <c r="G28" s="15"/>
      <c r="H28" s="15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26"/>
      <c r="T28" s="26"/>
      <c r="U28" s="26"/>
      <c r="V28" s="26"/>
      <c r="W28" s="1"/>
    </row>
    <row r="29" spans="1:23"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3">
      <c r="D30" s="22"/>
      <c r="E30" s="25"/>
      <c r="F30" s="15"/>
      <c r="G30" s="15"/>
      <c r="H30" s="15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3">
      <c r="D31" s="14"/>
      <c r="E31" s="5"/>
      <c r="F31" s="5"/>
      <c r="G31" s="5"/>
      <c r="H31" s="5"/>
    </row>
    <row r="32" spans="1:23">
      <c r="D32" s="14"/>
      <c r="E32" s="5"/>
      <c r="F32" s="5"/>
      <c r="G32" s="5"/>
      <c r="H32" s="5"/>
    </row>
  </sheetData>
  <hyperlinks>
    <hyperlink ref="C17" location="'Output | Decision tables'!A1" display="Output | Decision tables" xr:uid="{672C25E1-6E75-4E0B-A85C-CCDAB0223800}"/>
    <hyperlink ref="C18" location="'STPIS inputs'!A1" display="STPIS inputs" xr:uid="{B177C3D9-5880-494B-9D4C-F58BF4285284}"/>
    <hyperlink ref="C19" location="'Annual performance and targets'!A1" display="Annual performance and targets" xr:uid="{E5D20C0B-C496-463C-9A36-A7E8C9693B62}"/>
    <hyperlink ref="C20" location="'Incentive rates calc'!A1" display="Incentive rates calculations" xr:uid="{15870546-0A90-4BB3-906E-574CEE21D747}"/>
    <hyperlink ref="C21" location="'Change log'!A1" display="Change log" xr:uid="{530A2456-6366-4588-B183-273E9DE0E297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66ED-6B37-4FA9-B94A-9EFEBC037457}">
  <sheetPr>
    <tabColor theme="5" tint="-0.249977111117893"/>
  </sheetPr>
  <dimension ref="B1:K29"/>
  <sheetViews>
    <sheetView showGridLines="0" tabSelected="1" topLeftCell="A3" zoomScale="145" zoomScaleNormal="145" workbookViewId="0">
      <selection activeCell="E23" sqref="E23"/>
    </sheetView>
  </sheetViews>
  <sheetFormatPr defaultColWidth="9.28515625" defaultRowHeight="11.25"/>
  <cols>
    <col min="1" max="1" width="9.28515625" style="94"/>
    <col min="2" max="2" width="52.5703125" style="94" customWidth="1"/>
    <col min="3" max="3" width="24.5703125" style="125" bestFit="1" customWidth="1"/>
    <col min="4" max="6" width="18.42578125" style="94" customWidth="1"/>
    <col min="7" max="7" width="13.5703125" style="94" customWidth="1"/>
    <col min="8" max="8" width="13.42578125" style="94" customWidth="1"/>
    <col min="9" max="10" width="9.5703125" style="94" bestFit="1" customWidth="1"/>
    <col min="11" max="12" width="12.42578125" style="94" bestFit="1" customWidth="1"/>
    <col min="13" max="16384" width="9.28515625" style="94"/>
  </cols>
  <sheetData>
    <row r="1" spans="2:11" ht="12.4" customHeight="1"/>
    <row r="2" spans="2:11" ht="12.4" customHeight="1">
      <c r="B2" s="69" t="s">
        <v>15</v>
      </c>
      <c r="C2" s="69"/>
      <c r="D2" s="69"/>
      <c r="E2" s="69"/>
      <c r="F2" s="69"/>
    </row>
    <row r="3" spans="2:11" ht="12.4" customHeight="1"/>
    <row r="4" spans="2:11" s="70" customFormat="1" ht="12.4" customHeight="1">
      <c r="B4" s="121" t="s">
        <v>16</v>
      </c>
      <c r="C4" s="110" t="s">
        <v>17</v>
      </c>
    </row>
    <row r="5" spans="2:11" s="70" customFormat="1" ht="12.4" customHeight="1">
      <c r="B5" s="121" t="s">
        <v>18</v>
      </c>
      <c r="C5" s="122">
        <v>2.5</v>
      </c>
      <c r="D5" s="81" t="s">
        <v>19</v>
      </c>
    </row>
    <row r="6" spans="2:11" s="70" customFormat="1" ht="12.4" customHeight="1">
      <c r="B6" s="121" t="s">
        <v>20</v>
      </c>
      <c r="C6" s="123"/>
      <c r="D6" s="123" t="s">
        <v>21</v>
      </c>
      <c r="E6" s="123" t="s">
        <v>22</v>
      </c>
      <c r="F6" s="123" t="s">
        <v>23</v>
      </c>
    </row>
    <row r="7" spans="2:11" s="70" customFormat="1" ht="12.4" customHeight="1">
      <c r="B7" s="121" t="s">
        <v>24</v>
      </c>
      <c r="C7" s="123" t="s">
        <v>25</v>
      </c>
    </row>
    <row r="8" spans="2:11" ht="12.4" customHeight="1">
      <c r="B8" s="124"/>
    </row>
    <row r="9" spans="2:11" s="70" customFormat="1" ht="12.4" customHeight="1">
      <c r="B9" s="69" t="s">
        <v>26</v>
      </c>
      <c r="C9" s="69"/>
      <c r="D9" s="69"/>
      <c r="E9" s="69"/>
      <c r="F9" s="69"/>
    </row>
    <row r="10" spans="2:11" ht="12.4" customHeight="1"/>
    <row r="11" spans="2:11" s="126" customFormat="1" ht="12.4" customHeight="1">
      <c r="B11" s="126" t="s">
        <v>135</v>
      </c>
      <c r="C11" s="127"/>
    </row>
    <row r="12" spans="2:11" s="70" customFormat="1" ht="12.4" customHeight="1">
      <c r="B12" s="128" t="s">
        <v>27</v>
      </c>
      <c r="C12" s="71"/>
      <c r="D12" s="71" t="s">
        <v>21</v>
      </c>
      <c r="E12" s="71" t="s">
        <v>28</v>
      </c>
      <c r="F12" s="71" t="s">
        <v>23</v>
      </c>
    </row>
    <row r="13" spans="2:11" s="70" customFormat="1" ht="12.4" customHeight="1">
      <c r="B13" s="132" t="s">
        <v>29</v>
      </c>
      <c r="C13" s="133"/>
      <c r="D13" s="133">
        <f>'Annual performance and targets'!$R$42</f>
        <v>122.09502269741736</v>
      </c>
      <c r="E13" s="133">
        <f>'Annual performance and targets'!$R$43</f>
        <v>280.02544680425819</v>
      </c>
      <c r="F13" s="133">
        <f>'Annual performance and targets'!$R$44</f>
        <v>789.39800995457006</v>
      </c>
      <c r="H13" s="131"/>
      <c r="I13" s="131"/>
      <c r="J13" s="131"/>
      <c r="K13" s="131"/>
    </row>
    <row r="14" spans="2:11" s="70" customFormat="1" ht="12.4" customHeight="1">
      <c r="B14" s="132" t="s">
        <v>30</v>
      </c>
      <c r="C14" s="133"/>
      <c r="D14" s="133">
        <f>'Annual performance and targets'!$I$42</f>
        <v>1.2168743937717283</v>
      </c>
      <c r="E14" s="133">
        <f>'Annual performance and targets'!$I$43</f>
        <v>2.353835861801401</v>
      </c>
      <c r="F14" s="133">
        <f>'Annual performance and targets'!$I$44</f>
        <v>4.5277473082171955</v>
      </c>
      <c r="H14" s="131"/>
      <c r="I14" s="131"/>
      <c r="J14" s="131"/>
    </row>
    <row r="15" spans="2:11" ht="12.4" customHeight="1"/>
    <row r="16" spans="2:11" s="126" customFormat="1" ht="12.4" customHeight="1">
      <c r="B16" s="126" t="s">
        <v>136</v>
      </c>
      <c r="C16" s="127"/>
    </row>
    <row r="17" spans="2:6" s="70" customFormat="1" ht="12.4" customHeight="1">
      <c r="B17" s="128" t="s">
        <v>27</v>
      </c>
      <c r="C17" s="71"/>
      <c r="D17" s="71" t="s">
        <v>21</v>
      </c>
      <c r="E17" s="71" t="s">
        <v>28</v>
      </c>
      <c r="F17" s="71" t="s">
        <v>23</v>
      </c>
    </row>
    <row r="18" spans="2:6" s="70" customFormat="1" ht="12.4" customHeight="1">
      <c r="B18" s="129" t="s">
        <v>31</v>
      </c>
      <c r="C18" s="130"/>
      <c r="D18" s="180">
        <f>'Incentive rates calc'!$D$12</f>
        <v>1.9025207903825305E-2</v>
      </c>
      <c r="E18" s="180">
        <f>'Incentive rates calc'!$E$12</f>
        <v>2.4819018107433533E-2</v>
      </c>
      <c r="F18" s="180">
        <f>'Incentive rates calc'!$F$12</f>
        <v>5.0096603372794266E-3</v>
      </c>
    </row>
    <row r="19" spans="2:6" s="70" customFormat="1" ht="12.4" customHeight="1">
      <c r="B19" s="129" t="s">
        <v>32</v>
      </c>
      <c r="C19" s="130"/>
      <c r="D19" s="180">
        <f>'Incentive rates calc'!$D$13</f>
        <v>1.2725954312292433</v>
      </c>
      <c r="E19" s="180">
        <f>'Incentive rates calc'!$E$13</f>
        <v>1.9684059106988081</v>
      </c>
      <c r="F19" s="180">
        <f>'Incentive rates calc'!$F$13</f>
        <v>0.58227865228840159</v>
      </c>
    </row>
    <row r="20" spans="2:6" s="70" customFormat="1" ht="12.4" customHeight="1">
      <c r="B20" s="134"/>
      <c r="C20" s="135"/>
      <c r="D20" s="135"/>
      <c r="E20" s="135"/>
      <c r="F20" s="135"/>
    </row>
    <row r="21" spans="2:6" s="70" customFormat="1" ht="12.4" customHeight="1">
      <c r="B21" s="126" t="s">
        <v>33</v>
      </c>
      <c r="C21" s="127"/>
      <c r="D21" s="126"/>
      <c r="E21" s="126"/>
      <c r="F21" s="126"/>
    </row>
    <row r="22" spans="2:6" s="70" customFormat="1" ht="12.4" customHeight="1">
      <c r="B22" s="128"/>
      <c r="C22" s="71"/>
      <c r="D22" s="71" t="s">
        <v>34</v>
      </c>
      <c r="E22" s="71" t="s">
        <v>35</v>
      </c>
      <c r="F22" s="71"/>
    </row>
    <row r="23" spans="2:6" s="70" customFormat="1" ht="12.4" customHeight="1">
      <c r="B23" s="136" t="s">
        <v>36</v>
      </c>
      <c r="C23" s="137"/>
      <c r="D23" s="133">
        <v>-0.04</v>
      </c>
      <c r="E23" s="178">
        <f>'Annual performance and targets'!I8</f>
        <v>0.85755907425555566</v>
      </c>
      <c r="F23" s="137"/>
    </row>
    <row r="24" spans="2:6" s="70" customFormat="1" ht="12.4" customHeight="1">
      <c r="C24" s="86"/>
    </row>
    <row r="25" spans="2:6" s="126" customFormat="1" ht="12.4" customHeight="1">
      <c r="B25" s="126" t="s">
        <v>37</v>
      </c>
      <c r="C25" s="127"/>
    </row>
    <row r="26" spans="2:6" s="70" customFormat="1" ht="12.4" customHeight="1">
      <c r="B26" s="128"/>
      <c r="C26" s="71"/>
      <c r="D26" s="71" t="s">
        <v>21</v>
      </c>
      <c r="E26" s="71" t="s">
        <v>28</v>
      </c>
      <c r="F26" s="71" t="s">
        <v>23</v>
      </c>
    </row>
    <row r="27" spans="2:6" s="70" customFormat="1" ht="12.4" customHeight="1">
      <c r="B27" s="136" t="s">
        <v>38</v>
      </c>
      <c r="C27" s="137"/>
      <c r="D27" s="137">
        <f>'STPIS inputs'!D9*(1+'Incentive rates calc'!D11)</f>
        <v>50158.908145580586</v>
      </c>
      <c r="E27" s="137">
        <f>'STPIS inputs'!E9*(1+'Incentive rates calc'!E11)</f>
        <v>50158.908145580586</v>
      </c>
      <c r="F27" s="137">
        <f>'STPIS inputs'!F9*(1+'Incentive rates calc'!F11)</f>
        <v>50158.908145580586</v>
      </c>
    </row>
    <row r="29" spans="2:6">
      <c r="B29" s="13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A40C-20A3-41B6-BBD9-EB70B5ADD831}">
  <dimension ref="B1:J18"/>
  <sheetViews>
    <sheetView showGridLines="0" topLeftCell="C1" zoomScale="115" zoomScaleNormal="115" workbookViewId="0">
      <selection activeCell="C5" sqref="C5"/>
    </sheetView>
  </sheetViews>
  <sheetFormatPr defaultColWidth="9.28515625" defaultRowHeight="11.25"/>
  <cols>
    <col min="1" max="1" width="5.42578125" style="94" customWidth="1"/>
    <col min="2" max="2" width="44.28515625" style="94" customWidth="1"/>
    <col min="3" max="8" width="20.7109375" style="94" customWidth="1"/>
    <col min="9" max="16384" width="9.28515625" style="94"/>
  </cols>
  <sheetData>
    <row r="1" spans="2:10" ht="14.65" customHeight="1"/>
    <row r="2" spans="2:10" s="70" customFormat="1" ht="14.65" customHeight="1">
      <c r="B2" s="69" t="s">
        <v>39</v>
      </c>
      <c r="C2" s="147"/>
      <c r="D2" s="147"/>
      <c r="E2" s="147"/>
      <c r="F2" s="147"/>
      <c r="G2" s="147"/>
      <c r="H2" s="147"/>
    </row>
    <row r="3" spans="2:10" s="70" customFormat="1" ht="14.65" customHeight="1">
      <c r="C3" s="71" t="s">
        <v>40</v>
      </c>
      <c r="D3" s="71" t="s">
        <v>41</v>
      </c>
      <c r="E3" s="71" t="s">
        <v>42</v>
      </c>
      <c r="F3" s="71" t="s">
        <v>43</v>
      </c>
      <c r="G3" s="71" t="s">
        <v>44</v>
      </c>
      <c r="H3" s="71" t="s">
        <v>45</v>
      </c>
    </row>
    <row r="4" spans="2:10" s="70" customFormat="1" ht="14.65" customHeight="1">
      <c r="B4" s="72" t="s">
        <v>46</v>
      </c>
      <c r="C4" s="73">
        <f>AVERAGE(D4:H4)</f>
        <v>1592400324.7387164</v>
      </c>
      <c r="D4" s="73">
        <f>'[1]Revenue summary'!G44*1000000</f>
        <v>1455270522.1769474</v>
      </c>
      <c r="E4" s="73">
        <f>'[1]Revenue summary'!H44*1000000</f>
        <v>1512466302.9348629</v>
      </c>
      <c r="F4" s="73">
        <f>'[1]Revenue summary'!I44*1000000</f>
        <v>1574445659.5628307</v>
      </c>
      <c r="G4" s="73">
        <f>'[1]Revenue summary'!J44*1000000</f>
        <v>1678252798.0119572</v>
      </c>
      <c r="H4" s="73">
        <f>'[1]Revenue summary'!K44*1000000</f>
        <v>1741566341.0069838</v>
      </c>
      <c r="J4" s="74"/>
    </row>
    <row r="5" spans="2:10" s="77" customFormat="1" ht="14.65" customHeight="1">
      <c r="B5" s="75"/>
      <c r="C5" s="76"/>
      <c r="H5" s="78"/>
    </row>
    <row r="6" spans="2:10" s="70" customFormat="1" ht="14.65" customHeight="1">
      <c r="B6" s="79"/>
      <c r="C6" s="80"/>
      <c r="D6" s="71" t="s">
        <v>21</v>
      </c>
      <c r="E6" s="71" t="s">
        <v>28</v>
      </c>
      <c r="F6" s="71" t="s">
        <v>23</v>
      </c>
    </row>
    <row r="7" spans="2:10" s="70" customFormat="1" ht="14.65" customHeight="1">
      <c r="B7" s="72" t="str">
        <f>'Incentive rates calc'!B6</f>
        <v>Average annual energy consumption by network type (MWh)</v>
      </c>
      <c r="C7" s="81"/>
      <c r="D7" s="82">
        <f>'Cap adjustment'!I37</f>
        <v>5294623.2316800598</v>
      </c>
      <c r="E7" s="82">
        <f>'Cap adjustment'!I38</f>
        <v>6907012.5553100659</v>
      </c>
      <c r="F7" s="82">
        <f>'Cap adjustment'!I39</f>
        <v>1394164.2130098729</v>
      </c>
    </row>
    <row r="8" spans="2:10" s="70" customFormat="1" ht="14.65" customHeight="1">
      <c r="B8" s="83"/>
      <c r="C8" s="83"/>
      <c r="D8" s="84"/>
      <c r="E8" s="84"/>
      <c r="F8" s="84"/>
    </row>
    <row r="9" spans="2:10" s="70" customFormat="1" ht="14.65" customHeight="1">
      <c r="B9" s="72" t="s">
        <v>47</v>
      </c>
      <c r="C9" s="96"/>
      <c r="D9" s="97">
        <v>40030</v>
      </c>
      <c r="E9" s="97">
        <v>40030</v>
      </c>
      <c r="F9" s="97">
        <v>40030</v>
      </c>
      <c r="G9" s="91" t="s">
        <v>48</v>
      </c>
      <c r="H9" s="91"/>
      <c r="I9" s="91"/>
      <c r="J9" s="91"/>
    </row>
    <row r="10" spans="2:10" s="70" customFormat="1" ht="14.65" customHeight="1"/>
    <row r="11" spans="2:10" s="70" customFormat="1" ht="14.65" customHeight="1">
      <c r="B11" s="72" t="s">
        <v>49</v>
      </c>
      <c r="C11" s="85">
        <f>C15/C14-1</f>
        <v>0.25303292894280749</v>
      </c>
    </row>
    <row r="12" spans="2:10" s="70" customFormat="1" ht="14.65" customHeight="1">
      <c r="C12" s="86"/>
      <c r="D12" s="87"/>
      <c r="E12" s="87"/>
      <c r="F12" s="87"/>
      <c r="G12" s="87"/>
    </row>
    <row r="13" spans="2:10" s="70" customFormat="1" ht="14.65" customHeight="1">
      <c r="B13" s="79" t="s">
        <v>50</v>
      </c>
      <c r="C13" s="86"/>
    </row>
    <row r="14" spans="2:10" s="77" customFormat="1" ht="14.65" customHeight="1">
      <c r="B14" s="88">
        <v>43617</v>
      </c>
      <c r="C14" s="89">
        <v>115.4</v>
      </c>
      <c r="D14" s="90"/>
    </row>
    <row r="15" spans="2:10" s="77" customFormat="1" ht="14.65" customHeight="1">
      <c r="B15" s="88">
        <v>45444</v>
      </c>
      <c r="C15" s="89">
        <v>144.6</v>
      </c>
      <c r="D15" s="91" t="s">
        <v>51</v>
      </c>
    </row>
    <row r="16" spans="2:10" ht="14.65" customHeight="1"/>
    <row r="17" spans="4:8">
      <c r="D17" s="92"/>
      <c r="E17" s="93"/>
      <c r="F17" s="93"/>
      <c r="G17" s="93"/>
      <c r="H17" s="93"/>
    </row>
    <row r="18" spans="4:8">
      <c r="D18" s="95"/>
      <c r="E18" s="95"/>
      <c r="F18" s="95"/>
      <c r="G18" s="95"/>
      <c r="H18" s="9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CECA-5806-416B-9FB7-A6F3110A0AC7}">
  <dimension ref="A2:I39"/>
  <sheetViews>
    <sheetView showGridLines="0" zoomScaleNormal="100" workbookViewId="0">
      <selection activeCell="J7" sqref="J7"/>
    </sheetView>
  </sheetViews>
  <sheetFormatPr defaultColWidth="9.28515625" defaultRowHeight="11.25"/>
  <cols>
    <col min="1" max="1" width="56" style="94" bestFit="1" customWidth="1"/>
    <col min="2" max="3" width="10.5703125" style="94" bestFit="1" customWidth="1"/>
    <col min="4" max="4" width="11.28515625" style="94" bestFit="1" customWidth="1"/>
    <col min="5" max="5" width="10.5703125" style="94" bestFit="1" customWidth="1"/>
    <col min="6" max="6" width="11.28515625" style="94" customWidth="1"/>
    <col min="7" max="16384" width="9.28515625" style="94"/>
  </cols>
  <sheetData>
    <row r="2" spans="1:7">
      <c r="A2" s="153" t="s">
        <v>52</v>
      </c>
    </row>
    <row r="3" spans="1:7">
      <c r="A3" s="149" t="s">
        <v>53</v>
      </c>
      <c r="B3" s="154" t="s">
        <v>54</v>
      </c>
      <c r="C3" s="154" t="s">
        <v>55</v>
      </c>
      <c r="D3" s="154" t="s">
        <v>56</v>
      </c>
      <c r="E3" s="154" t="s">
        <v>57</v>
      </c>
      <c r="F3" s="181" t="s">
        <v>97</v>
      </c>
    </row>
    <row r="4" spans="1:7">
      <c r="A4" s="150" t="s">
        <v>58</v>
      </c>
      <c r="B4" s="155"/>
      <c r="C4" s="155"/>
      <c r="D4" s="155"/>
      <c r="E4" s="155"/>
      <c r="F4" s="155"/>
    </row>
    <row r="5" spans="1:7">
      <c r="A5" s="150" t="s">
        <v>59</v>
      </c>
      <c r="B5" s="155">
        <v>121.662286261365</v>
      </c>
      <c r="C5" s="155">
        <v>113.251103655319</v>
      </c>
      <c r="D5" s="155">
        <v>130.08354836716541</v>
      </c>
      <c r="E5" s="155">
        <v>108.23096374159158</v>
      </c>
      <c r="F5" s="155">
        <v>130.62367730029919</v>
      </c>
    </row>
    <row r="6" spans="1:7">
      <c r="A6" s="150" t="s">
        <v>60</v>
      </c>
      <c r="B6" s="155">
        <v>260.76956996512303</v>
      </c>
      <c r="C6" s="155">
        <v>265.85338173429301</v>
      </c>
      <c r="D6" s="155">
        <v>305.15925508752645</v>
      </c>
      <c r="E6" s="155">
        <v>283.47740667238872</v>
      </c>
      <c r="F6" s="155">
        <v>278.24408640061307</v>
      </c>
    </row>
    <row r="7" spans="1:7">
      <c r="A7" s="150" t="s">
        <v>61</v>
      </c>
      <c r="B7" s="155">
        <v>750.69244381566898</v>
      </c>
      <c r="C7" s="155">
        <v>706.58822327564997</v>
      </c>
      <c r="D7" s="155">
        <v>907.2818204753122</v>
      </c>
      <c r="E7" s="155">
        <v>761.93437667369619</v>
      </c>
      <c r="F7" s="155">
        <v>813.86965137117613</v>
      </c>
    </row>
    <row r="8" spans="1:7">
      <c r="A8" s="150"/>
      <c r="B8" s="155"/>
      <c r="C8" s="155"/>
      <c r="D8" s="155"/>
      <c r="E8" s="155"/>
      <c r="F8" s="155"/>
    </row>
    <row r="9" spans="1:7">
      <c r="A9" s="150" t="s">
        <v>62</v>
      </c>
      <c r="B9" s="155"/>
      <c r="C9" s="155"/>
      <c r="D9" s="155"/>
      <c r="E9" s="155"/>
      <c r="F9" s="155"/>
    </row>
    <row r="10" spans="1:7">
      <c r="A10" s="150" t="s">
        <v>63</v>
      </c>
      <c r="B10" s="156">
        <v>1.2940320557740099</v>
      </c>
      <c r="C10" s="156">
        <v>1.1138170368953</v>
      </c>
      <c r="D10" s="156">
        <v>1.2420348393604594</v>
      </c>
      <c r="E10" s="156">
        <v>1.146976322950428</v>
      </c>
      <c r="F10" s="155">
        <v>1.2456196112669029</v>
      </c>
    </row>
    <row r="11" spans="1:7">
      <c r="A11" s="150" t="s">
        <v>64</v>
      </c>
      <c r="B11" s="156">
        <v>2.3320137603547599</v>
      </c>
      <c r="C11" s="156">
        <v>2.3976565841954498</v>
      </c>
      <c r="D11" s="156">
        <v>2.477223780397189</v>
      </c>
      <c r="E11" s="156">
        <v>2.2859435979874716</v>
      </c>
      <c r="F11" s="155">
        <v>2.2344494834605966</v>
      </c>
    </row>
    <row r="12" spans="1:7">
      <c r="A12" s="150" t="s">
        <v>65</v>
      </c>
      <c r="B12" s="156">
        <v>4.6519601567101097</v>
      </c>
      <c r="C12" s="156">
        <v>4.5472385758340303</v>
      </c>
      <c r="D12" s="156">
        <v>4.8253005151688608</v>
      </c>
      <c r="E12" s="156">
        <v>4.392937838923479</v>
      </c>
      <c r="F12" s="155">
        <v>4.1794073518379591</v>
      </c>
    </row>
    <row r="13" spans="1:7">
      <c r="B13" s="116" t="s">
        <v>66</v>
      </c>
    </row>
    <row r="16" spans="1:7">
      <c r="A16" s="153" t="s">
        <v>67</v>
      </c>
      <c r="B16" s="154" t="s">
        <v>54</v>
      </c>
      <c r="C16" s="154" t="s">
        <v>55</v>
      </c>
      <c r="D16" s="154" t="s">
        <v>56</v>
      </c>
      <c r="E16" s="154" t="s">
        <v>57</v>
      </c>
      <c r="F16" s="181" t="s">
        <v>97</v>
      </c>
      <c r="G16" s="94" t="s">
        <v>68</v>
      </c>
    </row>
    <row r="17" spans="1:7">
      <c r="A17" s="151" t="s">
        <v>69</v>
      </c>
      <c r="B17" s="158">
        <v>2.1885806707990028E-2</v>
      </c>
      <c r="C17" s="158">
        <v>1.4738079843010555E-2</v>
      </c>
      <c r="D17" s="158">
        <v>-1.4573252192072483E-2</v>
      </c>
      <c r="E17" s="158">
        <v>1.0770516350000016E-2</v>
      </c>
      <c r="F17" s="158">
        <v>5.4259239522061412E-3</v>
      </c>
    </row>
    <row r="18" spans="1:7">
      <c r="A18" s="152" t="s">
        <v>70</v>
      </c>
      <c r="B18" s="158">
        <v>1.7999999999999999E-2</v>
      </c>
      <c r="C18" s="158">
        <v>1.7999999999999999E-2</v>
      </c>
      <c r="D18" s="158">
        <v>1.7999999999999999E-2</v>
      </c>
      <c r="E18" s="158">
        <v>1.7999999999999999E-2</v>
      </c>
      <c r="F18" s="158">
        <v>1.7999999999999999E-2</v>
      </c>
    </row>
    <row r="19" spans="1:7">
      <c r="A19" s="152" t="s">
        <v>71</v>
      </c>
      <c r="B19" s="158">
        <f>IF(B17&gt;B18,B17-B18,0)</f>
        <v>3.8858067079900298E-3</v>
      </c>
      <c r="C19" s="158">
        <f>IF(C17&gt;C18,C17-C18,0)</f>
        <v>0</v>
      </c>
      <c r="D19" s="158">
        <f>IF(D17&gt;D18,D17-D18,0)</f>
        <v>0</v>
      </c>
      <c r="E19" s="158">
        <f>IF(E17&gt;E18,E17-E18,0)</f>
        <v>0</v>
      </c>
      <c r="F19" s="158">
        <f>IF(F17&gt;F18,F17-F18,0)</f>
        <v>0</v>
      </c>
      <c r="G19" s="179">
        <f>SUM(B19:F19)</f>
        <v>3.8858067079900298E-3</v>
      </c>
    </row>
    <row r="22" spans="1:7">
      <c r="A22" s="15" t="s">
        <v>72</v>
      </c>
      <c r="B22" s="155"/>
      <c r="C22" s="157"/>
      <c r="D22" s="157">
        <f>G19</f>
        <v>3.8858067079900298E-3</v>
      </c>
      <c r="E22" s="157"/>
      <c r="F22" s="116"/>
      <c r="G22" s="116"/>
    </row>
    <row r="23" spans="1:7">
      <c r="A23" s="15" t="s">
        <v>73</v>
      </c>
      <c r="B23" s="155"/>
      <c r="C23" s="157"/>
      <c r="D23" s="157">
        <f>D22*0.6</f>
        <v>2.331484024794018E-3</v>
      </c>
      <c r="E23" s="157"/>
    </row>
    <row r="24" spans="1:7">
      <c r="A24" s="15" t="s">
        <v>74</v>
      </c>
      <c r="B24" s="155"/>
      <c r="C24" s="157"/>
      <c r="D24" s="157">
        <f>D22*0.4</f>
        <v>1.554322683196012E-3</v>
      </c>
      <c r="E24" s="157"/>
    </row>
    <row r="25" spans="1:7">
      <c r="A25" s="15" t="s">
        <v>75</v>
      </c>
      <c r="B25" s="155"/>
      <c r="C25" s="167">
        <v>1.5900000000000001E-2</v>
      </c>
      <c r="D25" s="167">
        <v>1.5900000000000001E-2</v>
      </c>
      <c r="E25" s="167">
        <v>3.3999999999999998E-3</v>
      </c>
      <c r="F25" s="116" t="s">
        <v>76</v>
      </c>
    </row>
    <row r="26" spans="1:7">
      <c r="A26" s="15" t="s">
        <v>77</v>
      </c>
      <c r="B26" s="155"/>
      <c r="C26" s="157">
        <f>$D23*C$25/(SUM($C$25:$E$25))</f>
        <v>1.0531419316541161E-3</v>
      </c>
      <c r="D26" s="157">
        <f>$D23*D$25/(SUM($C$25:$E$25))</f>
        <v>1.0531419316541161E-3</v>
      </c>
      <c r="E26" s="157">
        <f>$D23*E$25/(SUM($C$25:$E$25))</f>
        <v>2.2520016148578582E-4</v>
      </c>
    </row>
    <row r="27" spans="1:7">
      <c r="A27" s="15" t="s">
        <v>78</v>
      </c>
      <c r="B27" s="155"/>
      <c r="C27" s="167">
        <v>1.3823000000000001</v>
      </c>
      <c r="D27" s="167">
        <v>1.8112999999999999</v>
      </c>
      <c r="E27" s="167">
        <v>0.51670000000000005</v>
      </c>
      <c r="F27" s="116" t="s">
        <v>76</v>
      </c>
    </row>
    <row r="28" spans="1:7">
      <c r="A28" s="15" t="s">
        <v>79</v>
      </c>
      <c r="B28" s="155"/>
      <c r="C28" s="157">
        <f>$D24*C$27/SUM($C$27:$E$27)</f>
        <v>5.7907453439933366E-4</v>
      </c>
      <c r="D28" s="157">
        <f>$D24*D$27/SUM($C$27:$E$27)</f>
        <v>7.5879165460284511E-4</v>
      </c>
      <c r="E28" s="157">
        <f>$D24*E$27/SUM($C$27:$E$27)</f>
        <v>2.1645649419383322E-4</v>
      </c>
    </row>
    <row r="29" spans="1:7">
      <c r="A29" s="15"/>
      <c r="B29" s="155"/>
      <c r="C29" s="155"/>
      <c r="D29" s="155"/>
      <c r="E29" s="155"/>
    </row>
    <row r="30" spans="1:7">
      <c r="A30" s="15" t="s">
        <v>80</v>
      </c>
      <c r="B30" s="155"/>
      <c r="C30" s="155">
        <f>(C26/C25*100)/5</f>
        <v>1.3247068322693285</v>
      </c>
      <c r="D30" s="155">
        <f>(D26/D25*100)/5</f>
        <v>1.3247068322693285</v>
      </c>
      <c r="E30" s="155">
        <f>(E26/E25*100)/5</f>
        <v>1.3247068322693285</v>
      </c>
      <c r="F30" s="116"/>
      <c r="G30" s="116"/>
    </row>
    <row r="31" spans="1:7">
      <c r="A31" s="15" t="s">
        <v>80</v>
      </c>
      <c r="B31" s="155"/>
      <c r="C31" s="166">
        <f>(C28/C27*100)/5</f>
        <v>8.3784205223082341E-3</v>
      </c>
      <c r="D31" s="166">
        <f>(D28/D27*100)/5</f>
        <v>8.3784205223082324E-3</v>
      </c>
      <c r="E31" s="166">
        <f>(E28/E27*100)/5</f>
        <v>8.3784205223082324E-3</v>
      </c>
      <c r="F31" s="116"/>
      <c r="G31" s="116"/>
    </row>
    <row r="35" spans="1:9">
      <c r="A35" s="169" t="s">
        <v>81</v>
      </c>
      <c r="B35" s="168"/>
      <c r="C35" s="168"/>
      <c r="D35" s="170"/>
      <c r="E35" s="170"/>
      <c r="F35" s="170"/>
      <c r="G35" s="170"/>
      <c r="H35" s="170"/>
      <c r="I35" s="171"/>
    </row>
    <row r="36" spans="1:9" ht="33.75">
      <c r="A36" s="172" t="s">
        <v>82</v>
      </c>
      <c r="B36" s="172"/>
      <c r="C36" s="172"/>
      <c r="D36" s="173" t="s">
        <v>83</v>
      </c>
      <c r="E36" s="173" t="s">
        <v>84</v>
      </c>
      <c r="F36" s="173" t="s">
        <v>85</v>
      </c>
      <c r="G36" s="173" t="s">
        <v>86</v>
      </c>
      <c r="H36" s="173" t="s">
        <v>87</v>
      </c>
      <c r="I36" s="174" t="s">
        <v>88</v>
      </c>
    </row>
    <row r="37" spans="1:9">
      <c r="A37" s="175" t="s">
        <v>89</v>
      </c>
      <c r="B37" s="175"/>
      <c r="C37" s="182"/>
      <c r="D37" s="176">
        <v>5316509.2424790142</v>
      </c>
      <c r="E37" s="176">
        <v>5303268.595376444</v>
      </c>
      <c r="F37" s="176">
        <v>5290417.3790710084</v>
      </c>
      <c r="G37" s="176">
        <v>5295869.4102308899</v>
      </c>
      <c r="H37" s="176">
        <v>5267051.5312429434</v>
      </c>
      <c r="I37" s="177">
        <f>AVERAGE(D37:H37)</f>
        <v>5294623.2316800598</v>
      </c>
    </row>
    <row r="38" spans="1:9">
      <c r="A38" s="175" t="s">
        <v>90</v>
      </c>
      <c r="B38" s="175"/>
      <c r="C38" s="182"/>
      <c r="D38" s="176">
        <v>6935563.5861878684</v>
      </c>
      <c r="E38" s="176">
        <v>6918290.720532258</v>
      </c>
      <c r="F38" s="176">
        <v>6901525.8803371079</v>
      </c>
      <c r="G38" s="176">
        <v>6908638.2367835352</v>
      </c>
      <c r="H38" s="176">
        <v>6871044.3527095607</v>
      </c>
      <c r="I38" s="177">
        <f t="shared" ref="I38:I39" si="0">AVERAGE(D38:H38)</f>
        <v>6907012.5553100659</v>
      </c>
    </row>
    <row r="39" spans="1:9">
      <c r="A39" s="175" t="s">
        <v>91</v>
      </c>
      <c r="B39" s="175"/>
      <c r="C39" s="182"/>
      <c r="D39" s="176">
        <v>1399927.1713331165</v>
      </c>
      <c r="E39" s="176">
        <v>1396440.6840912965</v>
      </c>
      <c r="F39" s="176">
        <v>1393056.740591883</v>
      </c>
      <c r="G39" s="176">
        <v>1394492.3529855735</v>
      </c>
      <c r="H39" s="176">
        <v>1386904.1160474948</v>
      </c>
      <c r="I39" s="177">
        <f t="shared" si="0"/>
        <v>1394164.2130098729</v>
      </c>
    </row>
  </sheetData>
  <mergeCells count="1">
    <mergeCell ref="C37:C39"/>
  </mergeCells>
  <phoneticPr fontId="48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T47"/>
  <sheetViews>
    <sheetView showGridLines="0" zoomScaleNormal="100" workbookViewId="0">
      <selection activeCell="H11" sqref="H11"/>
    </sheetView>
  </sheetViews>
  <sheetFormatPr defaultColWidth="9.28515625" defaultRowHeight="11.25"/>
  <cols>
    <col min="1" max="1" width="5.42578125" style="94" customWidth="1"/>
    <col min="2" max="2" width="20.42578125" style="94" customWidth="1"/>
    <col min="3" max="7" width="13.5703125" style="94" customWidth="1"/>
    <col min="8" max="9" width="18" style="94" customWidth="1"/>
    <col min="10" max="10" width="3.28515625" style="94" customWidth="1"/>
    <col min="11" max="11" width="20.42578125" style="94" customWidth="1"/>
    <col min="12" max="16" width="13.5703125" style="94" customWidth="1"/>
    <col min="17" max="18" width="18" style="94" customWidth="1"/>
    <col min="19" max="19" width="3" style="94" customWidth="1"/>
    <col min="20" max="16384" width="9.28515625" style="94"/>
  </cols>
  <sheetData>
    <row r="2" spans="2:20">
      <c r="B2" s="69" t="s">
        <v>92</v>
      </c>
      <c r="C2" s="98"/>
      <c r="D2" s="98"/>
      <c r="E2" s="98"/>
      <c r="F2" s="98"/>
      <c r="G2" s="98"/>
      <c r="H2" s="98"/>
      <c r="I2" s="98"/>
      <c r="J2" s="69"/>
      <c r="K2" s="69"/>
      <c r="L2" s="98"/>
      <c r="M2" s="98"/>
      <c r="N2" s="98"/>
      <c r="O2" s="98"/>
      <c r="P2" s="98"/>
      <c r="Q2" s="98"/>
      <c r="R2" s="98"/>
      <c r="T2" s="99" t="s">
        <v>93</v>
      </c>
    </row>
    <row r="3" spans="2:20">
      <c r="T3" s="100"/>
    </row>
    <row r="4" spans="2:20" s="70" customFormat="1">
      <c r="B4" s="101" t="s">
        <v>94</v>
      </c>
      <c r="C4" s="101"/>
      <c r="D4" s="101"/>
      <c r="E4" s="101"/>
      <c r="F4" s="101"/>
      <c r="G4" s="101"/>
      <c r="H4" s="101"/>
      <c r="I4" s="101"/>
      <c r="K4" s="101" t="s">
        <v>94</v>
      </c>
      <c r="L4" s="101"/>
      <c r="M4" s="101"/>
      <c r="N4" s="101"/>
      <c r="O4" s="101"/>
      <c r="P4" s="101"/>
      <c r="Q4" s="101"/>
      <c r="R4" s="101"/>
    </row>
    <row r="5" spans="2:20">
      <c r="T5" s="100"/>
    </row>
    <row r="6" spans="2:20" s="70" customFormat="1">
      <c r="B6" s="102" t="s">
        <v>95</v>
      </c>
      <c r="C6" s="103"/>
      <c r="K6" s="102" t="s">
        <v>96</v>
      </c>
      <c r="L6" s="104"/>
      <c r="M6" s="87"/>
      <c r="N6" s="87"/>
      <c r="O6" s="87"/>
      <c r="P6" s="87"/>
      <c r="Q6" s="87"/>
      <c r="R6" s="87"/>
      <c r="T6" s="105"/>
    </row>
    <row r="7" spans="2:20" s="70" customFormat="1">
      <c r="B7" s="106" t="s">
        <v>27</v>
      </c>
      <c r="C7" s="107" t="s">
        <v>54</v>
      </c>
      <c r="D7" s="107" t="s">
        <v>55</v>
      </c>
      <c r="E7" s="107" t="s">
        <v>56</v>
      </c>
      <c r="F7" s="107" t="s">
        <v>57</v>
      </c>
      <c r="G7" s="107" t="s">
        <v>97</v>
      </c>
      <c r="H7" s="107" t="s">
        <v>98</v>
      </c>
      <c r="I7" s="107" t="s">
        <v>99</v>
      </c>
      <c r="K7" s="109" t="s">
        <v>27</v>
      </c>
      <c r="L7" s="107" t="s">
        <v>54</v>
      </c>
      <c r="M7" s="107" t="s">
        <v>55</v>
      </c>
      <c r="N7" s="107" t="s">
        <v>56</v>
      </c>
      <c r="O7" s="107" t="s">
        <v>57</v>
      </c>
      <c r="P7" s="107" t="s">
        <v>97</v>
      </c>
      <c r="Q7" s="107" t="s">
        <v>98</v>
      </c>
      <c r="R7" s="107" t="s">
        <v>99</v>
      </c>
      <c r="T7" s="105"/>
    </row>
    <row r="8" spans="2:20" s="70" customFormat="1">
      <c r="B8" s="72" t="s">
        <v>100</v>
      </c>
      <c r="C8" s="163">
        <v>0.85127883932243942</v>
      </c>
      <c r="D8" s="163">
        <v>0.87319999999999998</v>
      </c>
      <c r="E8" s="163">
        <v>0.88534999999999997</v>
      </c>
      <c r="F8" s="163">
        <v>0.84921772484102154</v>
      </c>
      <c r="G8" s="85">
        <v>0.82874880711431775</v>
      </c>
      <c r="H8" s="162">
        <f>AVERAGE(C8:F8)</f>
        <v>0.86476164104086517</v>
      </c>
      <c r="I8" s="162">
        <f>AVERAGE(C8:G8)</f>
        <v>0.85755907425555566</v>
      </c>
      <c r="K8" s="72"/>
      <c r="L8" s="110"/>
      <c r="M8" s="110"/>
      <c r="N8" s="110"/>
      <c r="O8" s="110"/>
      <c r="P8" s="110"/>
      <c r="Q8" s="111"/>
      <c r="R8" s="111"/>
      <c r="T8" s="112" t="s">
        <v>101</v>
      </c>
    </row>
    <row r="9" spans="2:20" s="70" customFormat="1">
      <c r="B9" s="72" t="s">
        <v>21</v>
      </c>
      <c r="C9" s="164">
        <f>'Cap adjustment'!B10</f>
        <v>1.2940320557740099</v>
      </c>
      <c r="D9" s="163">
        <f>'Cap adjustment'!C10</f>
        <v>1.1138170368953</v>
      </c>
      <c r="E9" s="163">
        <f>'Cap adjustment'!D10</f>
        <v>1.2420348393604594</v>
      </c>
      <c r="F9" s="163">
        <f>'Cap adjustment'!E10</f>
        <v>1.146976322950428</v>
      </c>
      <c r="G9" s="163">
        <f>'Cap adjustment'!F10</f>
        <v>1.2456196112669029</v>
      </c>
      <c r="H9" s="162">
        <f>AVERAGE(C9:F9)</f>
        <v>1.1992150637450494</v>
      </c>
      <c r="I9" s="162">
        <f>AVERAGE(C9:G9)</f>
        <v>1.2084959732494203</v>
      </c>
      <c r="K9" s="72" t="s">
        <v>21</v>
      </c>
      <c r="L9" s="164">
        <f>'Cap adjustment'!B5</f>
        <v>121.662286261365</v>
      </c>
      <c r="M9" s="163">
        <f>'Cap adjustment'!C5</f>
        <v>113.251103655319</v>
      </c>
      <c r="N9" s="163">
        <f>'Cap adjustment'!D5</f>
        <v>130.08354836716541</v>
      </c>
      <c r="O9" s="163">
        <f>'Cap adjustment'!E5</f>
        <v>108.23096374159158</v>
      </c>
      <c r="P9" s="163">
        <f>'Cap adjustment'!F5</f>
        <v>130.62367730029919</v>
      </c>
      <c r="Q9" s="162">
        <f>AVERAGE(L9:O9)</f>
        <v>118.30697550636026</v>
      </c>
      <c r="R9" s="162">
        <f>AVERAGE(L9:P9)</f>
        <v>120.77031586514804</v>
      </c>
      <c r="T9" s="112" t="s">
        <v>102</v>
      </c>
    </row>
    <row r="10" spans="2:20" s="70" customFormat="1">
      <c r="B10" s="72" t="s">
        <v>28</v>
      </c>
      <c r="C10" s="164">
        <f>'Cap adjustment'!B11</f>
        <v>2.3320137603547599</v>
      </c>
      <c r="D10" s="163">
        <f>'Cap adjustment'!C11</f>
        <v>2.3976565841954498</v>
      </c>
      <c r="E10" s="163">
        <f>'Cap adjustment'!D11</f>
        <v>2.477223780397189</v>
      </c>
      <c r="F10" s="163">
        <f>'Cap adjustment'!E11</f>
        <v>2.2859435979874716</v>
      </c>
      <c r="G10" s="163">
        <f>'Cap adjustment'!F11</f>
        <v>2.2344494834605966</v>
      </c>
      <c r="H10" s="162">
        <f t="shared" ref="H10:H11" si="0">AVERAGE(C10:F10)</f>
        <v>2.3732094307337173</v>
      </c>
      <c r="I10" s="162">
        <f>AVERAGE(C10:G10)</f>
        <v>2.3454574412790934</v>
      </c>
      <c r="K10" s="72" t="s">
        <v>28</v>
      </c>
      <c r="L10" s="164">
        <f>'Cap adjustment'!B6</f>
        <v>260.76956996512303</v>
      </c>
      <c r="M10" s="163">
        <f>'Cap adjustment'!C6</f>
        <v>265.85338173429301</v>
      </c>
      <c r="N10" s="163">
        <f>'Cap adjustment'!D6</f>
        <v>305.15925508752645</v>
      </c>
      <c r="O10" s="163">
        <f>'Cap adjustment'!E6</f>
        <v>283.47740667238872</v>
      </c>
      <c r="P10" s="163">
        <f>'Cap adjustment'!F6</f>
        <v>278.24408640061307</v>
      </c>
      <c r="Q10" s="162">
        <f t="shared" ref="Q10:Q11" si="1">AVERAGE(L10:O10)</f>
        <v>278.81490336483279</v>
      </c>
      <c r="R10" s="162">
        <f>AVERAGE(L10:P10)</f>
        <v>278.70073997198881</v>
      </c>
      <c r="T10" s="112" t="s">
        <v>102</v>
      </c>
    </row>
    <row r="11" spans="2:20" s="70" customFormat="1">
      <c r="B11" s="72" t="s">
        <v>23</v>
      </c>
      <c r="C11" s="164">
        <f>'Cap adjustment'!B12</f>
        <v>4.6519601567101097</v>
      </c>
      <c r="D11" s="163">
        <f>'Cap adjustment'!C12</f>
        <v>4.5472385758340303</v>
      </c>
      <c r="E11" s="163">
        <f>'Cap adjustment'!D12</f>
        <v>4.8253005151688608</v>
      </c>
      <c r="F11" s="163">
        <f>'Cap adjustment'!E12</f>
        <v>4.392937838923479</v>
      </c>
      <c r="G11" s="163">
        <f>'Cap adjustment'!F12</f>
        <v>4.1794073518379591</v>
      </c>
      <c r="H11" s="162">
        <f t="shared" si="0"/>
        <v>4.6043592716591197</v>
      </c>
      <c r="I11" s="162">
        <f>AVERAGE(C11:G11)</f>
        <v>4.5193688876948874</v>
      </c>
      <c r="K11" s="72" t="s">
        <v>23</v>
      </c>
      <c r="L11" s="164">
        <f>'Cap adjustment'!B7</f>
        <v>750.69244381566898</v>
      </c>
      <c r="M11" s="163">
        <f>'Cap adjustment'!C7</f>
        <v>706.58822327564997</v>
      </c>
      <c r="N11" s="163">
        <f>'Cap adjustment'!D7</f>
        <v>907.2818204753122</v>
      </c>
      <c r="O11" s="163">
        <f>'Cap adjustment'!E7</f>
        <v>761.93437667369619</v>
      </c>
      <c r="P11" s="163">
        <f>'Cap adjustment'!F7</f>
        <v>813.86965137117613</v>
      </c>
      <c r="Q11" s="162">
        <f t="shared" si="1"/>
        <v>781.62421606008184</v>
      </c>
      <c r="R11" s="162">
        <f>AVERAGE(L11:P11)</f>
        <v>788.07330312230067</v>
      </c>
      <c r="T11" s="112" t="s">
        <v>103</v>
      </c>
    </row>
    <row r="12" spans="2:20">
      <c r="B12" s="113"/>
      <c r="C12" s="114"/>
      <c r="D12" s="114"/>
      <c r="E12" s="114"/>
      <c r="F12" s="114"/>
      <c r="G12" s="114"/>
      <c r="H12" s="114"/>
      <c r="I12" s="160"/>
      <c r="K12" s="113"/>
      <c r="L12" s="114"/>
      <c r="M12" s="114"/>
      <c r="N12" s="114"/>
      <c r="O12" s="114"/>
      <c r="P12" s="114"/>
      <c r="Q12" s="114"/>
      <c r="R12" s="114"/>
      <c r="T12" s="115"/>
    </row>
    <row r="13" spans="2:20">
      <c r="C13" s="116" t="s">
        <v>66</v>
      </c>
      <c r="L13" s="116" t="s">
        <v>66</v>
      </c>
      <c r="T13" s="115"/>
    </row>
    <row r="14" spans="2:20">
      <c r="T14" s="115"/>
    </row>
    <row r="15" spans="2:20" s="70" customFormat="1">
      <c r="B15" s="101" t="s">
        <v>104</v>
      </c>
      <c r="C15" s="101"/>
      <c r="D15" s="101"/>
      <c r="E15" s="101"/>
      <c r="F15" s="101"/>
      <c r="G15" s="101"/>
      <c r="H15" s="101"/>
      <c r="I15" s="161"/>
      <c r="K15" s="101" t="s">
        <v>104</v>
      </c>
      <c r="L15" s="101"/>
      <c r="M15" s="101"/>
      <c r="N15" s="101"/>
      <c r="O15" s="101"/>
      <c r="P15" s="101"/>
      <c r="Q15" s="101"/>
      <c r="R15" s="101"/>
    </row>
    <row r="16" spans="2:20">
      <c r="T16" s="115"/>
    </row>
    <row r="17" spans="2:20" s="70" customFormat="1">
      <c r="B17" s="102" t="s">
        <v>95</v>
      </c>
      <c r="K17" s="102" t="s">
        <v>96</v>
      </c>
      <c r="L17" s="87"/>
      <c r="M17" s="87"/>
      <c r="N17" s="87"/>
      <c r="O17" s="87"/>
      <c r="P17" s="87"/>
      <c r="Q17" s="87"/>
      <c r="R17" s="87"/>
      <c r="T17" s="117"/>
    </row>
    <row r="18" spans="2:20" s="70" customFormat="1">
      <c r="B18" s="106" t="s">
        <v>27</v>
      </c>
      <c r="C18" s="107" t="s">
        <v>54</v>
      </c>
      <c r="D18" s="107" t="s">
        <v>55</v>
      </c>
      <c r="E18" s="107" t="s">
        <v>56</v>
      </c>
      <c r="F18" s="107" t="s">
        <v>57</v>
      </c>
      <c r="G18" s="107" t="s">
        <v>97</v>
      </c>
      <c r="H18" s="107" t="s">
        <v>98</v>
      </c>
      <c r="I18" s="107" t="s">
        <v>99</v>
      </c>
      <c r="K18" s="109" t="s">
        <v>27</v>
      </c>
      <c r="L18" s="107" t="s">
        <v>54</v>
      </c>
      <c r="M18" s="107" t="s">
        <v>55</v>
      </c>
      <c r="N18" s="107" t="s">
        <v>56</v>
      </c>
      <c r="O18" s="107" t="s">
        <v>57</v>
      </c>
      <c r="P18" s="107" t="s">
        <v>97</v>
      </c>
      <c r="Q18" s="107" t="s">
        <v>98</v>
      </c>
      <c r="R18" s="107" t="s">
        <v>99</v>
      </c>
      <c r="T18" s="117"/>
    </row>
    <row r="19" spans="2:20" s="70" customFormat="1">
      <c r="B19" s="72"/>
      <c r="C19" s="85"/>
      <c r="D19" s="85"/>
      <c r="E19" s="85"/>
      <c r="F19" s="85"/>
      <c r="G19" s="85"/>
      <c r="H19" s="162"/>
      <c r="I19" s="120"/>
      <c r="K19" s="72"/>
      <c r="L19" s="110"/>
      <c r="M19" s="110"/>
      <c r="N19" s="110"/>
      <c r="O19" s="110"/>
      <c r="P19" s="118"/>
      <c r="Q19" s="111"/>
      <c r="R19" s="111"/>
      <c r="T19" s="112" t="s">
        <v>105</v>
      </c>
    </row>
    <row r="20" spans="2:20" s="70" customFormat="1">
      <c r="B20" s="72" t="s">
        <v>21</v>
      </c>
      <c r="C20" s="164">
        <f>C9</f>
        <v>1.2940320557740099</v>
      </c>
      <c r="D20" s="85">
        <f t="shared" ref="D20:G20" si="2">D9</f>
        <v>1.1138170368953</v>
      </c>
      <c r="E20" s="85">
        <f t="shared" si="2"/>
        <v>1.2420348393604594</v>
      </c>
      <c r="F20" s="85">
        <f t="shared" si="2"/>
        <v>1.146976322950428</v>
      </c>
      <c r="G20" s="85">
        <f t="shared" si="2"/>
        <v>1.2456196112669029</v>
      </c>
      <c r="H20" s="162">
        <f>AVERAGE(C20:F20)</f>
        <v>1.1992150637450494</v>
      </c>
      <c r="I20" s="162">
        <f>AVERAGE(C20:G20)</f>
        <v>1.2084959732494203</v>
      </c>
      <c r="K20" s="72" t="s">
        <v>21</v>
      </c>
      <c r="L20" s="164">
        <f>L9</f>
        <v>121.662286261365</v>
      </c>
      <c r="M20" s="85">
        <f t="shared" ref="M20:P20" si="3">M9</f>
        <v>113.251103655319</v>
      </c>
      <c r="N20" s="85">
        <f t="shared" si="3"/>
        <v>130.08354836716541</v>
      </c>
      <c r="O20" s="85">
        <f t="shared" si="3"/>
        <v>108.23096374159158</v>
      </c>
      <c r="P20" s="165">
        <f t="shared" si="3"/>
        <v>130.62367730029919</v>
      </c>
      <c r="Q20" s="162">
        <f>AVERAGE(L20:O20)</f>
        <v>118.30697550636026</v>
      </c>
      <c r="R20" s="162">
        <f>AVERAGE(L20:P20)</f>
        <v>120.77031586514804</v>
      </c>
      <c r="T20" s="105"/>
    </row>
    <row r="21" spans="2:20" s="70" customFormat="1">
      <c r="B21" s="72" t="s">
        <v>28</v>
      </c>
      <c r="C21" s="164">
        <f t="shared" ref="C21:G21" si="4">C10</f>
        <v>2.3320137603547599</v>
      </c>
      <c r="D21" s="85">
        <f t="shared" si="4"/>
        <v>2.3976565841954498</v>
      </c>
      <c r="E21" s="85">
        <f t="shared" si="4"/>
        <v>2.477223780397189</v>
      </c>
      <c r="F21" s="85">
        <f t="shared" si="4"/>
        <v>2.2859435979874716</v>
      </c>
      <c r="G21" s="85">
        <f t="shared" si="4"/>
        <v>2.2344494834605966</v>
      </c>
      <c r="H21" s="162">
        <f t="shared" ref="H21:H22" si="5">AVERAGE(C21:F21)</f>
        <v>2.3732094307337173</v>
      </c>
      <c r="I21" s="162">
        <f>AVERAGE(C21:G21)</f>
        <v>2.3454574412790934</v>
      </c>
      <c r="K21" s="72" t="s">
        <v>28</v>
      </c>
      <c r="L21" s="164">
        <f t="shared" ref="L21:P21" si="6">L10</f>
        <v>260.76956996512303</v>
      </c>
      <c r="M21" s="85">
        <f t="shared" si="6"/>
        <v>265.85338173429301</v>
      </c>
      <c r="N21" s="85">
        <f t="shared" si="6"/>
        <v>305.15925508752645</v>
      </c>
      <c r="O21" s="85">
        <f t="shared" si="6"/>
        <v>283.47740667238872</v>
      </c>
      <c r="P21" s="165">
        <f t="shared" si="6"/>
        <v>278.24408640061307</v>
      </c>
      <c r="Q21" s="162">
        <f t="shared" ref="Q21:Q22" si="7">AVERAGE(L21:O21)</f>
        <v>278.81490336483279</v>
      </c>
      <c r="R21" s="162">
        <f>AVERAGE(L21:P21)</f>
        <v>278.70073997198881</v>
      </c>
    </row>
    <row r="22" spans="2:20" s="70" customFormat="1">
      <c r="B22" s="72" t="s">
        <v>23</v>
      </c>
      <c r="C22" s="164">
        <f t="shared" ref="C22:G22" si="8">C11</f>
        <v>4.6519601567101097</v>
      </c>
      <c r="D22" s="85">
        <f t="shared" si="8"/>
        <v>4.5472385758340303</v>
      </c>
      <c r="E22" s="85">
        <f t="shared" si="8"/>
        <v>4.8253005151688608</v>
      </c>
      <c r="F22" s="85">
        <f t="shared" si="8"/>
        <v>4.392937838923479</v>
      </c>
      <c r="G22" s="85">
        <f t="shared" si="8"/>
        <v>4.1794073518379591</v>
      </c>
      <c r="H22" s="162">
        <f t="shared" si="5"/>
        <v>4.6043592716591197</v>
      </c>
      <c r="I22" s="162">
        <f>AVERAGE(C22:G22)</f>
        <v>4.5193688876948874</v>
      </c>
      <c r="K22" s="72" t="s">
        <v>23</v>
      </c>
      <c r="L22" s="164">
        <f t="shared" ref="L22:P22" si="9">L11</f>
        <v>750.69244381566898</v>
      </c>
      <c r="M22" s="85">
        <f t="shared" si="9"/>
        <v>706.58822327564997</v>
      </c>
      <c r="N22" s="85">
        <f t="shared" si="9"/>
        <v>907.2818204753122</v>
      </c>
      <c r="O22" s="85">
        <f t="shared" si="9"/>
        <v>761.93437667369619</v>
      </c>
      <c r="P22" s="165">
        <f t="shared" si="9"/>
        <v>813.86965137117613</v>
      </c>
      <c r="Q22" s="162">
        <f t="shared" si="7"/>
        <v>781.62421606008184</v>
      </c>
      <c r="R22" s="162">
        <f>AVERAGE(L22:P22)</f>
        <v>788.07330312230067</v>
      </c>
    </row>
    <row r="23" spans="2:20">
      <c r="B23" s="113"/>
      <c r="C23" s="114"/>
      <c r="D23" s="114"/>
      <c r="E23" s="114"/>
      <c r="F23" s="114"/>
      <c r="G23" s="114"/>
      <c r="H23" s="114"/>
      <c r="I23" s="114"/>
      <c r="K23" s="113"/>
      <c r="L23" s="114"/>
      <c r="M23" s="114"/>
      <c r="N23" s="114"/>
      <c r="O23" s="114"/>
      <c r="P23" s="114"/>
      <c r="Q23" s="114"/>
      <c r="R23" s="114"/>
    </row>
    <row r="24" spans="2:20">
      <c r="C24" s="116" t="s">
        <v>66</v>
      </c>
      <c r="L24" s="116" t="s">
        <v>66</v>
      </c>
    </row>
    <row r="26" spans="2:20" s="70" customFormat="1">
      <c r="B26" s="101" t="s">
        <v>106</v>
      </c>
      <c r="C26" s="101"/>
      <c r="D26" s="101"/>
      <c r="E26" s="101"/>
      <c r="F26" s="101"/>
      <c r="G26" s="101"/>
      <c r="H26" s="101"/>
      <c r="I26" s="101"/>
      <c r="K26" s="101" t="s">
        <v>107</v>
      </c>
      <c r="L26" s="101"/>
      <c r="M26" s="101"/>
      <c r="N26" s="101"/>
      <c r="O26" s="101"/>
      <c r="P26" s="101"/>
      <c r="Q26" s="101"/>
      <c r="R26" s="101"/>
    </row>
    <row r="28" spans="2:20" s="70" customFormat="1">
      <c r="B28" s="102" t="s">
        <v>95</v>
      </c>
      <c r="K28" s="102" t="s">
        <v>96</v>
      </c>
      <c r="L28" s="87"/>
      <c r="M28" s="87"/>
      <c r="N28" s="87"/>
      <c r="O28" s="87"/>
      <c r="P28" s="87"/>
      <c r="Q28" s="87"/>
      <c r="R28" s="87"/>
    </row>
    <row r="29" spans="2:20" s="70" customFormat="1">
      <c r="B29" s="106" t="s">
        <v>27</v>
      </c>
      <c r="C29" s="107" t="s">
        <v>54</v>
      </c>
      <c r="D29" s="107" t="s">
        <v>55</v>
      </c>
      <c r="E29" s="107" t="s">
        <v>56</v>
      </c>
      <c r="F29" s="107" t="s">
        <v>57</v>
      </c>
      <c r="G29" s="107" t="s">
        <v>97</v>
      </c>
      <c r="H29" s="107" t="s">
        <v>98</v>
      </c>
      <c r="I29" s="107" t="s">
        <v>99</v>
      </c>
      <c r="K29" s="109" t="s">
        <v>27</v>
      </c>
      <c r="L29" s="107" t="s">
        <v>54</v>
      </c>
      <c r="M29" s="107" t="s">
        <v>55</v>
      </c>
      <c r="N29" s="107" t="s">
        <v>56</v>
      </c>
      <c r="O29" s="107" t="s">
        <v>57</v>
      </c>
      <c r="P29" s="107" t="s">
        <v>97</v>
      </c>
      <c r="Q29" s="107" t="s">
        <v>98</v>
      </c>
      <c r="R29" s="107" t="s">
        <v>99</v>
      </c>
    </row>
    <row r="30" spans="2:20" s="70" customFormat="1">
      <c r="B30" s="72"/>
      <c r="C30" s="110"/>
      <c r="D30" s="110"/>
      <c r="E30" s="110"/>
      <c r="F30" s="110"/>
      <c r="G30" s="110"/>
      <c r="H30" s="111"/>
      <c r="I30" s="111"/>
      <c r="K30" s="72"/>
      <c r="L30" s="118"/>
      <c r="M30" s="118"/>
      <c r="N30" s="118"/>
      <c r="O30" s="118"/>
      <c r="P30" s="118"/>
      <c r="Q30" s="119"/>
      <c r="R30" s="159"/>
    </row>
    <row r="31" spans="2:20" s="70" customFormat="1">
      <c r="B31" s="72" t="s">
        <v>21</v>
      </c>
      <c r="C31" s="85">
        <f>'Cap adjustment'!$C$31</f>
        <v>8.3784205223082341E-3</v>
      </c>
      <c r="D31" s="85">
        <f>'Cap adjustment'!$C$31</f>
        <v>8.3784205223082341E-3</v>
      </c>
      <c r="E31" s="85">
        <f>'Cap adjustment'!$C$31</f>
        <v>8.3784205223082341E-3</v>
      </c>
      <c r="F31" s="85">
        <f>'Cap adjustment'!$C$31</f>
        <v>8.3784205223082341E-3</v>
      </c>
      <c r="G31" s="85">
        <f>'Cap adjustment'!$C$31</f>
        <v>8.3784205223082341E-3</v>
      </c>
      <c r="H31" s="162">
        <f>AVERAGE(C31:F31)</f>
        <v>8.3784205223082341E-3</v>
      </c>
      <c r="I31" s="162">
        <f>AVERAGE(C31:G31)</f>
        <v>8.3784205223082341E-3</v>
      </c>
      <c r="K31" s="72" t="s">
        <v>21</v>
      </c>
      <c r="L31" s="85">
        <f>'Cap adjustment'!$C$30</f>
        <v>1.3247068322693285</v>
      </c>
      <c r="M31" s="85">
        <f>'Cap adjustment'!$C$30</f>
        <v>1.3247068322693285</v>
      </c>
      <c r="N31" s="85">
        <f>'Cap adjustment'!$C$30</f>
        <v>1.3247068322693285</v>
      </c>
      <c r="O31" s="85">
        <f>'Cap adjustment'!$C$30</f>
        <v>1.3247068322693285</v>
      </c>
      <c r="P31" s="85">
        <f>'Cap adjustment'!$C$30</f>
        <v>1.3247068322693285</v>
      </c>
      <c r="Q31" s="162">
        <f>AVERAGE(L31:O31)</f>
        <v>1.3247068322693285</v>
      </c>
      <c r="R31" s="162">
        <f>AVERAGE(L31:P31)</f>
        <v>1.3247068322693285</v>
      </c>
    </row>
    <row r="32" spans="2:20" s="70" customFormat="1">
      <c r="B32" s="72" t="s">
        <v>28</v>
      </c>
      <c r="C32" s="85">
        <f>'Cap adjustment'!$C$31</f>
        <v>8.3784205223082341E-3</v>
      </c>
      <c r="D32" s="85">
        <f>'Cap adjustment'!$C$31</f>
        <v>8.3784205223082341E-3</v>
      </c>
      <c r="E32" s="85">
        <f>'Cap adjustment'!$C$31</f>
        <v>8.3784205223082341E-3</v>
      </c>
      <c r="F32" s="85">
        <f>'Cap adjustment'!$C$31</f>
        <v>8.3784205223082341E-3</v>
      </c>
      <c r="G32" s="85">
        <f>'Cap adjustment'!$C$31</f>
        <v>8.3784205223082341E-3</v>
      </c>
      <c r="H32" s="162">
        <f t="shared" ref="H32:H33" si="10">AVERAGE(C32:F32)</f>
        <v>8.3784205223082341E-3</v>
      </c>
      <c r="I32" s="162">
        <f>AVERAGE(C32:G32)</f>
        <v>8.3784205223082341E-3</v>
      </c>
      <c r="K32" s="72" t="s">
        <v>28</v>
      </c>
      <c r="L32" s="85">
        <f>'Cap adjustment'!$C$30</f>
        <v>1.3247068322693285</v>
      </c>
      <c r="M32" s="85">
        <f>'Cap adjustment'!$C$30</f>
        <v>1.3247068322693285</v>
      </c>
      <c r="N32" s="85">
        <f>'Cap adjustment'!$C$30</f>
        <v>1.3247068322693285</v>
      </c>
      <c r="O32" s="85">
        <f>'Cap adjustment'!$C$30</f>
        <v>1.3247068322693285</v>
      </c>
      <c r="P32" s="85">
        <f>'Cap adjustment'!$C$30</f>
        <v>1.3247068322693285</v>
      </c>
      <c r="Q32" s="162">
        <f t="shared" ref="Q32:Q33" si="11">AVERAGE(L32:O32)</f>
        <v>1.3247068322693285</v>
      </c>
      <c r="R32" s="162">
        <f>AVERAGE(L32:P32)</f>
        <v>1.3247068322693285</v>
      </c>
    </row>
    <row r="33" spans="2:18" s="70" customFormat="1">
      <c r="B33" s="72" t="s">
        <v>23</v>
      </c>
      <c r="C33" s="85">
        <f>'Cap adjustment'!$C$31</f>
        <v>8.3784205223082341E-3</v>
      </c>
      <c r="D33" s="85">
        <f>'Cap adjustment'!$C$31</f>
        <v>8.3784205223082341E-3</v>
      </c>
      <c r="E33" s="85">
        <f>'Cap adjustment'!$C$31</f>
        <v>8.3784205223082341E-3</v>
      </c>
      <c r="F33" s="85">
        <f>'Cap adjustment'!$C$31</f>
        <v>8.3784205223082341E-3</v>
      </c>
      <c r="G33" s="85">
        <f>'Cap adjustment'!$C$31</f>
        <v>8.3784205223082341E-3</v>
      </c>
      <c r="H33" s="162">
        <f t="shared" si="10"/>
        <v>8.3784205223082341E-3</v>
      </c>
      <c r="I33" s="162">
        <f>AVERAGE(C33:G33)</f>
        <v>8.3784205223082341E-3</v>
      </c>
      <c r="K33" s="72" t="s">
        <v>23</v>
      </c>
      <c r="L33" s="85">
        <f>'Cap adjustment'!$C$30</f>
        <v>1.3247068322693285</v>
      </c>
      <c r="M33" s="85">
        <f>'Cap adjustment'!$C$30</f>
        <v>1.3247068322693285</v>
      </c>
      <c r="N33" s="85">
        <f>'Cap adjustment'!$C$30</f>
        <v>1.3247068322693285</v>
      </c>
      <c r="O33" s="85">
        <f>'Cap adjustment'!$C$30</f>
        <v>1.3247068322693285</v>
      </c>
      <c r="P33" s="85">
        <f>'Cap adjustment'!$C$30</f>
        <v>1.3247068322693285</v>
      </c>
      <c r="Q33" s="162">
        <f t="shared" si="11"/>
        <v>1.3247068322693285</v>
      </c>
      <c r="R33" s="162">
        <f>AVERAGE(L33:P33)</f>
        <v>1.3247068322693285</v>
      </c>
    </row>
    <row r="34" spans="2:18">
      <c r="B34" s="113"/>
      <c r="C34" s="114"/>
      <c r="D34" s="114"/>
      <c r="E34" s="114"/>
      <c r="F34" s="114"/>
      <c r="G34" s="114"/>
      <c r="H34" s="114"/>
      <c r="I34" s="114"/>
      <c r="K34" s="113"/>
      <c r="L34" s="114"/>
      <c r="M34" s="114"/>
      <c r="N34" s="114"/>
      <c r="O34" s="114"/>
      <c r="P34" s="114"/>
      <c r="Q34" s="114"/>
      <c r="R34" s="114"/>
    </row>
    <row r="37" spans="2:18" s="70" customFormat="1">
      <c r="B37" s="101" t="s">
        <v>108</v>
      </c>
      <c r="C37" s="101"/>
      <c r="D37" s="101"/>
      <c r="E37" s="101"/>
      <c r="F37" s="101"/>
      <c r="G37" s="101"/>
      <c r="H37" s="101"/>
      <c r="I37" s="101"/>
      <c r="K37" s="101" t="s">
        <v>108</v>
      </c>
      <c r="L37" s="101"/>
      <c r="M37" s="101"/>
      <c r="N37" s="101"/>
      <c r="O37" s="101"/>
      <c r="P37" s="101"/>
      <c r="Q37" s="101"/>
      <c r="R37" s="101"/>
    </row>
    <row r="39" spans="2:18" s="70" customFormat="1">
      <c r="B39" s="102" t="s">
        <v>95</v>
      </c>
      <c r="K39" s="102" t="s">
        <v>96</v>
      </c>
      <c r="L39" s="87"/>
      <c r="M39" s="87"/>
      <c r="N39" s="87"/>
      <c r="O39" s="87"/>
      <c r="P39" s="87"/>
      <c r="Q39" s="87"/>
      <c r="R39" s="87"/>
    </row>
    <row r="40" spans="2:18" s="70" customFormat="1">
      <c r="B40" s="106" t="s">
        <v>27</v>
      </c>
      <c r="C40" s="107" t="s">
        <v>54</v>
      </c>
      <c r="D40" s="107" t="s">
        <v>55</v>
      </c>
      <c r="E40" s="107" t="s">
        <v>56</v>
      </c>
      <c r="F40" s="107" t="s">
        <v>57</v>
      </c>
      <c r="G40" s="107" t="s">
        <v>97</v>
      </c>
      <c r="H40" s="107" t="s">
        <v>98</v>
      </c>
      <c r="I40" s="107" t="s">
        <v>99</v>
      </c>
      <c r="K40" s="109" t="s">
        <v>27</v>
      </c>
      <c r="L40" s="107" t="s">
        <v>54</v>
      </c>
      <c r="M40" s="107" t="s">
        <v>55</v>
      </c>
      <c r="N40" s="107" t="s">
        <v>56</v>
      </c>
      <c r="O40" s="107" t="s">
        <v>57</v>
      </c>
      <c r="P40" s="107" t="s">
        <v>97</v>
      </c>
      <c r="Q40" s="107" t="s">
        <v>98</v>
      </c>
      <c r="R40" s="107" t="s">
        <v>99</v>
      </c>
    </row>
    <row r="41" spans="2:18" s="70" customFormat="1">
      <c r="B41" s="72" t="s">
        <v>100</v>
      </c>
      <c r="C41" s="85">
        <f>C8</f>
        <v>0.85127883932243942</v>
      </c>
      <c r="D41" s="85">
        <f t="shared" ref="D41:G41" si="12">D8</f>
        <v>0.87319999999999998</v>
      </c>
      <c r="E41" s="85">
        <f t="shared" si="12"/>
        <v>0.88534999999999997</v>
      </c>
      <c r="F41" s="85">
        <f t="shared" si="12"/>
        <v>0.84921772484102154</v>
      </c>
      <c r="G41" s="85">
        <f t="shared" si="12"/>
        <v>0.82874880711431775</v>
      </c>
      <c r="H41" s="162">
        <f>AVERAGE(C41:F41)</f>
        <v>0.86476164104086517</v>
      </c>
      <c r="I41" s="162">
        <f>AVERAGE($C41:$G41)</f>
        <v>0.85755907425555566</v>
      </c>
      <c r="K41" s="72"/>
      <c r="L41" s="110"/>
      <c r="M41" s="110"/>
      <c r="N41" s="110"/>
      <c r="O41" s="110"/>
      <c r="P41" s="110"/>
      <c r="Q41" s="111"/>
      <c r="R41" s="111"/>
    </row>
    <row r="42" spans="2:18" s="70" customFormat="1">
      <c r="B42" s="72" t="s">
        <v>21</v>
      </c>
      <c r="C42" s="85">
        <f>C9+C31</f>
        <v>1.3024104762963182</v>
      </c>
      <c r="D42" s="85">
        <f t="shared" ref="D42:G42" si="13">D9+D31</f>
        <v>1.1221954574176083</v>
      </c>
      <c r="E42" s="85">
        <f t="shared" si="13"/>
        <v>1.2504132598827677</v>
      </c>
      <c r="F42" s="85">
        <f t="shared" si="13"/>
        <v>1.1553547434727363</v>
      </c>
      <c r="G42" s="85">
        <f t="shared" si="13"/>
        <v>1.2539980317892112</v>
      </c>
      <c r="H42" s="162">
        <f>AVERAGE(C42:F42)</f>
        <v>1.2075934842673575</v>
      </c>
      <c r="I42" s="162">
        <f>AVERAGE(C42:G42)</f>
        <v>1.2168743937717283</v>
      </c>
      <c r="K42" s="72" t="s">
        <v>21</v>
      </c>
      <c r="L42" s="85">
        <f>L9+L31</f>
        <v>122.98699309363433</v>
      </c>
      <c r="M42" s="85">
        <f t="shared" ref="M42:P42" si="14">M9+M31</f>
        <v>114.57581048758833</v>
      </c>
      <c r="N42" s="85">
        <f t="shared" si="14"/>
        <v>131.40825519943473</v>
      </c>
      <c r="O42" s="85">
        <f t="shared" si="14"/>
        <v>109.55567057386091</v>
      </c>
      <c r="P42" s="85">
        <f t="shared" si="14"/>
        <v>131.94838413256852</v>
      </c>
      <c r="Q42" s="162">
        <f>AVERAGE(L42:O42)</f>
        <v>119.63168233862956</v>
      </c>
      <c r="R42" s="162">
        <f>AVERAGE(L42:P42)</f>
        <v>122.09502269741736</v>
      </c>
    </row>
    <row r="43" spans="2:18" s="70" customFormat="1">
      <c r="B43" s="72" t="s">
        <v>28</v>
      </c>
      <c r="C43" s="85">
        <f t="shared" ref="C43:G44" si="15">C10+C32</f>
        <v>2.340392180877068</v>
      </c>
      <c r="D43" s="85">
        <f t="shared" si="15"/>
        <v>2.4060350047177579</v>
      </c>
      <c r="E43" s="85">
        <f t="shared" si="15"/>
        <v>2.4856022009194971</v>
      </c>
      <c r="F43" s="85">
        <f t="shared" si="15"/>
        <v>2.2943220185097797</v>
      </c>
      <c r="G43" s="85">
        <f t="shared" si="15"/>
        <v>2.2428279039829047</v>
      </c>
      <c r="H43" s="162">
        <f t="shared" ref="H43:H44" si="16">AVERAGE(C43:F43)</f>
        <v>2.3815878512560253</v>
      </c>
      <c r="I43" s="162">
        <f>AVERAGE(C43:G43)</f>
        <v>2.353835861801401</v>
      </c>
      <c r="K43" s="72" t="s">
        <v>28</v>
      </c>
      <c r="L43" s="85">
        <f t="shared" ref="L43:P44" si="17">L10+L32</f>
        <v>262.09427679739235</v>
      </c>
      <c r="M43" s="85">
        <f t="shared" si="17"/>
        <v>267.17808856656234</v>
      </c>
      <c r="N43" s="85">
        <f t="shared" si="17"/>
        <v>306.48396191979577</v>
      </c>
      <c r="O43" s="85">
        <f t="shared" si="17"/>
        <v>284.80211350465805</v>
      </c>
      <c r="P43" s="85">
        <f t="shared" si="17"/>
        <v>279.5687932328824</v>
      </c>
      <c r="Q43" s="162">
        <f t="shared" ref="Q43:Q44" si="18">AVERAGE(L43:O43)</f>
        <v>280.13961019710212</v>
      </c>
      <c r="R43" s="162">
        <f>AVERAGE(L43:P43)</f>
        <v>280.02544680425819</v>
      </c>
    </row>
    <row r="44" spans="2:18" s="70" customFormat="1">
      <c r="B44" s="72" t="s">
        <v>23</v>
      </c>
      <c r="C44" s="85">
        <f t="shared" si="15"/>
        <v>4.6603385772324177</v>
      </c>
      <c r="D44" s="85">
        <f t="shared" si="15"/>
        <v>4.5556169963563384</v>
      </c>
      <c r="E44" s="85">
        <f t="shared" si="15"/>
        <v>4.8336789356911689</v>
      </c>
      <c r="F44" s="85">
        <f t="shared" si="15"/>
        <v>4.4013162594457871</v>
      </c>
      <c r="G44" s="85">
        <f t="shared" si="15"/>
        <v>4.1877857723602672</v>
      </c>
      <c r="H44" s="162">
        <f t="shared" si="16"/>
        <v>4.6127376921814278</v>
      </c>
      <c r="I44" s="162">
        <f>AVERAGE(C44:G44)</f>
        <v>4.5277473082171955</v>
      </c>
      <c r="K44" s="72" t="s">
        <v>23</v>
      </c>
      <c r="L44" s="85">
        <f t="shared" si="17"/>
        <v>752.01715064793837</v>
      </c>
      <c r="M44" s="85">
        <f t="shared" si="17"/>
        <v>707.91293010791935</v>
      </c>
      <c r="N44" s="85">
        <f t="shared" si="17"/>
        <v>908.60652730758159</v>
      </c>
      <c r="O44" s="85">
        <f t="shared" si="17"/>
        <v>763.25908350596558</v>
      </c>
      <c r="P44" s="85">
        <f t="shared" si="17"/>
        <v>815.19435820344552</v>
      </c>
      <c r="Q44" s="162">
        <f t="shared" si="18"/>
        <v>782.94892289235122</v>
      </c>
      <c r="R44" s="162">
        <f>AVERAGE(L44:P44)</f>
        <v>789.39800995457006</v>
      </c>
    </row>
    <row r="45" spans="2:18">
      <c r="B45" s="113"/>
      <c r="C45" s="114"/>
      <c r="D45" s="114"/>
      <c r="E45" s="114"/>
      <c r="F45" s="114"/>
      <c r="G45" s="114"/>
      <c r="H45" s="114"/>
      <c r="I45" s="114"/>
      <c r="K45" s="113"/>
      <c r="L45" s="114"/>
      <c r="M45" s="114"/>
      <c r="N45" s="114"/>
      <c r="O45" s="114"/>
      <c r="P45" s="114"/>
      <c r="Q45" s="114"/>
      <c r="R45" s="114"/>
    </row>
    <row r="47" spans="2:18">
      <c r="C47" s="148"/>
      <c r="D47" s="148"/>
      <c r="E47" s="148"/>
      <c r="F47" s="148"/>
      <c r="L47" s="148"/>
      <c r="M47" s="148"/>
      <c r="N47" s="148"/>
      <c r="O47" s="14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24"/>
  <sheetViews>
    <sheetView showGridLines="0" zoomScale="115" zoomScaleNormal="115" workbookViewId="0">
      <selection activeCell="D22" sqref="D22"/>
    </sheetView>
  </sheetViews>
  <sheetFormatPr defaultColWidth="9.28515625" defaultRowHeight="11.25"/>
  <cols>
    <col min="1" max="1" width="9.28515625" style="94"/>
    <col min="2" max="2" width="71.28515625" style="94" customWidth="1"/>
    <col min="3" max="3" width="13.28515625" style="125" customWidth="1"/>
    <col min="4" max="6" width="18.42578125" style="94" customWidth="1"/>
    <col min="7" max="7" width="10.5703125" style="94" customWidth="1"/>
    <col min="8" max="16384" width="9.28515625" style="94"/>
  </cols>
  <sheetData>
    <row r="2" spans="2:6">
      <c r="B2" s="69" t="s">
        <v>109</v>
      </c>
      <c r="C2" s="139"/>
      <c r="D2" s="140"/>
      <c r="E2" s="140"/>
      <c r="F2" s="140"/>
    </row>
    <row r="4" spans="2:6">
      <c r="B4" s="106" t="s">
        <v>110</v>
      </c>
      <c r="C4" s="108"/>
      <c r="D4" s="108" t="s">
        <v>21</v>
      </c>
      <c r="E4" s="108" t="s">
        <v>28</v>
      </c>
      <c r="F4" s="108" t="s">
        <v>23</v>
      </c>
    </row>
    <row r="5" spans="2:6" s="70" customFormat="1">
      <c r="B5" s="121" t="s">
        <v>111</v>
      </c>
      <c r="C5" s="123" t="s">
        <v>112</v>
      </c>
      <c r="D5" s="141">
        <f>'STPIS inputs'!D9</f>
        <v>40030</v>
      </c>
      <c r="E5" s="141">
        <f>'STPIS inputs'!E9</f>
        <v>40030</v>
      </c>
      <c r="F5" s="141">
        <f>'STPIS inputs'!F9</f>
        <v>40030</v>
      </c>
    </row>
    <row r="6" spans="2:6" s="70" customFormat="1">
      <c r="B6" s="121" t="s">
        <v>113</v>
      </c>
      <c r="C6" s="123" t="s">
        <v>114</v>
      </c>
      <c r="D6" s="141">
        <f>'STPIS inputs'!D7</f>
        <v>5294623.2316800598</v>
      </c>
      <c r="E6" s="141">
        <f>'STPIS inputs'!E7</f>
        <v>6907012.5553100659</v>
      </c>
      <c r="F6" s="141">
        <f>'STPIS inputs'!F7</f>
        <v>1394164.2130098729</v>
      </c>
    </row>
    <row r="7" spans="2:6" s="70" customFormat="1">
      <c r="B7" s="121" t="s">
        <v>115</v>
      </c>
      <c r="C7" s="123" t="s">
        <v>116</v>
      </c>
      <c r="D7" s="137">
        <f>'STPIS inputs'!$C$4</f>
        <v>1592400324.7387164</v>
      </c>
      <c r="E7" s="137">
        <f>'STPIS inputs'!$C$4</f>
        <v>1592400324.7387164</v>
      </c>
      <c r="F7" s="137">
        <f>'STPIS inputs'!$C$4</f>
        <v>1592400324.7387164</v>
      </c>
    </row>
    <row r="8" spans="2:6" s="70" customFormat="1">
      <c r="B8" s="121" t="s">
        <v>117</v>
      </c>
      <c r="C8" s="123" t="s">
        <v>118</v>
      </c>
      <c r="D8" s="142">
        <f>+'Annual performance and targets'!I42</f>
        <v>1.2168743937717283</v>
      </c>
      <c r="E8" s="142">
        <f>+'Annual performance and targets'!I43</f>
        <v>2.353835861801401</v>
      </c>
      <c r="F8" s="142">
        <f>+'Annual performance and targets'!I44</f>
        <v>4.5277473082171955</v>
      </c>
    </row>
    <row r="9" spans="2:6" s="70" customFormat="1">
      <c r="B9" s="121" t="s">
        <v>119</v>
      </c>
      <c r="C9" s="123" t="s">
        <v>120</v>
      </c>
      <c r="D9" s="142">
        <f>+'Annual performance and targets'!R42</f>
        <v>122.09502269741736</v>
      </c>
      <c r="E9" s="142">
        <f>+'Annual performance and targets'!R43</f>
        <v>280.02544680425819</v>
      </c>
      <c r="F9" s="142">
        <f>+'Annual performance and targets'!R44</f>
        <v>789.39800995457006</v>
      </c>
    </row>
    <row r="10" spans="2:6" s="70" customFormat="1">
      <c r="B10" s="121" t="s">
        <v>121</v>
      </c>
      <c r="C10" s="123" t="s">
        <v>122</v>
      </c>
      <c r="D10" s="123">
        <v>1.5</v>
      </c>
      <c r="E10" s="123">
        <v>1.5</v>
      </c>
      <c r="F10" s="123">
        <v>1.5</v>
      </c>
    </row>
    <row r="11" spans="2:6" s="70" customFormat="1">
      <c r="B11" s="121" t="s">
        <v>123</v>
      </c>
      <c r="C11" s="123" t="s">
        <v>49</v>
      </c>
      <c r="D11" s="130">
        <f>'STPIS inputs'!$C$11</f>
        <v>0.25303292894280749</v>
      </c>
      <c r="E11" s="130">
        <f>'STPIS inputs'!$C$11</f>
        <v>0.25303292894280749</v>
      </c>
      <c r="F11" s="130">
        <f>'STPIS inputs'!$C$11</f>
        <v>0.25303292894280749</v>
      </c>
    </row>
    <row r="12" spans="2:6" s="70" customFormat="1">
      <c r="B12" s="121" t="s">
        <v>124</v>
      </c>
      <c r="C12" s="123"/>
      <c r="D12" s="130">
        <f t="shared" ref="D12:F12" si="0">((D5*(1+D11)*(1-(1/(1+D10)))*D6)/D7)/(365.25*24*60)*100</f>
        <v>1.9025207903825305E-2</v>
      </c>
      <c r="E12" s="130">
        <f t="shared" si="0"/>
        <v>2.4819018107433533E-2</v>
      </c>
      <c r="F12" s="130">
        <f t="shared" si="0"/>
        <v>5.0096603372794266E-3</v>
      </c>
    </row>
    <row r="13" spans="2:6" s="70" customFormat="1">
      <c r="B13" s="121" t="s">
        <v>125</v>
      </c>
      <c r="C13" s="123"/>
      <c r="D13" s="130">
        <f t="shared" ref="D13:F13" si="1">((((((D5*(1+D11))/(1+D10))*D6))/D7)/(365.25*24*60))*(D9/D8)*100</f>
        <v>1.2725954312292433</v>
      </c>
      <c r="E13" s="130">
        <f t="shared" si="1"/>
        <v>1.9684059106988081</v>
      </c>
      <c r="F13" s="130">
        <f t="shared" si="1"/>
        <v>0.58227865228840159</v>
      </c>
    </row>
    <row r="16" spans="2:6">
      <c r="C16" s="143"/>
    </row>
    <row r="17" spans="2:3">
      <c r="C17" s="143"/>
    </row>
    <row r="19" spans="2:3">
      <c r="B19" s="144"/>
    </row>
    <row r="20" spans="2:3">
      <c r="B20" s="144"/>
    </row>
    <row r="22" spans="2:3">
      <c r="B22" s="145"/>
    </row>
    <row r="23" spans="2:3">
      <c r="B23" s="144"/>
    </row>
    <row r="24" spans="2:3">
      <c r="B24" s="146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3F23-320B-4D62-A6A0-1EA8DCC46B42}">
  <dimension ref="A1:AH6"/>
  <sheetViews>
    <sheetView zoomScale="115" zoomScaleNormal="115" workbookViewId="0">
      <selection activeCell="J19" sqref="J19"/>
    </sheetView>
  </sheetViews>
  <sheetFormatPr defaultColWidth="9.28515625" defaultRowHeight="14.25"/>
  <cols>
    <col min="1" max="2" width="9.28515625" style="66"/>
    <col min="3" max="3" width="17" style="66" bestFit="1" customWidth="1"/>
    <col min="4" max="16384" width="9.28515625" style="66"/>
  </cols>
  <sheetData>
    <row r="1" spans="1:34" s="65" customFormat="1">
      <c r="A1" s="62"/>
      <c r="B1" s="29" t="s">
        <v>126</v>
      </c>
      <c r="C1" s="62"/>
      <c r="D1" s="62"/>
      <c r="E1" s="62"/>
      <c r="F1" s="62"/>
      <c r="G1" s="62"/>
      <c r="H1" s="62"/>
      <c r="I1" s="62"/>
      <c r="J1" s="30"/>
      <c r="K1" s="30"/>
      <c r="L1" s="30"/>
      <c r="M1" s="30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3"/>
      <c r="AC1" s="63"/>
      <c r="AD1" s="63"/>
      <c r="AE1" s="63"/>
      <c r="AF1" s="63"/>
      <c r="AG1" s="64"/>
      <c r="AH1" s="64"/>
    </row>
    <row r="2" spans="1:34" s="31" customFormat="1">
      <c r="B2" s="32"/>
      <c r="C2" s="33"/>
      <c r="D2" s="33"/>
      <c r="E2" s="33"/>
      <c r="F2" s="34"/>
      <c r="G2" s="35"/>
      <c r="H2" s="3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</row>
    <row r="3" spans="1:34" s="31" customFormat="1" ht="11.25">
      <c r="B3" s="37" t="s">
        <v>127</v>
      </c>
      <c r="C3" s="38" t="s">
        <v>128</v>
      </c>
      <c r="D3" s="38" t="s">
        <v>129</v>
      </c>
      <c r="E3" s="39"/>
      <c r="F3" s="40"/>
      <c r="G3" s="41"/>
      <c r="H3" s="36"/>
    </row>
    <row r="4" spans="1:34" s="31" customFormat="1" ht="11.25">
      <c r="B4" s="32"/>
      <c r="D4" s="31" t="s">
        <v>130</v>
      </c>
      <c r="E4" s="33"/>
      <c r="F4" s="34"/>
      <c r="G4" s="35"/>
      <c r="H4" s="36"/>
    </row>
    <row r="5" spans="1:34" s="31" customFormat="1" ht="11.25">
      <c r="B5" s="61">
        <v>45168</v>
      </c>
      <c r="C5" s="42" t="s">
        <v>131</v>
      </c>
      <c r="D5" s="31" t="s">
        <v>132</v>
      </c>
      <c r="E5" s="33"/>
      <c r="F5" s="34"/>
      <c r="G5" s="35"/>
      <c r="H5" s="36"/>
    </row>
    <row r="6" spans="1:34">
      <c r="B6" s="61">
        <v>45168</v>
      </c>
      <c r="C6" s="42" t="s">
        <v>133</v>
      </c>
      <c r="D6" s="31" t="s">
        <v>134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 A C C C a n d A E R ! 1 5 8 0 7 2 8 4 . 1 < / d o c u m e n t i d >  
     < s e n d e r i d > P W U < / s e n d e r i d >  
     < s e n d e r e m a i l > P A T R I C K . W U @ A C C C . G O V . A U < / s e n d e r e m a i l >  
     < l a s t m o d i f i e d > 2 0 2 3 - 0 9 - 2 0 T 0 8 : 1 7 : 3 1 . 0 0 0 0 0 0 0 + 1 0 : 0 0 < / l a s t m o d i f i e d >  
     < d a t a b a s e > A C C C a n d A E R < / d a t a b a s e >  
 < / p r o p e r t i e s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6314a3-02c5-49ae-9e9b-4170ca21d125" xsi:nil="true"/>
    <_ip_UnifiedCompliancePolicyUIAction xmlns="http://schemas.microsoft.com/sharepoint/v3" xsi:nil="true"/>
    <lcf76f155ced4ddcb4097134ff3c332f xmlns="db304e25-41f7-439f-a0b4-57d6fe7814bb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7E261F1861D46A9AC2E8912814C9C" ma:contentTypeVersion="19" ma:contentTypeDescription="Create a new document." ma:contentTypeScope="" ma:versionID="7e66c6d821b81934021b30d09778e8f3">
  <xsd:schema xmlns:xsd="http://www.w3.org/2001/XMLSchema" xmlns:xs="http://www.w3.org/2001/XMLSchema" xmlns:p="http://schemas.microsoft.com/office/2006/metadata/properties" xmlns:ns1="http://schemas.microsoft.com/sharepoint/v3" xmlns:ns2="db304e25-41f7-439f-a0b4-57d6fe7814bb" xmlns:ns3="2b6314a3-02c5-49ae-9e9b-4170ca21d125" targetNamespace="http://schemas.microsoft.com/office/2006/metadata/properties" ma:root="true" ma:fieldsID="d0fba248f1d7bcfe80765fa22ba57fab" ns1:_="" ns2:_="" ns3:_="">
    <xsd:import namespace="http://schemas.microsoft.com/sharepoint/v3"/>
    <xsd:import namespace="db304e25-41f7-439f-a0b4-57d6fe7814bb"/>
    <xsd:import namespace="2b6314a3-02c5-49ae-9e9b-4170ca21d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04e25-41f7-439f-a0b4-57d6fe781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123674a-7107-482d-9678-6238db5811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314a3-02c5-49ae-9e9b-4170ca21d1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b024dee-35df-4756-b282-d7f9fc42c13b}" ma:internalName="TaxCatchAll" ma:showField="CatchAllData" ma:web="2b6314a3-02c5-49ae-9e9b-4170ca21d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296BDD-9822-4B10-8FBC-A83108FF41A4}">
  <ds:schemaRefs>
    <ds:schemaRef ds:uri="http://www.imanage.com/work/xmlschema"/>
  </ds:schemaRefs>
</ds:datastoreItem>
</file>

<file path=customXml/itemProps2.xml><?xml version="1.0" encoding="utf-8"?>
<ds:datastoreItem xmlns:ds="http://schemas.openxmlformats.org/officeDocument/2006/customXml" ds:itemID="{5E472E08-CC30-4362-88AA-B9EC68F20FF4}">
  <ds:schemaRefs>
    <ds:schemaRef ds:uri="http://schemas.microsoft.com/office/2006/documentManagement/types"/>
    <ds:schemaRef ds:uri="2b6314a3-02c5-49ae-9e9b-4170ca21d125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schemas.microsoft.com/sharepoint/v3"/>
    <ds:schemaRef ds:uri="http://schemas.openxmlformats.org/package/2006/metadata/core-properties"/>
    <ds:schemaRef ds:uri="db304e25-41f7-439f-a0b4-57d6fe7814bb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7643B0A-1560-4EEA-84B1-095E5E1A58E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E99B8E3-35A4-472A-81A9-30036D131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304e25-41f7-439f-a0b4-57d6fe7814bb"/>
    <ds:schemaRef ds:uri="2b6314a3-02c5-49ae-9e9b-4170ca21d1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Output | Decision tables</vt:lpstr>
      <vt:lpstr>STPIS inputs</vt:lpstr>
      <vt:lpstr>Cap adjustment</vt:lpstr>
      <vt:lpstr>Annual performance and targets</vt:lpstr>
      <vt:lpstr>Incentive rates calc</vt:lpstr>
      <vt:lpstr>Change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2021-10-04T03:52:19Z</dcterms:created>
  <dcterms:modified xsi:type="dcterms:W3CDTF">2024-11-12T03:35:11Z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0x010100DA87E261F1861D46A9AC2E8912814C9C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{813152b7-69c2-464f-b7a1-05afac6a8a9a}</vt:lpwstr>
  </property>
  <property fmtid="{D5CDD505-2E9C-101B-9397-08002B2CF9AE}" pid="5" name="RecordPoint_ActiveItemListId">
    <vt:lpwstr>{cdf0dde9-ebef-4e0b-9cde-c91850d92f2d}</vt:lpwstr>
  </property>
  <property fmtid="{D5CDD505-2E9C-101B-9397-08002B2CF9AE}" pid="6" name="RecordPoint_ActiveItemUniqueId">
    <vt:lpwstr>{54e45a2b-5305-435a-b38e-cdb4050c6290}</vt:lpwstr>
  </property>
  <property fmtid="{D5CDD505-2E9C-101B-9397-08002B2CF9AE}" pid="7" name="RecordPoint_ActiveItemWebId">
    <vt:lpwstr>{0e6c1e0d-ce9b-4acb-bd7f-e21f20d4c138}</vt:lpwstr>
  </property>
  <property fmtid="{D5CDD505-2E9C-101B-9397-08002B2CF9AE}" pid="8" name="AP Year">
    <vt:lpwstr/>
  </property>
  <property fmtid="{D5CDD505-2E9C-101B-9397-08002B2CF9AE}" pid="9" name="Primary Audience">
    <vt:lpwstr/>
  </property>
  <property fmtid="{D5CDD505-2E9C-101B-9397-08002B2CF9AE}" pid="10" name="Network">
    <vt:lpwstr>65;#Transmission|057fc33d-fae5-41b9-87e5-dc1e3aa504ba</vt:lpwstr>
  </property>
  <property fmtid="{D5CDD505-2E9C-101B-9397-08002B2CF9AE}" pid="11" name="AP Category">
    <vt:lpwstr/>
  </property>
  <property fmtid="{D5CDD505-2E9C-101B-9397-08002B2CF9AE}" pid="12" name="AP Other">
    <vt:lpwstr/>
  </property>
  <property fmtid="{D5CDD505-2E9C-101B-9397-08002B2CF9AE}" pid="13" name="RecordPoint_RecordNumberSubmitted">
    <vt:lpwstr>R0002365121</vt:lpwstr>
  </property>
  <property fmtid="{D5CDD505-2E9C-101B-9397-08002B2CF9AE}" pid="14" name="RecordPoint_SubmissionCompleted">
    <vt:lpwstr>2023-01-24T08:50:08.3374086+11:00</vt:lpwstr>
  </property>
  <property fmtid="{D5CDD505-2E9C-101B-9397-08002B2CF9AE}" pid="15" name="Determination Category">
    <vt:lpwstr>59;#Models and Pricing Tariffs|2d578944-a888-48cf-9157-a3f07df87eae</vt:lpwstr>
  </property>
  <property fmtid="{D5CDD505-2E9C-101B-9397-08002B2CF9AE}" pid="16" name="Determination Activity">
    <vt:lpwstr>16;#Revenue Proposal|f3980111-814c-44b7-9aa4-fe076fe6d80d</vt:lpwstr>
  </property>
  <property fmtid="{D5CDD505-2E9C-101B-9397-08002B2CF9AE}" pid="17" name="RecordPoint_SubmissionDate">
    <vt:lpwstr/>
  </property>
  <property fmtid="{D5CDD505-2E9C-101B-9397-08002B2CF9AE}" pid="18" name="RecordPoint_RecordFormat">
    <vt:lpwstr/>
  </property>
  <property fmtid="{D5CDD505-2E9C-101B-9397-08002B2CF9AE}" pid="19" name="RecordPoint_ActiveItemMoved">
    <vt:lpwstr/>
  </property>
  <property fmtid="{D5CDD505-2E9C-101B-9397-08002B2CF9AE}" pid="20" name="MSIP_Label_d9d5a995-dfdf-4407-9a97-edbbc68c9f53_Enabled">
    <vt:lpwstr>true</vt:lpwstr>
  </property>
  <property fmtid="{D5CDD505-2E9C-101B-9397-08002B2CF9AE}" pid="21" name="MSIP_Label_d9d5a995-dfdf-4407-9a97-edbbc68c9f53_SetDate">
    <vt:lpwstr>2024-06-25T23:38:38Z</vt:lpwstr>
  </property>
  <property fmtid="{D5CDD505-2E9C-101B-9397-08002B2CF9AE}" pid="22" name="MSIP_Label_d9d5a995-dfdf-4407-9a97-edbbc68c9f53_Method">
    <vt:lpwstr>Privileged</vt:lpwstr>
  </property>
  <property fmtid="{D5CDD505-2E9C-101B-9397-08002B2CF9AE}" pid="23" name="MSIP_Label_d9d5a995-dfdf-4407-9a97-edbbc68c9f53_Name">
    <vt:lpwstr>OFFICIAL</vt:lpwstr>
  </property>
  <property fmtid="{D5CDD505-2E9C-101B-9397-08002B2CF9AE}" pid="24" name="MSIP_Label_d9d5a995-dfdf-4407-9a97-edbbc68c9f53_SiteId">
    <vt:lpwstr>b33e9e1a-e443-4edd-9789-24bed26d38d6</vt:lpwstr>
  </property>
  <property fmtid="{D5CDD505-2E9C-101B-9397-08002B2CF9AE}" pid="25" name="MSIP_Label_d9d5a995-dfdf-4407-9a97-edbbc68c9f53_ActionId">
    <vt:lpwstr>191e0bff-8823-4239-aab0-3c23069629cb</vt:lpwstr>
  </property>
  <property fmtid="{D5CDD505-2E9C-101B-9397-08002B2CF9AE}" pid="26" name="MSIP_Label_d9d5a995-dfdf-4407-9a97-edbbc68c9f53_ContentBits">
    <vt:lpwstr>0</vt:lpwstr>
  </property>
  <property fmtid="{D5CDD505-2E9C-101B-9397-08002B2CF9AE}" pid="27" name="MediaServiceImageTags">
    <vt:lpwstr/>
  </property>
</Properties>
</file>