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CD754FC4-9EE3-44B4-AF29-64273277F9DD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AER draft decision amendments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externalReferences>
    <externalReference r:id="rId8"/>
    <externalReference r:id="rId9"/>
  </externalReference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 localSheetId="1">#REF!</definedName>
    <definedName name="Asset25" localSheetId="1">#REF!</definedName>
    <definedName name="Asset26" localSheetId="1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0">#REF!</definedName>
    <definedName name="Asset6">#REF!</definedName>
    <definedName name="Asset7">#REF!</definedName>
    <definedName name="Asset8">#REF!</definedName>
    <definedName name="Asset9">#REF!</definedName>
    <definedName name="CRCP_final_year">#REF!</definedName>
    <definedName name="CRCP_span">CONCATENATE(CRCP_y1, " to ",CRCP_y5)</definedName>
    <definedName name="CRCP_y1">#REF!</definedName>
    <definedName name="CRCP_y10">#REF!</definedName>
    <definedName name="CRCP_y11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663_List">#REF!</definedName>
    <definedName name="dms_AAD_AC_VALUES">#REF!</definedName>
    <definedName name="dms_ABN_List">#REF!</definedName>
    <definedName name="dms_ACE_AC_VALUES">#REF!</definedName>
    <definedName name="dms_Addr1_List">#REF!</definedName>
    <definedName name="dms_Addr2_List">#REF!</definedName>
    <definedName name="dms_Amendment_Text">#REF!</definedName>
    <definedName name="dms_Cal_Year_B4_CRY">#REF!</definedName>
    <definedName name="dms_CBD_flag">#REF!</definedName>
    <definedName name="dms_CF_8.1_Neg">#REF!</definedName>
    <definedName name="dms_CF_TradingName">#REF!</definedName>
    <definedName name="dms_Confid_status_List">#REF!</definedName>
    <definedName name="dms_CRCP_start_row">#REF!</definedName>
    <definedName name="dms_CRCPlength_List">#REF!</definedName>
    <definedName name="dms_CRCPlength_Num">#REF!</definedName>
    <definedName name="dms_CRY_RYE">#REF!</definedName>
    <definedName name="dms_CRY_start_row">#REF!</definedName>
    <definedName name="dms_CRY_start_year">#REF!</definedName>
    <definedName name="dms_DataQuality_List">#REF!</definedName>
    <definedName name="dms_DeterminationRef_List">#REF!</definedName>
    <definedName name="dms_DollarReal_year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ormControl_List">#REF!</definedName>
    <definedName name="dms_FRCP_start_row">#REF!</definedName>
    <definedName name="dms_FRCPlength_List">#REF!</definedName>
    <definedName name="dms_FRCPlength_Num">#REF!</definedName>
    <definedName name="dms_Header_Span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_List">#REF!</definedName>
    <definedName name="dms_PSuburb_List">#REF!</definedName>
    <definedName name="dms_Public_Lighting_List">#REF!</definedName>
    <definedName name="dms_Reset_final_year">#REF!</definedName>
    <definedName name="dms_Reset_RYE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Source">#REF!</definedName>
    <definedName name="dms_ShortRural_flag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_List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orksheet_List">#REF!</definedName>
    <definedName name="dms_y1">#REF!</definedName>
    <definedName name="dollars" localSheetId="1">#REF!</definedName>
    <definedName name="dollars">#REF!</definedName>
    <definedName name="factor" localSheetId="1">#REF!</definedName>
    <definedName name="factor">#REF!</definedName>
    <definedName name="FRCP_final_year">#REF!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millions" localSheetId="1">#REF!</definedName>
    <definedName name="millions">#REF!</definedName>
    <definedName name="Nominal_to_Real" localSheetId="1">#REF!</definedName>
    <definedName name="Nominal_to_Real">#REF!</definedName>
    <definedName name="number" localSheetId="1">#REF!</definedName>
    <definedName name="number">#REF!</definedName>
    <definedName name="percent" localSheetId="1">#REF!</definedName>
    <definedName name="percent" localSheetId="6">#REF!</definedName>
    <definedName name="percent">#REF!</definedName>
    <definedName name="PRCP_final_year">#REF!</definedName>
    <definedName name="PRCP_y1">#REF!</definedName>
    <definedName name="PRCP_y10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RAB">#REF!</definedName>
    <definedName name="thousands" localSheetId="1">#REF!</definedName>
    <definedName name="thousands">#REF!</definedName>
    <definedName name="unit" localSheetId="1">#REF!</definedName>
    <definedName name="unit">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</definedNames>
  <calcPr calcId="191029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3" l="1"/>
  <c r="K20" i="3"/>
  <c r="L19" i="3"/>
  <c r="K19" i="3"/>
  <c r="L18" i="3"/>
  <c r="K18" i="3"/>
  <c r="J23" i="3"/>
  <c r="I23" i="3"/>
  <c r="H23" i="3"/>
  <c r="K23" i="3" l="1"/>
  <c r="L23" i="3"/>
  <c r="G13" i="13"/>
  <c r="H13" i="13"/>
  <c r="I13" i="13"/>
  <c r="M9" i="13" l="1"/>
  <c r="N9" i="13" s="1"/>
  <c r="O9" i="13" s="1"/>
  <c r="P9" i="13" s="1"/>
  <c r="K22" i="13"/>
  <c r="H9" i="4" s="1"/>
  <c r="J22" i="13"/>
  <c r="G9" i="4" s="1"/>
  <c r="I22" i="13"/>
  <c r="F9" i="4" s="1"/>
  <c r="H22" i="13"/>
  <c r="E9" i="4" s="1"/>
  <c r="H13" i="2"/>
  <c r="G13" i="2"/>
  <c r="F13" i="2"/>
  <c r="E13" i="2"/>
  <c r="D13" i="2"/>
  <c r="D18" i="2"/>
  <c r="E18" i="2"/>
  <c r="F18" i="2"/>
  <c r="G18" i="2"/>
  <c r="H18" i="2"/>
  <c r="G7" i="13"/>
  <c r="F7" i="13" s="1"/>
  <c r="M7" i="13"/>
  <c r="N7" i="13"/>
  <c r="N19" i="13" s="1"/>
  <c r="O7" i="13"/>
  <c r="P7" i="13"/>
  <c r="L7" i="13"/>
  <c r="L19" i="13" s="1"/>
  <c r="H7" i="13"/>
  <c r="I7" i="13"/>
  <c r="I19" i="13" s="1"/>
  <c r="J7" i="13"/>
  <c r="J19" i="13" s="1"/>
  <c r="K7" i="13"/>
  <c r="D18" i="4"/>
  <c r="D8" i="4"/>
  <c r="E7" i="4"/>
  <c r="F7" i="4"/>
  <c r="G7" i="4"/>
  <c r="H7" i="4"/>
  <c r="D7" i="4"/>
  <c r="M19" i="13"/>
  <c r="P19" i="13"/>
  <c r="O19" i="13"/>
  <c r="H19" i="13"/>
  <c r="K19" i="13"/>
  <c r="H8" i="4"/>
  <c r="G8" i="4"/>
  <c r="F8" i="4"/>
  <c r="E8" i="4"/>
  <c r="B1" i="2"/>
  <c r="B1" i="4" s="1"/>
  <c r="D40" i="4"/>
  <c r="J6" i="10"/>
  <c r="F8" i="10"/>
  <c r="C42" i="4" s="1"/>
  <c r="E40" i="4"/>
  <c r="K6" i="10"/>
  <c r="F40" i="4"/>
  <c r="L6" i="10" s="1"/>
  <c r="G40" i="4"/>
  <c r="M6" i="10"/>
  <c r="H40" i="4"/>
  <c r="N6" i="10"/>
  <c r="H24" i="4"/>
  <c r="G24" i="4"/>
  <c r="F24" i="4"/>
  <c r="E24" i="4"/>
  <c r="D24" i="4"/>
  <c r="C44" i="4" l="1"/>
  <c r="C15" i="13"/>
  <c r="C10" i="13"/>
  <c r="G19" i="13"/>
  <c r="B1" i="5"/>
  <c r="B1" i="10"/>
  <c r="B1" i="13"/>
  <c r="G10" i="13"/>
  <c r="H10" i="13" s="1"/>
  <c r="I10" i="13" s="1"/>
  <c r="J10" i="13" s="1"/>
  <c r="K10" i="13" s="1"/>
  <c r="L10" i="13" s="1"/>
  <c r="G19" i="4"/>
  <c r="F19" i="4" s="1"/>
  <c r="E19" i="4" s="1"/>
  <c r="D19" i="4" s="1"/>
  <c r="D21" i="4" s="1"/>
  <c r="M14" i="13" l="1"/>
  <c r="G15" i="13"/>
  <c r="G22" i="13"/>
  <c r="D9" i="4" s="1"/>
  <c r="M10" i="13"/>
  <c r="D10" i="4" l="1"/>
  <c r="H15" i="13"/>
  <c r="N14" i="13"/>
  <c r="N10" i="13"/>
  <c r="I15" i="13" l="1"/>
  <c r="E10" i="4"/>
  <c r="O14" i="13"/>
  <c r="O10" i="13"/>
  <c r="P14" i="13" l="1"/>
  <c r="F10" i="4"/>
  <c r="J15" i="13"/>
  <c r="P10" i="13"/>
  <c r="G10" i="4" l="1"/>
  <c r="K15" i="13"/>
  <c r="D26" i="4" l="1"/>
  <c r="H10" i="4"/>
  <c r="L15" i="13"/>
  <c r="M15" i="13" l="1"/>
  <c r="E26" i="4"/>
  <c r="N15" i="13" l="1"/>
  <c r="F26" i="4"/>
  <c r="O15" i="13" l="1"/>
  <c r="G26" i="4"/>
  <c r="P15" i="13" l="1"/>
  <c r="H26" i="4"/>
  <c r="H11" i="4" l="1"/>
  <c r="H12" i="4" s="1"/>
  <c r="H20" i="4" s="1"/>
  <c r="G11" i="4" l="1"/>
  <c r="G12" i="4" s="1"/>
  <c r="H16" i="4" l="1"/>
  <c r="G20" i="4"/>
  <c r="E11" i="4" l="1"/>
  <c r="E12" i="4" s="1"/>
  <c r="F11" i="4"/>
  <c r="F12" i="4" s="1"/>
  <c r="D11" i="4"/>
  <c r="D12" i="4" s="1"/>
  <c r="E13" i="4" l="1"/>
  <c r="E18" i="4" s="1"/>
  <c r="E21" i="4" s="1"/>
  <c r="F13" i="4"/>
  <c r="G13" i="4"/>
  <c r="H13" i="4"/>
  <c r="D20" i="4"/>
  <c r="H15" i="4"/>
  <c r="G15" i="4"/>
  <c r="F20" i="4"/>
  <c r="G14" i="4"/>
  <c r="F14" i="4"/>
  <c r="H14" i="4"/>
  <c r="E20" i="4"/>
  <c r="F18" i="4" l="1"/>
  <c r="F21" i="4" s="1"/>
  <c r="H18" i="4"/>
  <c r="H21" i="4" s="1"/>
  <c r="G18" i="4"/>
  <c r="G21" i="4" s="1"/>
  <c r="D35" i="4" l="1"/>
  <c r="M21" i="13" l="1"/>
  <c r="M22" i="13" s="1"/>
  <c r="E25" i="4" s="1"/>
  <c r="L21" i="13"/>
  <c r="P21" i="13"/>
  <c r="P22" i="13" s="1"/>
  <c r="H25" i="4" s="1"/>
  <c r="O21" i="13" l="1"/>
  <c r="O22" i="13" s="1"/>
  <c r="G25" i="4" s="1"/>
  <c r="N21" i="13"/>
  <c r="N22" i="13" s="1"/>
  <c r="F25" i="4" s="1"/>
  <c r="L22" i="13"/>
  <c r="D25" i="4" s="1"/>
  <c r="D27" i="4" s="1"/>
  <c r="D28" i="4" s="1"/>
  <c r="D41" i="4"/>
  <c r="E41" i="4" s="1"/>
  <c r="F41" i="4" s="1"/>
  <c r="G41" i="4" s="1"/>
  <c r="H41" i="4" s="1"/>
  <c r="H27" i="4" l="1"/>
  <c r="H28" i="4" s="1"/>
  <c r="E27" i="4"/>
  <c r="E28" i="4" s="1"/>
  <c r="F27" i="4"/>
  <c r="F28" i="4" s="1"/>
  <c r="G27" i="4"/>
  <c r="G28" i="4" s="1"/>
  <c r="D31" i="4" l="1"/>
  <c r="D34" i="4"/>
  <c r="D36" i="4" s="1"/>
  <c r="D42" i="4" s="1"/>
  <c r="D33" i="4"/>
  <c r="J8" i="10" l="1"/>
  <c r="E42" i="4"/>
  <c r="K8" i="10" l="1"/>
  <c r="F42" i="4"/>
  <c r="L8" i="10" l="1"/>
  <c r="G42" i="4"/>
  <c r="M8" i="10" l="1"/>
  <c r="H42" i="4"/>
  <c r="N8" i="10" l="1"/>
  <c r="O8" i="10" s="1"/>
  <c r="D44" i="4"/>
</calcChain>
</file>

<file path=xl/sharedStrings.xml><?xml version="1.0" encoding="utf-8"?>
<sst xmlns="http://schemas.openxmlformats.org/spreadsheetml/2006/main" count="258" uniqueCount="142">
  <si>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</si>
  <si>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</si>
  <si>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</si>
  <si>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</si>
  <si>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</si>
  <si>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</si>
  <si>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</si>
  <si>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</si>
  <si>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</si>
  <si>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</si>
  <si>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</si>
  <si>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</si>
  <si>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</si>
  <si>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</si>
  <si>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</si>
  <si>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</si>
  <si>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</si>
  <si>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</si>
  <si>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</si>
  <si>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</si>
  <si>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</si>
  <si>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</si>
  <si>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</si>
  <si>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</si>
  <si>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</si>
  <si>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</si>
  <si>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</si>
  <si>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</si>
  <si>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</si>
  <si>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</si>
  <si>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</si>
  <si>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</si>
  <si>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</si>
  <si>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</si>
  <si>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</si>
  <si>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</si>
  <si>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</si>
  <si>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</si>
  <si>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</si>
  <si>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</si>
  <si>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</si>
  <si>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</si>
  <si>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</si>
  <si>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</si>
  <si>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</si>
  <si>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</si>
  <si>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</si>
  <si>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</si>
  <si>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</si>
  <si>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</si>
  <si>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</si>
  <si>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</si>
  <si>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</si>
  <si>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</si>
  <si>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</si>
  <si>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</si>
  <si>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</si>
  <si>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</si>
  <si>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</si>
  <si>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</si>
  <si>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</si>
  <si>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</si>
  <si>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</si>
  <si>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</si>
  <si>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</si>
  <si>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</si>
  <si>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</si>
  <si>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</si>
  <si>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</si>
  <si>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</si>
  <si>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</si>
  <si>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</si>
  <si>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</si>
  <si>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</si>
  <si>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</si>
  <si>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</si>
  <si>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</si>
  <si>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</si>
  <si>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</si>
  <si>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</si>
  <si>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</si>
  <si>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</si>
  <si>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</si>
  <si>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</si>
  <si>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</si>
  <si>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</si>
  <si>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</si>
  <si>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</si>
  <si>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</si>
  <si>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</si>
  <si>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</si>
  <si>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</si>
  <si>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</si>
  <si>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</si>
  <si>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</si>
  <si>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</si>
  <si>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</si>
  <si>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</si>
  <si>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</si>
  <si>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</si>
  <si>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</si>
  <si>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2025-26</t>
  </si>
  <si>
    <t>Ergon</t>
  </si>
  <si>
    <t>2025-30</t>
  </si>
  <si>
    <t>AER draft decision amendments</t>
  </si>
  <si>
    <t>#</t>
  </si>
  <si>
    <t>Sheet</t>
  </si>
  <si>
    <t>Reference</t>
  </si>
  <si>
    <t>Note</t>
  </si>
  <si>
    <t>the AER's draft decision amendments are highlighted in green</t>
  </si>
  <si>
    <t>D8</t>
  </si>
  <si>
    <t>Amended year label to be consistent with our standard format</t>
  </si>
  <si>
    <t>J13, K13</t>
  </si>
  <si>
    <t>Updated actual and estimated CPI</t>
  </si>
  <si>
    <t>L14</t>
  </si>
  <si>
    <t>Updated forecast CPI for 2025-30 period</t>
  </si>
  <si>
    <t>L21:P21</t>
  </si>
  <si>
    <t>Updated 25-30 real vanilla WACC</t>
  </si>
  <si>
    <t>H18:J18</t>
  </si>
  <si>
    <t>Set consistent with the RFM inputs</t>
  </si>
  <si>
    <t>Amended to be consistent with annual reporting RIN</t>
  </si>
  <si>
    <t>K20, L20</t>
  </si>
  <si>
    <t>Reflects fleet disposal amendments</t>
  </si>
  <si>
    <t>H21:J21</t>
  </si>
  <si>
    <t>D7</t>
  </si>
  <si>
    <t>Amended label to draft decision</t>
  </si>
  <si>
    <t>Updated 24-25 real vanilla WACC to be consistent with our latest return on debt PTRM</t>
  </si>
  <si>
    <t>K20</t>
  </si>
  <si>
    <t>H19:J20</t>
  </si>
  <si>
    <t>Reflected the ICT exclusion and ex post review impact directly into the RFM inputs (amendment #7)</t>
  </si>
  <si>
    <t>Ergon 2025-30 Draft Decision - Capital expenditure sharing scheme model</t>
  </si>
  <si>
    <t>2020–21</t>
  </si>
  <si>
    <t>2021–22</t>
  </si>
  <si>
    <t>2022–23</t>
  </si>
  <si>
    <t>2023–24</t>
  </si>
  <si>
    <t>2024–25</t>
  </si>
  <si>
    <t>2019–20</t>
  </si>
  <si>
    <t>2026–27</t>
  </si>
  <si>
    <t>2027–28</t>
  </si>
  <si>
    <t>2028–29</t>
  </si>
  <si>
    <t>2029–30</t>
  </si>
  <si>
    <t>Revised Regulatory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</si>
</sst>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</fonts>
  <fills count="6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8CD7C0"/>
        <bgColor indexed="64"/>
      </patternFill>
    </fill>
    <fill>
      <patternFill patternType="solid">
        <fgColor rgb="FF8CD7C0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8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7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5" fillId="50" borderId="0" applyBorder="0" applyAlignment="0"/>
    <xf numFmtId="192" fontId="96" fillId="28" borderId="35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6" borderId="0">
      <alignment horizontal="left" vertical="center"/>
      <protection locked="0"/>
    </xf>
    <xf numFmtId="0" fontId="105" fillId="55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5" borderId="44">
      <alignment vertical="center"/>
    </xf>
    <xf numFmtId="167" fontId="107" fillId="0" borderId="0" applyFont="0" applyFill="0" applyBorder="0" applyAlignment="0" applyProtection="0"/>
    <xf numFmtId="0" fontId="107" fillId="0" borderId="0"/>
    <xf numFmtId="0" fontId="23" fillId="0" borderId="0"/>
  </cellStyleXfs>
  <cellXfs count="219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70" fontId="17" fillId="0" borderId="0" xfId="3" applyNumberFormat="1" applyFont="1" applyProtection="1"/>
    <xf numFmtId="170" fontId="19" fillId="0" borderId="0" xfId="3" applyNumberFormat="1" applyFont="1" applyAlignment="1" applyProtection="1">
      <alignment horizontal="center"/>
    </xf>
    <xf numFmtId="170" fontId="17" fillId="0" borderId="0" xfId="3" applyNumberFormat="1" applyFont="1" applyAlignment="1" applyProtection="1">
      <alignment horizontal="center"/>
    </xf>
    <xf numFmtId="170" fontId="22" fillId="0" borderId="0" xfId="3" applyNumberFormat="1" applyFont="1" applyProtection="1"/>
    <xf numFmtId="170" fontId="21" fillId="0" borderId="0" xfId="3" applyNumberFormat="1" applyFont="1" applyAlignment="1" applyProtection="1">
      <alignment horizontal="center"/>
    </xf>
    <xf numFmtId="170" fontId="22" fillId="0" borderId="20" xfId="3" applyNumberFormat="1" applyFont="1" applyBorder="1" applyAlignment="1" applyProtection="1">
      <alignment horizontal="center"/>
    </xf>
    <xf numFmtId="170" fontId="17" fillId="0" borderId="0" xfId="3" applyNumberFormat="1" applyFont="1" applyAlignment="1" applyProtection="1">
      <alignment horizontal="left" indent="1"/>
    </xf>
    <xf numFmtId="170" fontId="13" fillId="0" borderId="0" xfId="263" applyNumberFormat="1" applyFont="1" applyAlignment="1" applyProtection="1">
      <alignment horizontal="center"/>
    </xf>
    <xf numFmtId="170" fontId="17" fillId="0" borderId="0" xfId="3" applyNumberFormat="1" applyFont="1" applyBorder="1" applyProtection="1"/>
    <xf numFmtId="189" fontId="20" fillId="0" borderId="24" xfId="55" applyNumberFormat="1" applyFont="1" applyFill="1" applyBorder="1" applyAlignment="1" applyProtection="1">
      <alignment horizontal="center" vertical="center"/>
    </xf>
    <xf numFmtId="190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70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70" fontId="19" fillId="3" borderId="2" xfId="0" applyNumberFormat="1" applyFont="1" applyFill="1" applyBorder="1" applyAlignment="1" applyProtection="1">
      <alignment horizontal="center" vertical="center"/>
    </xf>
    <xf numFmtId="170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9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70" fontId="22" fillId="0" borderId="0" xfId="3" applyNumberFormat="1" applyFont="1" applyBorder="1" applyAlignment="1" applyProtection="1">
      <alignment horizontal="center"/>
    </xf>
    <xf numFmtId="189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9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0" fontId="100" fillId="54" borderId="0" xfId="265" applyFont="1" applyFill="1" applyBorder="1" applyAlignment="1" applyProtection="1">
      <alignment horizontal="center" vertical="center"/>
    </xf>
    <xf numFmtId="10" fontId="17" fillId="54" borderId="34" xfId="268" applyNumberFormat="1" applyFont="1" applyFill="1" applyBorder="1" applyAlignment="1" applyProtection="1">
      <alignment horizontal="right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43" xfId="265" applyNumberFormat="1" applyFont="1" applyFill="1" applyBorder="1" applyAlignment="1" applyProtection="1">
      <alignment horizontal="right" vertical="center"/>
    </xf>
    <xf numFmtId="2" fontId="17" fillId="54" borderId="0" xfId="265" applyNumberFormat="1" applyFont="1" applyFill="1" applyBorder="1" applyAlignment="1" applyProtection="1">
      <alignment horizontal="right" vertical="center"/>
    </xf>
    <xf numFmtId="2" fontId="17" fillId="54" borderId="35" xfId="265" applyNumberFormat="1" applyFont="1" applyFill="1" applyBorder="1" applyAlignment="1" applyProtection="1">
      <alignment horizontal="right" vertical="center"/>
    </xf>
    <xf numFmtId="2" fontId="17" fillId="54" borderId="5" xfId="265" applyNumberFormat="1" applyFont="1" applyFill="1" applyBorder="1" applyAlignment="1" applyProtection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91" fillId="3" borderId="0" xfId="0" applyNumberFormat="1" applyFont="1" applyFill="1" applyAlignment="1">
      <alignment vertical="center"/>
    </xf>
    <xf numFmtId="164" fontId="3" fillId="3" borderId="0" xfId="0" applyNumberFormat="1" applyFont="1" applyFill="1" applyBorder="1" applyAlignment="1">
      <alignment horizontal="center" vertical="center"/>
    </xf>
    <xf numFmtId="10" fontId="24" fillId="57" borderId="26" xfId="0" applyNumberFormat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0" fontId="24" fillId="57" borderId="24" xfId="1" applyFont="1" applyFill="1" applyBorder="1" applyAlignment="1">
      <alignment horizontal="center" vertical="center"/>
    </xf>
    <xf numFmtId="0" fontId="100" fillId="57" borderId="0" xfId="265" applyFont="1" applyFill="1" applyBorder="1" applyAlignment="1" applyProtection="1">
      <alignment horizontal="center" vertical="center" wrapText="1"/>
    </xf>
    <xf numFmtId="0" fontId="23" fillId="0" borderId="0" xfId="358" applyAlignment="1">
      <alignment vertical="top"/>
    </xf>
    <xf numFmtId="0" fontId="23" fillId="0" borderId="0" xfId="147"/>
    <xf numFmtId="0" fontId="23" fillId="0" borderId="0" xfId="358" applyAlignment="1">
      <alignment vertical="top" wrapText="1"/>
    </xf>
    <xf numFmtId="0" fontId="23" fillId="57" borderId="0" xfId="147" applyFill="1"/>
    <xf numFmtId="0" fontId="23" fillId="0" borderId="20" xfId="358" applyBorder="1" applyAlignment="1">
      <alignment vertical="top"/>
    </xf>
    <xf numFmtId="0" fontId="23" fillId="0" borderId="0" xfId="358" applyBorder="1" applyAlignment="1">
      <alignment vertical="top"/>
    </xf>
    <xf numFmtId="10" fontId="24" fillId="59" borderId="26" xfId="0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2" fontId="24" fillId="60" borderId="24" xfId="1" applyNumberFormat="1" applyFont="1" applyFill="1" applyBorder="1" applyAlignment="1">
      <alignment horizontal="center" vertical="center"/>
    </xf>
    <xf numFmtId="2" fontId="24" fillId="59" borderId="2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45" xfId="358" xr:uid="{F8D4BA5D-290A-4D15-ABE3-F19A332CA630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12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8CD7C0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5-30%20RRP\Models\ERG\Ergon%20-%208.03%20-%20Model%20SCS%20AER%20PTRM%20-%20November%202024%20-%20public.xlsm" TargetMode="External"/><Relationship Id="rId1" Type="http://schemas.openxmlformats.org/officeDocument/2006/relationships/externalLinkPath" Target="Ergon%20-%208.03%20-%20Model%20SCS%20AER%20PTRM%20-%20November%202024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rgon%20-%208.01%20-%20Model%20SCS%20AER%20RFM%20-%20November%202024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ebt Raising Costs"/>
      <sheetName val="DMS input"/>
      <sheetName val="AER Amendments"/>
      <sheetName val="PTRM input"/>
      <sheetName val="WACC"/>
      <sheetName val="Assets"/>
      <sheetName val="Analysis"/>
      <sheetName val="Forecast revenues"/>
      <sheetName val="X factors"/>
      <sheetName val="Revenue summary"/>
      <sheetName val="DMIAM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G19">
            <v>2.9458380601202715E-2</v>
          </cell>
          <cell r="H19">
            <v>2.9638033802043173E-2</v>
          </cell>
          <cell r="I19">
            <v>3.0061527643519392E-2</v>
          </cell>
          <cell r="J19">
            <v>3.0834035458144934E-2</v>
          </cell>
          <cell r="K19">
            <v>3.1629198339767003E-2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AER Amendments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1">
          <cell r="K111">
            <v>1092.7099020000001</v>
          </cell>
          <cell r="L111">
            <v>1306.2093250014907</v>
          </cell>
        </row>
        <row r="165">
          <cell r="K165">
            <v>1.2867390000000001</v>
          </cell>
          <cell r="L165">
            <v>5.8695997289560005</v>
          </cell>
        </row>
        <row r="219">
          <cell r="K219">
            <v>58.490316999999997</v>
          </cell>
          <cell r="L219">
            <v>76.799672979999997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tabSelected="1" workbookViewId="0">
      <selection activeCell="D17" sqref="D1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Ergon 2025-30 Revised Regulatory Proposal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6B19-41C3-42C5-9355-6F925788EB93}">
  <sheetPr codeName="Sheet8">
    <tabColor rgb="FF92D050"/>
  </sheetPr>
  <dimension ref="A1:D13"/>
  <sheetViews>
    <sheetView workbookViewId="0">
      <selection activeCell="D17" sqref="D17"/>
    </sheetView>
  </sheetViews>
  <sheetFormatPr defaultRowHeight="12.75"/>
  <cols>
    <col min="1" max="1" width="3" style="209" bestFit="1" customWidth="1"/>
    <col min="2" max="2" width="25.7109375" style="209" bestFit="1" customWidth="1"/>
    <col min="3" max="3" width="20.42578125" style="209" customWidth="1"/>
    <col min="4" max="4" width="104.5703125" style="209" customWidth="1"/>
    <col min="5" max="5" width="86" style="209" bestFit="1" customWidth="1"/>
    <col min="6" max="16384" width="9.140625" style="209"/>
  </cols>
  <sheetData>
    <row r="1" spans="1:4">
      <c r="A1" s="212" t="s">
        <v>105</v>
      </c>
      <c r="B1" s="212" t="s">
        <v>106</v>
      </c>
      <c r="C1" s="212" t="s">
        <v>107</v>
      </c>
      <c r="D1" s="212" t="s">
        <v>108</v>
      </c>
    </row>
    <row r="2" spans="1:4">
      <c r="A2" s="208">
        <v>1</v>
      </c>
      <c r="B2" s="208" t="s">
        <v>35</v>
      </c>
      <c r="C2" s="213" t="s">
        <v>124</v>
      </c>
      <c r="D2" s="213" t="s">
        <v>125</v>
      </c>
    </row>
    <row r="3" spans="1:4">
      <c r="A3" s="208">
        <v>2</v>
      </c>
      <c r="B3" s="208" t="s">
        <v>35</v>
      </c>
      <c r="C3" s="209" t="s">
        <v>110</v>
      </c>
      <c r="D3" s="209" t="s">
        <v>111</v>
      </c>
    </row>
    <row r="4" spans="1:4">
      <c r="A4" s="208">
        <v>3</v>
      </c>
      <c r="B4" s="208" t="s">
        <v>79</v>
      </c>
      <c r="C4" s="210" t="s">
        <v>112</v>
      </c>
      <c r="D4" s="209" t="s">
        <v>113</v>
      </c>
    </row>
    <row r="5" spans="1:4">
      <c r="A5" s="208">
        <v>4</v>
      </c>
      <c r="B5" s="208" t="s">
        <v>79</v>
      </c>
      <c r="C5" s="210" t="s">
        <v>114</v>
      </c>
      <c r="D5" s="208" t="s">
        <v>115</v>
      </c>
    </row>
    <row r="6" spans="1:4">
      <c r="A6" s="208">
        <v>5</v>
      </c>
      <c r="B6" s="208" t="s">
        <v>79</v>
      </c>
      <c r="C6" s="209" t="s">
        <v>127</v>
      </c>
      <c r="D6" s="209" t="s">
        <v>126</v>
      </c>
    </row>
    <row r="7" spans="1:4">
      <c r="A7" s="208">
        <v>6</v>
      </c>
      <c r="B7" s="208" t="s">
        <v>79</v>
      </c>
      <c r="C7" s="209" t="s">
        <v>116</v>
      </c>
      <c r="D7" s="209" t="s">
        <v>117</v>
      </c>
    </row>
    <row r="8" spans="1:4">
      <c r="A8" s="208">
        <v>7</v>
      </c>
      <c r="B8" s="208" t="s">
        <v>55</v>
      </c>
      <c r="C8" s="208" t="s">
        <v>118</v>
      </c>
      <c r="D8" s="208" t="s">
        <v>119</v>
      </c>
    </row>
    <row r="9" spans="1:4">
      <c r="A9" s="208">
        <v>8</v>
      </c>
      <c r="B9" s="208" t="s">
        <v>55</v>
      </c>
      <c r="C9" s="209" t="s">
        <v>128</v>
      </c>
      <c r="D9" s="208" t="s">
        <v>120</v>
      </c>
    </row>
    <row r="10" spans="1:4">
      <c r="A10" s="208">
        <v>9</v>
      </c>
      <c r="B10" s="208" t="s">
        <v>55</v>
      </c>
      <c r="C10" s="208" t="s">
        <v>121</v>
      </c>
      <c r="D10" s="208" t="s">
        <v>122</v>
      </c>
    </row>
    <row r="11" spans="1:4">
      <c r="A11" s="208">
        <v>10</v>
      </c>
      <c r="B11" s="208" t="s">
        <v>55</v>
      </c>
      <c r="C11" s="208" t="s">
        <v>123</v>
      </c>
      <c r="D11" s="208" t="s">
        <v>129</v>
      </c>
    </row>
    <row r="13" spans="1:4">
      <c r="A13" s="211" t="s">
        <v>109</v>
      </c>
      <c r="B13" s="211"/>
      <c r="C13" s="211"/>
      <c r="D13" s="2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F9" sqref="F9"/>
    </sheetView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20.285156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Ergon 2025-30 Revised Regulatory Proposal - Capital expenditure sharing scheme model</v>
      </c>
      <c r="F1" s="104"/>
      <c r="G1" s="105" t="s">
        <v>47</v>
      </c>
      <c r="H1" s="157" t="s">
        <v>48</v>
      </c>
      <c r="I1" s="160" t="s">
        <v>36</v>
      </c>
      <c r="J1" s="207" t="s">
        <v>104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8" t="s">
        <v>102</v>
      </c>
      <c r="J6" s="79"/>
      <c r="K6" s="79"/>
      <c r="L6" s="79"/>
    </row>
    <row r="7" spans="1:12" s="70" customFormat="1" ht="11.25" customHeight="1">
      <c r="C7" s="69" t="s">
        <v>88</v>
      </c>
      <c r="D7" s="158" t="s">
        <v>141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206" t="s">
        <v>103</v>
      </c>
      <c r="J8" s="79"/>
      <c r="K8" s="79"/>
      <c r="L8" s="79"/>
    </row>
    <row r="9" spans="1:12" s="70" customFormat="1" ht="11.25" customHeight="1">
      <c r="C9" s="187" t="s">
        <v>99</v>
      </c>
      <c r="D9" s="158" t="s">
        <v>101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6" t="str">
        <f t="shared" ref="D13:F13" si="0">IF(LEN(E13)&gt;4,CONCATENATE(LEFT(E13,4)-1&amp;"–"&amp;IF(RIGHT(E13,2)="00","99",IF(RIGHT(E13,2)-1&lt;10,"0","")&amp;RIGHT(E13,2)-1)),E13-1)</f>
        <v>2020–21</v>
      </c>
      <c r="E13" s="186" t="str">
        <f t="shared" si="0"/>
        <v>2021–22</v>
      </c>
      <c r="F13" s="186" t="str">
        <f t="shared" si="0"/>
        <v>2022–23</v>
      </c>
      <c r="G13" s="186" t="str">
        <f>IF(LEN(H13)&gt;4,CONCATENATE(LEFT(H13,4)-1&amp;"–"&amp;IF(RIGHT(H13,2)="00","99",IF(RIGHT(H13,2)-1&lt;10,"0","")&amp;RIGHT(H13,2)-1)),H13-1)</f>
        <v>2023–24</v>
      </c>
      <c r="H13" s="186" t="str">
        <f>IF(LEN(D9)&gt;4,CONCATENATE(LEFT(D9,4)-1&amp;"–"&amp;IF(RIGHT(D9,2)="00","99",IF(RIGHT(D9,2)-1&lt;10,"0","")&amp;RIGHT(D9,2)-1)),D9-1)</f>
        <v>2024–25</v>
      </c>
      <c r="J13" s="79"/>
      <c r="K13" s="79"/>
      <c r="L13" s="79"/>
    </row>
    <row r="14" spans="1:12" s="70" customFormat="1" ht="11.25" customHeight="1">
      <c r="C14" s="69" t="s">
        <v>1</v>
      </c>
      <c r="D14" s="158" t="s">
        <v>8</v>
      </c>
      <c r="E14" s="158" t="s">
        <v>8</v>
      </c>
      <c r="F14" s="158" t="s">
        <v>8</v>
      </c>
      <c r="G14" s="158" t="s">
        <v>8</v>
      </c>
      <c r="H14" s="158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8" t="s">
        <v>7</v>
      </c>
      <c r="E15" s="158" t="s">
        <v>7</v>
      </c>
      <c r="F15" s="158" t="s">
        <v>7</v>
      </c>
      <c r="G15" s="158" t="s">
        <v>7</v>
      </c>
      <c r="H15" s="158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6" t="str">
        <f>D9</f>
        <v>2025-26</v>
      </c>
      <c r="E18" s="186" t="str">
        <f>IF(LEN(D18)&gt;4,CONCATENATE(LEFT(D18,4)+1&amp;"–"&amp;IF(RIGHT(D18,2)+1&gt;9,"","0")&amp;RIGHT(D18,2)+1),D18+1)</f>
        <v>2026–27</v>
      </c>
      <c r="F18" s="186" t="str">
        <f t="shared" ref="F18:H18" si="1">IF(LEN(E18)&gt;4,CONCATENATE(LEFT(E18,4)+1&amp;"–"&amp;IF(RIGHT(E18,2)+1&gt;9,"","0")&amp;RIGHT(E18,2)+1),E18+1)</f>
        <v>2027–28</v>
      </c>
      <c r="G18" s="186" t="str">
        <f t="shared" si="1"/>
        <v>2028–29</v>
      </c>
      <c r="H18" s="186" t="str">
        <f t="shared" si="1"/>
        <v>2029–30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="85" zoomScaleNormal="85" workbookViewId="0">
      <selection activeCell="L21" sqref="L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6.140625" style="24" bestFit="1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Ergon 2025-30 Revised Regulatory Proposal - Capital expenditure sharing scheme model</v>
      </c>
      <c r="D1" s="12"/>
      <c r="E1" s="12"/>
      <c r="F1" s="12"/>
      <c r="G1" s="104"/>
      <c r="H1" s="105" t="s">
        <v>47</v>
      </c>
      <c r="I1" s="157" t="s">
        <v>48</v>
      </c>
      <c r="J1" s="160" t="s">
        <v>36</v>
      </c>
      <c r="K1" s="207" t="s">
        <v>104</v>
      </c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3" t="str">
        <f>IF(LEN(G7)&gt;4,CONCATENATE(LEFT(G7,4)-1&amp;"–"&amp;IF(RIGHT(G7,2)="00","99",IF(RIGHT(G7,2)-1&lt;10,"0","")&amp;RIGHT(G7,2)-1)),G7-1)</f>
        <v>2019–20</v>
      </c>
      <c r="G7" s="172" t="str">
        <f>'Input | General'!D13</f>
        <v>2020–21</v>
      </c>
      <c r="H7" s="172" t="str">
        <f>'Input | General'!E13</f>
        <v>2021–22</v>
      </c>
      <c r="I7" s="172" t="str">
        <f>'Input | General'!F13</f>
        <v>2022–23</v>
      </c>
      <c r="J7" s="172" t="str">
        <f>'Input | General'!G13</f>
        <v>2023–24</v>
      </c>
      <c r="K7" s="172" t="str">
        <f>'Input | General'!H13</f>
        <v>2024–25</v>
      </c>
      <c r="L7" s="172" t="str">
        <f>'Input | General'!D18</f>
        <v>2025-26</v>
      </c>
      <c r="M7" s="172" t="str">
        <f>'Input | General'!E18</f>
        <v>2026–27</v>
      </c>
      <c r="N7" s="172" t="str">
        <f>'Input | General'!F18</f>
        <v>2027–28</v>
      </c>
      <c r="O7" s="172" t="str">
        <f>'Input | General'!G18</f>
        <v>2028–29</v>
      </c>
      <c r="P7" s="172" t="str">
        <f>'Input | General'!H18</f>
        <v>2029–30</v>
      </c>
    </row>
    <row r="8" spans="1:18" ht="11.25" customHeight="1">
      <c r="A8" s="11"/>
      <c r="B8" s="11"/>
      <c r="C8" s="80" t="s">
        <v>81</v>
      </c>
      <c r="D8" s="78" t="s">
        <v>100</v>
      </c>
      <c r="E8" s="78" t="s">
        <v>51</v>
      </c>
      <c r="F8" s="78"/>
      <c r="G8" s="200">
        <v>8.6058519793459354E-3</v>
      </c>
      <c r="H8" s="200">
        <v>3.4982935153583528E-2</v>
      </c>
      <c r="I8" s="200">
        <v>7.8318219291014124E-2</v>
      </c>
      <c r="J8" s="200">
        <v>4.1000000000000002E-2</v>
      </c>
      <c r="K8" s="200">
        <v>3.3000000000000002E-2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100</v>
      </c>
      <c r="E9" s="78" t="s">
        <v>51</v>
      </c>
      <c r="F9" s="78"/>
      <c r="G9" s="129"/>
      <c r="H9" s="129"/>
      <c r="I9" s="129"/>
      <c r="J9" s="129"/>
      <c r="K9" s="129"/>
      <c r="L9" s="200">
        <v>2.7997811278454687E-2</v>
      </c>
      <c r="M9" s="141">
        <f t="shared" ref="M9:P9" si="0">L9</f>
        <v>2.7997811278454687E-2</v>
      </c>
      <c r="N9" s="141">
        <f t="shared" si="0"/>
        <v>2.7997811278454687E-2</v>
      </c>
      <c r="O9" s="141">
        <f t="shared" si="0"/>
        <v>2.7997811278454687E-2</v>
      </c>
      <c r="P9" s="141">
        <f t="shared" si="0"/>
        <v>2.7997811278454687E-2</v>
      </c>
    </row>
    <row r="10" spans="1:18" ht="11.25" customHeight="1">
      <c r="A10" s="11"/>
      <c r="B10" s="11"/>
      <c r="C10" s="138" t="str">
        <f>"CPI Index (base year "&amp;F7&amp;")"</f>
        <v>CPI Index (base year 2019–20)</v>
      </c>
      <c r="D10" s="78" t="s">
        <v>100</v>
      </c>
      <c r="E10" s="78" t="s">
        <v>30</v>
      </c>
      <c r="F10" s="136">
        <v>1</v>
      </c>
      <c r="G10" s="122">
        <f>IF(G7&lt;&gt;"",(F10*(1+G8)),"")</f>
        <v>1.0086058519793459</v>
      </c>
      <c r="H10" s="122">
        <f>IF(H7&lt;&gt;"",(G10*(1+H8)),"")</f>
        <v>1.0438898450946643</v>
      </c>
      <c r="I10" s="122">
        <f>IF(I7&lt;&gt;"",(H10*(1+I8)),"")</f>
        <v>1.1256454388984509</v>
      </c>
      <c r="J10" s="122">
        <f>IF(J7&lt;&gt;"",(I10*(1+J8)),"")</f>
        <v>1.1717969018932872</v>
      </c>
      <c r="K10" s="122">
        <f>IF(K7&lt;&gt;"",(J10*(1+K8)),"")</f>
        <v>1.2104661996557655</v>
      </c>
      <c r="L10" s="86">
        <f t="shared" ref="L10:P10" si="1">IF(L7&lt;&gt;"",(K10*(1+L9)),"")</f>
        <v>1.2443566038726759</v>
      </c>
      <c r="M10" s="86">
        <f t="shared" si="1"/>
        <v>1.2791958652310018</v>
      </c>
      <c r="N10" s="86">
        <f t="shared" si="1"/>
        <v>1.3150105496539191</v>
      </c>
      <c r="O10" s="86">
        <f t="shared" si="1"/>
        <v>1.3518279668523066</v>
      </c>
      <c r="P10" s="86">
        <f t="shared" si="1"/>
        <v>1.3896761911491746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89"/>
      <c r="J12" s="189"/>
      <c r="K12" s="190"/>
      <c r="L12" s="190"/>
      <c r="M12" s="190"/>
      <c r="N12" s="190"/>
      <c r="O12" s="190"/>
      <c r="P12" s="190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0">
        <f>G8</f>
        <v>8.6058519793459354E-3</v>
      </c>
      <c r="H13" s="200">
        <f>H8</f>
        <v>3.4982935153583528E-2</v>
      </c>
      <c r="I13" s="200">
        <f>I8</f>
        <v>7.8318219291014124E-2</v>
      </c>
      <c r="J13" s="203">
        <v>4.0519877675840865E-2</v>
      </c>
      <c r="K13" s="203">
        <v>0.03</v>
      </c>
      <c r="L13" s="189"/>
      <c r="M13" s="189"/>
      <c r="N13" s="189"/>
      <c r="O13" s="189"/>
      <c r="P13" s="189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203">
        <v>2.8497022352319323E-2</v>
      </c>
      <c r="M14" s="141">
        <f t="shared" ref="M14:P14" si="2">L14</f>
        <v>2.8497022352319323E-2</v>
      </c>
      <c r="N14" s="141">
        <f t="shared" si="2"/>
        <v>2.8497022352319323E-2</v>
      </c>
      <c r="O14" s="141">
        <f t="shared" si="2"/>
        <v>2.8497022352319323E-2</v>
      </c>
      <c r="P14" s="141">
        <f t="shared" si="2"/>
        <v>2.8497022352319323E-2</v>
      </c>
    </row>
    <row r="15" spans="1:18" ht="11.25" customHeight="1">
      <c r="A15" s="11"/>
      <c r="B15" s="11"/>
      <c r="C15" s="138" t="str">
        <f>"CPI Index (base year "&amp;F7&amp;")"</f>
        <v>CPI Index (base year 2019–20)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1.0086058519793459</v>
      </c>
      <c r="H15" s="122">
        <f>IF(H7&lt;&gt;"",(G15*(1+H13)),"")</f>
        <v>1.0438898450946643</v>
      </c>
      <c r="I15" s="191">
        <f>IF(I7&lt;&gt;"",(H15*(1+I13)),"")</f>
        <v>1.1256454388984509</v>
      </c>
      <c r="J15" s="191">
        <f>IF(J7&lt;&gt;"",(I15*(1+J13)),"")</f>
        <v>1.1712564543889843</v>
      </c>
      <c r="K15" s="192">
        <f>IF(K7&lt;&gt;"",(J15*(1+K13)),"")</f>
        <v>1.2063941480206539</v>
      </c>
      <c r="L15" s="192">
        <f t="shared" ref="L15:P15" si="3">IF(L7&lt;&gt;"",(K15*(1+L14)),"")</f>
        <v>1.2407727890225058</v>
      </c>
      <c r="M15" s="192">
        <f t="shared" si="3"/>
        <v>1.2761311189254296</v>
      </c>
      <c r="N15" s="192">
        <f t="shared" si="3"/>
        <v>1.3124970559459379</v>
      </c>
      <c r="O15" s="192">
        <f t="shared" si="3"/>
        <v>1.3498993138865827</v>
      </c>
      <c r="P15" s="192">
        <f t="shared" si="3"/>
        <v>1.3883674248077891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3"/>
      <c r="L16" s="193"/>
      <c r="M16" s="193"/>
      <c r="N16" s="193"/>
      <c r="O16" s="193"/>
      <c r="P16" s="193"/>
    </row>
    <row r="17" spans="1:16" s="81" customFormat="1" ht="12.75" customHeight="1">
      <c r="C17" s="29" t="s">
        <v>68</v>
      </c>
      <c r="D17" s="82"/>
      <c r="E17" s="82"/>
      <c r="F17" s="82"/>
      <c r="I17" s="194"/>
      <c r="J17" s="194"/>
      <c r="K17" s="194"/>
      <c r="L17" s="194"/>
      <c r="M17" s="195"/>
      <c r="N17" s="194"/>
      <c r="O17" s="194"/>
      <c r="P17" s="194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6"/>
      <c r="N18" s="14"/>
      <c r="O18" s="190"/>
      <c r="P18" s="190"/>
    </row>
    <row r="19" spans="1:16" ht="11.25" customHeight="1">
      <c r="C19" s="16"/>
      <c r="D19" s="75" t="s">
        <v>6</v>
      </c>
      <c r="E19" s="75" t="s">
        <v>52</v>
      </c>
      <c r="F19" s="79"/>
      <c r="G19" s="172" t="str">
        <f>G7</f>
        <v>2020–21</v>
      </c>
      <c r="H19" s="172" t="str">
        <f t="shared" ref="H19:P19" si="4">H7</f>
        <v>2021–22</v>
      </c>
      <c r="I19" s="197" t="str">
        <f t="shared" si="4"/>
        <v>2022–23</v>
      </c>
      <c r="J19" s="197" t="str">
        <f t="shared" si="4"/>
        <v>2023–24</v>
      </c>
      <c r="K19" s="197" t="str">
        <f t="shared" si="4"/>
        <v>2024–25</v>
      </c>
      <c r="L19" s="197" t="str">
        <f t="shared" si="4"/>
        <v>2025-26</v>
      </c>
      <c r="M19" s="197" t="str">
        <f t="shared" si="4"/>
        <v>2026–27</v>
      </c>
      <c r="N19" s="197" t="str">
        <f t="shared" si="4"/>
        <v>2027–28</v>
      </c>
      <c r="O19" s="197" t="str">
        <f t="shared" si="4"/>
        <v>2028–29</v>
      </c>
      <c r="P19" s="197" t="str">
        <f t="shared" si="4"/>
        <v>2029–30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0">
        <v>2.3998445239976629E-2</v>
      </c>
      <c r="H20" s="200">
        <v>2.2429515237719189E-2</v>
      </c>
      <c r="I20" s="200">
        <v>2.1803719524386755E-2</v>
      </c>
      <c r="J20" s="200">
        <v>2.2573324923264249E-2</v>
      </c>
      <c r="K20" s="203">
        <v>2.3056871865892781E-2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198"/>
      <c r="J21" s="198"/>
      <c r="K21" s="198"/>
      <c r="L21" s="214">
        <f ca="1">[1]WACC!G19</f>
        <v>2.9458380601202715E-2</v>
      </c>
      <c r="M21" s="214">
        <f ca="1">[1]WACC!H19</f>
        <v>2.9638033802043173E-2</v>
      </c>
      <c r="N21" s="214">
        <f ca="1">[1]WACC!I19</f>
        <v>3.0061527643519392E-2</v>
      </c>
      <c r="O21" s="214">
        <f ca="1">[1]WACC!J19</f>
        <v>3.0834035458144934E-2</v>
      </c>
      <c r="P21" s="214">
        <f ca="1">[1]WACC!K19</f>
        <v>3.1629198339767003E-2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3.2810824286792162E-2</v>
      </c>
      <c r="H22" s="142">
        <f>IF(AND(H13&lt;&gt;"",H20&lt;&gt;""),((1+H20)*(1+H13)-1),"")</f>
        <v>5.8197100668390123E-2</v>
      </c>
      <c r="I22" s="141">
        <f>IF(AND(I13&lt;&gt;"",I20&lt;&gt;""),((1+I20)*(1+I13)-1),"")</f>
        <v>0.10182956730247161</v>
      </c>
      <c r="J22" s="141">
        <f>IF(AND(J13&lt;&gt;"",J20&lt;&gt;""),((1+J20)*(1+J13)-1),"")</f>
        <v>6.4007870963732838E-2</v>
      </c>
      <c r="K22" s="141">
        <f>IF(AND(K13&lt;&gt;"",K20&lt;&gt;""),((1+K20)*(1+K13)-1),"")</f>
        <v>5.3748578021869609E-2</v>
      </c>
      <c r="L22" s="141">
        <f ca="1">IF(AND(L14&lt;&gt;"",L21&lt;&gt;""),((1+L21)*(1+L14)-1),"")</f>
        <v>5.8794879083977625E-2</v>
      </c>
      <c r="M22" s="141">
        <f t="shared" ref="M22:P22" ca="1" si="5">IF(AND(M14&lt;&gt;"",M21&lt;&gt;""),((1+M21)*(1+M14)-1),"")</f>
        <v>5.8979651866098104E-2</v>
      </c>
      <c r="N22" s="141">
        <f t="shared" ca="1" si="5"/>
        <v>5.9415214021041107E-2</v>
      </c>
      <c r="O22" s="141">
        <f t="shared" ca="1" si="5"/>
        <v>6.0209736008127068E-2</v>
      </c>
      <c r="P22" s="141">
        <f t="shared" ca="1" si="5"/>
        <v>6.1027558664160653E-2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199"/>
      <c r="J23" s="199"/>
      <c r="K23" s="199"/>
      <c r="L23" s="14"/>
      <c r="M23" s="196"/>
      <c r="N23" s="14"/>
      <c r="O23" s="190"/>
      <c r="P23" s="190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zoomScale="85" zoomScaleNormal="85" workbookViewId="0">
      <selection activeCell="W16" sqref="W16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3" width="7.85546875" style="11" bestFit="1" customWidth="1"/>
    <col min="14" max="14" width="2.85546875" style="11" customWidth="1"/>
    <col min="15" max="23" width="9.140625" style="11" customWidth="1"/>
    <col min="24" max="16384" width="12.7109375" style="11" hidden="1"/>
  </cols>
  <sheetData>
    <row r="1" spans="2:16" ht="18" customHeight="1">
      <c r="B1" s="3" t="s">
        <v>130</v>
      </c>
      <c r="D1" s="12"/>
      <c r="E1" s="12"/>
      <c r="F1" s="12"/>
      <c r="G1" s="12"/>
      <c r="H1" s="104"/>
      <c r="I1" s="105" t="s">
        <v>47</v>
      </c>
      <c r="J1" s="157" t="s">
        <v>48</v>
      </c>
      <c r="K1" s="160" t="s">
        <v>36</v>
      </c>
      <c r="L1" s="207" t="s">
        <v>104</v>
      </c>
    </row>
    <row r="2" spans="2:16" ht="18" customHeight="1">
      <c r="B2" s="13" t="s">
        <v>37</v>
      </c>
      <c r="D2" s="13"/>
      <c r="E2" s="13"/>
      <c r="F2" s="13"/>
      <c r="G2" s="13"/>
    </row>
    <row r="3" spans="2:16" ht="3" customHeight="1">
      <c r="C3" s="10"/>
      <c r="D3" s="10"/>
      <c r="E3" s="10"/>
      <c r="F3" s="10"/>
      <c r="G3" s="10"/>
    </row>
    <row r="4" spans="2:16" s="8" customFormat="1" ht="12.75" customHeight="1">
      <c r="B4" s="29" t="s">
        <v>40</v>
      </c>
      <c r="D4" s="6"/>
      <c r="E4" s="6"/>
      <c r="F4" s="6"/>
      <c r="G4" s="6"/>
    </row>
    <row r="5" spans="2:16" ht="10.5" customHeight="1">
      <c r="D5" s="68"/>
      <c r="E5" s="68"/>
      <c r="F5" s="68"/>
      <c r="G5" s="68"/>
    </row>
    <row r="6" spans="2:16" s="68" customFormat="1" ht="10.5" customHeight="1">
      <c r="D6" s="75" t="s">
        <v>6</v>
      </c>
      <c r="E6" s="75" t="s">
        <v>52</v>
      </c>
      <c r="F6" s="75" t="s">
        <v>4</v>
      </c>
      <c r="G6" s="64"/>
      <c r="H6" s="174" t="s">
        <v>131</v>
      </c>
      <c r="I6" s="174" t="s">
        <v>132</v>
      </c>
      <c r="J6" s="174" t="s">
        <v>133</v>
      </c>
      <c r="K6" s="174" t="s">
        <v>134</v>
      </c>
      <c r="L6" s="174" t="s">
        <v>135</v>
      </c>
      <c r="M6" s="107"/>
      <c r="N6" s="107"/>
    </row>
    <row r="7" spans="2:16" s="68" customFormat="1" ht="10.5" customHeight="1">
      <c r="M7" s="107"/>
      <c r="N7" s="107"/>
    </row>
    <row r="8" spans="2:16" ht="10.5" customHeight="1">
      <c r="C8" s="80" t="s">
        <v>3</v>
      </c>
      <c r="D8" s="78" t="s">
        <v>49</v>
      </c>
      <c r="E8" s="78" t="s">
        <v>50</v>
      </c>
      <c r="F8" s="177" t="s">
        <v>136</v>
      </c>
      <c r="G8" s="68"/>
      <c r="H8" s="159">
        <v>499.57330236783298</v>
      </c>
      <c r="I8" s="159">
        <v>500.94030935378782</v>
      </c>
      <c r="J8" s="159">
        <v>498.52996940778246</v>
      </c>
      <c r="K8" s="159">
        <v>479.54779857003473</v>
      </c>
      <c r="L8" s="159">
        <v>487.69904585849412</v>
      </c>
      <c r="M8" s="2"/>
      <c r="N8" s="2"/>
    </row>
    <row r="9" spans="2:16" ht="10.5" customHeight="1">
      <c r="C9" s="80" t="s">
        <v>97</v>
      </c>
      <c r="D9" s="78" t="s">
        <v>49</v>
      </c>
      <c r="E9" s="78" t="s">
        <v>50</v>
      </c>
      <c r="F9" s="177" t="s">
        <v>136</v>
      </c>
      <c r="G9" s="68"/>
      <c r="H9" s="159">
        <v>38.11520213443314</v>
      </c>
      <c r="I9" s="159">
        <v>35.334801478226616</v>
      </c>
      <c r="J9" s="159">
        <v>31.880516414772917</v>
      </c>
      <c r="K9" s="159">
        <v>31.911876667193404</v>
      </c>
      <c r="L9" s="159">
        <v>31.947470454619687</v>
      </c>
      <c r="M9" s="2"/>
      <c r="N9" s="2"/>
    </row>
    <row r="10" spans="2:16" ht="10.5" customHeight="1">
      <c r="C10" s="80" t="s">
        <v>91</v>
      </c>
      <c r="D10" s="78" t="s">
        <v>49</v>
      </c>
      <c r="E10" s="78" t="s">
        <v>50</v>
      </c>
      <c r="F10" s="177" t="s">
        <v>136</v>
      </c>
      <c r="G10" s="68"/>
      <c r="H10" s="159">
        <v>3.9967786876243099</v>
      </c>
      <c r="I10" s="159">
        <v>3.9967786876243099</v>
      </c>
      <c r="J10" s="159">
        <v>3.9967786876243099</v>
      </c>
      <c r="K10" s="159">
        <v>4.9112087729676608</v>
      </c>
      <c r="L10" s="159">
        <v>3.9967786876243099</v>
      </c>
      <c r="M10" s="2"/>
      <c r="N10" s="2"/>
    </row>
    <row r="11" spans="2:16" s="68" customFormat="1" ht="10.5" customHeight="1">
      <c r="H11" s="67"/>
      <c r="I11" s="67"/>
      <c r="J11" s="67"/>
      <c r="K11" s="67"/>
      <c r="L11" s="67"/>
      <c r="M11" s="107"/>
      <c r="N11" s="107"/>
    </row>
    <row r="12" spans="2:16" ht="10.5" customHeight="1">
      <c r="C12" s="77" t="s">
        <v>5</v>
      </c>
      <c r="D12" s="76" t="s">
        <v>60</v>
      </c>
      <c r="E12" s="175" t="s">
        <v>50</v>
      </c>
      <c r="F12" s="176" t="s">
        <v>136</v>
      </c>
      <c r="G12" s="68"/>
      <c r="H12" s="66">
        <v>457.46132154577549</v>
      </c>
      <c r="I12" s="66">
        <v>461.60872918793689</v>
      </c>
      <c r="J12" s="66">
        <v>462.65267430538523</v>
      </c>
      <c r="K12" s="66">
        <v>442.72471312987369</v>
      </c>
      <c r="L12" s="66">
        <v>451.7547967162501</v>
      </c>
      <c r="M12" s="2"/>
      <c r="N12" s="2"/>
    </row>
    <row r="13" spans="2:16" ht="10.5" customHeight="1">
      <c r="D13" s="68"/>
      <c r="E13" s="68"/>
      <c r="F13" s="68"/>
      <c r="G13" s="68"/>
      <c r="M13" s="72"/>
      <c r="N13" s="72"/>
    </row>
    <row r="14" spans="2:16" s="8" customFormat="1" ht="12.75" customHeight="1">
      <c r="B14" s="74" t="s">
        <v>41</v>
      </c>
      <c r="D14" s="18"/>
      <c r="E14" s="18"/>
      <c r="F14" s="18"/>
      <c r="G14" s="18"/>
    </row>
    <row r="15" spans="2:16" s="2" customFormat="1" ht="10.5" customHeight="1">
      <c r="B15" s="73"/>
      <c r="D15" s="21"/>
      <c r="E15" s="21"/>
      <c r="F15" s="21"/>
      <c r="G15" s="21"/>
    </row>
    <row r="16" spans="2:16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4" t="s">
        <v>131</v>
      </c>
      <c r="I16" s="174" t="s">
        <v>132</v>
      </c>
      <c r="J16" s="174" t="s">
        <v>133</v>
      </c>
      <c r="K16" s="174" t="s">
        <v>134</v>
      </c>
      <c r="L16" s="174" t="s">
        <v>135</v>
      </c>
      <c r="O16" s="107"/>
      <c r="P16" s="107"/>
    </row>
    <row r="17" spans="2:19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O17" s="107"/>
      <c r="P17" s="107"/>
      <c r="S17" s="202"/>
    </row>
    <row r="18" spans="2:19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204">
        <v>596.68393502974061</v>
      </c>
      <c r="I18" s="204">
        <v>636.25655630452081</v>
      </c>
      <c r="J18" s="204">
        <v>765.66870899550122</v>
      </c>
      <c r="K18" s="215">
        <f>'[2]RFM input'!K111+K21</f>
        <v>1092.7099020000001</v>
      </c>
      <c r="L18" s="215">
        <f>'[2]RFM input'!L111+L21</f>
        <v>1306.2093250014907</v>
      </c>
      <c r="S18" s="202"/>
    </row>
    <row r="19" spans="2:19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204">
        <v>25.67517710985604</v>
      </c>
      <c r="I19" s="204">
        <v>40.670312819999999</v>
      </c>
      <c r="J19" s="204">
        <v>29.494277919999998</v>
      </c>
      <c r="K19" s="216">
        <f>'[2]RFM input'!K$219</f>
        <v>58.490316999999997</v>
      </c>
      <c r="L19" s="216">
        <f>'[2]RFM input'!L$219</f>
        <v>76.799672979999997</v>
      </c>
    </row>
    <row r="20" spans="2:19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204">
        <v>9.3859678700000018</v>
      </c>
      <c r="I20" s="204">
        <v>3.5672515099999997</v>
      </c>
      <c r="J20" s="204">
        <v>1.1169302999999999</v>
      </c>
      <c r="K20" s="216">
        <f>'[2]RFM input'!K$165</f>
        <v>1.2867390000000001</v>
      </c>
      <c r="L20" s="216">
        <f>'[2]RFM input'!L$165</f>
        <v>5.8695997289560005</v>
      </c>
    </row>
    <row r="21" spans="2:19" s="2" customFormat="1" ht="10.5" customHeight="1">
      <c r="B21" s="73"/>
      <c r="C21" s="154" t="s">
        <v>96</v>
      </c>
      <c r="D21" s="78" t="s">
        <v>49</v>
      </c>
      <c r="E21" s="78" t="s">
        <v>50</v>
      </c>
      <c r="F21" s="78" t="s">
        <v>53</v>
      </c>
      <c r="G21" s="68"/>
      <c r="H21" s="205"/>
      <c r="I21" s="205"/>
      <c r="J21" s="205"/>
      <c r="K21" s="159"/>
      <c r="L21" s="159"/>
    </row>
    <row r="22" spans="2:19" s="2" customFormat="1" ht="10.5" customHeight="1">
      <c r="B22" s="73"/>
      <c r="C22" s="68"/>
      <c r="D22" s="68"/>
      <c r="E22" s="68"/>
      <c r="F22" s="68"/>
      <c r="G22" s="68"/>
      <c r="H22" s="201"/>
      <c r="I22" s="201"/>
      <c r="J22" s="201"/>
      <c r="K22" s="67"/>
      <c r="L22" s="67"/>
      <c r="O22" s="107"/>
      <c r="P22" s="107"/>
    </row>
    <row r="23" spans="2:19" s="2" customFormat="1" ht="10.5" customHeight="1">
      <c r="B23" s="73"/>
      <c r="C23" s="77" t="s">
        <v>76</v>
      </c>
      <c r="D23" s="76" t="s">
        <v>60</v>
      </c>
      <c r="E23" s="178" t="s">
        <v>50</v>
      </c>
      <c r="F23" s="178" t="s">
        <v>53</v>
      </c>
      <c r="G23" s="68"/>
      <c r="H23" s="217">
        <f>IF(H16="", "", H18-H19-H20-H21)</f>
        <v>561.62279004988454</v>
      </c>
      <c r="I23" s="217">
        <f>IF(I16="", "", I18-I19-I20-I21)</f>
        <v>592.01899197452076</v>
      </c>
      <c r="J23" s="217">
        <f>IF(J16="", "", J18-J19-J20-J21)</f>
        <v>735.05750077550124</v>
      </c>
      <c r="K23" s="217">
        <f>IF(K16="", "", K18-K19-K20-K21)</f>
        <v>1032.9328460000002</v>
      </c>
      <c r="L23" s="217">
        <f>IF(L16="", "", L18-L19-L20-L21)</f>
        <v>1223.5400522925347</v>
      </c>
    </row>
    <row r="24" spans="2:19" s="2" customFormat="1" ht="10.5" customHeight="1">
      <c r="B24" s="73"/>
      <c r="D24" s="21"/>
      <c r="E24" s="21"/>
      <c r="F24" s="21"/>
      <c r="G24" s="21"/>
      <c r="M24" s="72"/>
      <c r="N24" s="72"/>
    </row>
    <row r="25" spans="2:19" s="8" customFormat="1" ht="12.75" customHeight="1">
      <c r="B25" s="74" t="s">
        <v>42</v>
      </c>
      <c r="D25" s="18"/>
      <c r="E25" s="18"/>
      <c r="F25" s="18"/>
      <c r="G25" s="18"/>
    </row>
    <row r="26" spans="2:19" ht="10.5" customHeight="1">
      <c r="D26" s="68"/>
      <c r="E26" s="68"/>
      <c r="F26" s="68"/>
      <c r="G26" s="68"/>
      <c r="M26" s="2"/>
      <c r="N26" s="2"/>
    </row>
    <row r="27" spans="2:19" ht="10.5" customHeight="1">
      <c r="D27" s="68"/>
      <c r="E27" s="68"/>
      <c r="F27" s="68"/>
      <c r="G27" s="68"/>
      <c r="H27" s="174" t="s">
        <v>101</v>
      </c>
      <c r="I27" s="174" t="s">
        <v>137</v>
      </c>
      <c r="J27" s="174" t="s">
        <v>138</v>
      </c>
      <c r="K27" s="174" t="s">
        <v>139</v>
      </c>
      <c r="L27" s="174" t="s">
        <v>140</v>
      </c>
      <c r="M27" s="2"/>
      <c r="N27" s="2"/>
    </row>
    <row r="28" spans="2:19" s="17" customFormat="1" ht="10.5" customHeight="1">
      <c r="C28" s="16"/>
      <c r="D28" s="68"/>
      <c r="E28" s="68"/>
      <c r="F28" s="68"/>
      <c r="G28" s="68"/>
      <c r="M28" s="19"/>
      <c r="N28" s="19"/>
    </row>
    <row r="29" spans="2:19" ht="11.25" customHeight="1">
      <c r="C29" s="84" t="s">
        <v>85</v>
      </c>
      <c r="D29" s="65" t="s">
        <v>100</v>
      </c>
      <c r="E29" s="78" t="s">
        <v>50</v>
      </c>
      <c r="F29" s="78" t="s">
        <v>53</v>
      </c>
      <c r="G29" s="68"/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2"/>
      <c r="N29" s="2"/>
    </row>
    <row r="30" spans="2:19" ht="11.25" customHeight="1">
      <c r="C30" s="84" t="s">
        <v>85</v>
      </c>
      <c r="D30" s="65" t="s">
        <v>60</v>
      </c>
      <c r="E30" s="78" t="s">
        <v>50</v>
      </c>
      <c r="F30" s="78" t="s">
        <v>136</v>
      </c>
      <c r="G30" s="68"/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2"/>
      <c r="N30" s="2"/>
    </row>
    <row r="31" spans="2:19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2"/>
      <c r="N31" s="2"/>
    </row>
    <row r="32" spans="2:19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ht="18" customHeight="1"/>
    <row r="37" spans="1:14" s="2" customFormat="1" ht="18" customHeight="1">
      <c r="A37" s="11"/>
      <c r="B37" s="11"/>
      <c r="C37" s="16"/>
      <c r="D37" s="16"/>
      <c r="E37" s="16"/>
      <c r="F37" s="16"/>
      <c r="G37" s="16"/>
      <c r="H37" s="11"/>
      <c r="I37" s="11"/>
      <c r="J37" s="11"/>
      <c r="K37" s="11"/>
      <c r="L37" s="11"/>
      <c r="M37" s="11"/>
      <c r="N37" s="11"/>
    </row>
    <row r="38" spans="1:14" ht="18" customHeight="1"/>
    <row r="39" spans="1:14" ht="18" customHeight="1"/>
    <row r="40" spans="1:14" ht="18" customHeight="1"/>
    <row r="41" spans="1:14" s="17" customFormat="1" ht="18" customHeight="1">
      <c r="A41" s="11"/>
      <c r="B41" s="11"/>
      <c r="C41" s="16"/>
      <c r="D41" s="16"/>
      <c r="E41" s="16"/>
      <c r="F41" s="16"/>
      <c r="G41" s="16"/>
      <c r="H41" s="11"/>
      <c r="I41" s="11"/>
      <c r="J41" s="11"/>
      <c r="K41" s="11"/>
      <c r="L41" s="11"/>
      <c r="M41" s="11"/>
      <c r="N41" s="11"/>
    </row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11" priority="32">
      <formula>IF($H$6&lt;&gt;"","FALSE","TRUE")</formula>
    </cfRule>
  </conditionalFormatting>
  <conditionalFormatting sqref="K18:L18">
    <cfRule type="expression" dxfId="10" priority="27">
      <formula>IF($H$6&lt;&gt;"","FALSE","TRUE")</formula>
    </cfRule>
  </conditionalFormatting>
  <conditionalFormatting sqref="H18:H20 I18:J18">
    <cfRule type="expression" dxfId="9" priority="22">
      <formula>IF($H$6&lt;&gt;"","FALSE","TRUE")</formula>
    </cfRule>
  </conditionalFormatting>
  <conditionalFormatting sqref="H29:L29">
    <cfRule type="expression" dxfId="8" priority="16">
      <formula>IF($H$6&lt;&gt;"","FALSE","TRUE")</formula>
    </cfRule>
  </conditionalFormatting>
  <conditionalFormatting sqref="H21:L21">
    <cfRule type="expression" dxfId="7" priority="14">
      <formula>IF($H$6&lt;&gt;"","FALSE","TRUE")</formula>
    </cfRule>
  </conditionalFormatting>
  <conditionalFormatting sqref="I10">
    <cfRule type="expression" dxfId="6" priority="13">
      <formula>IF($H$6&lt;&gt;"","FALSE","TRUE")</formula>
    </cfRule>
  </conditionalFormatting>
  <conditionalFormatting sqref="J10">
    <cfRule type="expression" dxfId="5" priority="12">
      <formula>IF($H$6&lt;&gt;"","FALSE","TRUE")</formula>
    </cfRule>
  </conditionalFormatting>
  <conditionalFormatting sqref="K10">
    <cfRule type="expression" dxfId="4" priority="11">
      <formula>IF($H$6&lt;&gt;"","FALSE","TRUE")</formula>
    </cfRule>
  </conditionalFormatting>
  <conditionalFormatting sqref="L10">
    <cfRule type="expression" dxfId="3" priority="10">
      <formula>IF($H$6&lt;&gt;"","FALSE","TRUE")</formula>
    </cfRule>
  </conditionalFormatting>
  <conditionalFormatting sqref="I19:I20">
    <cfRule type="expression" dxfId="2" priority="9">
      <formula>IF($H$6&lt;&gt;"","FALSE","TRUE")</formula>
    </cfRule>
  </conditionalFormatting>
  <conditionalFormatting sqref="J19:L19 J20">
    <cfRule type="expression" dxfId="1" priority="8">
      <formula>IF($H$6&lt;&gt;"","FALSE","TRUE")</formula>
    </cfRule>
  </conditionalFormatting>
  <conditionalFormatting sqref="K20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Normal="100" workbookViewId="0">
      <selection activeCell="E41" sqref="E41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Ergon 2025-30 Revised Regulatory Proposal - Capital expenditure sharing scheme model</v>
      </c>
      <c r="J1" s="121"/>
      <c r="K1" s="105" t="s">
        <v>47</v>
      </c>
      <c r="L1" s="157" t="s">
        <v>48</v>
      </c>
      <c r="M1" s="160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4" t="str">
        <f>IF('Input | General'!D14="Yes",'Input | General'!D13,"n/a")</f>
        <v>2020–21</v>
      </c>
      <c r="E7" s="174" t="str">
        <f>IF('Input | General'!E14="Yes",'Input | General'!E13,"n/a")</f>
        <v>2021–22</v>
      </c>
      <c r="F7" s="174" t="str">
        <f>IF('Input | General'!F14="Yes",'Input | General'!F13,"n/a")</f>
        <v>2022–23</v>
      </c>
      <c r="G7" s="174" t="str">
        <f>IF('Input | General'!G14="Yes",'Input | General'!G13,"n/a")</f>
        <v>2023–24</v>
      </c>
      <c r="H7" s="179" t="str">
        <f>IF('Input | General'!H14="Yes",'Input | General'!H13,"n/a")</f>
        <v>2024–25</v>
      </c>
      <c r="I7" s="96"/>
    </row>
    <row r="8" spans="2:23" ht="11.25" customHeight="1">
      <c r="C8" s="143" t="s">
        <v>93</v>
      </c>
      <c r="D8" s="161">
        <f>'Input | Inflation and Disc Rate'!G20</f>
        <v>2.3998445239976629E-2</v>
      </c>
      <c r="E8" s="162">
        <f>'Input | Inflation and Disc Rate'!H20</f>
        <v>2.2429515237719189E-2</v>
      </c>
      <c r="F8" s="162">
        <f>'Input | Inflation and Disc Rate'!I20</f>
        <v>2.1803719524386755E-2</v>
      </c>
      <c r="G8" s="162">
        <f>'Input | Inflation and Disc Rate'!J20</f>
        <v>2.2573324923264249E-2</v>
      </c>
      <c r="H8" s="163">
        <f>'Input | Inflation and Disc Rate'!K20</f>
        <v>2.3056871865892781E-2</v>
      </c>
      <c r="I8" s="96"/>
      <c r="J8" s="79"/>
      <c r="K8" s="79"/>
    </row>
    <row r="9" spans="2:23" ht="11.25" customHeight="1">
      <c r="C9" s="146" t="s">
        <v>94</v>
      </c>
      <c r="D9" s="162">
        <f>'Input | Inflation and Disc Rate'!G22</f>
        <v>3.2810824286792162E-2</v>
      </c>
      <c r="E9" s="162">
        <f>'Input | Inflation and Disc Rate'!H22</f>
        <v>5.8197100668390123E-2</v>
      </c>
      <c r="F9" s="162">
        <f>'Input | Inflation and Disc Rate'!I22</f>
        <v>0.10182956730247161</v>
      </c>
      <c r="G9" s="162">
        <f>'Input | Inflation and Disc Rate'!J22</f>
        <v>6.4007870963732838E-2</v>
      </c>
      <c r="H9" s="163">
        <f>'Input | Inflation and Disc Rate'!K22</f>
        <v>5.3748578021869609E-2</v>
      </c>
      <c r="I9" s="96"/>
      <c r="J9" s="79"/>
      <c r="K9" s="79"/>
    </row>
    <row r="10" spans="2:23" ht="11.25" customHeight="1">
      <c r="C10" s="112" t="s">
        <v>13</v>
      </c>
      <c r="D10" s="164">
        <f>'Input | Reported Capex'!H$12*'Input | Inflation and Disc Rate'!G$15*(1+'Input | Inflation and Disc Rate'!G$20)^0.5</f>
        <v>466.90176160226463</v>
      </c>
      <c r="E10" s="165">
        <f>'Input | Reported Capex'!I$12*'Input | Inflation and Disc Rate'!H$15*(1+'Input | Inflation and Disc Rate'!H$20)^0.5</f>
        <v>487.24273773011839</v>
      </c>
      <c r="F10" s="165">
        <f>'Input | Reported Capex'!J$12*'Input | Inflation and Disc Rate'!I$15*(1+'Input | Inflation and Disc Rate'!I$20)^0.5</f>
        <v>526.42975966395636</v>
      </c>
      <c r="G10" s="165">
        <f>'Input | Reported Capex'!K$12*'Input | Inflation and Disc Rate'!J$15*(1+'Input | Inflation and Disc Rate'!J$20)^0.5</f>
        <v>524.36415013185933</v>
      </c>
      <c r="H10" s="166">
        <f>'Input | Reported Capex'!L$12*'Input | Inflation and Disc Rate'!K$15*(1+'Input | Inflation and Disc Rate'!K$20)^0.5</f>
        <v>551.24147087020651</v>
      </c>
      <c r="I10" s="96"/>
      <c r="J10" s="79"/>
      <c r="K10" s="79"/>
      <c r="N10" s="137"/>
    </row>
    <row r="11" spans="2:23" ht="11.25" customHeight="1">
      <c r="C11" s="112" t="s">
        <v>15</v>
      </c>
      <c r="D11" s="167">
        <f>'Input | Reported Capex'!H23*(1+D$9)^0.5</f>
        <v>570.76208151384958</v>
      </c>
      <c r="E11" s="165">
        <f>'Input | Reported Capex'!I23*(1+E$9)^0.5</f>
        <v>609.00228588827474</v>
      </c>
      <c r="F11" s="165">
        <f>'Input | Reported Capex'!J23*(1+F$9)^0.5</f>
        <v>771.57567032614975</v>
      </c>
      <c r="G11" s="165">
        <f>'Input | Reported Capex'!K23*(1+G$9)^0.5</f>
        <v>1065.4780519516194</v>
      </c>
      <c r="H11" s="166">
        <f>'Input | Reported Capex'!L23*(1+H$9)^0.5</f>
        <v>1255.9914737938532</v>
      </c>
      <c r="I11" s="96"/>
      <c r="J11" s="79"/>
      <c r="K11" s="79"/>
    </row>
    <row r="12" spans="2:23" s="19" customFormat="1" ht="11.25" customHeight="1">
      <c r="C12" s="112" t="s">
        <v>17</v>
      </c>
      <c r="D12" s="156">
        <f>(D10-D11)</f>
        <v>-103.86031991158495</v>
      </c>
      <c r="E12" s="144">
        <f>(E10-E11)</f>
        <v>-121.75954815815635</v>
      </c>
      <c r="F12" s="144">
        <f t="shared" ref="F12:H12" si="0">(F10-F11)</f>
        <v>-245.14591066219339</v>
      </c>
      <c r="G12" s="144">
        <f t="shared" si="0"/>
        <v>-541.11390181976003</v>
      </c>
      <c r="H12" s="149">
        <f t="shared" si="0"/>
        <v>-704.75000292364666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-2.3295366280512844</v>
      </c>
      <c r="F13" s="144">
        <f>$D$12*$F$8*(1+'Input | Inflation and Disc Rate'!H13)</f>
        <v>-2.3437615859933305</v>
      </c>
      <c r="G13" s="144">
        <f>$D$12*$G$8*(1+'Input | Inflation and Disc Rate'!H13)*(1+'Input | Inflation and Disc Rate'!I13)</f>
        <v>-2.6165276061278839</v>
      </c>
      <c r="H13" s="149">
        <f>$D$12*$H$8*(1+'Input | Inflation and Disc Rate'!H13)*(1+'Input | Inflation and Disc Rate'!I13)*(1+'Input | Inflation and Disc Rate'!J13)</f>
        <v>-2.7808691586816856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-2.6548110374565028</v>
      </c>
      <c r="G14" s="144">
        <f>$E$12*G$8*(1+'Input | Inflation and Disc Rate'!I13)</f>
        <v>-2.9637768662438146</v>
      </c>
      <c r="H14" s="149">
        <f>$E$12*H$8*(1+'Input | Inflation and Disc Rate'!I13)*(1+'Input | Inflation and Disc Rate'!J13)</f>
        <v>-3.1499288068848514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-5.5337582949872006</v>
      </c>
      <c r="H15" s="149">
        <f>$F$12*$H$8*(1+'Input | Inflation and Disc Rate'!J13)</f>
        <v>-5.8813282680789465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-12.476393899111493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-2.3295366280512844</v>
      </c>
      <c r="F18" s="150">
        <f t="shared" ref="F18:H18" si="1">SUM(F13:F17)</f>
        <v>-4.9985726234498333</v>
      </c>
      <c r="G18" s="150">
        <f t="shared" si="1"/>
        <v>-11.114062767358899</v>
      </c>
      <c r="H18" s="151">
        <f t="shared" si="1"/>
        <v>-24.288520132756975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1.3072625862356682</v>
      </c>
      <c r="E19" s="150">
        <f>F19*(1+F$9)</f>
        <v>1.2353677641055343</v>
      </c>
      <c r="F19" s="150">
        <f>G19*(1+G$9)</f>
        <v>1.1211967810321104</v>
      </c>
      <c r="G19" s="150">
        <f>H19*(1+H$9)</f>
        <v>1.0537485780218696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-135.7727104148824</v>
      </c>
      <c r="E20" s="144">
        <f>E12*E19</f>
        <v>-150.41782076664174</v>
      </c>
      <c r="F20" s="144">
        <f t="shared" ref="F20:H20" si="2">F12*F19</f>
        <v>-274.85680591763656</v>
      </c>
      <c r="G20" s="144">
        <f t="shared" si="2"/>
        <v>-570.19800459043768</v>
      </c>
      <c r="H20" s="149">
        <f t="shared" si="2"/>
        <v>-704.75000292364666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-2.8778344555976609</v>
      </c>
      <c r="F21" s="150">
        <f t="shared" ref="F21:H21" si="3">F18*F19</f>
        <v>-5.6043835351671847</v>
      </c>
      <c r="G21" s="150">
        <f t="shared" si="3"/>
        <v>-11.711427837150245</v>
      </c>
      <c r="H21" s="151">
        <f t="shared" si="3"/>
        <v>-24.288520132756975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0" t="str">
        <f>'Input | General'!$D$18</f>
        <v>2025-26</v>
      </c>
      <c r="E24" s="180" t="str">
        <f>'Input | General'!$E$18</f>
        <v>2026–27</v>
      </c>
      <c r="F24" s="180" t="str">
        <f>'Input | General'!$F$18</f>
        <v>2027–28</v>
      </c>
      <c r="G24" s="180" t="str">
        <f>'Input | General'!$G$18</f>
        <v>2028–29</v>
      </c>
      <c r="H24" s="181" t="str">
        <f>'Input | General'!$H$18</f>
        <v>2029–30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68">
        <f ca="1">'Input | Inflation and Disc Rate'!L$22</f>
        <v>5.8794879083977625E-2</v>
      </c>
      <c r="E25" s="168">
        <f ca="1">'Input | Inflation and Disc Rate'!M$22</f>
        <v>5.8979651866098104E-2</v>
      </c>
      <c r="F25" s="168">
        <f ca="1">'Input | Inflation and Disc Rate'!N$22</f>
        <v>5.9415214021041107E-2</v>
      </c>
      <c r="G25" s="168">
        <f ca="1">'Input | Inflation and Disc Rate'!O$22</f>
        <v>6.0209736008127068E-2</v>
      </c>
      <c r="H25" s="169">
        <f ca="1">'Input | Inflation and Disc Rate'!P$22</f>
        <v>6.1027558664160653E-2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5">
        <f>'Input | Reported Capex'!H31</f>
        <v>0</v>
      </c>
      <c r="E26" s="165">
        <f>'Input | Reported Capex'!I31</f>
        <v>0</v>
      </c>
      <c r="F26" s="165">
        <f>'Input | Reported Capex'!J31</f>
        <v>0</v>
      </c>
      <c r="G26" s="165">
        <f>'Input | Reported Capex'!K31</f>
        <v>0</v>
      </c>
      <c r="H26" s="166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 ca="1">1/(1+D25)^(0.5)</f>
        <v>0.97183846421147979</v>
      </c>
      <c r="E27" s="123">
        <f ca="1">1/((1+E25)^(0.5)*(1+D25))</f>
        <v>0.91779219525740763</v>
      </c>
      <c r="F27" s="123">
        <f ca="1">1/((1+F25)^(0.5)*(1+E25)*(1+D25))</f>
        <v>0.86649777096491898</v>
      </c>
      <c r="G27" s="123">
        <f ca="1">1/((1+G25)^(0.5)*(1+F25)*(1+E25)*(1+D25))</f>
        <v>0.81759542585769107</v>
      </c>
      <c r="H27" s="124">
        <f ca="1">1/((1+H25)^(0.5)*(1+G25)*(1+F25)*(1+E25)*(1+D25))</f>
        <v>0.7708665962789143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 ca="1">D26*D27</f>
        <v>0</v>
      </c>
      <c r="E28" s="90">
        <f t="shared" ref="E28:G28" ca="1" si="4">E26*E27</f>
        <v>0</v>
      </c>
      <c r="F28" s="90">
        <f t="shared" ca="1" si="4"/>
        <v>0</v>
      </c>
      <c r="G28" s="90">
        <f t="shared" ca="1" si="4"/>
        <v>0</v>
      </c>
      <c r="H28" s="91">
        <f ca="1"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 ca="1">SUM(D20:H20)-SUM(D28:H28)</f>
        <v>-1835.9953446132449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 ca="1">(1-D32)*D31</f>
        <v>-1285.1967412292713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 ca="1">D32*D31</f>
        <v>-550.7986033839735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-44.482165960672063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 ca="1">D34-D35</f>
        <v>-506.31643742330141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</row>
    <row r="40" spans="1:14235" s="30" customFormat="1" ht="11.25" customHeight="1">
      <c r="C40" s="92"/>
      <c r="D40" s="182" t="str">
        <f>'Input | General'!D18</f>
        <v>2025-26</v>
      </c>
      <c r="E40" s="182" t="str">
        <f>'Input | General'!E18</f>
        <v>2026–27</v>
      </c>
      <c r="F40" s="182" t="str">
        <f>'Input | General'!F18</f>
        <v>2027–28</v>
      </c>
      <c r="G40" s="182" t="str">
        <f>'Input | General'!G18</f>
        <v>2028–29</v>
      </c>
      <c r="H40" s="182" t="str">
        <f>'Input | General'!H18</f>
        <v>2029–30</v>
      </c>
      <c r="I40" s="93"/>
      <c r="J40" s="93"/>
      <c r="K40" s="93"/>
      <c r="L40" s="93"/>
      <c r="M40" s="93"/>
      <c r="N40" s="93"/>
      <c r="O40" s="93"/>
    </row>
    <row r="41" spans="1:14235" s="30" customFormat="1" ht="11.25" customHeight="1">
      <c r="C41" s="99" t="s">
        <v>98</v>
      </c>
      <c r="D41" s="170">
        <f ca="1">1/(1+'Input | Inflation and Disc Rate'!L21)</f>
        <v>0.9713845832368676</v>
      </c>
      <c r="E41" s="170">
        <f ca="1">D41/(1+'Input | Inflation and Disc Rate'!M21)</f>
        <v>0.94342336952135619</v>
      </c>
      <c r="F41" s="170">
        <f ca="1">E41/(1+'Input | Inflation and Disc Rate'!N21)</f>
        <v>0.91589030771747582</v>
      </c>
      <c r="G41" s="170">
        <f ca="1">F41/(1+'Input | Inflation and Disc Rate'!O21)</f>
        <v>0.88849443869052758</v>
      </c>
      <c r="H41" s="171">
        <f ca="1">G41/(1+'Input | Inflation and Disc Rate'!P21)</f>
        <v>0.86125367537135378</v>
      </c>
      <c r="I41" s="93"/>
      <c r="J41" s="93"/>
      <c r="K41" s="93"/>
      <c r="L41" s="93"/>
      <c r="M41" s="93"/>
      <c r="N41" s="93"/>
      <c r="O41" s="93"/>
    </row>
    <row r="42" spans="1:14235" s="30" customFormat="1" ht="11.25" customHeight="1">
      <c r="C42" s="188" t="str">
        <f>CONCATENATE("CESS Payment Per Year ($", 'Output | Models'!$F$8," million)")</f>
        <v>CESS Payment Per Year ($2024–25 million)</v>
      </c>
      <c r="D42" s="109">
        <f ca="1">D36/(SUM(D41:H41))</f>
        <v>-110.53866720018453</v>
      </c>
      <c r="E42" s="109">
        <f ca="1">D42</f>
        <v>-110.53866720018453</v>
      </c>
      <c r="F42" s="109">
        <f t="shared" ref="F42:H42" ca="1" si="5">E42</f>
        <v>-110.53866720018453</v>
      </c>
      <c r="G42" s="109">
        <f t="shared" ca="1" si="5"/>
        <v>-110.53866720018453</v>
      </c>
      <c r="H42" s="147">
        <f t="shared" ca="1" si="5"/>
        <v>-110.53866720018453</v>
      </c>
      <c r="I42" s="93"/>
      <c r="J42" s="93"/>
      <c r="K42" s="93"/>
      <c r="L42" s="93"/>
      <c r="M42" s="93"/>
      <c r="N42" s="93"/>
      <c r="O42" s="93"/>
    </row>
    <row r="43" spans="1:14235" s="79" customFormat="1" ht="11.25" customHeight="1"/>
    <row r="44" spans="1:14235" s="30" customFormat="1" ht="11.25" customHeight="1">
      <c r="C44" s="188" t="str">
        <f>CONCATENATE("Total CESS Payment ($", 'Output | Models'!$F$8," million)")</f>
        <v>Total CESS Payment ($2024–25 million)</v>
      </c>
      <c r="D44" s="155">
        <f ca="1">SUM(D42:H42)</f>
        <v>-552.69333600092273</v>
      </c>
      <c r="E44" s="70"/>
      <c r="F44" s="70"/>
      <c r="G44" s="70"/>
      <c r="H44" s="70"/>
      <c r="I44" s="93"/>
      <c r="J44" s="93"/>
      <c r="K44" s="93"/>
      <c r="L44" s="93"/>
      <c r="M44" s="93"/>
      <c r="N44" s="93"/>
      <c r="O44" s="9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93"/>
      <c r="K45" s="93"/>
      <c r="L45" s="93"/>
      <c r="M45" s="93"/>
      <c r="N45" s="93"/>
      <c r="O45" s="9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J9" sqref="J9:O10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2025-30 Revised Regulatory Proposal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7" t="s">
        <v>48</v>
      </c>
      <c r="M1" s="160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18"/>
      <c r="K3" s="218"/>
      <c r="L3" s="218"/>
      <c r="M3" s="42"/>
      <c r="N3" s="218"/>
      <c r="O3" s="218"/>
      <c r="P3" s="218"/>
      <c r="Q3" s="218"/>
      <c r="R3" s="218"/>
      <c r="S3" s="218"/>
      <c r="T3" s="218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3" t="str">
        <f>'Calc | CESS Revenue Increments'!D40</f>
        <v>2025-26</v>
      </c>
      <c r="K6" s="183" t="str">
        <f>'Calc | CESS Revenue Increments'!E40</f>
        <v>2026–27</v>
      </c>
      <c r="L6" s="183" t="str">
        <f>'Calc | CESS Revenue Increments'!F40</f>
        <v>2027–28</v>
      </c>
      <c r="M6" s="183" t="str">
        <f>'Calc | CESS Revenue Increments'!G40</f>
        <v>2028–29</v>
      </c>
      <c r="N6" s="183" t="str">
        <f>'Calc | CESS Revenue Increments'!H40</f>
        <v>2029–30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5" t="s">
        <v>58</v>
      </c>
      <c r="E8" s="52" t="s">
        <v>50</v>
      </c>
      <c r="F8" s="184" t="str">
        <f>IF(LEN(J6)&gt;4,CONCATENATE(LEFT(J6,4)-1&amp;"–"&amp;IF(RIGHT(J6,2)="00","99",IF(RIGHT(J6,2)-1&lt;10,"0","")&amp;RIGHT(J6,2)-1)),J6-1)</f>
        <v>2024–25</v>
      </c>
      <c r="H8" s="55"/>
      <c r="I8" s="55"/>
      <c r="J8" s="131">
        <f ca="1">'Calc | CESS Revenue Increments'!D42</f>
        <v>-110.53866720018453</v>
      </c>
      <c r="K8" s="131">
        <f ca="1">'Calc | CESS Revenue Increments'!E42</f>
        <v>-110.53866720018453</v>
      </c>
      <c r="L8" s="131">
        <f ca="1">'Calc | CESS Revenue Increments'!F42</f>
        <v>-110.53866720018453</v>
      </c>
      <c r="M8" s="131">
        <f ca="1">'Calc | CESS Revenue Increments'!G42</f>
        <v>-110.53866720018453</v>
      </c>
      <c r="N8" s="131">
        <f ca="1">'Calc | CESS Revenue Increments'!H42</f>
        <v>-110.53866720018453</v>
      </c>
      <c r="O8" s="60">
        <f ca="1">SUM(J8:N8)</f>
        <v>-552.69333600092273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O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2.8.000.92058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Props1.xml><?xml version="1.0" encoding="utf-8"?>
<ds:datastoreItem xmlns:ds="http://schemas.openxmlformats.org/officeDocument/2006/customXml" ds:itemID="{465884D8-7DC9-4C20-BE22-06EF5A51B64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7B86678-8FC3-4A97-A4E6-54F5A86BD1A0}"/>
</file>

<file path=customXml/itemProps3.xml><?xml version="1.0" encoding="utf-8"?>
<ds:datastoreItem xmlns:ds="http://schemas.openxmlformats.org/officeDocument/2006/customXml" ds:itemID="{98D2E8E9-444B-4AD1-8440-DD4D0AC06CD3}"/>
</file>

<file path=customXml/itemProps4.xml><?xml version="1.0" encoding="utf-8"?>
<ds:datastoreItem xmlns:ds="http://schemas.openxmlformats.org/officeDocument/2006/customXml" ds:itemID="{CE5BA84A-262B-4BF3-BB3F-FDA12C1D7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AER draft decision amendments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2024-11-18T01:56:58Z</dcterms:created>
  <dcterms:modified xsi:type="dcterms:W3CDTF">2024-11-18T01:57:03Z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</Properties>
</file>