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-30 RRP\Models\ERG\"/>
    </mc:Choice>
  </mc:AlternateContent>
  <xr:revisionPtr revIDLastSave="0" documentId="13_ncr:1_{FE7D0EE2-A3CE-4911-92F6-BE9EB8FC58A2}" xr6:coauthVersionLast="47" xr6:coauthVersionMax="47" xr10:uidLastSave="{00000000-0000-0000-0000-000000000000}"/>
  <bookViews>
    <workbookView xWindow="-120" yWindow="-120" windowWidth="29040" windowHeight="15840" xr2:uid="{AF90CBEA-8C9E-4B04-A91B-EF28873AF7EC}"/>
  </bookViews>
  <sheets>
    <sheet name="CCO calcs" sheetId="1" r:id="rId1"/>
    <sheet name="Input| Escalations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1" l="1"/>
  <c r="I84" i="1" s="1"/>
  <c r="H79" i="1"/>
  <c r="H84" i="1" s="1"/>
  <c r="G79" i="1"/>
  <c r="G84" i="1" s="1"/>
  <c r="F79" i="1"/>
  <c r="F84" i="1" s="1"/>
  <c r="E79" i="1"/>
  <c r="E84" i="1" s="1"/>
  <c r="D79" i="1"/>
  <c r="D84" i="1" s="1"/>
  <c r="D12" i="1"/>
  <c r="C12" i="1"/>
  <c r="B12" i="1"/>
  <c r="E12" i="1"/>
  <c r="D7" i="1"/>
  <c r="C7" i="1"/>
  <c r="B7" i="1"/>
  <c r="D6" i="1"/>
  <c r="C6" i="1"/>
  <c r="B6" i="1"/>
  <c r="B58" i="1" l="1"/>
  <c r="D77" i="1" l="1"/>
  <c r="E77" i="1" s="1"/>
  <c r="F77" i="1" s="1"/>
  <c r="G77" i="1" s="1"/>
  <c r="H77" i="1" s="1"/>
  <c r="H68" i="1"/>
  <c r="G68" i="1"/>
  <c r="F68" i="1"/>
  <c r="E68" i="1"/>
  <c r="D68" i="1"/>
  <c r="C68" i="1"/>
  <c r="B68" i="1"/>
  <c r="L7" i="1"/>
  <c r="L6" i="1"/>
  <c r="C23" i="1"/>
  <c r="D23" i="1"/>
  <c r="E23" i="1"/>
  <c r="B23" i="1"/>
  <c r="E18" i="1"/>
  <c r="D18" i="1"/>
  <c r="C18" i="1"/>
  <c r="B18" i="1"/>
  <c r="A12" i="1"/>
  <c r="A11" i="1"/>
  <c r="A66" i="1"/>
  <c r="D39" i="2"/>
  <c r="D34" i="2"/>
  <c r="D33" i="2"/>
  <c r="D31" i="2"/>
  <c r="D35" i="2" s="1"/>
  <c r="D30" i="2"/>
  <c r="E30" i="2" s="1"/>
  <c r="D29" i="2"/>
  <c r="E29" i="2" s="1"/>
  <c r="J23" i="2"/>
  <c r="K23" i="2" s="1"/>
  <c r="L23" i="2" s="1"/>
  <c r="M23" i="2" s="1"/>
  <c r="N23" i="2" s="1"/>
  <c r="I23" i="2"/>
  <c r="I38" i="2" s="1"/>
  <c r="H23" i="2"/>
  <c r="H39" i="2" s="1"/>
  <c r="G23" i="2"/>
  <c r="G39" i="2" s="1"/>
  <c r="F23" i="2"/>
  <c r="F39" i="2" s="1"/>
  <c r="D23" i="2"/>
  <c r="D21" i="2"/>
  <c r="D17" i="2"/>
  <c r="J14" i="2"/>
  <c r="I14" i="2"/>
  <c r="H14" i="2"/>
  <c r="G14" i="2"/>
  <c r="F14" i="2"/>
  <c r="E14" i="2"/>
  <c r="D14" i="2"/>
  <c r="E23" i="2" s="1"/>
  <c r="D10" i="2"/>
  <c r="K14" i="2" s="1"/>
  <c r="B12" i="2"/>
  <c r="B21" i="2" s="1"/>
  <c r="D37" i="2" s="1"/>
  <c r="B3" i="2"/>
  <c r="E17" i="2" l="1"/>
  <c r="F17" i="2" s="1"/>
  <c r="G17" i="2" s="1"/>
  <c r="H17" i="2" s="1"/>
  <c r="I17" i="2" s="1"/>
  <c r="E33" i="2"/>
  <c r="F29" i="2"/>
  <c r="D38" i="2"/>
  <c r="E38" i="2"/>
  <c r="E39" i="2"/>
  <c r="F30" i="2"/>
  <c r="E34" i="2"/>
  <c r="F38" i="2"/>
  <c r="B19" i="2"/>
  <c r="B18" i="2"/>
  <c r="E31" i="2"/>
  <c r="H38" i="2"/>
  <c r="G38" i="2"/>
  <c r="B16" i="2"/>
  <c r="I39" i="2"/>
  <c r="E19" i="1" l="1"/>
  <c r="C25" i="1"/>
  <c r="D20" i="1"/>
  <c r="B25" i="1"/>
  <c r="J17" i="2"/>
  <c r="F34" i="2"/>
  <c r="G30" i="2"/>
  <c r="E35" i="2"/>
  <c r="F31" i="2"/>
  <c r="F33" i="2"/>
  <c r="G29" i="2"/>
  <c r="D50" i="1"/>
  <c r="A46" i="1"/>
  <c r="A45" i="1"/>
  <c r="B50" i="1"/>
  <c r="A25" i="1"/>
  <c r="A24" i="1"/>
  <c r="N22" i="1"/>
  <c r="O22" i="1" s="1"/>
  <c r="P22" i="1" s="1"/>
  <c r="E20" i="1" l="1"/>
  <c r="E24" i="1"/>
  <c r="E25" i="1"/>
  <c r="B19" i="1"/>
  <c r="K19" i="2"/>
  <c r="B75" i="1" s="1"/>
  <c r="D19" i="1"/>
  <c r="B20" i="1"/>
  <c r="C24" i="1"/>
  <c r="C19" i="1"/>
  <c r="C20" i="1"/>
  <c r="D24" i="1"/>
  <c r="D25" i="1"/>
  <c r="B24" i="1"/>
  <c r="G33" i="2"/>
  <c r="H29" i="2"/>
  <c r="G34" i="2"/>
  <c r="H30" i="2"/>
  <c r="G31" i="2"/>
  <c r="F35" i="2"/>
  <c r="Q22" i="1"/>
  <c r="C50" i="1"/>
  <c r="C58" i="1"/>
  <c r="F25" i="1" l="1"/>
  <c r="B46" i="1" s="1"/>
  <c r="F19" i="1"/>
  <c r="F24" i="1"/>
  <c r="B45" i="1" s="1"/>
  <c r="F20" i="1"/>
  <c r="G35" i="2"/>
  <c r="H31" i="2"/>
  <c r="H34" i="2"/>
  <c r="I30" i="2"/>
  <c r="I29" i="2"/>
  <c r="H33" i="2"/>
  <c r="R22" i="1"/>
  <c r="B54" i="1" l="1"/>
  <c r="B62" i="1"/>
  <c r="B69" i="1" s="1"/>
  <c r="B63" i="1"/>
  <c r="J29" i="2"/>
  <c r="I33" i="2"/>
  <c r="H35" i="2"/>
  <c r="I31" i="2"/>
  <c r="J30" i="2"/>
  <c r="I34" i="2"/>
  <c r="K30" i="2" l="1"/>
  <c r="J34" i="2"/>
  <c r="J31" i="2"/>
  <c r="I35" i="2"/>
  <c r="C63" i="1"/>
  <c r="C62" i="1"/>
  <c r="K29" i="2"/>
  <c r="J33" i="2"/>
  <c r="D62" i="1" l="1"/>
  <c r="D63" i="1"/>
  <c r="K33" i="2"/>
  <c r="L29" i="2"/>
  <c r="L30" i="2"/>
  <c r="K34" i="2"/>
  <c r="K31" i="2"/>
  <c r="J35" i="2"/>
  <c r="C69" i="1"/>
  <c r="L31" i="2" l="1"/>
  <c r="K35" i="2"/>
  <c r="E63" i="1" s="1"/>
  <c r="L34" i="2"/>
  <c r="M30" i="2"/>
  <c r="L33" i="2"/>
  <c r="M29" i="2"/>
  <c r="B70" i="1"/>
  <c r="B71" i="1" s="1"/>
  <c r="C70" i="1"/>
  <c r="C71" i="1" s="1"/>
  <c r="E62" i="1" l="1"/>
  <c r="M31" i="2"/>
  <c r="L35" i="2"/>
  <c r="F62" i="1" s="1"/>
  <c r="M33" i="2"/>
  <c r="N29" i="2"/>
  <c r="N33" i="2" s="1"/>
  <c r="M34" i="2"/>
  <c r="N30" i="2"/>
  <c r="N34" i="2" s="1"/>
  <c r="M35" i="2" l="1"/>
  <c r="G63" i="1" s="1"/>
  <c r="N31" i="2"/>
  <c r="N35" i="2" s="1"/>
  <c r="H62" i="1" s="1"/>
  <c r="F63" i="1"/>
  <c r="G62" i="1" l="1"/>
  <c r="H63" i="1"/>
  <c r="I36" i="1" l="1"/>
  <c r="C46" i="1" s="1"/>
  <c r="D46" i="1" s="1"/>
  <c r="B52" i="1" s="1"/>
  <c r="I35" i="1"/>
  <c r="C45" i="1" s="1"/>
  <c r="D45" i="1" s="1"/>
  <c r="B51" i="1" s="1"/>
  <c r="C52" i="1" l="1"/>
  <c r="D52" i="1"/>
  <c r="G57" i="1" s="1"/>
  <c r="C51" i="1"/>
  <c r="D51" i="1"/>
  <c r="E56" i="1" s="1"/>
  <c r="F57" i="1"/>
  <c r="E57" i="1"/>
  <c r="D57" i="1"/>
  <c r="H57" i="1"/>
  <c r="G56" i="1" l="1"/>
  <c r="D56" i="1"/>
  <c r="F56" i="1"/>
  <c r="H56" i="1"/>
  <c r="I56" i="1" s="1"/>
  <c r="H81" i="1"/>
  <c r="H70" i="1"/>
  <c r="H30" i="1" s="1"/>
  <c r="G81" i="1"/>
  <c r="G70" i="1"/>
  <c r="G30" i="1" s="1"/>
  <c r="D81" i="1"/>
  <c r="I57" i="1"/>
  <c r="D70" i="1"/>
  <c r="E81" i="1"/>
  <c r="E70" i="1"/>
  <c r="E30" i="1" s="1"/>
  <c r="F81" i="1"/>
  <c r="F70" i="1"/>
  <c r="F30" i="1" s="1"/>
  <c r="D80" i="1"/>
  <c r="D58" i="1"/>
  <c r="D69" i="1"/>
  <c r="F58" i="1"/>
  <c r="F69" i="1"/>
  <c r="F80" i="1"/>
  <c r="H80" i="1"/>
  <c r="H58" i="1"/>
  <c r="H69" i="1"/>
  <c r="E80" i="1"/>
  <c r="E58" i="1"/>
  <c r="E69" i="1"/>
  <c r="G58" i="1"/>
  <c r="G69" i="1"/>
  <c r="G80" i="1"/>
  <c r="I58" i="1" l="1"/>
  <c r="G82" i="1"/>
  <c r="G29" i="1"/>
  <c r="G71" i="1"/>
  <c r="E71" i="1"/>
  <c r="E29" i="1"/>
  <c r="E82" i="1"/>
  <c r="H29" i="1"/>
  <c r="H71" i="1"/>
  <c r="H82" i="1"/>
  <c r="F82" i="1"/>
  <c r="F29" i="1"/>
  <c r="F71" i="1"/>
  <c r="D71" i="1"/>
  <c r="D29" i="1"/>
  <c r="I69" i="1"/>
  <c r="I71" i="1" s="1"/>
  <c r="I80" i="1"/>
  <c r="D82" i="1"/>
  <c r="D30" i="1"/>
  <c r="I70" i="1"/>
  <c r="I81" i="1"/>
  <c r="I82" i="1" l="1"/>
</calcChain>
</file>

<file path=xl/sharedStrings.xml><?xml version="1.0" encoding="utf-8"?>
<sst xmlns="http://schemas.openxmlformats.org/spreadsheetml/2006/main" count="142" uniqueCount="77">
  <si>
    <t>NOTE: please only include historical actual expenditure only</t>
  </si>
  <si>
    <t>Capitalised overheads, nominal ($'000)</t>
  </si>
  <si>
    <t>Capitalised overheads - network</t>
  </si>
  <si>
    <t>Capitalised overheads - corporate</t>
  </si>
  <si>
    <t>Total costs that attract overheads, nominal ($'000)</t>
  </si>
  <si>
    <t>Calculations: forecast expenditure</t>
  </si>
  <si>
    <t>Forecast period avg</t>
  </si>
  <si>
    <t>Total Capex - all costs that attracts network OHs</t>
  </si>
  <si>
    <t>Total Capex - all costs that attracts corporate OHs</t>
  </si>
  <si>
    <t>Current period</t>
  </si>
  <si>
    <t>Forecast period</t>
  </si>
  <si>
    <t>Change</t>
  </si>
  <si>
    <t>%</t>
  </si>
  <si>
    <t>Annualised</t>
  </si>
  <si>
    <t>Total period</t>
  </si>
  <si>
    <t>Overhead rate (%)</t>
  </si>
  <si>
    <t>Total forecast capitalised overheads</t>
  </si>
  <si>
    <t>Real Cost Escalation - Network overheads</t>
  </si>
  <si>
    <t>Real Cost Escalation - Corporate overheads</t>
  </si>
  <si>
    <t>Overheads Rate - Network</t>
  </si>
  <si>
    <t>Overheads Rate - Corporate</t>
  </si>
  <si>
    <t>2023-24</t>
  </si>
  <si>
    <t>2024-25</t>
  </si>
  <si>
    <t>2025-26</t>
  </si>
  <si>
    <t>2026-27</t>
  </si>
  <si>
    <t>2027-28</t>
  </si>
  <si>
    <t>2028-29</t>
  </si>
  <si>
    <t>2029-30</t>
  </si>
  <si>
    <t>33. Historical expenditure (nominal)</t>
  </si>
  <si>
    <t>39. Escalated costs that attract overheads ($'000s June 2025)</t>
  </si>
  <si>
    <t>40. Escalated capitalised internal labour costs that attract overheads ($'000s June 2025)</t>
  </si>
  <si>
    <t>41. Change in costs attracting capitalised overheads</t>
  </si>
  <si>
    <t>42. Unescalated capitalised overheads ($'000s June 2025)</t>
  </si>
  <si>
    <t>43. Annual unescalated capitalised overheads ($'000s June 2025)</t>
  </si>
  <si>
    <t>44. Real cost escalation - cumulative</t>
  </si>
  <si>
    <t>Key:</t>
  </si>
  <si>
    <t>Input</t>
  </si>
  <si>
    <t>Do not edit cell</t>
  </si>
  <si>
    <t>Formula - do not edit</t>
  </si>
  <si>
    <t>Year</t>
  </si>
  <si>
    <t>Month</t>
  </si>
  <si>
    <t>First year of forecast regulatory control period (YYYY-YY)</t>
  </si>
  <si>
    <t>Base year for inputs</t>
  </si>
  <si>
    <t>2022-23</t>
  </si>
  <si>
    <t>December</t>
  </si>
  <si>
    <t>Base year for outputs</t>
  </si>
  <si>
    <t>June</t>
  </si>
  <si>
    <t>NOTE: please use a one year-lagged CPI series.</t>
  </si>
  <si>
    <t>CPI year on year change (%) - lagged one year (actual/estimate)</t>
  </si>
  <si>
    <t xml:space="preserve">Cumulative Inflation Index </t>
  </si>
  <si>
    <t>Annual escalation</t>
  </si>
  <si>
    <t>Internal labour</t>
  </si>
  <si>
    <t>Contract labour</t>
  </si>
  <si>
    <t>Non-labour</t>
  </si>
  <si>
    <t>Index</t>
  </si>
  <si>
    <t>Cumulative</t>
  </si>
  <si>
    <t>2020-21</t>
  </si>
  <si>
    <t>2021-22</t>
  </si>
  <si>
    <t>Average</t>
  </si>
  <si>
    <t>37. Capitalised overheads ($'000s June 2025)</t>
  </si>
  <si>
    <t>38. Total costs that attract capitalised overheads ($'000s June 2025)</t>
  </si>
  <si>
    <t>($'000s June 2025)</t>
  </si>
  <si>
    <t>33. Historical expenditure ($'000s June 2025)</t>
  </si>
  <si>
    <t>Real cost escalation split - Network</t>
  </si>
  <si>
    <t>Real cost escalation split - Corporate</t>
  </si>
  <si>
    <t>34. Forecast cost components of capitalised overheads</t>
  </si>
  <si>
    <t>Capex model check</t>
  </si>
  <si>
    <t>23 - 25 Escalations</t>
  </si>
  <si>
    <t xml:space="preserve">Annual productivity efficiency </t>
  </si>
  <si>
    <t xml:space="preserve">Cumulative productivity efficiency </t>
  </si>
  <si>
    <t>43. Annual unescalated capitalised overheads ($'000s June 2025) with productivity efficiency</t>
  </si>
  <si>
    <t>Calculations: Apply productivity efficiency</t>
  </si>
  <si>
    <t/>
  </si>
  <si>
    <t>Escalated capitalised overheads ($'000s December 2022-23)</t>
  </si>
  <si>
    <t>Ergon     2025-26</t>
  </si>
  <si>
    <t>10. Inflation table setup</t>
  </si>
  <si>
    <t>AER Capex Forecast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</si>
</sst>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_ ;[Red]\-0.00;\-;"/>
    <numFmt numFmtId="165" formatCode="_-* #,##0_-;\-* #,##0_-;_-* &quot;-&quot;??_-;_-@_-"/>
    <numFmt numFmtId="166" formatCode="0.0000"/>
    <numFmt numFmtId="167" formatCode="_(#,##0%_);[Red]_(\-#,##0%_);_(&quot;-&quot;_)"/>
    <numFmt numFmtId="168" formatCode="_-&quot;$&quot;* #,##0_-;\-&quot;$&quot;* #,##0_-;_-&quot;$&quot;* &quot;-&quot;??_-;_-@_-"/>
    <numFmt numFmtId="169" formatCode="_(* #,##0.00_);_(* \(#,##0.00\);_(* &quot;-&quot;??_);_(@_)"/>
    <numFmt numFmtId="170" formatCode="#,##0.0000"/>
    <numFmt numFmtId="171" formatCode="_(#,##0.00%_);[Red]_(\-#,##0.00%_);_(&quot;-&quot;_)"/>
    <numFmt numFmtId="172" formatCode="0.0000_ ;[Red]\-0.0000;\-"/>
    <numFmt numFmtId="173" formatCode="0.00000_ ;[Red]\-0.00000;\-"/>
    <numFmt numFmtId="174" formatCode="0.0000000000000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rgb="FFFFFF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sz val="10"/>
      <color theme="9" tint="-0.49998474074526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sz val="10"/>
      <color theme="0" tint="-4.9989318521683403E-2"/>
      <name val="Arial"/>
      <family val="2"/>
    </font>
    <font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3">
    <xf numFmtId="0" fontId="0" fillId="0" borderId="0" xfId="0"/>
    <xf numFmtId="10" fontId="0" fillId="0" borderId="0" xfId="0" applyNumberFormat="1"/>
    <xf numFmtId="165" fontId="2" fillId="3" borderId="0" xfId="0" applyNumberFormat="1" applyFont="1" applyFill="1"/>
    <xf numFmtId="0" fontId="3" fillId="3" borderId="0" xfId="0" applyFont="1" applyFill="1"/>
    <xf numFmtId="0" fontId="0" fillId="3" borderId="0" xfId="0" applyFill="1"/>
    <xf numFmtId="0" fontId="4" fillId="0" borderId="0" xfId="0" applyFont="1"/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7" fillId="3" borderId="0" xfId="0" applyNumberFormat="1" applyFont="1" applyFill="1"/>
    <xf numFmtId="0" fontId="5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0" applyAlignment="1">
      <alignment horizontal="center"/>
    </xf>
    <xf numFmtId="167" fontId="9" fillId="5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3" xfId="0" applyBorder="1"/>
    <xf numFmtId="0" fontId="0" fillId="0" borderId="4" xfId="0" applyBorder="1"/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168" fontId="8" fillId="0" borderId="0" xfId="0" applyNumberFormat="1" applyFont="1" applyAlignment="1">
      <alignment vertical="center"/>
    </xf>
    <xf numFmtId="0" fontId="0" fillId="0" borderId="5" xfId="0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0" fontId="11" fillId="5" borderId="4" xfId="1" quotePrefix="1" applyNumberFormat="1" applyFont="1" applyFill="1" applyBorder="1" applyAlignment="1">
      <alignment horizontal="center" vertical="center"/>
    </xf>
    <xf numFmtId="0" fontId="13" fillId="0" borderId="0" xfId="3" applyFont="1"/>
    <xf numFmtId="0" fontId="12" fillId="0" borderId="0" xfId="3"/>
    <xf numFmtId="0" fontId="14" fillId="6" borderId="0" xfId="3" applyFont="1" applyFill="1" applyAlignment="1">
      <alignment vertical="center"/>
    </xf>
    <xf numFmtId="165" fontId="15" fillId="6" borderId="0" xfId="3" applyNumberFormat="1" applyFont="1" applyFill="1" applyAlignment="1">
      <alignment vertical="center"/>
    </xf>
    <xf numFmtId="0" fontId="16" fillId="2" borderId="1" xfId="3" applyFont="1" applyFill="1" applyBorder="1" applyAlignment="1">
      <alignment horizontal="center" vertical="center"/>
    </xf>
    <xf numFmtId="0" fontId="14" fillId="6" borderId="0" xfId="3" applyFont="1" applyFill="1" applyAlignment="1">
      <alignment horizontal="center" vertical="center"/>
    </xf>
    <xf numFmtId="165" fontId="5" fillId="0" borderId="0" xfId="3" applyNumberFormat="1" applyFont="1"/>
    <xf numFmtId="0" fontId="12" fillId="3" borderId="0" xfId="3" applyFill="1"/>
    <xf numFmtId="165" fontId="2" fillId="3" borderId="0" xfId="3" applyNumberFormat="1" applyFont="1" applyFill="1"/>
    <xf numFmtId="0" fontId="5" fillId="4" borderId="2" xfId="3" applyFont="1" applyFill="1" applyBorder="1" applyAlignment="1">
      <alignment horizontal="center" vertical="center"/>
    </xf>
    <xf numFmtId="0" fontId="9" fillId="0" borderId="0" xfId="3" applyFont="1"/>
    <xf numFmtId="0" fontId="12" fillId="2" borderId="1" xfId="3" applyFill="1" applyBorder="1" applyAlignment="1" applyProtection="1">
      <alignment horizontal="center"/>
      <protection locked="0"/>
    </xf>
    <xf numFmtId="0" fontId="9" fillId="0" borderId="0" xfId="3" applyFont="1" applyAlignment="1">
      <alignment horizontal="center"/>
    </xf>
    <xf numFmtId="170" fontId="9" fillId="5" borderId="1" xfId="4" quotePrefix="1" applyNumberFormat="1" applyFont="1" applyFill="1" applyBorder="1" applyAlignment="1">
      <alignment horizontal="center" vertical="center"/>
    </xf>
    <xf numFmtId="0" fontId="3" fillId="3" borderId="0" xfId="3" applyFont="1" applyFill="1"/>
    <xf numFmtId="0" fontId="9" fillId="0" borderId="0" xfId="3" quotePrefix="1" applyFont="1" applyAlignment="1">
      <alignment horizontal="center" vertical="center"/>
    </xf>
    <xf numFmtId="171" fontId="9" fillId="2" borderId="1" xfId="5" applyNumberFormat="1" applyFont="1" applyFill="1" applyBorder="1" applyAlignment="1" applyProtection="1">
      <alignment horizontal="center" vertical="center"/>
      <protection locked="0"/>
    </xf>
    <xf numFmtId="10" fontId="17" fillId="0" borderId="0" xfId="5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left"/>
    </xf>
    <xf numFmtId="170" fontId="9" fillId="5" borderId="4" xfId="4" quotePrefix="1" applyNumberFormat="1" applyFont="1" applyFill="1" applyBorder="1" applyAlignment="1">
      <alignment horizontal="center" vertical="center"/>
    </xf>
    <xf numFmtId="0" fontId="17" fillId="8" borderId="0" xfId="3" applyFont="1" applyFill="1"/>
    <xf numFmtId="0" fontId="12" fillId="8" borderId="0" xfId="3" applyFill="1"/>
    <xf numFmtId="170" fontId="18" fillId="5" borderId="4" xfId="4" quotePrefix="1" applyNumberFormat="1" applyFont="1" applyFill="1" applyBorder="1" applyAlignment="1">
      <alignment horizontal="center" vertical="center"/>
    </xf>
    <xf numFmtId="172" fontId="9" fillId="5" borderId="4" xfId="4" quotePrefix="1" applyNumberFormat="1" applyFont="1" applyFill="1" applyBorder="1" applyAlignment="1">
      <alignment horizontal="center" vertical="center"/>
    </xf>
    <xf numFmtId="173" fontId="9" fillId="5" borderId="4" xfId="4" quotePrefix="1" applyNumberFormat="1" applyFont="1" applyFill="1" applyBorder="1" applyAlignment="1">
      <alignment horizontal="center" vertical="center"/>
    </xf>
    <xf numFmtId="171" fontId="9" fillId="5" borderId="4" xfId="4" quotePrefix="1" applyNumberFormat="1" applyFont="1" applyFill="1" applyBorder="1" applyAlignment="1">
      <alignment horizontal="center" vertical="center"/>
    </xf>
    <xf numFmtId="174" fontId="12" fillId="0" borderId="0" xfId="3" applyNumberFormat="1"/>
    <xf numFmtId="0" fontId="19" fillId="0" borderId="0" xfId="3" applyFont="1"/>
    <xf numFmtId="0" fontId="5" fillId="4" borderId="2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 applyAlignment="1">
      <alignment vertical="center"/>
    </xf>
    <xf numFmtId="165" fontId="0" fillId="2" borderId="1" xfId="2" applyNumberFormat="1" applyFont="1" applyFill="1" applyBorder="1" applyAlignment="1" applyProtection="1">
      <alignment horizontal="center"/>
      <protection locked="0"/>
    </xf>
    <xf numFmtId="165" fontId="0" fillId="5" borderId="1" xfId="2" applyNumberFormat="1" applyFont="1" applyFill="1" applyBorder="1" applyAlignment="1">
      <alignment horizontal="center"/>
    </xf>
    <xf numFmtId="165" fontId="8" fillId="5" borderId="1" xfId="2" applyNumberFormat="1" applyFont="1" applyFill="1" applyBorder="1" applyAlignment="1">
      <alignment horizontal="center"/>
    </xf>
    <xf numFmtId="0" fontId="0" fillId="0" borderId="0" xfId="0" quotePrefix="1"/>
    <xf numFmtId="10" fontId="0" fillId="0" borderId="0" xfId="1" applyNumberFormat="1" applyFont="1"/>
    <xf numFmtId="43" fontId="0" fillId="0" borderId="0" xfId="2" applyFont="1"/>
    <xf numFmtId="165" fontId="9" fillId="7" borderId="8" xfId="3" applyNumberFormat="1" applyFont="1" applyFill="1" applyBorder="1" applyAlignment="1">
      <alignment horizontal="center" vertical="center"/>
    </xf>
    <xf numFmtId="165" fontId="9" fillId="7" borderId="9" xfId="3" applyNumberFormat="1" applyFont="1" applyFill="1" applyBorder="1" applyAlignment="1">
      <alignment horizontal="center" vertical="center"/>
    </xf>
    <xf numFmtId="165" fontId="9" fillId="7" borderId="4" xfId="3" applyNumberFormat="1" applyFont="1" applyFill="1" applyBorder="1" applyAlignment="1">
      <alignment horizontal="center" vertical="center"/>
    </xf>
    <xf numFmtId="165" fontId="9" fillId="5" borderId="8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9" fillId="5" borderId="4" xfId="3" applyNumberFormat="1" applyFont="1" applyFill="1" applyBorder="1" applyAlignment="1">
      <alignment horizontal="center" vertical="center"/>
    </xf>
  </cellXfs>
  <cellStyles count="6">
    <cellStyle name="Comma" xfId="2" builtinId="3"/>
    <cellStyle name="Comma 2" xfId="4" xr:uid="{ED1D02C2-958A-4632-B1AC-6130FCD716ED}"/>
    <cellStyle name="Normal" xfId="0" builtinId="0"/>
    <cellStyle name="Normal 2" xfId="3" xr:uid="{95AF399A-0438-40B6-8085-E109C634371C}"/>
    <cellStyle name="Percent" xfId="1" builtinId="5"/>
    <cellStyle name="Percent 2" xfId="5" xr:uid="{93D43606-0D11-4F8C-8AA6-F10E571035F2}"/>
  </cellStyles>
  <dxfs count="6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CCC"/>
      </font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FB29-3310-4A1E-AF60-3B4C159AB7F1}">
  <dimension ref="A3:R87"/>
  <sheetViews>
    <sheetView showGridLines="0" tabSelected="1" topLeftCell="A57" workbookViewId="0">
      <selection activeCell="I81" sqref="I81"/>
    </sheetView>
  </sheetViews>
  <sheetFormatPr defaultRowHeight="15" x14ac:dyDescent="0.25"/>
  <cols>
    <col min="1" max="1" width="57.85546875" customWidth="1"/>
    <col min="2" max="3" width="15.5703125" customWidth="1"/>
    <col min="4" max="4" width="21.42578125" customWidth="1"/>
    <col min="5" max="5" width="15.5703125" customWidth="1"/>
    <col min="6" max="8" width="12" bestFit="1" customWidth="1"/>
    <col min="9" max="9" width="25" customWidth="1"/>
    <col min="11" max="11" width="17.42578125" customWidth="1"/>
    <col min="12" max="14" width="11.28515625" customWidth="1"/>
  </cols>
  <sheetData>
    <row r="3" spans="1:12" x14ac:dyDescent="0.25">
      <c r="A3" s="2" t="s">
        <v>28</v>
      </c>
      <c r="B3" s="3" t="s">
        <v>0</v>
      </c>
      <c r="C3" s="4"/>
      <c r="D3" s="4"/>
      <c r="E3" s="4"/>
      <c r="I3" s="2" t="s">
        <v>65</v>
      </c>
      <c r="J3" s="4"/>
      <c r="K3" s="4"/>
      <c r="L3" s="4"/>
    </row>
    <row r="4" spans="1:12" x14ac:dyDescent="0.25">
      <c r="A4" s="5"/>
      <c r="B4" s="5"/>
      <c r="C4" s="5"/>
      <c r="D4" s="5"/>
      <c r="E4" s="5"/>
      <c r="I4" s="8"/>
      <c r="J4" s="5"/>
      <c r="K4" s="5"/>
      <c r="L4" s="5"/>
    </row>
    <row r="5" spans="1:12" x14ac:dyDescent="0.25">
      <c r="A5" s="10" t="s">
        <v>1</v>
      </c>
      <c r="B5" s="7" t="s">
        <v>56</v>
      </c>
      <c r="C5" s="7" t="s">
        <v>57</v>
      </c>
      <c r="D5" s="7" t="s">
        <v>43</v>
      </c>
      <c r="E5" s="7" t="s">
        <v>21</v>
      </c>
      <c r="I5" s="6"/>
      <c r="J5" s="7" t="s">
        <v>72</v>
      </c>
      <c r="K5" s="7" t="s">
        <v>72</v>
      </c>
      <c r="L5" s="7" t="s">
        <v>72</v>
      </c>
    </row>
    <row r="6" spans="1:12" x14ac:dyDescent="0.25">
      <c r="A6" s="8" t="s">
        <v>2</v>
      </c>
      <c r="B6" s="61">
        <f>119603079/1000</f>
        <v>119603.079</v>
      </c>
      <c r="C6" s="61">
        <f>136764278/1000</f>
        <v>136764.27799999999</v>
      </c>
      <c r="D6" s="61">
        <f>174562754/1000</f>
        <v>174562.75399999999</v>
      </c>
      <c r="E6" s="61">
        <v>204501.56400000001</v>
      </c>
      <c r="I6" s="8" t="s">
        <v>63</v>
      </c>
      <c r="J6" s="46">
        <v>0.72064920293600621</v>
      </c>
      <c r="K6" s="46">
        <v>1.5269660154691578E-2</v>
      </c>
      <c r="L6" s="46">
        <f>1-SUM(J6:K6)</f>
        <v>0.26408113690930224</v>
      </c>
    </row>
    <row r="7" spans="1:12" x14ac:dyDescent="0.25">
      <c r="A7" s="8" t="s">
        <v>3</v>
      </c>
      <c r="B7" s="61">
        <f>11860702/1000</f>
        <v>11860.701999999999</v>
      </c>
      <c r="C7" s="61">
        <f>14371654/1000</f>
        <v>14371.654</v>
      </c>
      <c r="D7" s="61">
        <f>17174814/1000</f>
        <v>17174.813999999998</v>
      </c>
      <c r="E7" s="61">
        <v>18215.248</v>
      </c>
      <c r="I7" s="8" t="s">
        <v>64</v>
      </c>
      <c r="J7" s="46">
        <v>0.29350396640260645</v>
      </c>
      <c r="K7" s="46">
        <v>0.10760936272062779</v>
      </c>
      <c r="L7" s="46">
        <f>1-SUM(J7:K7)</f>
        <v>0.59888667087676573</v>
      </c>
    </row>
    <row r="8" spans="1:12" x14ac:dyDescent="0.25">
      <c r="A8" s="5"/>
      <c r="B8" s="5"/>
      <c r="C8" s="5"/>
      <c r="D8" s="5"/>
      <c r="E8" s="5"/>
    </row>
    <row r="9" spans="1:12" x14ac:dyDescent="0.25">
      <c r="A9" s="5"/>
      <c r="B9" s="5"/>
      <c r="C9" s="5"/>
      <c r="D9" s="5"/>
      <c r="E9" s="5"/>
    </row>
    <row r="10" spans="1:12" x14ac:dyDescent="0.25">
      <c r="A10" s="10" t="s">
        <v>4</v>
      </c>
      <c r="B10" s="7" t="s">
        <v>56</v>
      </c>
      <c r="C10" s="7" t="s">
        <v>57</v>
      </c>
      <c r="D10" s="7" t="s">
        <v>43</v>
      </c>
      <c r="E10" s="7" t="s">
        <v>21</v>
      </c>
    </row>
    <row r="11" spans="1:12" x14ac:dyDescent="0.25">
      <c r="A11" s="8" t="str">
        <f>"Total Capex - all costs that attract network OHs"</f>
        <v>Total Capex - all costs that attract network OHs</v>
      </c>
      <c r="B11" s="61">
        <v>476305.65838422487</v>
      </c>
      <c r="C11" s="61">
        <v>537359.82864273235</v>
      </c>
      <c r="D11" s="61">
        <v>612171.00699999998</v>
      </c>
      <c r="E11" s="61">
        <v>706836.63600000006</v>
      </c>
    </row>
    <row r="12" spans="1:12" x14ac:dyDescent="0.25">
      <c r="A12" s="8" t="str">
        <f>"Total Capex - all costs that attract corporate OHs"</f>
        <v>Total Capex - all costs that attract corporate OHs</v>
      </c>
      <c r="B12" s="61">
        <f>SUM(29966366,78927356,378220613,-10808678)/1000</f>
        <v>476305.65700000001</v>
      </c>
      <c r="C12" s="61">
        <f>(47565735+90458904+408492042-9156853)/1000</f>
        <v>537359.82799999998</v>
      </c>
      <c r="D12" s="61">
        <f>(65832221+106923277+449393188-9977679)/1000</f>
        <v>612171.00699999998</v>
      </c>
      <c r="E12" s="61">
        <f t="shared" ref="E12" si="0">E11</f>
        <v>706836.63600000006</v>
      </c>
    </row>
    <row r="16" spans="1:12" x14ac:dyDescent="0.25">
      <c r="A16" s="2" t="s">
        <v>62</v>
      </c>
      <c r="B16" s="3" t="s">
        <v>0</v>
      </c>
      <c r="C16" s="4"/>
      <c r="D16" s="4"/>
      <c r="E16" s="4"/>
    </row>
    <row r="17" spans="1:18" x14ac:dyDescent="0.25">
      <c r="A17" s="5"/>
      <c r="B17" s="5"/>
      <c r="C17" s="5"/>
      <c r="D17" s="5"/>
      <c r="E17" s="5"/>
    </row>
    <row r="18" spans="1:18" x14ac:dyDescent="0.25">
      <c r="A18" s="10" t="s">
        <v>59</v>
      </c>
      <c r="B18" s="7" t="str">
        <f>B5</f>
        <v>2020-21</v>
      </c>
      <c r="C18" s="7" t="str">
        <f>C5</f>
        <v>2021-22</v>
      </c>
      <c r="D18" s="7" t="str">
        <f>D5</f>
        <v>2022-23</v>
      </c>
      <c r="E18" s="7" t="str">
        <f>E5</f>
        <v>2023-24</v>
      </c>
      <c r="F18" s="7" t="s">
        <v>58</v>
      </c>
    </row>
    <row r="19" spans="1:18" x14ac:dyDescent="0.25">
      <c r="A19" s="8" t="s">
        <v>2</v>
      </c>
      <c r="B19" s="61">
        <f>B6*INDEX('Input| Escalations'!$D$18:$J$18,MATCH(B$5,'Input| Escalations'!$D$14:$J$14,0))</f>
        <v>143671.57081422943</v>
      </c>
      <c r="C19" s="61">
        <f>C6*INDEX('Input| Escalations'!$D$18:$J$18,MATCH(C$5,'Input| Escalations'!$D$14:$J$14,0))</f>
        <v>160795.47418139872</v>
      </c>
      <c r="D19" s="61">
        <f>D6*INDEX('Input| Escalations'!$D$18:$J$18,MATCH(D$5,'Input| Escalations'!$D$14:$J$14,0))</f>
        <v>194273.09651990936</v>
      </c>
      <c r="E19" s="61">
        <f>E6*INDEX('Input| Escalations'!$D$18:$J$18,MATCH(E$5,'Input| Escalations'!$D$14:$J$14,0))</f>
        <v>214861.72054038275</v>
      </c>
      <c r="F19" s="61">
        <f>AVERAGE(B19:E19)</f>
        <v>178400.46551398007</v>
      </c>
    </row>
    <row r="20" spans="1:18" x14ac:dyDescent="0.25">
      <c r="A20" s="8" t="s">
        <v>3</v>
      </c>
      <c r="B20" s="61">
        <f>B7*INDEX('Input| Escalations'!$D$18:$J$18,MATCH(B$5,'Input| Escalations'!$D$14:$J$14,0))</f>
        <v>14247.506849714737</v>
      </c>
      <c r="C20" s="61">
        <f>C7*INDEX('Input| Escalations'!$D$18:$J$18,MATCH(C$5,'Input| Escalations'!$D$14:$J$14,0))</f>
        <v>16896.933566972773</v>
      </c>
      <c r="D20" s="61">
        <f>D7*INDEX('Input| Escalations'!$D$18:$J$18,MATCH(D$5,'Input| Escalations'!$D$14:$J$14,0))</f>
        <v>19114.067700452815</v>
      </c>
      <c r="E20" s="61">
        <f>E7*INDEX('Input| Escalations'!$D$18:$J$18,MATCH(E$5,'Input| Escalations'!$D$14:$J$14,0))</f>
        <v>19138.042021770383</v>
      </c>
      <c r="F20" s="61">
        <f>AVERAGE(B20:E20)</f>
        <v>17349.137534727677</v>
      </c>
      <c r="N20" s="1">
        <v>1.2500000000000001E-2</v>
      </c>
      <c r="O20" s="1">
        <v>1.2500000000000001E-2</v>
      </c>
      <c r="P20" s="1">
        <v>1.2500000000000001E-2</v>
      </c>
      <c r="Q20" s="1">
        <v>1.2500000000000001E-2</v>
      </c>
      <c r="R20" s="1">
        <v>1.2500000000000001E-2</v>
      </c>
    </row>
    <row r="21" spans="1:18" x14ac:dyDescent="0.25">
      <c r="A21" s="5"/>
      <c r="B21" s="5"/>
      <c r="C21" s="5"/>
      <c r="D21" s="5"/>
      <c r="E21" s="5"/>
    </row>
    <row r="22" spans="1:18" x14ac:dyDescent="0.25">
      <c r="A22" s="5"/>
      <c r="B22" s="5"/>
      <c r="C22" s="5"/>
      <c r="D22" s="5"/>
      <c r="E22" s="5"/>
      <c r="M22">
        <v>1</v>
      </c>
      <c r="N22">
        <f>M22*(1-N20)</f>
        <v>0.98750000000000004</v>
      </c>
      <c r="O22">
        <f>N22*(1-O20)</f>
        <v>0.97515625000000006</v>
      </c>
      <c r="P22">
        <f>O22*(1-P20)</f>
        <v>0.96296679687500009</v>
      </c>
      <c r="Q22">
        <f>P22*(1-Q20)</f>
        <v>0.95092971191406261</v>
      </c>
      <c r="R22">
        <f>Q22*(1-R20)</f>
        <v>0.9390430905151369</v>
      </c>
    </row>
    <row r="23" spans="1:18" x14ac:dyDescent="0.25">
      <c r="A23" s="10" t="s">
        <v>60</v>
      </c>
      <c r="B23" s="7" t="str">
        <f>B10</f>
        <v>2020-21</v>
      </c>
      <c r="C23" s="7" t="str">
        <f>C10</f>
        <v>2021-22</v>
      </c>
      <c r="D23" s="7" t="str">
        <f>D10</f>
        <v>2022-23</v>
      </c>
      <c r="E23" s="7" t="str">
        <f>E10</f>
        <v>2023-24</v>
      </c>
      <c r="F23" s="6" t="s">
        <v>58</v>
      </c>
    </row>
    <row r="24" spans="1:18" x14ac:dyDescent="0.25">
      <c r="A24" s="8" t="str">
        <f>"Total Capex - all costs that attract network OHs"</f>
        <v>Total Capex - all costs that attract network OHs</v>
      </c>
      <c r="B24" s="61">
        <f>B11*INDEX('Input| Escalations'!$D$18:$J$18,MATCH(B$10,'Input| Escalations'!$D$14:$J$14,0))</f>
        <v>572155.68946822302</v>
      </c>
      <c r="C24" s="61">
        <f>C11*INDEX('Input| Escalations'!$D$18:$J$18,MATCH(C$10,'Input| Escalations'!$D$14:$J$14,0))</f>
        <v>631780.67925488064</v>
      </c>
      <c r="D24" s="61">
        <f>D11*INDEX('Input| Escalations'!$D$18:$J$18,MATCH(D$10,'Input| Escalations'!$D$14:$J$14,0))</f>
        <v>681292.85545988299</v>
      </c>
      <c r="E24" s="61">
        <f>E11*INDEX('Input| Escalations'!$D$18:$J$18,MATCH(E$10,'Input| Escalations'!$D$14:$J$14,0))</f>
        <v>742645.35087827616</v>
      </c>
      <c r="F24" s="61">
        <f>AVERAGE(B24:E24)</f>
        <v>656968.64376531565</v>
      </c>
    </row>
    <row r="25" spans="1:18" x14ac:dyDescent="0.25">
      <c r="A25" s="8" t="str">
        <f>"Total Capex - all costs that attract corporate OHs"</f>
        <v>Total Capex - all costs that attract corporate OHs</v>
      </c>
      <c r="B25" s="61">
        <f>B12*INDEX('Input| Escalations'!$D$18:$J$18,MATCH(B$10,'Input| Escalations'!$D$14:$J$14,0))</f>
        <v>572155.68780544167</v>
      </c>
      <c r="C25" s="61">
        <f>C12*INDEX('Input| Escalations'!$D$18:$J$18,MATCH(C$10,'Input| Escalations'!$D$14:$J$14,0))</f>
        <v>631780.67849921214</v>
      </c>
      <c r="D25" s="61">
        <f>D12*INDEX('Input| Escalations'!$D$18:$J$18,MATCH(D$10,'Input| Escalations'!$D$14:$J$14,0))</f>
        <v>681292.85545988299</v>
      </c>
      <c r="E25" s="61">
        <f>E12*INDEX('Input| Escalations'!$D$18:$J$18,MATCH(E$10,'Input| Escalations'!$D$14:$J$14,0))</f>
        <v>742645.35087827616</v>
      </c>
      <c r="F25" s="61">
        <f>AVERAGE(B25:E25)</f>
        <v>656968.64316070313</v>
      </c>
    </row>
    <row r="26" spans="1:18" x14ac:dyDescent="0.25">
      <c r="A26" s="5"/>
      <c r="B26" s="5"/>
      <c r="C26" s="5"/>
      <c r="D26" s="5"/>
      <c r="E26" s="5"/>
    </row>
    <row r="28" spans="1:18" x14ac:dyDescent="0.25">
      <c r="A28" s="6"/>
      <c r="B28" s="6" t="s">
        <v>21</v>
      </c>
      <c r="C28" s="6" t="s">
        <v>22</v>
      </c>
      <c r="D28" s="6" t="s">
        <v>23</v>
      </c>
      <c r="E28" s="6" t="s">
        <v>24</v>
      </c>
      <c r="F28" s="6" t="s">
        <v>25</v>
      </c>
      <c r="G28" s="6" t="s">
        <v>26</v>
      </c>
      <c r="H28" s="6" t="s">
        <v>27</v>
      </c>
    </row>
    <row r="29" spans="1:18" x14ac:dyDescent="0.25">
      <c r="A29" s="8" t="s">
        <v>19</v>
      </c>
      <c r="B29" s="29"/>
      <c r="C29" s="29"/>
      <c r="D29" s="29">
        <f t="shared" ref="D29:H30" si="1">D69/D35</f>
        <v>0.27236654331538968</v>
      </c>
      <c r="E29" s="29">
        <f t="shared" si="1"/>
        <v>0.27420111704622496</v>
      </c>
      <c r="F29" s="29">
        <f t="shared" si="1"/>
        <v>0.2760314597878516</v>
      </c>
      <c r="G29" s="29">
        <f t="shared" si="1"/>
        <v>0.27821703540508863</v>
      </c>
      <c r="H29" s="29">
        <f t="shared" si="1"/>
        <v>0.2807463786938148</v>
      </c>
    </row>
    <row r="30" spans="1:18" x14ac:dyDescent="0.25">
      <c r="A30" s="8" t="s">
        <v>20</v>
      </c>
      <c r="B30" s="29"/>
      <c r="C30" s="29"/>
      <c r="D30" s="29">
        <f t="shared" si="1"/>
        <v>2.602450609481791E-2</v>
      </c>
      <c r="E30" s="29">
        <f t="shared" si="1"/>
        <v>2.6097512166703082E-2</v>
      </c>
      <c r="F30" s="29">
        <f t="shared" si="1"/>
        <v>2.617034986819403E-2</v>
      </c>
      <c r="G30" s="29">
        <f t="shared" si="1"/>
        <v>2.6257323909051927E-2</v>
      </c>
      <c r="H30" s="29">
        <f t="shared" si="1"/>
        <v>2.6357978036414223E-2</v>
      </c>
    </row>
    <row r="32" spans="1:18" ht="15.75" x14ac:dyDescent="0.25">
      <c r="A32" s="9" t="s">
        <v>5</v>
      </c>
      <c r="B32" s="4"/>
      <c r="C32" s="4"/>
      <c r="D32" s="4"/>
      <c r="E32" s="4"/>
      <c r="F32" s="4"/>
      <c r="G32" s="4"/>
      <c r="H32" s="4"/>
      <c r="I32" s="4"/>
    </row>
    <row r="34" spans="1:9" x14ac:dyDescent="0.25">
      <c r="A34" s="10" t="s">
        <v>29</v>
      </c>
      <c r="B34" s="6" t="s">
        <v>21</v>
      </c>
      <c r="C34" s="6" t="s">
        <v>22</v>
      </c>
      <c r="D34" s="6" t="s">
        <v>23</v>
      </c>
      <c r="E34" s="6" t="s">
        <v>24</v>
      </c>
      <c r="F34" s="6" t="s">
        <v>25</v>
      </c>
      <c r="G34" s="6" t="s">
        <v>26</v>
      </c>
      <c r="H34" s="6" t="s">
        <v>27</v>
      </c>
      <c r="I34" s="6" t="s">
        <v>6</v>
      </c>
    </row>
    <row r="35" spans="1:9" x14ac:dyDescent="0.25">
      <c r="A35" s="11" t="s">
        <v>7</v>
      </c>
      <c r="B35" s="12">
        <v>0</v>
      </c>
      <c r="C35" s="12">
        <v>0</v>
      </c>
      <c r="D35" s="62">
        <v>638258.89058988634</v>
      </c>
      <c r="E35" s="62">
        <v>670239.07016170444</v>
      </c>
      <c r="F35" s="62">
        <v>688496.37373250327</v>
      </c>
      <c r="G35" s="62">
        <v>714591.66309403081</v>
      </c>
      <c r="H35" s="62">
        <v>731126.42423013807</v>
      </c>
      <c r="I35" s="63">
        <f>AVERAGE(D35:H35)</f>
        <v>688542.48436165263</v>
      </c>
    </row>
    <row r="36" spans="1:9" x14ac:dyDescent="0.25">
      <c r="A36" s="11" t="s">
        <v>8</v>
      </c>
      <c r="B36" s="12">
        <v>0</v>
      </c>
      <c r="C36" s="12">
        <v>0</v>
      </c>
      <c r="D36" s="62">
        <v>638258.89058988634</v>
      </c>
      <c r="E36" s="62">
        <v>669368.15819310804</v>
      </c>
      <c r="F36" s="62">
        <v>686965.72701032448</v>
      </c>
      <c r="G36" s="62">
        <v>708919.94101383293</v>
      </c>
      <c r="H36" s="62">
        <v>717339.93298332486</v>
      </c>
      <c r="I36" s="63">
        <f>AVERAGE(D36:H36)</f>
        <v>684170.5299580954</v>
      </c>
    </row>
    <row r="37" spans="1:9" x14ac:dyDescent="0.25">
      <c r="A37" s="13"/>
    </row>
    <row r="38" spans="1:9" x14ac:dyDescent="0.25">
      <c r="A38" s="13"/>
    </row>
    <row r="39" spans="1:9" x14ac:dyDescent="0.25">
      <c r="A39" s="10" t="s">
        <v>30</v>
      </c>
      <c r="B39" s="6" t="s">
        <v>21</v>
      </c>
      <c r="C39" s="6" t="s">
        <v>22</v>
      </c>
      <c r="D39" s="6" t="s">
        <v>23</v>
      </c>
      <c r="E39" s="6" t="s">
        <v>24</v>
      </c>
      <c r="F39" s="6" t="s">
        <v>25</v>
      </c>
      <c r="G39" s="6" t="s">
        <v>26</v>
      </c>
      <c r="H39" s="6" t="s">
        <v>27</v>
      </c>
    </row>
    <row r="40" spans="1:9" x14ac:dyDescent="0.25">
      <c r="A40" s="11" t="s">
        <v>7</v>
      </c>
      <c r="B40" s="12">
        <v>0</v>
      </c>
      <c r="C40" s="12">
        <v>0</v>
      </c>
      <c r="D40" s="62">
        <v>292791.87651389721</v>
      </c>
      <c r="E40" s="62">
        <v>298733.99206211267</v>
      </c>
      <c r="F40" s="62">
        <v>307995.7109439334</v>
      </c>
      <c r="G40" s="62">
        <v>309289.52258369036</v>
      </c>
      <c r="H40" s="62">
        <v>313109.42432604742</v>
      </c>
    </row>
    <row r="41" spans="1:9" x14ac:dyDescent="0.25">
      <c r="A41" s="11" t="s">
        <v>8</v>
      </c>
      <c r="B41" s="12">
        <v>0</v>
      </c>
      <c r="C41" s="12">
        <v>0</v>
      </c>
      <c r="D41" s="62">
        <v>292791.87651389721</v>
      </c>
      <c r="E41" s="62">
        <v>298733.99206211267</v>
      </c>
      <c r="F41" s="62">
        <v>307995.7109439334</v>
      </c>
      <c r="G41" s="62">
        <v>309289.52258369036</v>
      </c>
      <c r="H41" s="62">
        <v>313109.42432604742</v>
      </c>
    </row>
    <row r="42" spans="1:9" x14ac:dyDescent="0.25">
      <c r="A42" s="13"/>
    </row>
    <row r="43" spans="1:9" x14ac:dyDescent="0.25">
      <c r="A43" s="10" t="s">
        <v>31</v>
      </c>
      <c r="B43" s="6" t="s">
        <v>9</v>
      </c>
      <c r="C43" s="6" t="s">
        <v>10</v>
      </c>
      <c r="D43" s="6" t="s">
        <v>11</v>
      </c>
      <c r="E43" s="14"/>
    </row>
    <row r="44" spans="1:9" x14ac:dyDescent="0.25">
      <c r="A44" s="13"/>
      <c r="B44" s="15" t="s">
        <v>61</v>
      </c>
      <c r="C44" s="15" t="s">
        <v>61</v>
      </c>
      <c r="D44" s="15" t="s">
        <v>12</v>
      </c>
    </row>
    <row r="45" spans="1:9" x14ac:dyDescent="0.25">
      <c r="A45" s="11" t="str">
        <f>"Direct costs that attract network OHs (annual average)"</f>
        <v>Direct costs that attract network OHs (annual average)</v>
      </c>
      <c r="B45" s="62">
        <f>F24</f>
        <v>656968.64376531565</v>
      </c>
      <c r="C45" s="62">
        <f>I35</f>
        <v>688542.48436165263</v>
      </c>
      <c r="D45" s="16">
        <f>IF(B45=0,0,(C45-B45)/B45)</f>
        <v>4.8059889761825361E-2</v>
      </c>
    </row>
    <row r="46" spans="1:9" x14ac:dyDescent="0.25">
      <c r="A46" s="11" t="str">
        <f>"Direct costs that attract corporate OHs (annual average)"</f>
        <v>Direct costs that attract corporate OHs (annual average)</v>
      </c>
      <c r="B46" s="62">
        <f>F25</f>
        <v>656968.64316070313</v>
      </c>
      <c r="C46" s="62">
        <f>I36</f>
        <v>684170.5299580954</v>
      </c>
      <c r="D46" s="16">
        <f>IF(B46=0,0,(C46-B46)/B46)</f>
        <v>4.140515240807062E-2</v>
      </c>
    </row>
    <row r="47" spans="1:9" x14ac:dyDescent="0.25">
      <c r="A47" s="13"/>
    </row>
    <row r="48" spans="1:9" x14ac:dyDescent="0.25">
      <c r="A48" s="13"/>
    </row>
    <row r="49" spans="1:9" x14ac:dyDescent="0.25">
      <c r="A49" s="58" t="s">
        <v>32</v>
      </c>
      <c r="B49" s="7" t="s">
        <v>13</v>
      </c>
      <c r="C49" s="7" t="s">
        <v>14</v>
      </c>
      <c r="D49" s="7" t="s">
        <v>15</v>
      </c>
    </row>
    <row r="50" spans="1:9" x14ac:dyDescent="0.25">
      <c r="A50" s="13"/>
      <c r="B50" s="15" t="str">
        <f>B44</f>
        <v>($'000s June 2025)</v>
      </c>
      <c r="C50" s="15" t="str">
        <f>C44</f>
        <v>($'000s June 2025)</v>
      </c>
      <c r="D50" s="15" t="str">
        <f>D44</f>
        <v>%</v>
      </c>
      <c r="F50" s="17"/>
    </row>
    <row r="51" spans="1:9" x14ac:dyDescent="0.25">
      <c r="A51" s="11" t="s">
        <v>2</v>
      </c>
      <c r="B51" s="62">
        <f>F19*(1+(D45/4))</f>
        <v>180543.94219049512</v>
      </c>
      <c r="C51" s="62">
        <f>5*B51</f>
        <v>902719.71095247555</v>
      </c>
      <c r="D51" s="16">
        <f>IF(I35=0,0,B51/I35)</f>
        <v>0.26221176803327872</v>
      </c>
      <c r="F51" s="17"/>
    </row>
    <row r="52" spans="1:9" x14ac:dyDescent="0.25">
      <c r="A52" s="11" t="s">
        <v>3</v>
      </c>
      <c r="B52" s="62">
        <f>F20*(1+(D46/4))</f>
        <v>17528.72345567117</v>
      </c>
      <c r="C52" s="62">
        <f>5*B52</f>
        <v>87643.617278355843</v>
      </c>
      <c r="D52" s="16">
        <f>IF(I36=0,0,B52/I36)</f>
        <v>2.5620401183817115E-2</v>
      </c>
      <c r="F52" s="17"/>
    </row>
    <row r="53" spans="1:9" x14ac:dyDescent="0.25">
      <c r="A53" s="13"/>
    </row>
    <row r="54" spans="1:9" x14ac:dyDescent="0.25">
      <c r="A54" s="13"/>
      <c r="B54" s="64">
        <f>E6*(1+(INDEX('Input| Escalations'!$D$33:$N$33,MATCH(B$55,'Input| Escalations'!$D$23:$N$23,0))))</f>
        <v>208674.10428516057</v>
      </c>
      <c r="H54" s="18"/>
      <c r="I54" s="19"/>
    </row>
    <row r="55" spans="1:9" x14ac:dyDescent="0.25">
      <c r="A55" s="58" t="s">
        <v>33</v>
      </c>
      <c r="B55" s="7" t="s">
        <v>21</v>
      </c>
      <c r="C55" s="7" t="s">
        <v>22</v>
      </c>
      <c r="D55" s="7" t="s">
        <v>23</v>
      </c>
      <c r="E55" s="7" t="s">
        <v>24</v>
      </c>
      <c r="F55" s="7" t="s">
        <v>25</v>
      </c>
      <c r="G55" s="7" t="s">
        <v>26</v>
      </c>
      <c r="H55" s="7" t="s">
        <v>27</v>
      </c>
      <c r="I55" s="7" t="s">
        <v>10</v>
      </c>
    </row>
    <row r="56" spans="1:9" x14ac:dyDescent="0.25">
      <c r="A56" s="20" t="s">
        <v>2</v>
      </c>
      <c r="B56" s="62">
        <v>0</v>
      </c>
      <c r="C56" s="62">
        <v>0</v>
      </c>
      <c r="D56" s="62">
        <f>$D$51*D35</f>
        <v>167358.99216453309</v>
      </c>
      <c r="E56" s="62">
        <f t="shared" ref="E56:H56" si="2">$D$51*E35</f>
        <v>175744.57159208128</v>
      </c>
      <c r="F56" s="62">
        <f t="shared" si="2"/>
        <v>180531.85144090073</v>
      </c>
      <c r="G56" s="62">
        <f t="shared" si="2"/>
        <v>187374.34340172686</v>
      </c>
      <c r="H56" s="62">
        <f t="shared" si="2"/>
        <v>191709.9523532335</v>
      </c>
      <c r="I56" s="63">
        <f>SUM(D56:H56)</f>
        <v>902719.71095247543</v>
      </c>
    </row>
    <row r="57" spans="1:9" x14ac:dyDescent="0.25">
      <c r="A57" s="20" t="s">
        <v>3</v>
      </c>
      <c r="B57" s="62">
        <v>0</v>
      </c>
      <c r="C57" s="62">
        <v>0</v>
      </c>
      <c r="D57" s="62">
        <f>$D$52*D36</f>
        <v>16352.448836050922</v>
      </c>
      <c r="E57" s="62">
        <f t="shared" ref="E57:H57" si="3">$D$52*E36</f>
        <v>17149.480752580188</v>
      </c>
      <c r="F57" s="62">
        <f t="shared" si="3"/>
        <v>17600.337525537103</v>
      </c>
      <c r="G57" s="62">
        <f t="shared" si="3"/>
        <v>18162.813295982363</v>
      </c>
      <c r="H57" s="62">
        <f t="shared" si="3"/>
        <v>18378.536868205265</v>
      </c>
      <c r="I57" s="63">
        <f>SUM(D57:H57)</f>
        <v>87643.617278355843</v>
      </c>
    </row>
    <row r="58" spans="1:9" x14ac:dyDescent="0.25">
      <c r="A58" s="21" t="s">
        <v>16</v>
      </c>
      <c r="B58" s="62">
        <f t="shared" ref="B58:I58" si="4">B56+B57</f>
        <v>0</v>
      </c>
      <c r="C58" s="62">
        <f t="shared" si="4"/>
        <v>0</v>
      </c>
      <c r="D58" s="62">
        <f t="shared" si="4"/>
        <v>183711.44100058402</v>
      </c>
      <c r="E58" s="62">
        <f t="shared" si="4"/>
        <v>192894.05234466147</v>
      </c>
      <c r="F58" s="62">
        <f t="shared" si="4"/>
        <v>198132.18896643783</v>
      </c>
      <c r="G58" s="62">
        <f t="shared" si="4"/>
        <v>205537.15669770923</v>
      </c>
      <c r="H58" s="62">
        <f t="shared" si="4"/>
        <v>210088.48922143877</v>
      </c>
      <c r="I58" s="63">
        <f t="shared" si="4"/>
        <v>990363.32823083131</v>
      </c>
    </row>
    <row r="59" spans="1:9" x14ac:dyDescent="0.25">
      <c r="A59" s="22"/>
      <c r="B59" s="23"/>
      <c r="C59" s="24"/>
      <c r="D59" s="25"/>
      <c r="E59" s="25"/>
      <c r="F59" s="25"/>
      <c r="G59" s="25"/>
      <c r="H59" s="25"/>
      <c r="I59" s="25"/>
    </row>
    <row r="60" spans="1:9" x14ac:dyDescent="0.25">
      <c r="A60" s="26"/>
    </row>
    <row r="61" spans="1:9" x14ac:dyDescent="0.25">
      <c r="A61" s="58" t="s">
        <v>34</v>
      </c>
      <c r="B61" s="7" t="s">
        <v>21</v>
      </c>
      <c r="C61" s="7" t="s">
        <v>22</v>
      </c>
      <c r="D61" s="7" t="s">
        <v>23</v>
      </c>
      <c r="E61" s="7" t="s">
        <v>24</v>
      </c>
      <c r="F61" s="7" t="s">
        <v>25</v>
      </c>
      <c r="G61" s="7" t="s">
        <v>26</v>
      </c>
      <c r="H61" s="7" t="s">
        <v>27</v>
      </c>
      <c r="I61" s="27"/>
    </row>
    <row r="62" spans="1:9" x14ac:dyDescent="0.25">
      <c r="A62" s="20" t="s">
        <v>17</v>
      </c>
      <c r="B62" s="12">
        <f>$J6*INDEX('Input| Escalations'!$H$33:$N$33,MATCH(B$61,'Input| Escalations'!$H$23:$N$23,0))+$K6*INDEX('Input| Escalations'!$H$34:$N$34,MATCH(B$61,'Input| Escalations'!$H$23:$N$23,0))+$L6*INDEX('Input| Escalations'!$H$35:$N$35,MATCH(B$61,'Input| Escalations'!$H$23:$N$23,0))+1</f>
        <v>1.0147037400199019</v>
      </c>
      <c r="C62" s="12">
        <f>$J6*INDEX('Input| Escalations'!$H$33:$N$33,MATCH(C$61,'Input| Escalations'!$H$23:$N$23,0))+$K6*INDEX('Input| Escalations'!$H$34:$N$34,MATCH(C$61,'Input| Escalations'!$H$23:$N$23,0))+$L6*INDEX('Input| Escalations'!$H$35:$N$35,MATCH(C$61,'Input| Escalations'!$H$23:$N$23,0))+1</f>
        <v>1.0302790518900706</v>
      </c>
      <c r="D62" s="12">
        <f>$J6*INDEX('Input| Escalations'!$H$33:$N$33,MATCH(D$61,'Input| Escalations'!$H$23:$N$23,0))+$K6*INDEX('Input| Escalations'!$H$34:$N$34,MATCH(D$61,'Input| Escalations'!$H$23:$N$23,0))+$L6*INDEX('Input| Escalations'!$H$35:$N$35,MATCH(D$61,'Input| Escalations'!$H$23:$N$23,0))+1</f>
        <v>1.0387273819107241</v>
      </c>
      <c r="E62" s="12">
        <f>$J6*INDEX('Input| Escalations'!$H$33:$N$33,MATCH(E$61,'Input| Escalations'!$H$23:$N$23,0))+$K6*INDEX('Input| Escalations'!$H$34:$N$34,MATCH(E$61,'Input| Escalations'!$H$23:$N$23,0))+$L6*INDEX('Input| Escalations'!$H$35:$N$35,MATCH(E$61,'Input| Escalations'!$H$23:$N$23,0))+1</f>
        <v>1.0457239165994434</v>
      </c>
      <c r="F62" s="12">
        <f>$J6*INDEX('Input| Escalations'!$H$33:$N$33,MATCH(F$61,'Input| Escalations'!$H$23:$N$23,0))+$K6*INDEX('Input| Escalations'!$H$34:$N$34,MATCH(F$61,'Input| Escalations'!$H$23:$N$23,0))+$L6*INDEX('Input| Escalations'!$H$35:$N$35,MATCH(F$61,'Input| Escalations'!$H$23:$N$23,0))+1</f>
        <v>1.0527043155165292</v>
      </c>
      <c r="G62" s="12">
        <f>$J6*INDEX('Input| Escalations'!$H$33:$N$33,MATCH(G$61,'Input| Escalations'!$H$23:$N$23,0))+$K6*INDEX('Input| Escalations'!$H$34:$N$34,MATCH(G$61,'Input| Escalations'!$H$23:$N$23,0))+$L6*INDEX('Input| Escalations'!$H$35:$N$35,MATCH(G$61,'Input| Escalations'!$H$23:$N$23,0))+1</f>
        <v>1.0610394700888428</v>
      </c>
      <c r="H62" s="12">
        <f>$J6*INDEX('Input| Escalations'!$H$33:$N$33,MATCH(H$61,'Input| Escalations'!$H$23:$N$23,0))+$K6*INDEX('Input| Escalations'!$H$34:$N$34,MATCH(H$61,'Input| Escalations'!$H$23:$N$23,0))+$L6*INDEX('Input| Escalations'!$H$35:$N$35,MATCH(H$61,'Input| Escalations'!$H$23:$N$23,0))+1</f>
        <v>1.0706856553371158</v>
      </c>
      <c r="I62" s="27"/>
    </row>
    <row r="63" spans="1:9" x14ac:dyDescent="0.25">
      <c r="A63" s="20" t="s">
        <v>18</v>
      </c>
      <c r="B63" s="12">
        <f>$J7*INDEX('Input| Escalations'!$H$33:$N$33,MATCH(B$61,'Input| Escalations'!$H$23:$N$23,0))+$K7*INDEX('Input| Escalations'!$H$34:$N$34,MATCH(B$61,'Input| Escalations'!$H$23:$N$23,0))+$L7*INDEX('Input| Escalations'!$H$35:$N$35,MATCH(B$61,'Input| Escalations'!$H$23:$N$23,0))+1</f>
        <v>1.0059884975924649</v>
      </c>
      <c r="C63" s="12">
        <f>$J7*INDEX('Input| Escalations'!$H$33:$N$33,MATCH(C$61,'Input| Escalations'!$H$23:$N$23,0))+$K7*INDEX('Input| Escalations'!$H$34:$N$34,MATCH(C$61,'Input| Escalations'!$H$23:$N$23,0))+$L7*INDEX('Input| Escalations'!$H$35:$N$35,MATCH(C$61,'Input| Escalations'!$H$23:$N$23,0))+1</f>
        <v>1.0123319664997052</v>
      </c>
      <c r="D63" s="12">
        <f>$J7*INDEX('Input| Escalations'!$H$33:$N$33,MATCH(D$61,'Input| Escalations'!$H$23:$N$23,0))+$K7*INDEX('Input| Escalations'!$H$34:$N$34,MATCH(D$61,'Input| Escalations'!$H$23:$N$23,0))+$L7*INDEX('Input| Escalations'!$H$35:$N$35,MATCH(D$61,'Input| Escalations'!$H$23:$N$23,0))+1</f>
        <v>1.0157727784237838</v>
      </c>
      <c r="E63" s="12">
        <f>$J7*INDEX('Input| Escalations'!$H$33:$N$33,MATCH(E$61,'Input| Escalations'!$H$23:$N$23,0))+$K7*INDEX('Input| Escalations'!$H$34:$N$34,MATCH(E$61,'Input| Escalations'!$H$23:$N$23,0))+$L7*INDEX('Input| Escalations'!$H$35:$N$35,MATCH(E$61,'Input| Escalations'!$H$23:$N$23,0))+1</f>
        <v>1.0186223072567393</v>
      </c>
      <c r="F63" s="12">
        <f>$J7*INDEX('Input| Escalations'!$H$33:$N$33,MATCH(F$61,'Input| Escalations'!$H$23:$N$23,0))+$K7*INDEX('Input| Escalations'!$H$34:$N$34,MATCH(F$61,'Input| Escalations'!$H$23:$N$23,0))+$L7*INDEX('Input| Escalations'!$H$35:$N$35,MATCH(F$61,'Input| Escalations'!$H$23:$N$23,0))+1</f>
        <v>1.0214652643583224</v>
      </c>
      <c r="G63" s="12">
        <f>$J7*INDEX('Input| Escalations'!$H$33:$N$33,MATCH(G$61,'Input| Escalations'!$H$23:$N$23,0))+$K7*INDEX('Input| Escalations'!$H$34:$N$34,MATCH(G$61,'Input| Escalations'!$H$23:$N$23,0))+$L7*INDEX('Input| Escalations'!$H$35:$N$35,MATCH(G$61,'Input| Escalations'!$H$23:$N$23,0))+1</f>
        <v>1.0248599825063285</v>
      </c>
      <c r="H63" s="12">
        <f>$J7*INDEX('Input| Escalations'!$H$33:$N$33,MATCH(H$61,'Input| Escalations'!$H$23:$N$23,0))+$K7*INDEX('Input| Escalations'!$H$34:$N$34,MATCH(H$61,'Input| Escalations'!$H$23:$N$23,0))+$L7*INDEX('Input| Escalations'!$H$35:$N$35,MATCH(H$61,'Input| Escalations'!$H$23:$N$23,0))+1</f>
        <v>1.0287886535150352</v>
      </c>
      <c r="I63" s="28"/>
    </row>
    <row r="64" spans="1:9" x14ac:dyDescent="0.25">
      <c r="E64" s="24"/>
    </row>
    <row r="65" spans="1:10" x14ac:dyDescent="0.25">
      <c r="E65" s="59"/>
    </row>
    <row r="66" spans="1:10" ht="15.75" x14ac:dyDescent="0.25">
      <c r="A66" s="9" t="str">
        <f>LEFT(A61,2)+1&amp;". Forecast capitalised overheads"</f>
        <v>45. Forecast capitalised overheads</v>
      </c>
      <c r="B66" s="4"/>
      <c r="C66" s="4"/>
      <c r="D66" s="4"/>
      <c r="E66" s="4"/>
      <c r="F66" s="4"/>
      <c r="G66" s="4"/>
      <c r="H66" s="4"/>
      <c r="I66" s="4"/>
      <c r="J66" s="4"/>
    </row>
    <row r="68" spans="1:10" x14ac:dyDescent="0.25">
      <c r="A68" s="7" t="s">
        <v>73</v>
      </c>
      <c r="B68" s="7" t="str">
        <f>B61</f>
        <v>2023-24</v>
      </c>
      <c r="C68" s="7" t="str">
        <f t="shared" ref="C68:H68" si="5">C61</f>
        <v>2024-25</v>
      </c>
      <c r="D68" s="7" t="str">
        <f t="shared" si="5"/>
        <v>2025-26</v>
      </c>
      <c r="E68" s="7" t="str">
        <f t="shared" si="5"/>
        <v>2026-27</v>
      </c>
      <c r="F68" s="7" t="str">
        <f t="shared" si="5"/>
        <v>2027-28</v>
      </c>
      <c r="G68" s="7" t="str">
        <f t="shared" si="5"/>
        <v>2028-29</v>
      </c>
      <c r="H68" s="7" t="str">
        <f t="shared" si="5"/>
        <v>2029-30</v>
      </c>
      <c r="I68" s="7" t="s">
        <v>10</v>
      </c>
    </row>
    <row r="69" spans="1:10" x14ac:dyDescent="0.25">
      <c r="A69" s="8" t="s">
        <v>2</v>
      </c>
      <c r="B69" s="62">
        <f>B56*B62</f>
        <v>0</v>
      </c>
      <c r="C69" s="62">
        <f t="shared" ref="B69:H70" si="6">C56*C62</f>
        <v>0</v>
      </c>
      <c r="D69" s="62">
        <f t="shared" si="6"/>
        <v>173840.36777028284</v>
      </c>
      <c r="E69" s="62">
        <f t="shared" si="6"/>
        <v>183780.30172636252</v>
      </c>
      <c r="F69" s="62">
        <f t="shared" si="6"/>
        <v>190046.65910002514</v>
      </c>
      <c r="G69" s="62">
        <f t="shared" si="6"/>
        <v>198811.57403121312</v>
      </c>
      <c r="H69" s="62">
        <f t="shared" si="6"/>
        <v>205261.09596996906</v>
      </c>
      <c r="I69" s="63">
        <f>SUM(D69:H69)</f>
        <v>951739.99859785254</v>
      </c>
    </row>
    <row r="70" spans="1:10" x14ac:dyDescent="0.25">
      <c r="A70" s="8" t="s">
        <v>3</v>
      </c>
      <c r="B70" s="62">
        <f t="shared" si="6"/>
        <v>0</v>
      </c>
      <c r="C70" s="62">
        <f t="shared" si="6"/>
        <v>0</v>
      </c>
      <c r="D70" s="62">
        <f t="shared" si="6"/>
        <v>16610.372388228214</v>
      </c>
      <c r="E70" s="62">
        <f t="shared" si="6"/>
        <v>17468.843652448271</v>
      </c>
      <c r="F70" s="62">
        <f t="shared" si="6"/>
        <v>17978.133423318461</v>
      </c>
      <c r="G70" s="62">
        <f t="shared" si="6"/>
        <v>18614.340516786197</v>
      </c>
      <c r="H70" s="62">
        <f t="shared" si="6"/>
        <v>18907.630198217328</v>
      </c>
      <c r="I70" s="63">
        <f>SUM(D70:H70)</f>
        <v>89579.320178998474</v>
      </c>
    </row>
    <row r="71" spans="1:10" x14ac:dyDescent="0.25">
      <c r="A71" s="60" t="s">
        <v>16</v>
      </c>
      <c r="B71" s="63">
        <f t="shared" ref="B71:I71" si="7">B69+B70</f>
        <v>0</v>
      </c>
      <c r="C71" s="63">
        <f t="shared" si="7"/>
        <v>0</v>
      </c>
      <c r="D71" s="63">
        <f t="shared" si="7"/>
        <v>190450.74015851106</v>
      </c>
      <c r="E71" s="63">
        <f t="shared" si="7"/>
        <v>201249.14537881079</v>
      </c>
      <c r="F71" s="63">
        <f t="shared" si="7"/>
        <v>208024.79252334358</v>
      </c>
      <c r="G71" s="63">
        <f t="shared" si="7"/>
        <v>217425.91454799933</v>
      </c>
      <c r="H71" s="63">
        <f t="shared" si="7"/>
        <v>224168.72616818637</v>
      </c>
      <c r="I71" s="63">
        <f t="shared" si="7"/>
        <v>1041319.3187768511</v>
      </c>
    </row>
    <row r="73" spans="1:10" ht="15.75" x14ac:dyDescent="0.25">
      <c r="A73" s="9" t="s">
        <v>71</v>
      </c>
      <c r="B73" s="4"/>
      <c r="C73" s="4"/>
      <c r="D73" s="4"/>
      <c r="E73" s="4"/>
      <c r="F73" s="4"/>
      <c r="G73" s="4"/>
      <c r="H73" s="4"/>
      <c r="I73" s="4"/>
    </row>
    <row r="75" spans="1:10" x14ac:dyDescent="0.25">
      <c r="A75" t="s">
        <v>67</v>
      </c>
      <c r="B75">
        <f>'Input| Escalations'!$K$19</f>
        <v>1.1129126464165968</v>
      </c>
    </row>
    <row r="76" spans="1:10" x14ac:dyDescent="0.25">
      <c r="A76" t="s">
        <v>68</v>
      </c>
      <c r="D76" s="1">
        <v>0.01</v>
      </c>
      <c r="E76" s="1">
        <v>0.01</v>
      </c>
      <c r="F76" s="1">
        <v>0.01</v>
      </c>
      <c r="G76" s="1">
        <v>0.01</v>
      </c>
      <c r="H76" s="1">
        <v>0.01</v>
      </c>
    </row>
    <row r="77" spans="1:10" x14ac:dyDescent="0.25">
      <c r="A77" t="s">
        <v>69</v>
      </c>
      <c r="C77">
        <v>1</v>
      </c>
      <c r="D77" s="65">
        <f>C77*(1-D76)</f>
        <v>0.99</v>
      </c>
      <c r="E77" s="65">
        <f>D77*(1-E76)</f>
        <v>0.98009999999999997</v>
      </c>
      <c r="F77" s="65">
        <f>E77*(1-F76)</f>
        <v>0.97029899999999991</v>
      </c>
      <c r="G77" s="65">
        <f>F77*(1-G76)</f>
        <v>0.96059600999999994</v>
      </c>
      <c r="H77" s="65">
        <f>G77*(1-H76)</f>
        <v>0.95099004989999991</v>
      </c>
    </row>
    <row r="78" spans="1:10" x14ac:dyDescent="0.25">
      <c r="D78" s="65"/>
      <c r="E78" s="65"/>
      <c r="F78" s="65"/>
      <c r="G78" s="65"/>
      <c r="H78" s="65"/>
    </row>
    <row r="79" spans="1:10" x14ac:dyDescent="0.25">
      <c r="A79" s="58" t="s">
        <v>70</v>
      </c>
      <c r="B79" s="7"/>
      <c r="C79" s="7"/>
      <c r="D79" s="7" t="str">
        <f>D68</f>
        <v>2025-26</v>
      </c>
      <c r="E79" s="7" t="str">
        <f t="shared" ref="E79:I79" si="8">E68</f>
        <v>2026-27</v>
      </c>
      <c r="F79" s="7" t="str">
        <f t="shared" si="8"/>
        <v>2027-28</v>
      </c>
      <c r="G79" s="7" t="str">
        <f t="shared" si="8"/>
        <v>2028-29</v>
      </c>
      <c r="H79" s="7" t="str">
        <f t="shared" si="8"/>
        <v>2029-30</v>
      </c>
      <c r="I79" s="7" t="str">
        <f t="shared" si="8"/>
        <v>Forecast period</v>
      </c>
    </row>
    <row r="80" spans="1:10" x14ac:dyDescent="0.25">
      <c r="A80" s="20" t="s">
        <v>2</v>
      </c>
      <c r="B80" s="62"/>
      <c r="C80" s="62"/>
      <c r="D80" s="62">
        <f t="shared" ref="D80:H81" si="9">D56/$B$75*D$77</f>
        <v>148875.47803178319</v>
      </c>
      <c r="E80" s="62">
        <f t="shared" si="9"/>
        <v>154771.58532793014</v>
      </c>
      <c r="F80" s="62">
        <f t="shared" si="9"/>
        <v>157397.6856901338</v>
      </c>
      <c r="G80" s="62">
        <f t="shared" si="9"/>
        <v>161729.71636867584</v>
      </c>
      <c r="H80" s="62">
        <f t="shared" si="9"/>
        <v>163817.22118240932</v>
      </c>
      <c r="I80" s="63">
        <f>SUM(D80:H80)</f>
        <v>786591.68660093227</v>
      </c>
    </row>
    <row r="81" spans="1:9" x14ac:dyDescent="0.25">
      <c r="A81" s="20" t="s">
        <v>3</v>
      </c>
      <c r="B81" s="62"/>
      <c r="C81" s="62"/>
      <c r="D81" s="62">
        <f t="shared" si="9"/>
        <v>14546.446569563384</v>
      </c>
      <c r="E81" s="62">
        <f t="shared" si="9"/>
        <v>15102.89791361758</v>
      </c>
      <c r="F81" s="62">
        <f t="shared" si="9"/>
        <v>15344.95088691666</v>
      </c>
      <c r="G81" s="62">
        <f t="shared" si="9"/>
        <v>15676.994990283019</v>
      </c>
      <c r="H81" s="62">
        <f t="shared" si="9"/>
        <v>15704.562033380867</v>
      </c>
      <c r="I81" s="63">
        <f>SUM(D81:H81)</f>
        <v>76375.85239376151</v>
      </c>
    </row>
    <row r="82" spans="1:9" x14ac:dyDescent="0.25">
      <c r="A82" s="21" t="s">
        <v>16</v>
      </c>
      <c r="B82" s="62"/>
      <c r="C82" s="62"/>
      <c r="D82" s="62">
        <f>SUM(D80:D81)</f>
        <v>163421.92460134657</v>
      </c>
      <c r="E82" s="62">
        <f t="shared" ref="E82:H82" si="10">SUM(E80:E81)</f>
        <v>169874.48324154771</v>
      </c>
      <c r="F82" s="62">
        <f t="shared" si="10"/>
        <v>172742.63657705046</v>
      </c>
      <c r="G82" s="62">
        <f t="shared" si="10"/>
        <v>177406.71135895886</v>
      </c>
      <c r="H82" s="62">
        <f t="shared" si="10"/>
        <v>179521.7832157902</v>
      </c>
      <c r="I82" s="63">
        <f>SUM(D82:H82)</f>
        <v>862967.53899469378</v>
      </c>
    </row>
    <row r="83" spans="1:9" x14ac:dyDescent="0.25">
      <c r="A83" s="21"/>
    </row>
    <row r="84" spans="1:9" x14ac:dyDescent="0.25">
      <c r="A84" s="58" t="s">
        <v>66</v>
      </c>
      <c r="B84" s="7"/>
      <c r="C84" s="7"/>
      <c r="D84" s="7" t="str">
        <f>D79</f>
        <v>2025-26</v>
      </c>
      <c r="E84" s="7" t="str">
        <f t="shared" ref="E84:I84" si="11">E79</f>
        <v>2026-27</v>
      </c>
      <c r="F84" s="7" t="str">
        <f t="shared" si="11"/>
        <v>2027-28</v>
      </c>
      <c r="G84" s="7" t="str">
        <f t="shared" si="11"/>
        <v>2028-29</v>
      </c>
      <c r="H84" s="7" t="str">
        <f t="shared" si="11"/>
        <v>2029-30</v>
      </c>
      <c r="I84" s="7" t="str">
        <f t="shared" si="11"/>
        <v>Forecast period</v>
      </c>
    </row>
    <row r="85" spans="1:9" x14ac:dyDescent="0.25">
      <c r="A85" s="20" t="s">
        <v>2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</row>
    <row r="86" spans="1:9" x14ac:dyDescent="0.25">
      <c r="A86" s="20" t="s">
        <v>3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</row>
    <row r="87" spans="1:9" x14ac:dyDescent="0.25">
      <c r="A87" s="21" t="s">
        <v>16</v>
      </c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8C88-A5BA-43D9-9EA8-74D9D715CE77}">
  <sheetPr>
    <tabColor theme="8" tint="0.79998168889431442"/>
  </sheetPr>
  <dimension ref="A1:U40"/>
  <sheetViews>
    <sheetView topLeftCell="B1" zoomScaleNormal="100" workbookViewId="0">
      <selection activeCell="M16" sqref="M16"/>
    </sheetView>
  </sheetViews>
  <sheetFormatPr defaultColWidth="0" defaultRowHeight="12.75" zeroHeight="1" x14ac:dyDescent="0.2"/>
  <cols>
    <col min="1" max="1" width="3.5703125" style="31" customWidth="1"/>
    <col min="2" max="2" width="54.42578125" style="31" customWidth="1"/>
    <col min="3" max="14" width="10" style="31" customWidth="1"/>
    <col min="15" max="15" width="5.5703125" style="31" customWidth="1"/>
    <col min="16" max="16" width="55.42578125" style="31" hidden="1" customWidth="1"/>
    <col min="17" max="17" width="8.5703125" style="31" hidden="1" customWidth="1"/>
    <col min="18" max="18" width="11.85546875" style="31" hidden="1" customWidth="1"/>
    <col min="19" max="19" width="13.140625" style="31" hidden="1" customWidth="1"/>
    <col min="20" max="20" width="7.85546875" style="31" hidden="1" customWidth="1"/>
    <col min="21" max="21" width="8.42578125" style="31" hidden="1" customWidth="1"/>
    <col min="22" max="16384" width="8.5703125" style="31" hidden="1"/>
  </cols>
  <sheetData>
    <row r="1" spans="1:15" x14ac:dyDescent="0.2">
      <c r="A1" s="30" t="s">
        <v>74</v>
      </c>
    </row>
    <row r="2" spans="1:15" x14ac:dyDescent="0.2">
      <c r="A2" s="32"/>
      <c r="B2" s="33" t="s">
        <v>76</v>
      </c>
      <c r="C2" s="33"/>
      <c r="D2" s="32" t="s">
        <v>35</v>
      </c>
      <c r="E2" s="34" t="s">
        <v>36</v>
      </c>
      <c r="F2" s="67" t="s">
        <v>37</v>
      </c>
      <c r="G2" s="68"/>
      <c r="H2" s="69"/>
      <c r="I2" s="70" t="s">
        <v>38</v>
      </c>
      <c r="J2" s="71"/>
      <c r="K2" s="72"/>
      <c r="L2" s="32"/>
      <c r="M2" s="32"/>
      <c r="N2" s="32"/>
      <c r="O2" s="32"/>
    </row>
    <row r="3" spans="1:15" x14ac:dyDescent="0.2">
      <c r="A3" s="32"/>
      <c r="B3" s="33" t="str">
        <f ca="1">IFERROR(MID(CELL("filename",A2),FIND("]",CELL("filename",A2))+1,255),"")</f>
        <v>Input| Escalations</v>
      </c>
      <c r="C3" s="33"/>
      <c r="D3" s="35"/>
      <c r="E3" s="32"/>
      <c r="F3" s="35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">
      <c r="B4" s="36"/>
      <c r="C4" s="36"/>
    </row>
    <row r="5" spans="1:15" ht="15" x14ac:dyDescent="0.25">
      <c r="A5" s="37"/>
      <c r="B5" s="38" t="s">
        <v>75</v>
      </c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x14ac:dyDescent="0.2"/>
    <row r="7" spans="1:15" x14ac:dyDescent="0.2">
      <c r="B7" s="39"/>
      <c r="C7" s="39"/>
      <c r="D7" s="39" t="s">
        <v>39</v>
      </c>
      <c r="E7" s="39" t="s">
        <v>40</v>
      </c>
    </row>
    <row r="8" spans="1:15" x14ac:dyDescent="0.2">
      <c r="B8" s="40" t="s">
        <v>41</v>
      </c>
      <c r="C8" s="40"/>
      <c r="D8" s="41" t="s">
        <v>23</v>
      </c>
      <c r="E8" s="42"/>
    </row>
    <row r="9" spans="1:15" x14ac:dyDescent="0.2">
      <c r="B9" s="40" t="s">
        <v>42</v>
      </c>
      <c r="C9" s="40"/>
      <c r="D9" s="41" t="s">
        <v>43</v>
      </c>
      <c r="E9" s="41" t="s">
        <v>44</v>
      </c>
    </row>
    <row r="10" spans="1:15" x14ac:dyDescent="0.2">
      <c r="B10" s="40" t="s">
        <v>45</v>
      </c>
      <c r="C10" s="40"/>
      <c r="D10" s="43" t="str">
        <f>IFERROR(LEFT(D8,4),"")</f>
        <v>2025</v>
      </c>
      <c r="E10" s="43" t="s">
        <v>46</v>
      </c>
    </row>
    <row r="11" spans="1:15" x14ac:dyDescent="0.2"/>
    <row r="12" spans="1:15" ht="15" x14ac:dyDescent="0.25">
      <c r="A12" s="37"/>
      <c r="B12" s="38" t="str">
        <f>LEFT(B5,2)+1&amp;". Inflation"</f>
        <v>11. Inflation</v>
      </c>
      <c r="C12" s="38"/>
      <c r="D12" s="44" t="s">
        <v>47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5" x14ac:dyDescent="0.2">
      <c r="L13" s="45"/>
      <c r="M13" s="45"/>
      <c r="N13" s="45"/>
    </row>
    <row r="14" spans="1:15" x14ac:dyDescent="0.2">
      <c r="B14" s="39"/>
      <c r="C14" s="39"/>
      <c r="D14" s="39" t="str">
        <f t="shared" ref="D14:I14" si="0">IFERROR((LEFT(E14,4)-1&amp;IF(MID(E14,5,1)="","","-"&amp;TEXT(MOD(MID(E14,6,2)-1,100),"00"))),"")</f>
        <v>2019-20</v>
      </c>
      <c r="E14" s="39" t="str">
        <f t="shared" si="0"/>
        <v>2020-21</v>
      </c>
      <c r="F14" s="39" t="str">
        <f t="shared" si="0"/>
        <v>2021-22</v>
      </c>
      <c r="G14" s="39" t="str">
        <f t="shared" si="0"/>
        <v>2022-23</v>
      </c>
      <c r="H14" s="39" t="str">
        <f t="shared" si="0"/>
        <v>2023-24</v>
      </c>
      <c r="I14" s="39" t="str">
        <f t="shared" si="0"/>
        <v>2024-25</v>
      </c>
      <c r="J14" s="39" t="str">
        <f>D8</f>
        <v>2025-26</v>
      </c>
      <c r="K14" s="39" t="str">
        <f>E10&amp;" "&amp;D10</f>
        <v>June 2025</v>
      </c>
      <c r="L14" s="42"/>
      <c r="M14" s="42"/>
      <c r="N14" s="42"/>
    </row>
    <row r="15" spans="1:15" x14ac:dyDescent="0.2">
      <c r="B15" s="31" t="s">
        <v>48</v>
      </c>
      <c r="D15" s="46">
        <v>1.8404907975460238E-2</v>
      </c>
      <c r="E15" s="46">
        <v>8.6058519793459354E-3</v>
      </c>
      <c r="F15" s="46">
        <v>3.4982935153583528E-2</v>
      </c>
      <c r="G15" s="46">
        <v>7.8318219291014124E-2</v>
      </c>
      <c r="H15" s="46">
        <v>4.0519877675840865E-2</v>
      </c>
      <c r="I15" s="46">
        <v>0.03</v>
      </c>
      <c r="J15" s="46">
        <v>2.7789697662651491E-2</v>
      </c>
      <c r="K15" s="47"/>
      <c r="L15" s="42"/>
      <c r="M15" s="42"/>
      <c r="N15" s="42"/>
    </row>
    <row r="16" spans="1:15" x14ac:dyDescent="0.2">
      <c r="B16" s="48" t="str">
        <f>E10&amp;" "&amp;D10&amp;" estimate"</f>
        <v>June 2025 estimate</v>
      </c>
      <c r="C16" s="48"/>
      <c r="D16" s="42"/>
      <c r="E16" s="42"/>
      <c r="F16" s="42"/>
      <c r="G16" s="42"/>
      <c r="H16" s="42"/>
      <c r="I16" s="42"/>
      <c r="J16" s="42"/>
      <c r="K16" s="47"/>
      <c r="L16" s="42"/>
      <c r="M16" s="42"/>
      <c r="N16" s="42"/>
    </row>
    <row r="17" spans="1:14" x14ac:dyDescent="0.2">
      <c r="B17" s="31" t="s">
        <v>49</v>
      </c>
      <c r="D17" s="49">
        <f>IFERROR(1+D15,"")</f>
        <v>1.0184049079754602</v>
      </c>
      <c r="E17" s="49">
        <f>IFERROR(D17*(1+E15),"")</f>
        <v>1.0271691498685365</v>
      </c>
      <c r="F17" s="49">
        <f>E17*(1+F15)</f>
        <v>1.0631025416301489</v>
      </c>
      <c r="G17" s="49">
        <f>F17*(1+G15)</f>
        <v>1.1463628396143735</v>
      </c>
      <c r="H17" s="49">
        <f>G17*(1+H15)</f>
        <v>1.1928133216476775</v>
      </c>
      <c r="I17" s="49">
        <f>H17*(1+I15)</f>
        <v>1.2285977212971078</v>
      </c>
      <c r="J17" s="49">
        <f>I17*(1+J15)</f>
        <v>1.262740080520977</v>
      </c>
      <c r="K17" s="42"/>
      <c r="L17" s="42"/>
      <c r="M17" s="42"/>
      <c r="N17" s="42"/>
    </row>
    <row r="18" spans="1:14" x14ac:dyDescent="0.2">
      <c r="B18" s="31" t="str">
        <f>IFERROR("Index: Nominal "&amp;E9&amp;" to "&amp; "Real "&amp;D10 &amp;" "&amp;LEFT(E10,9),"")</f>
        <v>Index: Nominal December to Real 2025 June</v>
      </c>
      <c r="D18" s="49">
        <v>1.2174453175581814</v>
      </c>
      <c r="E18" s="49">
        <v>1.2012363896938594</v>
      </c>
      <c r="F18" s="49">
        <v>1.1757125218136182</v>
      </c>
      <c r="G18" s="49">
        <v>1.1129126464165968</v>
      </c>
      <c r="H18" s="49">
        <v>1.0506605247301812</v>
      </c>
      <c r="I18" s="49">
        <v>1.014889156509222</v>
      </c>
      <c r="J18" s="49">
        <v>0.98638820391875603</v>
      </c>
      <c r="K18" s="42"/>
      <c r="L18" s="42"/>
      <c r="M18" s="42"/>
      <c r="N18" s="42"/>
    </row>
    <row r="19" spans="1:14" x14ac:dyDescent="0.2">
      <c r="B19" s="40" t="str">
        <f>IFERROR("Real "&amp;D9 &amp;" "&amp;LEFT(E9,9)&amp;" to "&amp; "Real "&amp;D10 &amp;" "&amp;LEFT(E10,9),"")</f>
        <v>Real 2022-23 December to Real 2025 June</v>
      </c>
      <c r="C19" s="40"/>
      <c r="D19" s="42"/>
      <c r="E19" s="42"/>
      <c r="F19" s="42"/>
      <c r="G19" s="42"/>
      <c r="H19" s="42"/>
      <c r="I19" s="42"/>
      <c r="J19" s="42"/>
      <c r="K19" s="49">
        <f>INDEX(D14:J18,5,MATCH(D9,D14:J14))</f>
        <v>1.1129126464165968</v>
      </c>
    </row>
    <row r="20" spans="1:14" x14ac:dyDescent="0.2"/>
    <row r="21" spans="1:14" ht="15" x14ac:dyDescent="0.25">
      <c r="A21" s="37"/>
      <c r="B21" s="38" t="str">
        <f>LEFT(B12,2)+1&amp;". Forecast real price escalation"</f>
        <v>12. Forecast real price escalation</v>
      </c>
      <c r="C21" s="38"/>
      <c r="D21" s="44" t="str">
        <f>IF(E9="June","NOTE: because you selected "&amp;D9&amp;" "&amp;E9&amp;" for inputs, please ensure you enter 6-month escalations for "&amp;(LEFT(D9,4)+1&amp;IF(MID(D9,5,1)="","","-"&amp;TEXT(MOD(MID(D9,6,2)+1,100),"00"))),"")</f>
        <v/>
      </c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x14ac:dyDescent="0.2"/>
    <row r="23" spans="1:14" x14ac:dyDescent="0.2">
      <c r="B23" s="39"/>
      <c r="C23" s="39"/>
      <c r="D23" s="39" t="str">
        <f t="shared" ref="D23:I23" si="1">IF(C14&lt;$D$9,"",D14)</f>
        <v/>
      </c>
      <c r="E23" s="39" t="str">
        <f t="shared" si="1"/>
        <v/>
      </c>
      <c r="F23" s="39" t="str">
        <f t="shared" si="1"/>
        <v/>
      </c>
      <c r="G23" s="39" t="str">
        <f t="shared" si="1"/>
        <v/>
      </c>
      <c r="H23" s="39" t="str">
        <f t="shared" si="1"/>
        <v>2023-24</v>
      </c>
      <c r="I23" s="39" t="str">
        <f t="shared" si="1"/>
        <v>2024-25</v>
      </c>
      <c r="J23" s="39" t="str">
        <f>J14</f>
        <v>2025-26</v>
      </c>
      <c r="K23" s="39" t="str">
        <f>IFERROR((LEFT(J23,4)+1&amp;IF(MID(J23,5,1)="","","-"&amp;TEXT(MOD(MID(J23,6,2)+1,100),"00"))),"")</f>
        <v>2026-27</v>
      </c>
      <c r="L23" s="39" t="str">
        <f>IFERROR((LEFT(K23,4)+1&amp;IF(MID(K23,5,1)="","","-"&amp;TEXT(MOD(MID(K23,6,2)+1,100),"00"))),"")</f>
        <v>2027-28</v>
      </c>
      <c r="M23" s="39" t="str">
        <f>IFERROR((LEFT(L23,4)+1&amp;IF(MID(L23,5,1)="","","-"&amp;TEXT(MOD(MID(L23,6,2)+1,100),"00"))),"")</f>
        <v>2028-29</v>
      </c>
      <c r="N23" s="39" t="str">
        <f>IFERROR((LEFT(M23,4)+1&amp;IF(MID(M23,5,1)="","","-"&amp;TEXT(MOD(MID(M23,6,2)+1,100),"00"))),"")</f>
        <v>2029-30</v>
      </c>
    </row>
    <row r="24" spans="1:14" x14ac:dyDescent="0.2">
      <c r="B24" s="50" t="s">
        <v>50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1:14" x14ac:dyDescent="0.2">
      <c r="B25" s="31" t="s">
        <v>51</v>
      </c>
      <c r="D25" s="46"/>
      <c r="E25" s="46"/>
      <c r="F25" s="46"/>
      <c r="G25" s="46"/>
      <c r="H25" s="46">
        <v>2.0403463932239452E-2</v>
      </c>
      <c r="I25" s="46">
        <v>2.1180729633800677E-2</v>
      </c>
      <c r="J25" s="46">
        <v>1.1250515567042995E-2</v>
      </c>
      <c r="K25" s="46">
        <v>9.2135243940020661E-3</v>
      </c>
      <c r="L25" s="46">
        <v>9.1083556288052894E-3</v>
      </c>
      <c r="M25" s="46">
        <v>1.0777935799648537E-2</v>
      </c>
      <c r="N25" s="46">
        <v>1.2340188084018006E-2</v>
      </c>
    </row>
    <row r="26" spans="1:14" x14ac:dyDescent="0.2">
      <c r="B26" s="31" t="s">
        <v>52</v>
      </c>
      <c r="D26" s="46"/>
      <c r="E26" s="46"/>
      <c r="F26" s="46"/>
      <c r="G26" s="46"/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</row>
    <row r="27" spans="1:14" x14ac:dyDescent="0.2">
      <c r="B27" s="31" t="s">
        <v>53</v>
      </c>
      <c r="D27" s="46"/>
      <c r="E27" s="46"/>
      <c r="F27" s="46"/>
      <c r="G27" s="46"/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</row>
    <row r="28" spans="1:14" x14ac:dyDescent="0.2">
      <c r="B28" s="50" t="s">
        <v>54</v>
      </c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1:14" x14ac:dyDescent="0.2">
      <c r="B29" s="31" t="s">
        <v>51</v>
      </c>
      <c r="C29" s="52">
        <v>1</v>
      </c>
      <c r="D29" s="53">
        <f t="shared" ref="D29:N31" si="2">IFERROR(C29*(1+D25),"")</f>
        <v>1</v>
      </c>
      <c r="E29" s="53">
        <f t="shared" si="2"/>
        <v>1</v>
      </c>
      <c r="F29" s="53">
        <f t="shared" si="2"/>
        <v>1</v>
      </c>
      <c r="G29" s="53">
        <f t="shared" si="2"/>
        <v>1</v>
      </c>
      <c r="H29" s="53">
        <f t="shared" si="2"/>
        <v>1.0204034639322395</v>
      </c>
      <c r="I29" s="54">
        <f t="shared" si="2"/>
        <v>1.042016353819182</v>
      </c>
      <c r="J29" s="53">
        <f t="shared" si="2"/>
        <v>1.0537395750289382</v>
      </c>
      <c r="K29" s="53">
        <f t="shared" si="2"/>
        <v>1.0634482303083928</v>
      </c>
      <c r="L29" s="53">
        <f t="shared" si="2"/>
        <v>1.0731344949828652</v>
      </c>
      <c r="M29" s="53">
        <f t="shared" si="2"/>
        <v>1.0847006696741788</v>
      </c>
      <c r="N29" s="53">
        <f t="shared" si="2"/>
        <v>1.0980860799528183</v>
      </c>
    </row>
    <row r="30" spans="1:14" x14ac:dyDescent="0.2">
      <c r="B30" s="31" t="s">
        <v>52</v>
      </c>
      <c r="C30" s="52">
        <v>1</v>
      </c>
      <c r="D30" s="53">
        <f t="shared" si="2"/>
        <v>1</v>
      </c>
      <c r="E30" s="53">
        <f t="shared" si="2"/>
        <v>1</v>
      </c>
      <c r="F30" s="53">
        <f t="shared" si="2"/>
        <v>1</v>
      </c>
      <c r="G30" s="53">
        <f t="shared" si="2"/>
        <v>1</v>
      </c>
      <c r="H30" s="53">
        <f t="shared" si="2"/>
        <v>1</v>
      </c>
      <c r="I30" s="53">
        <f>IFERROR(H30*(1+I26),"")</f>
        <v>1</v>
      </c>
      <c r="J30" s="53">
        <f t="shared" si="2"/>
        <v>1</v>
      </c>
      <c r="K30" s="53">
        <f t="shared" si="2"/>
        <v>1</v>
      </c>
      <c r="L30" s="53">
        <f t="shared" si="2"/>
        <v>1</v>
      </c>
      <c r="M30" s="53">
        <f t="shared" si="2"/>
        <v>1</v>
      </c>
      <c r="N30" s="53">
        <f t="shared" si="2"/>
        <v>1</v>
      </c>
    </row>
    <row r="31" spans="1:14" x14ac:dyDescent="0.2">
      <c r="B31" s="31" t="s">
        <v>53</v>
      </c>
      <c r="C31" s="52">
        <v>1</v>
      </c>
      <c r="D31" s="53">
        <f t="shared" si="2"/>
        <v>1</v>
      </c>
      <c r="E31" s="53">
        <f t="shared" si="2"/>
        <v>1</v>
      </c>
      <c r="F31" s="53">
        <f t="shared" si="2"/>
        <v>1</v>
      </c>
      <c r="G31" s="53">
        <f t="shared" si="2"/>
        <v>1</v>
      </c>
      <c r="H31" s="53">
        <f t="shared" si="2"/>
        <v>1</v>
      </c>
      <c r="I31" s="53">
        <f t="shared" si="2"/>
        <v>1</v>
      </c>
      <c r="J31" s="53">
        <f t="shared" si="2"/>
        <v>1</v>
      </c>
      <c r="K31" s="53">
        <f t="shared" si="2"/>
        <v>1</v>
      </c>
      <c r="L31" s="53">
        <f t="shared" si="2"/>
        <v>1</v>
      </c>
      <c r="M31" s="53">
        <f t="shared" si="2"/>
        <v>1</v>
      </c>
      <c r="N31" s="53">
        <f t="shared" si="2"/>
        <v>1</v>
      </c>
    </row>
    <row r="32" spans="1:14" x14ac:dyDescent="0.2">
      <c r="B32" s="50" t="s">
        <v>55</v>
      </c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2:15" x14ac:dyDescent="0.2">
      <c r="B33" s="31" t="s">
        <v>51</v>
      </c>
      <c r="D33" s="55">
        <f t="shared" ref="D33:N35" si="3">IF(D29-1=0,0,D29-1)</f>
        <v>0</v>
      </c>
      <c r="E33" s="55">
        <f t="shared" si="3"/>
        <v>0</v>
      </c>
      <c r="F33" s="55">
        <f t="shared" si="3"/>
        <v>0</v>
      </c>
      <c r="G33" s="55">
        <f t="shared" si="3"/>
        <v>0</v>
      </c>
      <c r="H33" s="55">
        <f t="shared" si="3"/>
        <v>2.0403463932239463E-2</v>
      </c>
      <c r="I33" s="55">
        <f t="shared" si="3"/>
        <v>4.2016353819182006E-2</v>
      </c>
      <c r="J33" s="55">
        <f t="shared" si="3"/>
        <v>5.3739575028938225E-2</v>
      </c>
      <c r="K33" s="55">
        <f t="shared" si="3"/>
        <v>6.344823030839275E-2</v>
      </c>
      <c r="L33" s="55">
        <f t="shared" si="3"/>
        <v>7.3134494982865172E-2</v>
      </c>
      <c r="M33" s="55">
        <f t="shared" si="3"/>
        <v>8.4700669674178775E-2</v>
      </c>
      <c r="N33" s="55">
        <f t="shared" si="3"/>
        <v>9.8086079952818261E-2</v>
      </c>
      <c r="O33" s="56"/>
    </row>
    <row r="34" spans="2:15" x14ac:dyDescent="0.2">
      <c r="B34" s="31" t="s">
        <v>52</v>
      </c>
      <c r="D34" s="55">
        <f t="shared" si="3"/>
        <v>0</v>
      </c>
      <c r="E34" s="55">
        <f t="shared" si="3"/>
        <v>0</v>
      </c>
      <c r="F34" s="55">
        <f t="shared" si="3"/>
        <v>0</v>
      </c>
      <c r="G34" s="55">
        <f t="shared" si="3"/>
        <v>0</v>
      </c>
      <c r="H34" s="55">
        <f t="shared" si="3"/>
        <v>0</v>
      </c>
      <c r="I34" s="55">
        <f t="shared" si="3"/>
        <v>0</v>
      </c>
      <c r="J34" s="55">
        <f t="shared" si="3"/>
        <v>0</v>
      </c>
      <c r="K34" s="55">
        <f t="shared" si="3"/>
        <v>0</v>
      </c>
      <c r="L34" s="55">
        <f t="shared" si="3"/>
        <v>0</v>
      </c>
      <c r="M34" s="55">
        <f t="shared" si="3"/>
        <v>0</v>
      </c>
      <c r="N34" s="55">
        <f t="shared" si="3"/>
        <v>0</v>
      </c>
    </row>
    <row r="35" spans="2:15" x14ac:dyDescent="0.2">
      <c r="B35" s="31" t="s">
        <v>53</v>
      </c>
      <c r="D35" s="55">
        <f t="shared" si="3"/>
        <v>0</v>
      </c>
      <c r="E35" s="55">
        <f t="shared" si="3"/>
        <v>0</v>
      </c>
      <c r="F35" s="55">
        <f t="shared" si="3"/>
        <v>0</v>
      </c>
      <c r="G35" s="55">
        <f t="shared" si="3"/>
        <v>0</v>
      </c>
      <c r="H35" s="55">
        <f t="shared" si="3"/>
        <v>0</v>
      </c>
      <c r="I35" s="55">
        <f t="shared" si="3"/>
        <v>0</v>
      </c>
      <c r="J35" s="55">
        <f t="shared" si="3"/>
        <v>0</v>
      </c>
      <c r="K35" s="55">
        <f t="shared" si="3"/>
        <v>0</v>
      </c>
      <c r="L35" s="55">
        <f t="shared" si="3"/>
        <v>0</v>
      </c>
      <c r="M35" s="55">
        <f t="shared" si="3"/>
        <v>0</v>
      </c>
      <c r="N35" s="55">
        <f t="shared" si="3"/>
        <v>0</v>
      </c>
    </row>
    <row r="36" spans="2:15" x14ac:dyDescent="0.2"/>
    <row r="37" spans="2:15" x14ac:dyDescent="0.2">
      <c r="D37" s="57" t="str">
        <f>"Note: the grey cells below the enable conditional formatting in table "&amp;LEFT(B21,2)&amp;". Do not delete."</f>
        <v>Note: the grey cells below the enable conditional formatting in table 12. Do not delete.</v>
      </c>
    </row>
    <row r="38" spans="2:15" x14ac:dyDescent="0.2">
      <c r="D38" s="52">
        <f t="shared" ref="D38:I38" si="4">IF(AND(D23="",E23=""),1,"")</f>
        <v>1</v>
      </c>
      <c r="E38" s="52">
        <f t="shared" si="4"/>
        <v>1</v>
      </c>
      <c r="F38" s="52">
        <f t="shared" si="4"/>
        <v>1</v>
      </c>
      <c r="G38" s="52" t="str">
        <f t="shared" si="4"/>
        <v/>
      </c>
      <c r="H38" s="52" t="str">
        <f t="shared" si="4"/>
        <v/>
      </c>
      <c r="I38" s="52" t="str">
        <f t="shared" si="4"/>
        <v/>
      </c>
    </row>
    <row r="39" spans="2:15" x14ac:dyDescent="0.2">
      <c r="D39" s="52">
        <f t="shared" ref="D39:I39" si="5">IF(D23="",0,"")</f>
        <v>0</v>
      </c>
      <c r="E39" s="52">
        <f t="shared" si="5"/>
        <v>0</v>
      </c>
      <c r="F39" s="52">
        <f t="shared" si="5"/>
        <v>0</v>
      </c>
      <c r="G39" s="52">
        <f t="shared" si="5"/>
        <v>0</v>
      </c>
      <c r="H39" s="52" t="str">
        <f t="shared" si="5"/>
        <v/>
      </c>
      <c r="I39" s="52" t="str">
        <f t="shared" si="5"/>
        <v/>
      </c>
    </row>
    <row r="40" spans="2:15" x14ac:dyDescent="0.2"/>
  </sheetData>
  <mergeCells count="2">
    <mergeCell ref="F2:H2"/>
    <mergeCell ref="I2:K2"/>
  </mergeCells>
  <conditionalFormatting sqref="D26">
    <cfRule type="expression" dxfId="62" priority="57">
      <formula>D23=""</formula>
    </cfRule>
  </conditionalFormatting>
  <conditionalFormatting sqref="D27">
    <cfRule type="expression" dxfId="61" priority="56">
      <formula>D23=""</formula>
    </cfRule>
  </conditionalFormatting>
  <conditionalFormatting sqref="E26">
    <cfRule type="expression" dxfId="60" priority="55">
      <formula>E23=""</formula>
    </cfRule>
  </conditionalFormatting>
  <conditionalFormatting sqref="E27">
    <cfRule type="expression" dxfId="59" priority="54">
      <formula>E23=""</formula>
    </cfRule>
  </conditionalFormatting>
  <conditionalFormatting sqref="F26">
    <cfRule type="expression" dxfId="58" priority="53">
      <formula>F23=""</formula>
    </cfRule>
  </conditionalFormatting>
  <conditionalFormatting sqref="F27">
    <cfRule type="expression" dxfId="57" priority="52">
      <formula>F23=""</formula>
    </cfRule>
  </conditionalFormatting>
  <conditionalFormatting sqref="G26">
    <cfRule type="expression" dxfId="56" priority="51">
      <formula>G23=""</formula>
    </cfRule>
  </conditionalFormatting>
  <conditionalFormatting sqref="G27">
    <cfRule type="expression" dxfId="55" priority="50">
      <formula>G23=""</formula>
    </cfRule>
  </conditionalFormatting>
  <conditionalFormatting sqref="D25:G25">
    <cfRule type="expression" dxfId="54" priority="49">
      <formula>D23=""</formula>
    </cfRule>
  </conditionalFormatting>
  <conditionalFormatting sqref="D26:G26">
    <cfRule type="expression" dxfId="53" priority="48">
      <formula>D23=""</formula>
    </cfRule>
  </conditionalFormatting>
  <conditionalFormatting sqref="D27:G27">
    <cfRule type="expression" dxfId="52" priority="47">
      <formula>D23=""</formula>
    </cfRule>
  </conditionalFormatting>
  <conditionalFormatting sqref="J33">
    <cfRule type="expression" dxfId="51" priority="46">
      <formula>J23=""</formula>
    </cfRule>
  </conditionalFormatting>
  <conditionalFormatting sqref="J34">
    <cfRule type="expression" dxfId="50" priority="45">
      <formula>J23=""</formula>
    </cfRule>
  </conditionalFormatting>
  <conditionalFormatting sqref="J35">
    <cfRule type="expression" dxfId="49" priority="44">
      <formula>J23=""</formula>
    </cfRule>
  </conditionalFormatting>
  <conditionalFormatting sqref="K33">
    <cfRule type="expression" dxfId="48" priority="43">
      <formula>K23=""</formula>
    </cfRule>
  </conditionalFormatting>
  <conditionalFormatting sqref="K34">
    <cfRule type="expression" dxfId="47" priority="42">
      <formula>K23=""</formula>
    </cfRule>
  </conditionalFormatting>
  <conditionalFormatting sqref="K35">
    <cfRule type="expression" dxfId="46" priority="41">
      <formula>K23=""</formula>
    </cfRule>
  </conditionalFormatting>
  <conditionalFormatting sqref="L33">
    <cfRule type="expression" dxfId="45" priority="40">
      <formula>L23=""</formula>
    </cfRule>
  </conditionalFormatting>
  <conditionalFormatting sqref="L34">
    <cfRule type="expression" dxfId="44" priority="39">
      <formula>L23=""</formula>
    </cfRule>
  </conditionalFormatting>
  <conditionalFormatting sqref="L35">
    <cfRule type="expression" dxfId="43" priority="38">
      <formula>L23=""</formula>
    </cfRule>
  </conditionalFormatting>
  <conditionalFormatting sqref="M33">
    <cfRule type="expression" dxfId="42" priority="37">
      <formula>M23=""</formula>
    </cfRule>
  </conditionalFormatting>
  <conditionalFormatting sqref="M34">
    <cfRule type="expression" dxfId="41" priority="36">
      <formula>M23=""</formula>
    </cfRule>
  </conditionalFormatting>
  <conditionalFormatting sqref="M35">
    <cfRule type="expression" dxfId="40" priority="35">
      <formula>M23=""</formula>
    </cfRule>
  </conditionalFormatting>
  <conditionalFormatting sqref="N33">
    <cfRule type="expression" dxfId="39" priority="34">
      <formula>N23=""</formula>
    </cfRule>
  </conditionalFormatting>
  <conditionalFormatting sqref="N34">
    <cfRule type="expression" dxfId="38" priority="33">
      <formula>N23=""</formula>
    </cfRule>
  </conditionalFormatting>
  <conditionalFormatting sqref="N35">
    <cfRule type="expression" dxfId="37" priority="32">
      <formula>N23=""</formula>
    </cfRule>
  </conditionalFormatting>
  <conditionalFormatting sqref="D30">
    <cfRule type="cellIs" dxfId="36" priority="31" operator="equal">
      <formula>1</formula>
    </cfRule>
  </conditionalFormatting>
  <conditionalFormatting sqref="D31">
    <cfRule type="cellIs" dxfId="35" priority="30" operator="equal">
      <formula>1</formula>
    </cfRule>
  </conditionalFormatting>
  <conditionalFormatting sqref="D29">
    <cfRule type="cellIs" dxfId="34" priority="58" operator="equal">
      <formula>$D$38</formula>
    </cfRule>
  </conditionalFormatting>
  <conditionalFormatting sqref="E29:E31">
    <cfRule type="cellIs" dxfId="33" priority="59" operator="equal">
      <formula>$E$38</formula>
    </cfRule>
  </conditionalFormatting>
  <conditionalFormatting sqref="F29:F31">
    <cfRule type="cellIs" dxfId="32" priority="60" operator="equal">
      <formula>$F$38</formula>
    </cfRule>
  </conditionalFormatting>
  <conditionalFormatting sqref="G29:G31">
    <cfRule type="cellIs" dxfId="31" priority="61" operator="equal">
      <formula>$G$38</formula>
    </cfRule>
  </conditionalFormatting>
  <conditionalFormatting sqref="H29:H31">
    <cfRule type="cellIs" dxfId="30" priority="62" operator="equal">
      <formula>$H$38</formula>
    </cfRule>
  </conditionalFormatting>
  <conditionalFormatting sqref="D29:I31 J30:N31">
    <cfRule type="cellIs" dxfId="29" priority="63" operator="equal">
      <formula>$I$38</formula>
    </cfRule>
  </conditionalFormatting>
  <conditionalFormatting sqref="D33">
    <cfRule type="cellIs" dxfId="28" priority="29" operator="equal">
      <formula>$D$39</formula>
    </cfRule>
  </conditionalFormatting>
  <conditionalFormatting sqref="E33">
    <cfRule type="cellIs" dxfId="27" priority="28" operator="equal">
      <formula>$E$39</formula>
    </cfRule>
  </conditionalFormatting>
  <conditionalFormatting sqref="F33">
    <cfRule type="cellIs" dxfId="26" priority="27" operator="equal">
      <formula>$F$39</formula>
    </cfRule>
  </conditionalFormatting>
  <conditionalFormatting sqref="G33">
    <cfRule type="cellIs" dxfId="25" priority="26" operator="equal">
      <formula>$G$39</formula>
    </cfRule>
  </conditionalFormatting>
  <conditionalFormatting sqref="D33:N33">
    <cfRule type="cellIs" dxfId="24" priority="25" operator="equal">
      <formula>$H$39</formula>
    </cfRule>
  </conditionalFormatting>
  <conditionalFormatting sqref="I33">
    <cfRule type="cellIs" dxfId="23" priority="24" operator="equal">
      <formula>$I$39</formula>
    </cfRule>
  </conditionalFormatting>
  <conditionalFormatting sqref="I34:I35">
    <cfRule type="cellIs" dxfId="22" priority="23" operator="equal">
      <formula>$I$39</formula>
    </cfRule>
  </conditionalFormatting>
  <conditionalFormatting sqref="D34:N35">
    <cfRule type="cellIs" dxfId="21" priority="22" operator="equal">
      <formula>$H$39</formula>
    </cfRule>
  </conditionalFormatting>
  <conditionalFormatting sqref="G34:G35">
    <cfRule type="cellIs" dxfId="20" priority="21" operator="equal">
      <formula>$G$39</formula>
    </cfRule>
  </conditionalFormatting>
  <conditionalFormatting sqref="F34:F35">
    <cfRule type="cellIs" dxfId="19" priority="20" operator="equal">
      <formula>$F$39</formula>
    </cfRule>
  </conditionalFormatting>
  <conditionalFormatting sqref="E34:E35">
    <cfRule type="cellIs" dxfId="18" priority="19" operator="equal">
      <formula>$E$39</formula>
    </cfRule>
  </conditionalFormatting>
  <conditionalFormatting sqref="D34:D35">
    <cfRule type="cellIs" dxfId="17" priority="18" operator="equal">
      <formula>$D$39</formula>
    </cfRule>
  </conditionalFormatting>
  <conditionalFormatting sqref="D25:G25">
    <cfRule type="expression" dxfId="16" priority="17">
      <formula>D23=""</formula>
    </cfRule>
  </conditionalFormatting>
  <conditionalFormatting sqref="J29:N29">
    <cfRule type="cellIs" dxfId="15" priority="16" operator="equal">
      <formula>$I$38</formula>
    </cfRule>
  </conditionalFormatting>
  <conditionalFormatting sqref="H26:N26">
    <cfRule type="expression" dxfId="14" priority="15">
      <formula>H23=""</formula>
    </cfRule>
  </conditionalFormatting>
  <conditionalFormatting sqref="I26">
    <cfRule type="expression" dxfId="13" priority="14">
      <formula>I23=""</formula>
    </cfRule>
  </conditionalFormatting>
  <conditionalFormatting sqref="J26">
    <cfRule type="expression" dxfId="12" priority="13">
      <formula>J23=""</formula>
    </cfRule>
  </conditionalFormatting>
  <conditionalFormatting sqref="K26">
    <cfRule type="expression" dxfId="11" priority="12">
      <formula>K23=""</formula>
    </cfRule>
  </conditionalFormatting>
  <conditionalFormatting sqref="L26">
    <cfRule type="expression" dxfId="10" priority="11">
      <formula>L23=""</formula>
    </cfRule>
  </conditionalFormatting>
  <conditionalFormatting sqref="M26">
    <cfRule type="expression" dxfId="9" priority="10">
      <formula>M23=""</formula>
    </cfRule>
  </conditionalFormatting>
  <conditionalFormatting sqref="N26">
    <cfRule type="expression" dxfId="8" priority="9">
      <formula>N23=""</formula>
    </cfRule>
  </conditionalFormatting>
  <conditionalFormatting sqref="H27:N27">
    <cfRule type="expression" dxfId="7" priority="8">
      <formula>H23=""</formula>
    </cfRule>
  </conditionalFormatting>
  <conditionalFormatting sqref="I27">
    <cfRule type="expression" dxfId="6" priority="7">
      <formula>I23=""</formula>
    </cfRule>
  </conditionalFormatting>
  <conditionalFormatting sqref="J27">
    <cfRule type="expression" dxfId="5" priority="6">
      <formula>J23=""</formula>
    </cfRule>
  </conditionalFormatting>
  <conditionalFormatting sqref="K27">
    <cfRule type="expression" dxfId="4" priority="5">
      <formula>K23=""</formula>
    </cfRule>
  </conditionalFormatting>
  <conditionalFormatting sqref="L27">
    <cfRule type="expression" dxfId="3" priority="4">
      <formula>L23=""</formula>
    </cfRule>
  </conditionalFormatting>
  <conditionalFormatting sqref="M27">
    <cfRule type="expression" dxfId="2" priority="3">
      <formula>M23=""</formula>
    </cfRule>
  </conditionalFormatting>
  <conditionalFormatting sqref="N27">
    <cfRule type="expression" dxfId="1" priority="2">
      <formula>N23=""</formula>
    </cfRule>
  </conditionalFormatting>
  <conditionalFormatting sqref="H25:N25">
    <cfRule type="expression" dxfId="0" priority="1">
      <formula>H23=""</formula>
    </cfRule>
  </conditionalFormatting>
  <dataValidations count="1">
    <dataValidation allowBlank="1" showDropDown="1" showInputMessage="1" showErrorMessage="1" sqref="D8" xr:uid="{B2736BB1-BDBE-48DB-8ECA-3CAADA06731A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_ip_UnifiedCompliancePolicyProperties xmlns="http://schemas.microsoft.com/sharepoint/v3" xsi:nil="true"/>
    <TaxCatchAll xmlns="2b6314a3-02c5-49ae-9e9b-4170ca21d125" xsi:nil="true"/>
  </documentManagement>
</p:properties>
</file>

<file path=customXml/itemProps1.xml><?xml version="1.0" encoding="utf-8"?>
<ds:datastoreItem xmlns:ds="http://schemas.openxmlformats.org/officeDocument/2006/customXml" ds:itemID="{5261F9D1-1D99-4605-8589-504A1853EDB7}"/>
</file>

<file path=customXml/itemProps2.xml><?xml version="1.0" encoding="utf-8"?>
<ds:datastoreItem xmlns:ds="http://schemas.openxmlformats.org/officeDocument/2006/customXml" ds:itemID="{C6865405-08D7-4882-8D32-5116E6585781}"/>
</file>

<file path=customXml/itemProps3.xml><?xml version="1.0" encoding="utf-8"?>
<ds:datastoreItem xmlns:ds="http://schemas.openxmlformats.org/officeDocument/2006/customXml" ds:itemID="{0B9A3C02-D39C-4DCA-963E-B9C5B350F11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CCO calcs</vt:lpstr>
      <vt:lpstr>Input| Escalations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2024-10-14T23:56:06Z</dcterms:created>
  <dcterms:modified xsi:type="dcterms:W3CDTF">2024-11-18T04:42:34Z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MediaServiceImageTags">
    <vt:lpwstr/>
  </property>
</Properties>
</file>