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fileSharing readOnlyRecommended="1"/>
  <workbookPr filterPrivacy="1" updateLinks="never" defaultThemeVersion="166925"/>
  <xr:revisionPtr revIDLastSave="0" documentId="13_ncr:1_{E7E01B10-412E-4810-8A7C-6C8190D88D4D}" xr6:coauthVersionLast="47" xr6:coauthVersionMax="47" xr10:uidLastSave="{00000000-0000-0000-0000-000000000000}"/>
  <bookViews>
    <workbookView xWindow="-120" yWindow="-120" windowWidth="29040" windowHeight="15840" activeTab="5" xr2:uid="{22392DB6-5BE3-4C55-8446-1210A088E210}"/>
  </bookViews>
  <sheets>
    <sheet name="AER Draft Decision" sheetId="12" r:id="rId1"/>
    <sheet name="Draft Decision changes" sheetId="13" r:id="rId2"/>
    <sheet name="RRP changes" sheetId="11" r:id="rId3"/>
    <sheet name="Cover page" sheetId="1" r:id="rId4"/>
    <sheet name="Inputs" sheetId="4" r:id="rId5"/>
    <sheet name="Calculations" sheetId="8" r:id="rId6"/>
    <sheet name="Output" sheetId="3" r:id="rId7"/>
    <sheet name="Import Qty" sheetId="9" r:id="rId8"/>
  </sheets>
  <externalReferences>
    <externalReference r:id="rId9"/>
    <externalReference r:id="rId10"/>
    <externalReference r:id="rId11"/>
  </externalReferences>
  <definedNames>
    <definedName name="_____FRC246">OFFSET(#REF!,0,0,COUNTA(#REF!),#REF!)</definedName>
    <definedName name="____FRC246">OFFSET(#REF!,0,0,COUNTA(#REF!),#REF!)</definedName>
    <definedName name="___FRC246">OFFSET(#REF!,0,0,COUNTA(#REF!),#REF!)</definedName>
    <definedName name="__FRC246">OFFSET(#REF!,0,0,COUNTA(#REF!),#REF!)</definedName>
    <definedName name="_FRC246">OFFSET(#REF!,0,0,COUNTA(#REF!),#REF!)</definedName>
    <definedName name="_MatInverse_In" hidden="1">#REF!</definedName>
    <definedName name="_MatInverse_Out" hidden="1">#REF!</definedName>
    <definedName name="A10offset">10</definedName>
    <definedName name="A10remlife">#REF!</definedName>
    <definedName name="A10stdlife">#REF!</definedName>
    <definedName name="A10taxremlife">#REF!</definedName>
    <definedName name="A10taxstdlife">#REF!</definedName>
    <definedName name="A10taxvalue">#REF!</definedName>
    <definedName name="A10value">#REF!</definedName>
    <definedName name="A11offset">11</definedName>
    <definedName name="A11remlife">#REF!</definedName>
    <definedName name="A11stdlife">#REF!</definedName>
    <definedName name="A11taxremlife">#REF!</definedName>
    <definedName name="A11taxstdlife">#REF!</definedName>
    <definedName name="A11taxvalue">#REF!</definedName>
    <definedName name="A11value">#REF!</definedName>
    <definedName name="A12offset">12</definedName>
    <definedName name="A12remlife">#REF!</definedName>
    <definedName name="A12stdlife">#REF!</definedName>
    <definedName name="A12taxremlife">#REF!</definedName>
    <definedName name="A12taxstdlife">#REF!</definedName>
    <definedName name="A12taxvalue">#REF!</definedName>
    <definedName name="A12value">#REF!</definedName>
    <definedName name="A13offset">13</definedName>
    <definedName name="A13remlife">#REF!</definedName>
    <definedName name="A13stdlife">#REF!</definedName>
    <definedName name="A13taxremlife">#REF!</definedName>
    <definedName name="A13taxstdlife">#REF!</definedName>
    <definedName name="A13taxvalue">#REF!</definedName>
    <definedName name="A13value">#REF!</definedName>
    <definedName name="A14offset">14</definedName>
    <definedName name="A14remlife">#REF!</definedName>
    <definedName name="A14stdlife">#REF!</definedName>
    <definedName name="A14taxremlife">#REF!</definedName>
    <definedName name="A14taxstdlife">#REF!</definedName>
    <definedName name="A14taxvalue">#REF!</definedName>
    <definedName name="A14value">#REF!</definedName>
    <definedName name="A15offset">15</definedName>
    <definedName name="A15remlife">#REF!</definedName>
    <definedName name="A15stdlife">#REF!</definedName>
    <definedName name="A15taxremlife">#REF!</definedName>
    <definedName name="A15taxstdlife">#REF!</definedName>
    <definedName name="A15taxvalue">#REF!</definedName>
    <definedName name="A15value">#REF!</definedName>
    <definedName name="A16offset">16</definedName>
    <definedName name="A16remlife">#REF!</definedName>
    <definedName name="A16stdlife">#REF!</definedName>
    <definedName name="A16taxremlife">#REF!</definedName>
    <definedName name="A16taxstdlife">#REF!</definedName>
    <definedName name="A16taxvalue">#REF!</definedName>
    <definedName name="A16value">#REF!</definedName>
    <definedName name="A17offset">17</definedName>
    <definedName name="A17remlife">#REF!</definedName>
    <definedName name="A17stdlife">#REF!</definedName>
    <definedName name="A17taxremlife">#REF!</definedName>
    <definedName name="A17taxstdlife">#REF!</definedName>
    <definedName name="A17taxvalue">#REF!</definedName>
    <definedName name="A17value">#REF!</definedName>
    <definedName name="A18offset">18</definedName>
    <definedName name="A18remlife">#REF!</definedName>
    <definedName name="A18stdlife">#REF!</definedName>
    <definedName name="A18taxremlife">#REF!</definedName>
    <definedName name="A18taxstdlife">#REF!</definedName>
    <definedName name="A18taxvalue">#REF!</definedName>
    <definedName name="A18value">#REF!</definedName>
    <definedName name="A19offset">19</definedName>
    <definedName name="A19remlife">#REF!</definedName>
    <definedName name="A19stdlife">#REF!</definedName>
    <definedName name="A19taxremlife">#REF!</definedName>
    <definedName name="A19taxstdlife">#REF!</definedName>
    <definedName name="A19taxvalue">#REF!</definedName>
    <definedName name="A19value">#REF!</definedName>
    <definedName name="A1offset">1</definedName>
    <definedName name="A1remlife">#REF!</definedName>
    <definedName name="A1stdlife">#REF!</definedName>
    <definedName name="A1taxremlife">#REF!</definedName>
    <definedName name="A1taxstdlife">#REF!</definedName>
    <definedName name="A1taxvalue">#REF!</definedName>
    <definedName name="A1value">#REF!</definedName>
    <definedName name="A1value_PL">#REF!</definedName>
    <definedName name="A20offset">20</definedName>
    <definedName name="A20remlife">#REF!</definedName>
    <definedName name="A20stdlife">#REF!</definedName>
    <definedName name="A20taxremlife">#REF!</definedName>
    <definedName name="A20taxstdlife">#REF!</definedName>
    <definedName name="A20taxvalue">#REF!</definedName>
    <definedName name="A20value">#REF!</definedName>
    <definedName name="A21offset">21</definedName>
    <definedName name="A21remlife">#REF!</definedName>
    <definedName name="A21stdlife">#REF!</definedName>
    <definedName name="A21taxremlife">#REF!</definedName>
    <definedName name="A21taxstdlife">#REF!</definedName>
    <definedName name="A21taxvalue">#REF!</definedName>
    <definedName name="A21value">#REF!</definedName>
    <definedName name="A22offset">22</definedName>
    <definedName name="A22remlife">#REF!</definedName>
    <definedName name="A22stdlife">#REF!</definedName>
    <definedName name="A22taxremlife">#REF!</definedName>
    <definedName name="A22taxstdlife">#REF!</definedName>
    <definedName name="A22taxvalue">#REF!</definedName>
    <definedName name="A22value">#REF!</definedName>
    <definedName name="A23offset">23</definedName>
    <definedName name="A23remlife">#REF!</definedName>
    <definedName name="A23stdlife">#REF!</definedName>
    <definedName name="A23taxremlife">#REF!</definedName>
    <definedName name="A23taxstdlife">#REF!</definedName>
    <definedName name="A23taxvalue">#REF!</definedName>
    <definedName name="A23value">#REF!</definedName>
    <definedName name="A24offset">24</definedName>
    <definedName name="A24remlife">#REF!</definedName>
    <definedName name="A24stdlife">#REF!</definedName>
    <definedName name="A24taxremlife">#REF!</definedName>
    <definedName name="A24taxstdlife">#REF!</definedName>
    <definedName name="A24taxvalue">#REF!</definedName>
    <definedName name="A24value">#REF!</definedName>
    <definedName name="A25offset">25</definedName>
    <definedName name="A25remlife">#REF!</definedName>
    <definedName name="A25stdlife">#REF!</definedName>
    <definedName name="A25taxremlife">#REF!</definedName>
    <definedName name="A25taxstdlife">#REF!</definedName>
    <definedName name="A25taxvalue">#REF!</definedName>
    <definedName name="A25value">#REF!</definedName>
    <definedName name="A26offset">26</definedName>
    <definedName name="A26remlife">#REF!</definedName>
    <definedName name="A26stdlife">#REF!</definedName>
    <definedName name="A26taxremlife">#REF!</definedName>
    <definedName name="A26taxstdlife">#REF!</definedName>
    <definedName name="A26taxvalue">#REF!</definedName>
    <definedName name="A26value">#REF!</definedName>
    <definedName name="A27offset">27</definedName>
    <definedName name="A27remlife">#REF!</definedName>
    <definedName name="A27stdlife">#REF!</definedName>
    <definedName name="A27taxremlife">#REF!</definedName>
    <definedName name="A27taxstdlife">#REF!</definedName>
    <definedName name="A27taxvalue">#REF!</definedName>
    <definedName name="A27value">#REF!</definedName>
    <definedName name="A28offset">28</definedName>
    <definedName name="A28remlife">#REF!</definedName>
    <definedName name="A28stdlife">#REF!</definedName>
    <definedName name="A28taxremlife">#REF!</definedName>
    <definedName name="A28taxstdlife">#REF!</definedName>
    <definedName name="A28taxvalue">#REF!</definedName>
    <definedName name="A28value">#REF!</definedName>
    <definedName name="A29offset">29</definedName>
    <definedName name="A29remlife">#REF!</definedName>
    <definedName name="A29stdlife">#REF!</definedName>
    <definedName name="A29taxremlife">#REF!</definedName>
    <definedName name="A29taxstdlife">#REF!</definedName>
    <definedName name="A29taxvalue">#REF!</definedName>
    <definedName name="A29value">#REF!</definedName>
    <definedName name="A2offset">2</definedName>
    <definedName name="A2remlife">#REF!</definedName>
    <definedName name="A2stdlife">#REF!</definedName>
    <definedName name="A2taxremlife">#REF!</definedName>
    <definedName name="A2taxstdlife">#REF!</definedName>
    <definedName name="A2taxvalue">#REF!</definedName>
    <definedName name="A2value">#REF!</definedName>
    <definedName name="A30offset">30</definedName>
    <definedName name="A30remlife">#REF!</definedName>
    <definedName name="A30stdlife">#REF!</definedName>
    <definedName name="A30taxremlife">#REF!</definedName>
    <definedName name="A30taxstdlife">#REF!</definedName>
    <definedName name="A30taxvalue">#REF!</definedName>
    <definedName name="A30value">#REF!</definedName>
    <definedName name="A31offset">31</definedName>
    <definedName name="A31remlife">#REF!</definedName>
    <definedName name="A31stdlife">#REF!</definedName>
    <definedName name="A31taxremlife">#REF!</definedName>
    <definedName name="A31taxstdlife">#REF!</definedName>
    <definedName name="A31taxvalue">#REF!</definedName>
    <definedName name="A31value">#REF!</definedName>
    <definedName name="A32offset">32</definedName>
    <definedName name="A32remlife">#REF!</definedName>
    <definedName name="A32stdlife">#REF!</definedName>
    <definedName name="A32taxremlife">#REF!</definedName>
    <definedName name="A32taxstdlife">#REF!</definedName>
    <definedName name="A32taxvalue">#REF!</definedName>
    <definedName name="A32value">#REF!</definedName>
    <definedName name="A33offset">33</definedName>
    <definedName name="A33remlife">#REF!</definedName>
    <definedName name="A33stdlife">#REF!</definedName>
    <definedName name="A33taxremlife">#REF!</definedName>
    <definedName name="A33taxstdlife">#REF!</definedName>
    <definedName name="A33taxvalue">#REF!</definedName>
    <definedName name="A33value">#REF!</definedName>
    <definedName name="A34offset">34</definedName>
    <definedName name="A34remlife">#REF!</definedName>
    <definedName name="A34stdlife">#REF!</definedName>
    <definedName name="A34taxremlife">#REF!</definedName>
    <definedName name="A34taxstdlife">#REF!</definedName>
    <definedName name="A34taxvalue">#REF!</definedName>
    <definedName name="A34value">#REF!</definedName>
    <definedName name="A35offset">35</definedName>
    <definedName name="A35remlife">#REF!</definedName>
    <definedName name="A35stdlife">#REF!</definedName>
    <definedName name="A35taxremlife">#REF!</definedName>
    <definedName name="A35taxstdlife">#REF!</definedName>
    <definedName name="A35taxvalue">#REF!</definedName>
    <definedName name="A35value">#REF!</definedName>
    <definedName name="A36offset">36</definedName>
    <definedName name="A36remlife">#REF!</definedName>
    <definedName name="A36stdlife">#REF!</definedName>
    <definedName name="A36taxremlife">#REF!</definedName>
    <definedName name="A36taxstdlife">#REF!</definedName>
    <definedName name="A36taxvalue">#REF!</definedName>
    <definedName name="A36value">#REF!</definedName>
    <definedName name="A37offset">37</definedName>
    <definedName name="A37remlife">#REF!</definedName>
    <definedName name="A37stdlife">#REF!</definedName>
    <definedName name="A37taxremlife">#REF!</definedName>
    <definedName name="A37taxstdlife">#REF!</definedName>
    <definedName name="A37taxvalue">#REF!</definedName>
    <definedName name="A37value">#REF!</definedName>
    <definedName name="A38offset">38</definedName>
    <definedName name="A38remlife">#REF!</definedName>
    <definedName name="A38stdlife">#REF!</definedName>
    <definedName name="A38taxremlife">#REF!</definedName>
    <definedName name="A38taxstdlife">#REF!</definedName>
    <definedName name="A38taxvalue">#REF!</definedName>
    <definedName name="A38value">#REF!</definedName>
    <definedName name="A39offset">39</definedName>
    <definedName name="A39remlife">#REF!</definedName>
    <definedName name="A39stdlife">#REF!</definedName>
    <definedName name="A39taxremlife">#REF!</definedName>
    <definedName name="A39taxstdlife">#REF!</definedName>
    <definedName name="A39taxvalue">#REF!</definedName>
    <definedName name="A39value">#REF!</definedName>
    <definedName name="A3offset">3</definedName>
    <definedName name="A3remlife">#REF!</definedName>
    <definedName name="A3stdlife">#REF!</definedName>
    <definedName name="A3taxremlife">#REF!</definedName>
    <definedName name="A3taxstdlife">#REF!</definedName>
    <definedName name="A3taxvalue">#REF!</definedName>
    <definedName name="A3value">#REF!</definedName>
    <definedName name="A40offset">40</definedName>
    <definedName name="A40remlife">#REF!</definedName>
    <definedName name="A40stdlife">#REF!</definedName>
    <definedName name="A40taxremlife">#REF!</definedName>
    <definedName name="A40taxstdlife">#REF!</definedName>
    <definedName name="A40taxvalue">#REF!</definedName>
    <definedName name="A40value">#REF!</definedName>
    <definedName name="A41offset">41</definedName>
    <definedName name="A41remlife">#REF!</definedName>
    <definedName name="A41stdlife">#REF!</definedName>
    <definedName name="A41taxremlife">#REF!</definedName>
    <definedName name="A41taxstdlife">#REF!</definedName>
    <definedName name="A41taxvalue">#REF!</definedName>
    <definedName name="A41value">#REF!</definedName>
    <definedName name="A42offset">42</definedName>
    <definedName name="A42remlife">#REF!</definedName>
    <definedName name="A42stdlife">#REF!</definedName>
    <definedName name="A42taxremlife">#REF!</definedName>
    <definedName name="A42taxstdlife">#REF!</definedName>
    <definedName name="A42taxvalue">#REF!</definedName>
    <definedName name="A42value">#REF!</definedName>
    <definedName name="A43offset">43</definedName>
    <definedName name="A43remlife">#REF!</definedName>
    <definedName name="A43stdlife">#REF!</definedName>
    <definedName name="A43taxremlife">#REF!</definedName>
    <definedName name="A43taxstdlife">#REF!</definedName>
    <definedName name="A43taxvalue">#REF!</definedName>
    <definedName name="A43value">#REF!</definedName>
    <definedName name="A44offset">44</definedName>
    <definedName name="A44remlife">#REF!</definedName>
    <definedName name="A44stdlife">#REF!</definedName>
    <definedName name="A44taxremlife">#REF!</definedName>
    <definedName name="A44taxstdlife">#REF!</definedName>
    <definedName name="A44taxvalue">#REF!</definedName>
    <definedName name="A44value">#REF!</definedName>
    <definedName name="A45offset">45</definedName>
    <definedName name="A45remlife">#REF!</definedName>
    <definedName name="A45stdlife">#REF!</definedName>
    <definedName name="A45taxremlife">#REF!</definedName>
    <definedName name="A45taxstdlife">#REF!</definedName>
    <definedName name="A45taxvalue">#REF!</definedName>
    <definedName name="A45value">#REF!</definedName>
    <definedName name="A46offset">46</definedName>
    <definedName name="A46remlife">#REF!</definedName>
    <definedName name="A46stdlife">#REF!</definedName>
    <definedName name="A46taxremlife">#REF!</definedName>
    <definedName name="A46taxstdlife">#REF!</definedName>
    <definedName name="A46taxvalue">#REF!</definedName>
    <definedName name="A46value">#REF!</definedName>
    <definedName name="A47offset">47</definedName>
    <definedName name="A47remlife">#REF!</definedName>
    <definedName name="A47stdlife">#REF!</definedName>
    <definedName name="A47taxremlife">#REF!</definedName>
    <definedName name="A47taxstdlife">#REF!</definedName>
    <definedName name="A47taxvalue">#REF!</definedName>
    <definedName name="A47value">#REF!</definedName>
    <definedName name="A48offset">48</definedName>
    <definedName name="A48remlife">#REF!</definedName>
    <definedName name="A48stdlife">#REF!</definedName>
    <definedName name="A48taxremlife">#REF!</definedName>
    <definedName name="A48taxstdlife">#REF!</definedName>
    <definedName name="A48taxvalue">#REF!</definedName>
    <definedName name="A48value">#REF!</definedName>
    <definedName name="A49offset">49</definedName>
    <definedName name="A49remlife">#REF!</definedName>
    <definedName name="A49stdlife">#REF!</definedName>
    <definedName name="A49taxremlife">#REF!</definedName>
    <definedName name="A49taxstdlife">#REF!</definedName>
    <definedName name="A49taxvalue">#REF!</definedName>
    <definedName name="A49value">#REF!</definedName>
    <definedName name="A4offset">4</definedName>
    <definedName name="A4remlife">#REF!</definedName>
    <definedName name="A4stdlife">#REF!</definedName>
    <definedName name="A4taxremlife">#REF!</definedName>
    <definedName name="A4taxstdlife">#REF!</definedName>
    <definedName name="A4taxvalue">#REF!</definedName>
    <definedName name="A4value">#REF!</definedName>
    <definedName name="A50offset">50</definedName>
    <definedName name="A50remlife">#REF!</definedName>
    <definedName name="A50stdlife">#REF!</definedName>
    <definedName name="A50taxremlife">#REF!</definedName>
    <definedName name="A50taxstdlife">#REF!</definedName>
    <definedName name="A50taxvalue">#REF!</definedName>
    <definedName name="A50value">#REF!</definedName>
    <definedName name="A5offset">5</definedName>
    <definedName name="A5remlife">#REF!</definedName>
    <definedName name="A5stdlife">#REF!</definedName>
    <definedName name="A5taxremlife">#REF!</definedName>
    <definedName name="A5taxstdlife">#REF!</definedName>
    <definedName name="A5taxvalue">#REF!</definedName>
    <definedName name="A5value">#REF!</definedName>
    <definedName name="A6offset">6</definedName>
    <definedName name="A6remlife">#REF!</definedName>
    <definedName name="A6stdlife">#REF!</definedName>
    <definedName name="A6taxremlife">#REF!</definedName>
    <definedName name="A6taxstdlife">#REF!</definedName>
    <definedName name="A6taxvalue">#REF!</definedName>
    <definedName name="A6value">#REF!</definedName>
    <definedName name="A7offset">7</definedName>
    <definedName name="A7remlife">#REF!</definedName>
    <definedName name="A7stdlife">#REF!</definedName>
    <definedName name="A7taxremlife">#REF!</definedName>
    <definedName name="A7taxstdlife">#REF!</definedName>
    <definedName name="A7taxvalue">#REF!</definedName>
    <definedName name="A7value">#REF!</definedName>
    <definedName name="A8offset">8</definedName>
    <definedName name="A8remlife">#REF!</definedName>
    <definedName name="A8stdlife">#REF!</definedName>
    <definedName name="A8taxremlife">#REF!</definedName>
    <definedName name="A8taxstdlife">#REF!</definedName>
    <definedName name="A8taxvalue">#REF!</definedName>
    <definedName name="A8value">#REF!</definedName>
    <definedName name="A9offset">9</definedName>
    <definedName name="A9remlife">#REF!</definedName>
    <definedName name="A9stdlife">#REF!</definedName>
    <definedName name="A9taxremlife">#REF!</definedName>
    <definedName name="A9taxstdlife">#REF!</definedName>
    <definedName name="A9taxvalue">#REF!</definedName>
    <definedName name="A9value">#REF!</definedName>
    <definedName name="abba" localSheetId="7" hidden="1">{"Ownership",#N/A,FALSE,"Ownership";"Contents",#N/A,FALSE,"Contents"}</definedName>
    <definedName name="abba" hidden="1">{"Ownership",#N/A,FALSE,"Ownership";"Contents",#N/A,FALSE,"Contents"}</definedName>
    <definedName name="abc">#REF!</definedName>
    <definedName name="ACS_ACT">OFFSET(#REF!,0,0,COUNTA(#REF!),COUNTA(#REF!))</definedName>
    <definedName name="ACS_P">#REF!</definedName>
    <definedName name="ACS_PRD">OFFSET(#REF!,0,0,COUNTA(#REF!),COUNTA(#REF!))</definedName>
    <definedName name="ACS_Team_Data">#REF!</definedName>
    <definedName name="ACT">OFFSET(#REF!,0,0,COUNTA(#REF!)-1,1)</definedName>
    <definedName name="ADD_AH_1415_1">#REF!</definedName>
    <definedName name="ADD_AH_1415_2">#REF!</definedName>
    <definedName name="ADD_BH_1415_1">#REF!</definedName>
    <definedName name="ADD_BH_1415_2">#REF!</definedName>
    <definedName name="AER_Labour_Category">#REF!</definedName>
    <definedName name="anscount" hidden="1">1</definedName>
    <definedName name="Asset1">#REF!</definedName>
    <definedName name="Asset10">#REF!</definedName>
    <definedName name="Asset11">#REF!</definedName>
    <definedName name="Asset12">#REF!</definedName>
    <definedName name="Asset13">#REF!</definedName>
    <definedName name="Asset14">#REF!</definedName>
    <definedName name="Asset15">#REF!</definedName>
    <definedName name="Asset16">#REF!</definedName>
    <definedName name="Asset17">#REF!</definedName>
    <definedName name="Asset18">#REF!</definedName>
    <definedName name="Asset19">#REF!</definedName>
    <definedName name="Asset2">#REF!</definedName>
    <definedName name="Asset20">#REF!</definedName>
    <definedName name="Asset21">#REF!</definedName>
    <definedName name="Asset22">#REF!</definedName>
    <definedName name="Asset23">#REF!</definedName>
    <definedName name="Asset24">#REF!</definedName>
    <definedName name="Asset25">#REF!</definedName>
    <definedName name="Asset26">#REF!</definedName>
    <definedName name="Asset27">#REF!</definedName>
    <definedName name="Asset28">#REF!</definedName>
    <definedName name="Asset29">#REF!</definedName>
    <definedName name="Asset3">#REF!</definedName>
    <definedName name="Asset30">#REF!</definedName>
    <definedName name="Asset31">#REF!</definedName>
    <definedName name="Asset32">#REF!</definedName>
    <definedName name="Asset33">#REF!</definedName>
    <definedName name="Asset34">#REF!</definedName>
    <definedName name="Asset35">#REF!</definedName>
    <definedName name="Asset36">#REF!</definedName>
    <definedName name="Asset37">#REF!</definedName>
    <definedName name="Asset38">#REF!</definedName>
    <definedName name="Asset39">#REF!</definedName>
    <definedName name="Asset4">#REF!</definedName>
    <definedName name="Asset40">#REF!</definedName>
    <definedName name="Asset41">#REF!</definedName>
    <definedName name="Asset42">#REF!</definedName>
    <definedName name="Asset43">#REF!</definedName>
    <definedName name="Asset44">#REF!</definedName>
    <definedName name="Asset45">#REF!</definedName>
    <definedName name="Asset46">#REF!</definedName>
    <definedName name="Asset47">#REF!</definedName>
    <definedName name="Asset48">#REF!</definedName>
    <definedName name="Asset49">#REF!</definedName>
    <definedName name="Asset5">#REF!</definedName>
    <definedName name="Asset50">#REF!</definedName>
    <definedName name="Asset6">#REF!</definedName>
    <definedName name="Asset7">#REF!</definedName>
    <definedName name="Asset8">#REF!</definedName>
    <definedName name="Asset9">#REF!</definedName>
    <definedName name="CA_1415">#REF!</definedName>
    <definedName name="CA_1516">#REF!</definedName>
    <definedName name="CA_1617">#REF!</definedName>
    <definedName name="CA_1718">#REF!</definedName>
    <definedName name="CA_1819">#REF!</definedName>
    <definedName name="CA_1920">#REF!</definedName>
    <definedName name="CC_LAB_1516">#REF!</definedName>
    <definedName name="CC_LAB_1617">#REF!</definedName>
    <definedName name="CC_LAB_1718">#REF!</definedName>
    <definedName name="CONCAT_2">#REF!</definedName>
    <definedName name="CONT_1314">#REF!</definedName>
    <definedName name="CONT_1415">#REF!</definedName>
    <definedName name="CONT_1516">#REF!</definedName>
    <definedName name="CONT_1617">#REF!</definedName>
    <definedName name="CONT_1718">#REF!</definedName>
    <definedName name="CONT_1819">#REF!</definedName>
    <definedName name="CONT_1920">#REF!</definedName>
    <definedName name="Control1">#REF!</definedName>
    <definedName name="Control2">#REF!</definedName>
    <definedName name="CORP_OH_1516">#REF!</definedName>
    <definedName name="CORP_OH_1617">#REF!</definedName>
    <definedName name="CORP_OH_1718">#REF!</definedName>
    <definedName name="CORP_OH_1819">#REF!</definedName>
    <definedName name="CORP_OH_1920">#REF!</definedName>
    <definedName name="CRCP_final_year">#REF!</definedName>
    <definedName name="CRCP_span" localSheetId="7">CONCATENATE([0]!CRCP_y1, " to ",[0]!CRCP_y5)</definedName>
    <definedName name="CRCP_span">CONCATENATE([0]!CRCP_y1, " to ",[0]!CRCP_y5)</definedName>
    <definedName name="CRCP_y1">#REF!</definedName>
    <definedName name="CRCP_y10">#REF!</definedName>
    <definedName name="CRCP_y11">#REF!</definedName>
    <definedName name="CRCP_y12">#REF!</definedName>
    <definedName name="CRCP_y13">#REF!</definedName>
    <definedName name="CRCP_y14">#REF!</definedName>
    <definedName name="CRCP_y15">#REF!</definedName>
    <definedName name="CRCP_y2">#REF!</definedName>
    <definedName name="CRCP_y3">#REF!</definedName>
    <definedName name="CRCP_y4">#REF!</definedName>
    <definedName name="CRCP_y5">#REF!</definedName>
    <definedName name="CRCP_y6">#REF!</definedName>
    <definedName name="CRCP_y7">#REF!</definedName>
    <definedName name="CRCP_y8">#REF!</definedName>
    <definedName name="CRCP_y9">#REF!</definedName>
    <definedName name="Current_Light">#REF!</definedName>
    <definedName name="Customers">#REF!</definedName>
    <definedName name="DarkHour_North">#REF!</definedName>
    <definedName name="DarkHour_South">#REF!</definedName>
    <definedName name="Days">#REF!</definedName>
    <definedName name="dayspa">#REF!</definedName>
    <definedName name="Difference_energex">#REF!</definedName>
    <definedName name="Difference_energex_LED">#REF!</definedName>
    <definedName name="dms_060301_checkvalue">#REF!</definedName>
    <definedName name="dms_060301_LastRow">#REF!</definedName>
    <definedName name="dms_060701_ARR_MaxRows">#REF!</definedName>
    <definedName name="dms_060701_Reset_MaxRows">#REF!</definedName>
    <definedName name="dms_060701_StartDateTxt">#REF!</definedName>
    <definedName name="dms_0608_LastRow">#REF!</definedName>
    <definedName name="dms_0608_OffsetRows">#REF!</definedName>
    <definedName name="dms_060801_StartCell">#REF!</definedName>
    <definedName name="dms_663_List">#REF!</definedName>
    <definedName name="dms_ABN">#REF!</definedName>
    <definedName name="dms_ABN_List">#REF!</definedName>
    <definedName name="dms_Addr1_List">#REF!</definedName>
    <definedName name="dms_Addr2_List">#REF!</definedName>
    <definedName name="dms_Amendment_Text">#REF!</definedName>
    <definedName name="dms_Cal_Year_B4_CRY">#REF!</definedName>
    <definedName name="dms_CBD_flag">#REF!</definedName>
    <definedName name="dms_CFinalYear_List">#REF!</definedName>
    <definedName name="dms_Confid_status_List">#REF!</definedName>
    <definedName name="dms_CRCP_index">#REF!</definedName>
    <definedName name="dms_CRCP_start_row">#REF!</definedName>
    <definedName name="dms_CRCP_years">#REF!</definedName>
    <definedName name="dms_CRCP_yM">#REF!</definedName>
    <definedName name="dms_CRCP_yN">#REF!</definedName>
    <definedName name="dms_CRCP_yO">#REF!</definedName>
    <definedName name="dms_CRCP_yP">#REF!</definedName>
    <definedName name="dms_CRCP_yQ">#REF!</definedName>
    <definedName name="dms_CRCP_yR">#REF!</definedName>
    <definedName name="dms_CRCP_yS">#REF!</definedName>
    <definedName name="dms_CRCP_yT">#REF!</definedName>
    <definedName name="dms_CRCP_yU">#REF!</definedName>
    <definedName name="dms_CRCP_yV">#REF!</definedName>
    <definedName name="dms_CRCP_yW">#REF!</definedName>
    <definedName name="dms_CRCP_yX">#REF!</definedName>
    <definedName name="dms_CRCP_yY">#REF!</definedName>
    <definedName name="dms_CRCP_yZ">#REF!</definedName>
    <definedName name="dms_CRCPlength_List">#REF!</definedName>
    <definedName name="dms_CRCPlength_Num">#REF!</definedName>
    <definedName name="dms_CRCPlength_Num_List">#REF!</definedName>
    <definedName name="dms_CRY_ListC">#REF!</definedName>
    <definedName name="dms_CRY_ListF">#REF!</definedName>
    <definedName name="dms_CRY_RYE">#REF!</definedName>
    <definedName name="dms_CRY_start_row">#REF!</definedName>
    <definedName name="dms_CRY_start_year">#REF!</definedName>
    <definedName name="dms_CRYc_y1">#REF!</definedName>
    <definedName name="dms_CRYc_y10">#REF!</definedName>
    <definedName name="dms_CRYc_y11">#REF!</definedName>
    <definedName name="dms_CRYc_y12">#REF!</definedName>
    <definedName name="dms_CRYc_y13">#REF!</definedName>
    <definedName name="dms_CRYc_y14">#REF!</definedName>
    <definedName name="dms_CRYc_y15">#REF!</definedName>
    <definedName name="dms_CRYc_y16">#REF!</definedName>
    <definedName name="dms_CRYc_y17">#REF!</definedName>
    <definedName name="dms_CRYc_y18">#REF!</definedName>
    <definedName name="dms_CRYc_y19">#REF!</definedName>
    <definedName name="dms_CRYc_y2">#REF!</definedName>
    <definedName name="dms_CRYc_y3">#REF!</definedName>
    <definedName name="dms_CRYc_y4">#REF!</definedName>
    <definedName name="dms_CRYc_y5">#REF!</definedName>
    <definedName name="dms_CRYc_y6">#REF!</definedName>
    <definedName name="dms_CRYc_y7">#REF!</definedName>
    <definedName name="dms_CRYc_y8">#REF!</definedName>
    <definedName name="dms_CRYc_y9">#REF!</definedName>
    <definedName name="dms_CRYf_y1">#REF!</definedName>
    <definedName name="dms_CRYf_y10">#REF!</definedName>
    <definedName name="dms_CRYf_y11">#REF!</definedName>
    <definedName name="dms_CRYf_y12">#REF!</definedName>
    <definedName name="dms_CRYf_y13">#REF!</definedName>
    <definedName name="dms_CRYf_y14">#REF!</definedName>
    <definedName name="dms_CRYf_y15">#REF!</definedName>
    <definedName name="dms_CRYf_y16">#REF!</definedName>
    <definedName name="dms_CRYf_y17">#REF!</definedName>
    <definedName name="dms_CRYf_y18">#REF!</definedName>
    <definedName name="dms_CRYf_y19">#REF!</definedName>
    <definedName name="dms_CRYf_y2">#REF!</definedName>
    <definedName name="dms_CRYf_y3">#REF!</definedName>
    <definedName name="dms_CRYf_y4">#REF!</definedName>
    <definedName name="dms_CRYf_y5">#REF!</definedName>
    <definedName name="dms_CRYf_y6">#REF!</definedName>
    <definedName name="dms_CRYf_y7">#REF!</definedName>
    <definedName name="dms_CRYf_y8">#REF!</definedName>
    <definedName name="dms_CRYf_y9">#REF!</definedName>
    <definedName name="dms_DataQuality_List">#REF!</definedName>
    <definedName name="dms_DeterminationRef_List">#REF!</definedName>
    <definedName name="dms_DollarReal_year">#REF!</definedName>
    <definedName name="dms_FeederName_1">#REF!</definedName>
    <definedName name="dms_FeederName_2">#REF!</definedName>
    <definedName name="dms_FeederName_3">#REF!</definedName>
    <definedName name="dms_FeederName_4">#REF!</definedName>
    <definedName name="dms_FeederName_5">#REF!</definedName>
    <definedName name="dms_FeederType_5_flag">#REF!</definedName>
    <definedName name="dms_FifthFeeder_flag_NSP">#REF!</definedName>
    <definedName name="dms_FinalYear_List">#REF!</definedName>
    <definedName name="dms_FormControl_Choices">#REF!</definedName>
    <definedName name="dms_FormControl_List">#REF!</definedName>
    <definedName name="dms_FRCP_ListC">#REF!</definedName>
    <definedName name="dms_FRCP_ListF">#REF!</definedName>
    <definedName name="dms_FRCP_start_row">#REF!</definedName>
    <definedName name="dms_FRCP_y10">#REF!</definedName>
    <definedName name="dms_FRCP_y11">#REF!</definedName>
    <definedName name="dms_FRCP_y12">#REF!</definedName>
    <definedName name="dms_FRCP_y13">#REF!</definedName>
    <definedName name="dms_FRCP_y14">#REF!</definedName>
    <definedName name="dms_FRCP_y2">#REF!</definedName>
    <definedName name="dms_FRCP_y3">#REF!</definedName>
    <definedName name="dms_FRCP_y4">#REF!</definedName>
    <definedName name="dms_FRCP_y5">#REF!</definedName>
    <definedName name="dms_FRCP_y6">#REF!</definedName>
    <definedName name="dms_FRCP_y7">#REF!</definedName>
    <definedName name="dms_FRCP_y8">#REF!</definedName>
    <definedName name="dms_FRCP_y9">#REF!</definedName>
    <definedName name="dms_FRCPlength_List">#REF!</definedName>
    <definedName name="dms_FRCPlength_Num">#REF!</definedName>
    <definedName name="dms_FRCPlength_Num_List">#REF!</definedName>
    <definedName name="dms_Header_Span">#REF!</definedName>
    <definedName name="dms_InputSource">#REF!</definedName>
    <definedName name="dms_InputTradingName">#REF!</definedName>
    <definedName name="dms_JurisdictionList">#REF!</definedName>
    <definedName name="dms_LeapYear_Result">#REF!</definedName>
    <definedName name="dms_LongRural_flag">#REF!</definedName>
    <definedName name="dms_Model">#REF!</definedName>
    <definedName name="dms_Model_List">#REF!</definedName>
    <definedName name="dms_Model_Span">#REF!</definedName>
    <definedName name="dms_Model_Span_List">#REF!</definedName>
    <definedName name="dms_MultiYear_Flag">#REF!</definedName>
    <definedName name="dms_MultiYear_ResponseFlag">#REF!</definedName>
    <definedName name="dms_PAddr1_List">#REF!</definedName>
    <definedName name="dms_PAddr2_List">#REF!</definedName>
    <definedName name="dms_PRCP_start_row">#REF!</definedName>
    <definedName name="dms_PRCPlength_List">#REF!</definedName>
    <definedName name="dms_PRCPlength_Num">#REF!</definedName>
    <definedName name="dms_Previous_DollarReal_year">#REF!</definedName>
    <definedName name="dms_PState_List">#REF!</definedName>
    <definedName name="dms_PSuburb_List">#REF!</definedName>
    <definedName name="dms_Public_Lighting_List">#REF!</definedName>
    <definedName name="dms_Reset_final_year">#REF!</definedName>
    <definedName name="dms_Reset_RYE">#REF!</definedName>
    <definedName name="dms_RPT">#REF!</definedName>
    <definedName name="dms_RPT_List">#REF!</definedName>
    <definedName name="dms_RPTMonth">#REF!</definedName>
    <definedName name="dms_RPTMonth_List">#REF!</definedName>
    <definedName name="dms_RYE_Formula_Result">#REF!</definedName>
    <definedName name="dms_RYE_result">#REF!</definedName>
    <definedName name="dms_RYE_start_row">#REF!</definedName>
    <definedName name="dms_Sector_List">#REF!</definedName>
    <definedName name="dms_Segment">#REF!</definedName>
    <definedName name="dms_Segment_List">#REF!</definedName>
    <definedName name="dms_Selected_Source">#REF!</definedName>
    <definedName name="dms_ShortRural_flag">#REF!</definedName>
    <definedName name="dms_SingleYear_Model">#REF!</definedName>
    <definedName name="dms_SingleYearModel">#REF!</definedName>
    <definedName name="dms_SourceList">#REF!</definedName>
    <definedName name="dms_Specified_FinalYear">#REF!</definedName>
    <definedName name="dms_Specified_RYE">#REF!</definedName>
    <definedName name="dms_SpecifiedYear_Span">#REF!</definedName>
    <definedName name="dms_start_year">#REF!</definedName>
    <definedName name="dms_State_List">#REF!</definedName>
    <definedName name="dms_Suburb_List">#REF!</definedName>
    <definedName name="dms_TradingName">#REF!</definedName>
    <definedName name="dms_TradingName_List">#REF!</definedName>
    <definedName name="dms_TradingNameFull_List">#REF!</definedName>
    <definedName name="dms_Typed_Submission_Date">#REF!</definedName>
    <definedName name="dms_Urban_flag">#REF!</definedName>
    <definedName name="dms_Worksheet_List">#REF!</definedName>
    <definedName name="dms_y1">#REF!</definedName>
    <definedName name="Drc">#REF!</definedName>
    <definedName name="Drpc">#REF!</definedName>
    <definedName name="Drpt">#REF!</definedName>
    <definedName name="Dv">#REF!</definedName>
    <definedName name="ELE">OFFSET(#REF!,0,0,COUNTA(#REF!)-1,1)</definedName>
    <definedName name="ERC_Final_Calc">#REF!</definedName>
    <definedName name="ERC_Yr01_Inc">#REF!</definedName>
    <definedName name="Existing_LEDs">#REF!</definedName>
    <definedName name="Exit_Fee">#REF!</definedName>
    <definedName name="f">#REF!</definedName>
    <definedName name="Factor">#REF!</definedName>
    <definedName name="FOC_1415">#REF!</definedName>
    <definedName name="FOC_1516">#REF!</definedName>
    <definedName name="FOC_1617">#REF!</definedName>
    <definedName name="FOC_1718">#REF!</definedName>
    <definedName name="FOC_1819">#REF!</definedName>
    <definedName name="FOC_1920">#REF!</definedName>
    <definedName name="FRC213_013">OFFSET(#REF!,0,0,COUNTA(#REF!),COUNTA(#REF!))</definedName>
    <definedName name="FRC246_TABLE">OFFSET(#REF!,0,0,COUNTA(#REF!),COUNTA(#REF!))</definedName>
    <definedName name="FRCP_1to5">"2015-16 to 2019-20"</definedName>
    <definedName name="FRCP_final_year">#REF!</definedName>
    <definedName name="FRCP_span" localSheetId="7">CONCATENATE([0]!FRCP_y1, " to ", [0]!FRCP_y5)</definedName>
    <definedName name="FRCP_span">CONCATENATE([0]!FRCP_y1, " to ", [0]!FRCP_y5)</definedName>
    <definedName name="FRCP_y1">#REF!</definedName>
    <definedName name="FRCP_y10">#REF!</definedName>
    <definedName name="FRCP_y11">#REF!</definedName>
    <definedName name="FRCP_y12">#REF!</definedName>
    <definedName name="FRCP_y13">#REF!</definedName>
    <definedName name="FRCP_y14">#REF!</definedName>
    <definedName name="FRCP_y15">#REF!</definedName>
    <definedName name="FRCP_y2">#REF!</definedName>
    <definedName name="FRCP_y3">#REF!</definedName>
    <definedName name="FRCP_y4">#REF!</definedName>
    <definedName name="FRCP_y5">#REF!</definedName>
    <definedName name="FRCP_y6">#REF!</definedName>
    <definedName name="FRCP_y7">#REF!</definedName>
    <definedName name="FRCP_y8">#REF!</definedName>
    <definedName name="FRCP_y9">#REF!</definedName>
    <definedName name="FW_10">#REF!</definedName>
    <definedName name="FW_11">#REF!</definedName>
    <definedName name="FW_12">#REF!</definedName>
    <definedName name="FW_15">#REF!</definedName>
    <definedName name="FW_17">#REF!</definedName>
    <definedName name="FW_20">#REF!</definedName>
    <definedName name="FW_3">#REF!</definedName>
    <definedName name="FW_4">#REF!</definedName>
    <definedName name="FW_5">#REF!</definedName>
    <definedName name="FW_72">#REF!</definedName>
    <definedName name="FW_9">#REF!</definedName>
    <definedName name="FY">OFFSET(#REF!,0,0,COUNTA(#REF!)-1,1)</definedName>
    <definedName name="g">#REF!</definedName>
    <definedName name="Icpr">#REF!</definedName>
    <definedName name="Index1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40970.780625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AB">#REF!</definedName>
    <definedName name="LAB_CAT">#REF!</definedName>
    <definedName name="LAB_ESC_1617">#REF!</definedName>
    <definedName name="LAB_ESC_1718">#REF!</definedName>
    <definedName name="LAB_ESC_1819">#REF!</definedName>
    <definedName name="LAB_ESC_1920">#REF!</definedName>
    <definedName name="LAB_INC">#REF!</definedName>
    <definedName name="LAB_OT">#REF!</definedName>
    <definedName name="LAN" localSheetId="7" hidden="1">{"Ownership",#N/A,FALSE,"Ownership";"Contents",#N/A,FALSE,"Contents"}</definedName>
    <definedName name="LAN" hidden="1">{"Ownership",#N/A,FALSE,"Ownership";"Contents",#N/A,FALSE,"Contents"}</definedName>
    <definedName name="LED_Life">#REF!</definedName>
    <definedName name="LED_Light">#REF!</definedName>
    <definedName name="LED_List">#REF!</definedName>
    <definedName name="LED_opex_sav_include">#REF!</definedName>
    <definedName name="LED_opex_savings">#REF!</definedName>
    <definedName name="Length1">#REF!</definedName>
    <definedName name="List1">#REF!</definedName>
    <definedName name="List2">#REF!</definedName>
    <definedName name="List3">#REF!</definedName>
    <definedName name="MAT_1314">#REF!</definedName>
    <definedName name="MAT_1415">#REF!</definedName>
    <definedName name="MAT_1516">#REF!</definedName>
    <definedName name="MAT_1617">#REF!</definedName>
    <definedName name="MAT_1718">#REF!</definedName>
    <definedName name="MAT_1819">#REF!</definedName>
    <definedName name="MAT_1920">#REF!</definedName>
    <definedName name="Match_Row">#REF!</definedName>
    <definedName name="Materials">#REF!</definedName>
    <definedName name="Max_LEDopex">#REF!</definedName>
    <definedName name="Million">#REF!</definedName>
    <definedName name="Millions">#REF!</definedName>
    <definedName name="MOC_1415">#REF!</definedName>
    <definedName name="MOC_1516">#REF!</definedName>
    <definedName name="MOC_1617">#REF!</definedName>
    <definedName name="MOC_1718">#REF!</definedName>
    <definedName name="MOC_1819">#REF!</definedName>
    <definedName name="MOC_1920">#REF!</definedName>
    <definedName name="Model_Name">#REF!</definedName>
    <definedName name="Model_Start_Date">#REF!</definedName>
    <definedName name="MTH_ACT">#REF!</definedName>
    <definedName name="MTH_BUD">#REF!</definedName>
    <definedName name="Mths_In_Yr">#REF!</definedName>
    <definedName name="MVtable">#REF!</definedName>
    <definedName name="n_a">#REF!</definedName>
    <definedName name="NA">#REF!</definedName>
    <definedName name="NMI_master">#REF!</definedName>
    <definedName name="Nominal">#REF!</definedName>
    <definedName name="NPV_C">#REF!</definedName>
    <definedName name="NPV_D">#REF!</definedName>
    <definedName name="NPV_D21">#REF!</definedName>
    <definedName name="NTC_master">#REF!</definedName>
    <definedName name="OH_1415">#REF!</definedName>
    <definedName name="OH_1516">#REF!</definedName>
    <definedName name="OH_1617">#REF!</definedName>
    <definedName name="OH_1718">#REF!</definedName>
    <definedName name="OH_1819">#REF!</definedName>
    <definedName name="OH_1920">#REF!</definedName>
    <definedName name="Output_Range">#REF!</definedName>
    <definedName name="Output1">#REF!</definedName>
    <definedName name="Output2">#REF!</definedName>
    <definedName name="P_0_RevCap">#REF!</definedName>
    <definedName name="P_0_RevYld">#REF!</definedName>
    <definedName name="P_0_WAPC">#REF!</definedName>
    <definedName name="Percent">#REF!</definedName>
    <definedName name="PP_1516">#REF!</definedName>
    <definedName name="PRCP_final_year">#REF!</definedName>
    <definedName name="PRCP_y1">#REF!</definedName>
    <definedName name="PRCP_y10">#REF!</definedName>
    <definedName name="PRCP_y11">#REF!</definedName>
    <definedName name="PRCP_y12">#REF!</definedName>
    <definedName name="PRCP_y13">#REF!</definedName>
    <definedName name="PRCP_y14">#REF!</definedName>
    <definedName name="PRCP_y15">#REF!</definedName>
    <definedName name="PRCP_y2">#REF!</definedName>
    <definedName name="PRCP_y3">#REF!</definedName>
    <definedName name="PRCP_y4">#REF!</definedName>
    <definedName name="PRCP_y5">#REF!</definedName>
    <definedName name="PRCP_y6">#REF!</definedName>
    <definedName name="PRCP_y7">#REF!</definedName>
    <definedName name="PRCP_y8">#REF!</definedName>
    <definedName name="PRCP_y9">#REF!</definedName>
    <definedName name="_xlnm.Print_Area" localSheetId="5">Calculations!$B$1:$G$150</definedName>
    <definedName name="_xlnm.Print_Area" localSheetId="7">'Import Qty'!$B$6:$I$53</definedName>
    <definedName name="PROD">OFFSET(#REF!,0,0,COUNTA(#REF!)-1,1)</definedName>
    <definedName name="Prod_factor">#REF!</definedName>
    <definedName name="RAB">#REF!</definedName>
    <definedName name="RCP_1to5">"2015-16 to 2019-20"</definedName>
    <definedName name="Real2018">#REF!</definedName>
    <definedName name="Real2020">#REF!</definedName>
    <definedName name="Reg_Period_Length">#REF!</definedName>
    <definedName name="Region">#REF!</definedName>
    <definedName name="Regions">#REF!</definedName>
    <definedName name="RespCentre">OFFSET(#REF!,0,0,COUNTA(#REF!)-1,1)</definedName>
    <definedName name="ROA_Major">#REF!</definedName>
    <definedName name="ROA_Minor">#REF!</definedName>
    <definedName name="rvanilla01">#REF!</definedName>
    <definedName name="rvanilla01_pl">#REF!</definedName>
    <definedName name="rvanilla02">#REF!</definedName>
    <definedName name="rvanilla02_pl">#REF!</definedName>
    <definedName name="rvanilla03">#REF!</definedName>
    <definedName name="rvanilla03_pl">#REF!</definedName>
    <definedName name="rvanilla04">#REF!</definedName>
    <definedName name="rvanilla04_pl">#REF!</definedName>
    <definedName name="rvanilla05">#REF!</definedName>
    <definedName name="rvanilla05_pl">#REF!</definedName>
    <definedName name="rvanilla06">#REF!</definedName>
    <definedName name="rvanilla06_pl">#REF!</definedName>
    <definedName name="rvanilla07">#REF!</definedName>
    <definedName name="rvanilla07_pl">#REF!</definedName>
    <definedName name="rvanilla08">#REF!</definedName>
    <definedName name="rvanilla08_pl">#REF!</definedName>
    <definedName name="rvanilla09">#REF!</definedName>
    <definedName name="rvanilla09_pl">#REF!</definedName>
    <definedName name="rvanilla10">#REF!</definedName>
    <definedName name="S_3">#REF!</definedName>
    <definedName name="S_4">#REF!</definedName>
    <definedName name="S_5">#REF!</definedName>
    <definedName name="S_6">#REF!</definedName>
    <definedName name="scenario">#REF!</definedName>
    <definedName name="Scenario_Selected">#REF!</definedName>
    <definedName name="Seo">#REF!</definedName>
    <definedName name="SERVICES">#REF!</definedName>
    <definedName name="Start_Output">#REF!</definedName>
    <definedName name="Start_Output1">#REF!</definedName>
    <definedName name="Startsheet">#REF!</definedName>
    <definedName name="std_inc">#REF!</definedName>
    <definedName name="Table1">#REF!</definedName>
    <definedName name="Table14">#REF!</definedName>
    <definedName name="Table2">#REF!</definedName>
    <definedName name="Table3">#REF!</definedName>
    <definedName name="Table4">#REF!</definedName>
    <definedName name="Table5">#REF!</definedName>
    <definedName name="TC_1516">#REF!</definedName>
    <definedName name="TC_1617">#REF!</definedName>
    <definedName name="TC_1718">#REF!</definedName>
    <definedName name="TC_1819">#REF!</definedName>
    <definedName name="TC_1920">#REF!</definedName>
    <definedName name="teest" localSheetId="7" hidden="1">{"Ownership",#N/A,FALSE,"Ownership";"Contents",#N/A,FALSE,"Contents"}</definedName>
    <definedName name="teest" hidden="1">{"Ownership",#N/A,FALSE,"Ownership";"Contents",#N/A,FALSE,"Contents"}</definedName>
    <definedName name="test" localSheetId="7" hidden="1">{"Ownership",#N/A,FALSE,"Ownership";"Contents",#N/A,FALSE,"Contents"}</definedName>
    <definedName name="test" hidden="1">{"Ownership",#N/A,FALSE,"Ownership";"Contents",#N/A,FALSE,"Contents"}</definedName>
    <definedName name="Title_Msg">#REF!</definedName>
    <definedName name="TSP_1213">#REF!</definedName>
    <definedName name="UAM_8">#REF!</definedName>
    <definedName name="Use_Calc_Depn">#REF!</definedName>
    <definedName name="vanilla01">#REF!</definedName>
    <definedName name="vanilla02">#REF!</definedName>
    <definedName name="vanilla03">#REF!</definedName>
    <definedName name="vanilla04">#REF!</definedName>
    <definedName name="vanilla05">#REF!</definedName>
    <definedName name="vanilla06">#REF!</definedName>
    <definedName name="vanilla07">#REF!</definedName>
    <definedName name="vanilla08">#REF!</definedName>
    <definedName name="vanilla09">#REF!</definedName>
    <definedName name="vanilla10">#REF!</definedName>
    <definedName name="WACC">#REF!</definedName>
    <definedName name="wrn.App._.Custodians." localSheetId="7" hidden="1">{"Ownership",#N/A,FALSE,"Ownership";"Contents",#N/A,FALSE,"Contents"}</definedName>
    <definedName name="wrn.App._.Custodians." hidden="1">{"Ownership",#N/A,FALSE,"Ownership";"Contents",#N/A,FALSE,"Contents"}</definedName>
    <definedName name="X_02_RevCap">#REF!</definedName>
    <definedName name="X_02_RevYld">#REF!</definedName>
    <definedName name="X_02_WAPC">#REF!</definedName>
    <definedName name="X_03_RevCap">#REF!</definedName>
    <definedName name="X_03_RevYld">#REF!</definedName>
    <definedName name="X_03_WAPC">#REF!</definedName>
    <definedName name="X_04_RevCap">#REF!</definedName>
    <definedName name="X_04_RevYld">#REF!</definedName>
    <definedName name="X_04_WAPC">#REF!</definedName>
    <definedName name="X_05_RevCap">#REF!</definedName>
    <definedName name="X_05_RevYld">#REF!</definedName>
    <definedName name="X_05_WAPC">#REF!</definedName>
    <definedName name="X_06_RevCap">#REF!</definedName>
    <definedName name="X_06_RevYld">#REF!</definedName>
    <definedName name="X_06_WAPC">#REF!</definedName>
    <definedName name="X_07_RevCap">#REF!</definedName>
    <definedName name="X_07_RevYld">#REF!</definedName>
    <definedName name="X_07_WAPC">#REF!</definedName>
    <definedName name="X_08_RevCap">#REF!</definedName>
    <definedName name="X_08_RevYld">#REF!</definedName>
    <definedName name="X_08_WAPC">#REF!</definedName>
    <definedName name="X_09_RevCap">#REF!</definedName>
    <definedName name="X_09_RevYld">#REF!</definedName>
    <definedName name="X_09_WAPC">#REF!</definedName>
    <definedName name="X_10_RevCap">#REF!</definedName>
    <definedName name="X_10_RevYld">#REF!</definedName>
    <definedName name="X_10_WAPC">#REF!</definedName>
    <definedName name="X_Factor">#REF!</definedName>
    <definedName name="X_Factor21">#REF!</definedName>
    <definedName name="YEAR_0">#REF!</definedName>
    <definedName name="YEAR_1">#REF!</definedName>
    <definedName name="YEAR_2">#REF!</definedName>
    <definedName name="YEAR_3">#REF!</definedName>
    <definedName name="YEAR_4">#REF!</definedName>
    <definedName name="YEAR_5">#REF!</definedName>
    <definedName name="YTD_ACT">#REF!</definedName>
    <definedName name="YTD_BUD">#REF!</definedName>
    <definedName name="Z_Factor_energex">#REF!</definedName>
    <definedName name="Z_Factor_energex_LED">#REF!</definedName>
    <definedName name="Z_Factor_ergon">#REF!</definedName>
    <definedName name="Z_Factor_ergon_LE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3" i="12" l="1"/>
  <c r="F23" i="12" s="1"/>
  <c r="E22" i="12"/>
  <c r="F22" i="12" s="1"/>
  <c r="E19" i="12"/>
  <c r="F19" i="12" s="1"/>
  <c r="E18" i="12"/>
  <c r="F18" i="12" s="1"/>
  <c r="E17" i="12"/>
  <c r="F17" i="12" s="1"/>
  <c r="F16" i="12"/>
  <c r="E16" i="12"/>
  <c r="F13" i="12"/>
  <c r="E13" i="12"/>
  <c r="E12" i="12"/>
  <c r="F12" i="12" s="1"/>
  <c r="E11" i="12"/>
  <c r="F11" i="12" s="1"/>
  <c r="E10" i="12"/>
  <c r="F10" i="12" s="1"/>
  <c r="I48" i="9" l="1"/>
  <c r="H48" i="9"/>
  <c r="G48" i="9"/>
  <c r="F48" i="9"/>
  <c r="E48" i="9"/>
  <c r="I47" i="9"/>
  <c r="H47" i="9"/>
  <c r="G47" i="9"/>
  <c r="F47" i="9"/>
  <c r="E47" i="9"/>
  <c r="I45" i="9"/>
  <c r="H45" i="9"/>
  <c r="G45" i="9"/>
  <c r="F45" i="9"/>
  <c r="E45" i="9"/>
  <c r="I44" i="9"/>
  <c r="H44" i="9"/>
  <c r="G44" i="9"/>
  <c r="F44" i="9"/>
  <c r="E44" i="9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I31" i="9"/>
  <c r="H31" i="9"/>
  <c r="G31" i="9"/>
  <c r="F31" i="9"/>
  <c r="E31" i="9"/>
  <c r="I29" i="9"/>
  <c r="H29" i="9"/>
  <c r="G29" i="9"/>
  <c r="F29" i="9"/>
  <c r="E29" i="9"/>
  <c r="I28" i="9"/>
  <c r="H28" i="9"/>
  <c r="G28" i="9"/>
  <c r="F28" i="9"/>
  <c r="E28" i="9"/>
  <c r="I27" i="9"/>
  <c r="H27" i="9"/>
  <c r="G27" i="9"/>
  <c r="F27" i="9"/>
  <c r="E27" i="9"/>
  <c r="I26" i="9"/>
  <c r="H26" i="9"/>
  <c r="G26" i="9"/>
  <c r="F26" i="9"/>
  <c r="E26" i="9"/>
  <c r="I16" i="9"/>
  <c r="H16" i="9"/>
  <c r="G16" i="9"/>
  <c r="F16" i="9"/>
  <c r="E16" i="9"/>
  <c r="I15" i="9"/>
  <c r="H15" i="9"/>
  <c r="G15" i="9"/>
  <c r="F15" i="9"/>
  <c r="E15" i="9"/>
  <c r="I14" i="9"/>
  <c r="H14" i="9"/>
  <c r="G14" i="9"/>
  <c r="F14" i="9"/>
  <c r="E14" i="9"/>
  <c r="I13" i="9"/>
  <c r="H13" i="9"/>
  <c r="G13" i="9"/>
  <c r="F13" i="9"/>
  <c r="E13" i="9"/>
  <c r="E11" i="9"/>
  <c r="E10" i="9"/>
  <c r="E9" i="9"/>
  <c r="I11" i="9"/>
  <c r="H11" i="9"/>
  <c r="G11" i="9"/>
  <c r="F11" i="9"/>
  <c r="I10" i="9"/>
  <c r="H10" i="9"/>
  <c r="G10" i="9"/>
  <c r="F10" i="9"/>
  <c r="I9" i="9"/>
  <c r="H9" i="9"/>
  <c r="G9" i="9"/>
  <c r="F9" i="9"/>
  <c r="I8" i="9"/>
  <c r="H8" i="9"/>
  <c r="G8" i="9"/>
  <c r="F8" i="9"/>
  <c r="E8" i="9"/>
  <c r="C109" i="8" l="1"/>
  <c r="C108" i="8" l="1"/>
  <c r="D52" i="4" l="1"/>
  <c r="E52" i="4" l="1"/>
  <c r="D108" i="8" l="1"/>
  <c r="C98" i="8"/>
  <c r="C102" i="8"/>
  <c r="C31" i="3" s="1"/>
  <c r="C97" i="8"/>
  <c r="D97" i="8" s="1"/>
  <c r="C96" i="8"/>
  <c r="D96" i="8" s="1"/>
  <c r="C105" i="8"/>
  <c r="C34" i="3" s="1"/>
  <c r="C104" i="8"/>
  <c r="D104" i="8" s="1"/>
  <c r="C103" i="8"/>
  <c r="C32" i="3" s="1"/>
  <c r="C99" i="8"/>
  <c r="D99" i="8" s="1"/>
  <c r="F36" i="9"/>
  <c r="D15" i="8" s="1"/>
  <c r="E51" i="9"/>
  <c r="C24" i="8" s="1"/>
  <c r="E50" i="9"/>
  <c r="C23" i="8" s="1"/>
  <c r="F37" i="9"/>
  <c r="F19" i="9"/>
  <c r="D9" i="8" s="1"/>
  <c r="F30" i="9"/>
  <c r="E46" i="9"/>
  <c r="F21" i="9"/>
  <c r="D11" i="8" s="1"/>
  <c r="G19" i="9"/>
  <c r="E9" i="8" s="1"/>
  <c r="G37" i="9"/>
  <c r="E16" i="8" s="1"/>
  <c r="G36" i="9"/>
  <c r="E15" i="8" s="1"/>
  <c r="F46" i="9"/>
  <c r="E49" i="9"/>
  <c r="G12" i="9"/>
  <c r="F12" i="9"/>
  <c r="F18" i="9"/>
  <c r="D8" i="8" s="1"/>
  <c r="G20" i="9"/>
  <c r="E10" i="8" s="1"/>
  <c r="F39" i="9"/>
  <c r="D18" i="8" s="1"/>
  <c r="F17" i="9"/>
  <c r="F20" i="9"/>
  <c r="D10" i="8" s="1"/>
  <c r="F51" i="9"/>
  <c r="D24" i="8" s="1"/>
  <c r="G21" i="9"/>
  <c r="E11" i="8" s="1"/>
  <c r="G18" i="9"/>
  <c r="E8" i="8" s="1"/>
  <c r="H19" i="9"/>
  <c r="F9" i="8" s="1"/>
  <c r="H36" i="9"/>
  <c r="F15" i="8" s="1"/>
  <c r="H37" i="9"/>
  <c r="F16" i="8" s="1"/>
  <c r="F38" i="9"/>
  <c r="D17" i="8" s="1"/>
  <c r="F35" i="9"/>
  <c r="G46" i="9"/>
  <c r="H30" i="9"/>
  <c r="G35" i="9"/>
  <c r="G30" i="9"/>
  <c r="F50" i="9"/>
  <c r="D23" i="8" s="1"/>
  <c r="F49" i="9"/>
  <c r="H12" i="9"/>
  <c r="G17" i="9"/>
  <c r="G39" i="9"/>
  <c r="E18" i="8" s="1"/>
  <c r="H21" i="9"/>
  <c r="F11" i="8" s="1"/>
  <c r="I36" i="9"/>
  <c r="G15" i="8" s="1"/>
  <c r="I19" i="9"/>
  <c r="G9" i="8" s="1"/>
  <c r="I37" i="9"/>
  <c r="G16" i="8" s="1"/>
  <c r="H17" i="9"/>
  <c r="G51" i="9"/>
  <c r="E24" i="8" s="1"/>
  <c r="G38" i="9"/>
  <c r="E17" i="8" s="1"/>
  <c r="H39" i="9"/>
  <c r="F18" i="8" s="1"/>
  <c r="I21" i="9"/>
  <c r="G11" i="8" s="1"/>
  <c r="H20" i="9"/>
  <c r="I39" i="9"/>
  <c r="G18" i="8"/>
  <c r="H18" i="9"/>
  <c r="F8" i="8" s="1"/>
  <c r="I18" i="9"/>
  <c r="G8" i="8" s="1"/>
  <c r="I12" i="9"/>
  <c r="I30" i="9"/>
  <c r="G49" i="9"/>
  <c r="G50" i="9"/>
  <c r="E23" i="8" s="1"/>
  <c r="H46" i="9"/>
  <c r="H38" i="9"/>
  <c r="F17" i="8" s="1"/>
  <c r="H35" i="9"/>
  <c r="H51" i="9"/>
  <c r="F24" i="8" s="1"/>
  <c r="I51" i="9"/>
  <c r="G24" i="8" s="1"/>
  <c r="I35" i="9"/>
  <c r="I38" i="9"/>
  <c r="G17" i="8" s="1"/>
  <c r="I20" i="9"/>
  <c r="G10" i="8" s="1"/>
  <c r="I17" i="9"/>
  <c r="H50" i="9"/>
  <c r="F23" i="8" s="1"/>
  <c r="H49" i="9"/>
  <c r="I46" i="9"/>
  <c r="I50" i="9"/>
  <c r="G23" i="8" s="1"/>
  <c r="I49" i="9"/>
  <c r="E25" i="8" l="1"/>
  <c r="H22" i="9"/>
  <c r="G52" i="9"/>
  <c r="F40" i="9"/>
  <c r="I40" i="9"/>
  <c r="G31" i="8"/>
  <c r="I22" i="9"/>
  <c r="F32" i="8"/>
  <c r="F19" i="8"/>
  <c r="G37" i="8"/>
  <c r="E19" i="8"/>
  <c r="D16" i="8"/>
  <c r="D19" i="8" s="1"/>
  <c r="G36" i="8"/>
  <c r="G19" i="8"/>
  <c r="G29" i="8"/>
  <c r="E32" i="8"/>
  <c r="D32" i="8"/>
  <c r="G40" i="9"/>
  <c r="D31" i="8"/>
  <c r="H40" i="9"/>
  <c r="G32" i="8"/>
  <c r="D38" i="8"/>
  <c r="F22" i="9"/>
  <c r="G39" i="8"/>
  <c r="G30" i="8"/>
  <c r="D12" i="8"/>
  <c r="D29" i="8"/>
  <c r="D36" i="8"/>
  <c r="E30" i="8"/>
  <c r="E37" i="8"/>
  <c r="G12" i="8"/>
  <c r="F29" i="8"/>
  <c r="F36" i="8"/>
  <c r="F30" i="8"/>
  <c r="F37" i="8"/>
  <c r="D30" i="8"/>
  <c r="D37" i="8"/>
  <c r="E36" i="8"/>
  <c r="E29" i="8"/>
  <c r="E12" i="8"/>
  <c r="E38" i="8"/>
  <c r="E31" i="8"/>
  <c r="F39" i="8"/>
  <c r="G22" i="9"/>
  <c r="F10" i="8"/>
  <c r="F31" i="8" s="1"/>
  <c r="E39" i="8"/>
  <c r="I52" i="9"/>
  <c r="D25" i="8"/>
  <c r="D39" i="8"/>
  <c r="F52" i="9"/>
  <c r="G25" i="8"/>
  <c r="G38" i="8"/>
  <c r="F25" i="8"/>
  <c r="H52" i="9"/>
  <c r="C25" i="8"/>
  <c r="E52" i="9"/>
  <c r="C132" i="8"/>
  <c r="C13" i="3"/>
  <c r="C18" i="3"/>
  <c r="C38" i="3"/>
  <c r="C19" i="3"/>
  <c r="C37" i="3"/>
  <c r="D109" i="8"/>
  <c r="E109" i="8" s="1"/>
  <c r="F109" i="8" s="1"/>
  <c r="D18" i="3"/>
  <c r="D37" i="3"/>
  <c r="E108" i="8"/>
  <c r="C14" i="3"/>
  <c r="D98" i="8"/>
  <c r="E98" i="8" s="1"/>
  <c r="F98" i="8" s="1"/>
  <c r="G98" i="8" s="1"/>
  <c r="C15" i="3"/>
  <c r="C9" i="3"/>
  <c r="D14" i="3"/>
  <c r="D33" i="3"/>
  <c r="E104" i="8"/>
  <c r="D9" i="3"/>
  <c r="E99" i="8"/>
  <c r="D28" i="3"/>
  <c r="C33" i="3"/>
  <c r="C27" i="3"/>
  <c r="C8" i="3"/>
  <c r="D105" i="8"/>
  <c r="C28" i="3"/>
  <c r="D103" i="8"/>
  <c r="E103" i="8" s="1"/>
  <c r="F103" i="8" s="1"/>
  <c r="C6" i="3"/>
  <c r="E97" i="8"/>
  <c r="D7" i="3"/>
  <c r="D26" i="3"/>
  <c r="D25" i="3"/>
  <c r="D6" i="3"/>
  <c r="E96" i="8"/>
  <c r="D102" i="8"/>
  <c r="C26" i="3"/>
  <c r="C25" i="3"/>
  <c r="C7" i="3"/>
  <c r="C12" i="3"/>
  <c r="G40" i="8" l="1"/>
  <c r="G33" i="8"/>
  <c r="E40" i="8"/>
  <c r="F38" i="8"/>
  <c r="F40" i="8" s="1"/>
  <c r="E33" i="8"/>
  <c r="F12" i="8"/>
  <c r="F33" i="8"/>
  <c r="D40" i="8"/>
  <c r="D33" i="8"/>
  <c r="D132" i="8"/>
  <c r="D19" i="3"/>
  <c r="D27" i="3"/>
  <c r="E8" i="3"/>
  <c r="E27" i="3"/>
  <c r="E19" i="3"/>
  <c r="E38" i="3"/>
  <c r="D13" i="3"/>
  <c r="D38" i="3"/>
  <c r="E37" i="3"/>
  <c r="F108" i="8"/>
  <c r="E18" i="3"/>
  <c r="E132" i="8"/>
  <c r="F38" i="3"/>
  <c r="G109" i="8"/>
  <c r="F19" i="3"/>
  <c r="D131" i="8"/>
  <c r="F27" i="3"/>
  <c r="F8" i="3"/>
  <c r="D8" i="3"/>
  <c r="F99" i="8"/>
  <c r="E9" i="3"/>
  <c r="E28" i="3"/>
  <c r="E105" i="8"/>
  <c r="E131" i="8" s="1"/>
  <c r="D15" i="3"/>
  <c r="D34" i="3"/>
  <c r="G8" i="3"/>
  <c r="G27" i="3"/>
  <c r="E14" i="3"/>
  <c r="E33" i="3"/>
  <c r="F104" i="8"/>
  <c r="E32" i="3"/>
  <c r="E13" i="3"/>
  <c r="D32" i="3"/>
  <c r="G103" i="8"/>
  <c r="F13" i="3"/>
  <c r="F32" i="3"/>
  <c r="E25" i="3"/>
  <c r="F96" i="8"/>
  <c r="E6" i="3"/>
  <c r="D31" i="3"/>
  <c r="E102" i="8"/>
  <c r="E130" i="8" s="1"/>
  <c r="D12" i="3"/>
  <c r="D130" i="8"/>
  <c r="E26" i="3"/>
  <c r="E7" i="3"/>
  <c r="F97" i="8"/>
  <c r="G19" i="3" l="1"/>
  <c r="G38" i="3"/>
  <c r="F132" i="8"/>
  <c r="G108" i="8"/>
  <c r="F18" i="3"/>
  <c r="F37" i="3"/>
  <c r="E34" i="3"/>
  <c r="E15" i="3"/>
  <c r="F105" i="8"/>
  <c r="F131" i="8" s="1"/>
  <c r="G104" i="8"/>
  <c r="F33" i="3"/>
  <c r="F14" i="3"/>
  <c r="F28" i="3"/>
  <c r="F9" i="3"/>
  <c r="G99" i="8"/>
  <c r="E12" i="3"/>
  <c r="F102" i="8"/>
  <c r="F130" i="8" s="1"/>
  <c r="E31" i="3"/>
  <c r="G96" i="8"/>
  <c r="F25" i="3"/>
  <c r="F6" i="3"/>
  <c r="G97" i="8"/>
  <c r="F7" i="3"/>
  <c r="F26" i="3"/>
  <c r="G32" i="3"/>
  <c r="G13" i="3"/>
  <c r="G37" i="3" l="1"/>
  <c r="G132" i="8"/>
  <c r="G18" i="3"/>
  <c r="G9" i="3"/>
  <c r="G28" i="3"/>
  <c r="G14" i="3"/>
  <c r="G33" i="3"/>
  <c r="F34" i="3"/>
  <c r="F15" i="3"/>
  <c r="G105" i="8"/>
  <c r="F31" i="3"/>
  <c r="G102" i="8"/>
  <c r="G130" i="8" s="1"/>
  <c r="F12" i="3"/>
  <c r="G26" i="3"/>
  <c r="G7" i="3"/>
  <c r="G6" i="3"/>
  <c r="G25" i="3"/>
  <c r="G34" i="3" l="1"/>
  <c r="G15" i="3"/>
  <c r="G131" i="8"/>
  <c r="G31" i="3"/>
  <c r="G12" i="3"/>
  <c r="E38" i="9" l="1"/>
  <c r="C17" i="8" s="1"/>
  <c r="E36" i="9" l="1"/>
  <c r="C15" i="8" s="1"/>
  <c r="E39" i="9"/>
  <c r="C18" i="8" s="1"/>
  <c r="E35" i="9"/>
  <c r="E19" i="9"/>
  <c r="C9" i="8" s="1"/>
  <c r="E18" i="9"/>
  <c r="E30" i="9" l="1"/>
  <c r="E37" i="9"/>
  <c r="C8" i="8"/>
  <c r="C16" i="8" l="1"/>
  <c r="E40" i="9"/>
  <c r="E20" i="9"/>
  <c r="C29" i="8"/>
  <c r="C36" i="8"/>
  <c r="C130" i="8" l="1"/>
  <c r="C19" i="8"/>
  <c r="C37" i="8"/>
  <c r="C30" i="8"/>
  <c r="C10" i="8"/>
  <c r="C31" i="8" l="1"/>
  <c r="C38" i="8"/>
  <c r="E17" i="9" l="1"/>
  <c r="E21" i="9" l="1"/>
  <c r="E12" i="9"/>
  <c r="C11" i="8" l="1"/>
  <c r="E22" i="9"/>
  <c r="C32" i="8" l="1"/>
  <c r="C33" i="8" s="1"/>
  <c r="C39" i="8"/>
  <c r="C40" i="8" s="1"/>
  <c r="C131" i="8"/>
  <c r="C12" i="8"/>
  <c r="C17" i="4" l="1"/>
  <c r="C50" i="8" s="1"/>
  <c r="C51" i="8" s="1"/>
  <c r="C19" i="4" l="1"/>
  <c r="C18" i="4"/>
  <c r="C29" i="4"/>
  <c r="C69" i="8" s="1"/>
  <c r="C70" i="8" s="1"/>
  <c r="C90" i="8" s="1"/>
  <c r="D17" i="4"/>
  <c r="D50" i="8" s="1"/>
  <c r="D51" i="8" s="1"/>
  <c r="D19" i="4" s="1"/>
  <c r="C127" i="8"/>
  <c r="C16" i="4"/>
  <c r="C48" i="8" s="1"/>
  <c r="C89" i="8" l="1"/>
  <c r="F17" i="4"/>
  <c r="F50" i="8" s="1"/>
  <c r="F51" i="8" s="1"/>
  <c r="D29" i="4"/>
  <c r="D69" i="8" s="1"/>
  <c r="D70" i="8" s="1"/>
  <c r="D90" i="8" s="1"/>
  <c r="D18" i="4"/>
  <c r="D16" i="4"/>
  <c r="D127" i="8"/>
  <c r="C126" i="8"/>
  <c r="C128" i="8" s="1"/>
  <c r="C49" i="8"/>
  <c r="D89" i="8" l="1"/>
  <c r="E17" i="4"/>
  <c r="E50" i="8" s="1"/>
  <c r="E29" i="4"/>
  <c r="E69" i="8" s="1"/>
  <c r="E70" i="8" s="1"/>
  <c r="F29" i="4"/>
  <c r="F69" i="8" s="1"/>
  <c r="F70" i="8" s="1"/>
  <c r="F90" i="8" s="1"/>
  <c r="G17" i="4"/>
  <c r="G50" i="8" s="1"/>
  <c r="G51" i="8" s="1"/>
  <c r="D126" i="8"/>
  <c r="D128" i="8" s="1"/>
  <c r="E51" i="8"/>
  <c r="F19" i="4"/>
  <c r="F18" i="4"/>
  <c r="F16" i="4"/>
  <c r="D48" i="8"/>
  <c r="F127" i="8" l="1"/>
  <c r="F89" i="8"/>
  <c r="E89" i="8"/>
  <c r="G29" i="4"/>
  <c r="G69" i="8" s="1"/>
  <c r="G70" i="8" s="1"/>
  <c r="G90" i="8" s="1"/>
  <c r="C27" i="4"/>
  <c r="C122" i="8" s="1"/>
  <c r="F126" i="8"/>
  <c r="F128" i="8" s="1"/>
  <c r="E18" i="4"/>
  <c r="E90" i="8"/>
  <c r="C24" i="4"/>
  <c r="G19" i="4"/>
  <c r="G127" i="8" s="1"/>
  <c r="G16" i="4"/>
  <c r="D49" i="8"/>
  <c r="E19" i="4"/>
  <c r="E127" i="8" s="1"/>
  <c r="F48" i="8"/>
  <c r="E16" i="4"/>
  <c r="G18" i="4"/>
  <c r="E126" i="8" l="1"/>
  <c r="C64" i="8"/>
  <c r="C30" i="4"/>
  <c r="C34" i="4" s="1"/>
  <c r="C57" i="8"/>
  <c r="D27" i="4"/>
  <c r="D64" i="8" s="1"/>
  <c r="G89" i="8"/>
  <c r="G126" i="8" s="1"/>
  <c r="G128" i="8" s="1"/>
  <c r="G48" i="8"/>
  <c r="C58" i="8"/>
  <c r="C80" i="8" s="1"/>
  <c r="C79" i="8"/>
  <c r="C33" i="4"/>
  <c r="C117" i="8" s="1"/>
  <c r="C62" i="8"/>
  <c r="C55" i="8"/>
  <c r="C65" i="8"/>
  <c r="C86" i="8" s="1"/>
  <c r="C85" i="8"/>
  <c r="D24" i="4"/>
  <c r="F49" i="8"/>
  <c r="D30" i="4"/>
  <c r="D34" i="4" s="1"/>
  <c r="E128" i="8"/>
  <c r="E48" i="8"/>
  <c r="D57" i="8" l="1"/>
  <c r="D122" i="8"/>
  <c r="E27" i="4"/>
  <c r="E57" i="8" s="1"/>
  <c r="C35" i="4"/>
  <c r="D55" i="8"/>
  <c r="D62" i="8"/>
  <c r="D33" i="4"/>
  <c r="D58" i="8"/>
  <c r="D80" i="8" s="1"/>
  <c r="D79" i="8"/>
  <c r="C56" i="8"/>
  <c r="C78" i="8" s="1"/>
  <c r="C77" i="8"/>
  <c r="G49" i="8"/>
  <c r="D65" i="8"/>
  <c r="D86" i="8" s="1"/>
  <c r="D85" i="8"/>
  <c r="C63" i="8"/>
  <c r="C84" i="8" s="1"/>
  <c r="C83" i="8"/>
  <c r="E30" i="4"/>
  <c r="E34" i="4" s="1"/>
  <c r="C121" i="8"/>
  <c r="C123" i="8" s="1"/>
  <c r="E49" i="8"/>
  <c r="E24" i="4"/>
  <c r="E64" i="8" l="1"/>
  <c r="E122" i="8"/>
  <c r="F27" i="4"/>
  <c r="F122" i="8" s="1"/>
  <c r="G27" i="4"/>
  <c r="G122" i="8" s="1"/>
  <c r="D121" i="8"/>
  <c r="D123" i="8" s="1"/>
  <c r="F24" i="4"/>
  <c r="G24" i="4"/>
  <c r="D56" i="8"/>
  <c r="D78" i="8" s="1"/>
  <c r="D77" i="8"/>
  <c r="E65" i="8"/>
  <c r="E86" i="8" s="1"/>
  <c r="E85" i="8"/>
  <c r="E55" i="8"/>
  <c r="E62" i="8"/>
  <c r="E33" i="4"/>
  <c r="E58" i="8"/>
  <c r="E80" i="8" s="1"/>
  <c r="E79" i="8"/>
  <c r="D63" i="8"/>
  <c r="D84" i="8" s="1"/>
  <c r="D83" i="8"/>
  <c r="C116" i="8"/>
  <c r="C118" i="8" s="1"/>
  <c r="D117" i="8"/>
  <c r="D35" i="4"/>
  <c r="G64" i="8" l="1"/>
  <c r="G65" i="8" s="1"/>
  <c r="G86" i="8" s="1"/>
  <c r="G30" i="4"/>
  <c r="G34" i="4" s="1"/>
  <c r="G57" i="8"/>
  <c r="G79" i="8" s="1"/>
  <c r="F64" i="8"/>
  <c r="F85" i="8" s="1"/>
  <c r="F57" i="8"/>
  <c r="F79" i="8" s="1"/>
  <c r="F30" i="4"/>
  <c r="F34" i="4" s="1"/>
  <c r="E63" i="8"/>
  <c r="E84" i="8" s="1"/>
  <c r="E83" i="8"/>
  <c r="D116" i="8"/>
  <c r="D118" i="8" s="1"/>
  <c r="E56" i="8"/>
  <c r="E78" i="8" s="1"/>
  <c r="E77" i="8"/>
  <c r="G62" i="8"/>
  <c r="G55" i="8"/>
  <c r="G33" i="4"/>
  <c r="E35" i="4"/>
  <c r="E117" i="8"/>
  <c r="E121" i="8"/>
  <c r="E123" i="8" s="1"/>
  <c r="F62" i="8"/>
  <c r="F55" i="8"/>
  <c r="F33" i="4"/>
  <c r="G85" i="8" l="1"/>
  <c r="G58" i="8"/>
  <c r="G80" i="8" s="1"/>
  <c r="F58" i="8"/>
  <c r="F80" i="8" s="1"/>
  <c r="F65" i="8"/>
  <c r="F86" i="8" s="1"/>
  <c r="G121" i="8"/>
  <c r="G123" i="8" s="1"/>
  <c r="E116" i="8"/>
  <c r="E118" i="8" s="1"/>
  <c r="G56" i="8"/>
  <c r="G78" i="8" s="1"/>
  <c r="G77" i="8"/>
  <c r="G117" i="8"/>
  <c r="G35" i="4"/>
  <c r="G63" i="8"/>
  <c r="G84" i="8" s="1"/>
  <c r="G83" i="8"/>
  <c r="F63" i="8"/>
  <c r="F84" i="8" s="1"/>
  <c r="F83" i="8"/>
  <c r="F56" i="8"/>
  <c r="F78" i="8" s="1"/>
  <c r="F77" i="8"/>
  <c r="F117" i="8"/>
  <c r="F35" i="4"/>
  <c r="F121" i="8" l="1"/>
  <c r="F123" i="8" s="1"/>
  <c r="G116" i="8"/>
  <c r="G118" i="8" s="1"/>
  <c r="F116" i="8"/>
  <c r="F118" i="8" s="1"/>
  <c r="F50" i="4" l="1" a="1"/>
  <c r="F50" i="4" s="1"/>
  <c r="E50" i="4" a="1"/>
  <c r="E50" i="4" s="1"/>
  <c r="C50" i="4" l="1" a="1"/>
  <c r="C50" i="4" s="1"/>
  <c r="C113" i="8" s="1"/>
  <c r="G50" i="4" a="1"/>
  <c r="G50" i="4" s="1"/>
  <c r="D50" i="4" a="1"/>
  <c r="D50" i="4" s="1"/>
  <c r="D113" i="8" l="1"/>
  <c r="E113" i="8" s="1"/>
  <c r="F113" i="8" s="1"/>
  <c r="G113" i="8" s="1"/>
  <c r="C142" i="8"/>
  <c r="C134" i="8"/>
  <c r="C139" i="8" l="1"/>
  <c r="C135" i="8"/>
  <c r="C136" i="8" s="1"/>
  <c r="C143" i="8"/>
  <c r="C144" i="8" s="1"/>
  <c r="C138" i="8"/>
  <c r="C140" i="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<sst xmlns="http://schemas.openxmlformats.org/spreadsheetml/2006/main" count="400" uniqueCount="149">
  <si>
    <t>Regulatory control period 1 July 2025 to 30 June 2030</t>
  </si>
  <si>
    <t>Inputs and Assumptions</t>
  </si>
  <si>
    <t>Rates</t>
  </si>
  <si>
    <t>Year</t>
  </si>
  <si>
    <t>2025-26</t>
  </si>
  <si>
    <t>2026-27</t>
  </si>
  <si>
    <t>2027-28</t>
  </si>
  <si>
    <t>2028-29</t>
  </si>
  <si>
    <t>2029-30</t>
  </si>
  <si>
    <t>Major Conventional</t>
  </si>
  <si>
    <t>Minor Conventional</t>
  </si>
  <si>
    <t>Major LED</t>
  </si>
  <si>
    <t>Minor LED</t>
  </si>
  <si>
    <t>Total</t>
  </si>
  <si>
    <t>Rate 2 - Gifted &amp; Energex Operated</t>
  </si>
  <si>
    <t>Forecast revenue</t>
  </si>
  <si>
    <t>Opex revenue required (including tax)</t>
  </si>
  <si>
    <t>Conventional</t>
  </si>
  <si>
    <t>LED</t>
  </si>
  <si>
    <t>Capex revenue required Conventional</t>
  </si>
  <si>
    <t>Return on capital</t>
  </si>
  <si>
    <t>Return of capital</t>
  </si>
  <si>
    <t>Total Capex Charge Conventional</t>
  </si>
  <si>
    <t>Capex revenue required LED</t>
  </si>
  <si>
    <t>Total Capex Charge LED</t>
  </si>
  <si>
    <t>Annual revenue requirement (opex plus capex)</t>
  </si>
  <si>
    <t>Pricing allocators</t>
  </si>
  <si>
    <t>Proportion of asset base related to refurbishment</t>
  </si>
  <si>
    <t>Relativity Major to Minor lights</t>
  </si>
  <si>
    <t>Opex + tax</t>
  </si>
  <si>
    <t>Asset charge</t>
  </si>
  <si>
    <t>Price Smoothing Inputs</t>
  </si>
  <si>
    <t>Expected CPI</t>
  </si>
  <si>
    <t>Discount rate for smoothing</t>
  </si>
  <si>
    <t>X factor (years 2 to 5)</t>
  </si>
  <si>
    <t>Days in year</t>
  </si>
  <si>
    <t>2024-25 Prices</t>
  </si>
  <si>
    <t>Rate 1 - Energex Owned &amp; Operated</t>
  </si>
  <si>
    <t>Quantites</t>
  </si>
  <si>
    <t>Average population of lights</t>
  </si>
  <si>
    <t xml:space="preserve">Grand total </t>
  </si>
  <si>
    <t>Rate 1 and Rate 2 combined total</t>
  </si>
  <si>
    <t>Price components</t>
  </si>
  <si>
    <t>Opex  charge (per unit)</t>
  </si>
  <si>
    <t>Rate 2</t>
  </si>
  <si>
    <t>Rate 1</t>
  </si>
  <si>
    <t>Unsmoothed Daily Prices</t>
  </si>
  <si>
    <t>Smoothed Daily Prices</t>
  </si>
  <si>
    <t>Revenue checks</t>
  </si>
  <si>
    <t>Cummulative discount rate (used for NPV calculation)</t>
  </si>
  <si>
    <t>Unsmoothed Prices x Volumes - Conventional</t>
  </si>
  <si>
    <t>Revenue requirement - Conventional</t>
  </si>
  <si>
    <t>Check</t>
  </si>
  <si>
    <t>Unsmoothed Prices x Volumes - LED</t>
  </si>
  <si>
    <t>Revenue requirement - LED</t>
  </si>
  <si>
    <t>Smoothed Prices x Volumes - Conventional</t>
  </si>
  <si>
    <t>NPV Revenue requirement - Conventional</t>
  </si>
  <si>
    <t>NPV Smoothed Prices x Volume - Conventional</t>
  </si>
  <si>
    <r>
      <t>P</t>
    </r>
    <r>
      <rPr>
        <b/>
        <sz val="8"/>
        <color theme="1"/>
        <rFont val="Arial"/>
        <family val="2"/>
      </rPr>
      <t>0</t>
    </r>
    <r>
      <rPr>
        <b/>
        <sz val="11"/>
        <color theme="1"/>
        <rFont val="Arial"/>
        <family val="2"/>
      </rPr>
      <t xml:space="preserve"> Conventional</t>
    </r>
  </si>
  <si>
    <t>Goal Seek value</t>
  </si>
  <si>
    <t>positive P0 imply real decrease in price constraint</t>
  </si>
  <si>
    <t>Data/What-if Analysis/Goal Seek</t>
  </si>
  <si>
    <t>Goal Seek</t>
  </si>
  <si>
    <t>Set Cell</t>
  </si>
  <si>
    <t>To Value</t>
  </si>
  <si>
    <t>By Changing Cell</t>
  </si>
  <si>
    <t>Public lighting annual prices</t>
  </si>
  <si>
    <t>Public lighting daily prices</t>
  </si>
  <si>
    <t>Output to Public Lighting Pricing Model - Estimated Count by type</t>
  </si>
  <si>
    <t>Public Lighting Quantity</t>
  </si>
  <si>
    <t>Rate</t>
  </si>
  <si>
    <t>Count</t>
  </si>
  <si>
    <t xml:space="preserve">Major Conventional </t>
  </si>
  <si>
    <t>Opening</t>
  </si>
  <si>
    <t>Closing</t>
  </si>
  <si>
    <t>Average</t>
  </si>
  <si>
    <t>Rate 2 Energex funded, owned &amp; operated</t>
  </si>
  <si>
    <t>Return on and of capital - Rate 1</t>
  </si>
  <si>
    <t>Return on and of capital - Rate 2</t>
  </si>
  <si>
    <t>Rate 1 - Capex Charge (per unit)</t>
  </si>
  <si>
    <t xml:space="preserve">No capex Rate 2 allocation </t>
  </si>
  <si>
    <t>Rate 2 - Refurbishment Charge (per unit)</t>
  </si>
  <si>
    <t xml:space="preserve">Same refurbishment charge is applied Rate 2 LED and CONV </t>
  </si>
  <si>
    <t>LED total</t>
  </si>
  <si>
    <t>LED Rate 1 and Rate 2</t>
  </si>
  <si>
    <t>Conventional Rate 1 and Rate 2</t>
  </si>
  <si>
    <t>Smoothed Prices x Volumes - LED Rate 1 and 2</t>
  </si>
  <si>
    <r>
      <t>P</t>
    </r>
    <r>
      <rPr>
        <b/>
        <sz val="8"/>
        <color theme="1"/>
        <rFont val="Arial"/>
        <family val="2"/>
      </rPr>
      <t>0</t>
    </r>
    <r>
      <rPr>
        <b/>
        <sz val="11"/>
        <color theme="1"/>
        <rFont val="Arial"/>
        <family val="2"/>
      </rPr>
      <t xml:space="preserve"> LED Rate 1 and 2</t>
    </r>
  </si>
  <si>
    <t>NPV Revenue requirement - LED Rate 1 and Rate 2</t>
  </si>
  <si>
    <t>NPV Smoothed Prices x Volume - LED Rate 1 and Rate 2</t>
  </si>
  <si>
    <t>Ergon Energy Forecast Quantities</t>
  </si>
  <si>
    <t>ACS Public Lighting pricing model for Ergon Energy</t>
  </si>
  <si>
    <t>Days in each year</t>
  </si>
  <si>
    <t>C146</t>
  </si>
  <si>
    <t>C136</t>
  </si>
  <si>
    <t>C140</t>
  </si>
  <si>
    <t>C147</t>
  </si>
  <si>
    <t>P0 Rate 2A</t>
  </si>
  <si>
    <t>P0
LED Rate 1 &amp; 2</t>
  </si>
  <si>
    <t>P0 Conventional</t>
  </si>
  <si>
    <t>C144</t>
  </si>
  <si>
    <t>C148</t>
  </si>
  <si>
    <t>P0 LED Rate 2A</t>
  </si>
  <si>
    <t>Rate 1, Rate 2 and Rate 2A combined total</t>
  </si>
  <si>
    <t>Same operational expenditure is applied to Rate 1, Rate 2, Rate 2A</t>
  </si>
  <si>
    <t>Rate 2A - Capex Charge (per unit)</t>
  </si>
  <si>
    <t>Rate 2A</t>
  </si>
  <si>
    <t>LED Rate 2A</t>
  </si>
  <si>
    <t>Smoothed Prices x Volumes - LED Rate 2A</t>
  </si>
  <si>
    <t>NPV Revenue requirement - LED Rate 2A</t>
  </si>
  <si>
    <t>NPV Smoothed Prices x Volume - LED Rate 2A</t>
  </si>
  <si>
    <t>2A</t>
  </si>
  <si>
    <t>Return on and of capital - Rate 2A</t>
  </si>
  <si>
    <t>Adjustment to manage customer impact in P0</t>
  </si>
  <si>
    <t>Rate 1 &amp; 2 LED</t>
  </si>
  <si>
    <t>Rate 1 &amp; 2 CONV</t>
  </si>
  <si>
    <t>Rate 2A LED</t>
  </si>
  <si>
    <t>Ergon Energy - Public Lighting Pricing Model</t>
  </si>
  <si>
    <t xml:space="preserve">Rate 2 </t>
  </si>
  <si>
    <t xml:space="preserve">Rate 2A </t>
  </si>
  <si>
    <t>Cells</t>
  </si>
  <si>
    <t>Description of changes</t>
  </si>
  <si>
    <t>Inputs' rows 16, 17, 24, 27, 29</t>
  </si>
  <si>
    <t>Inputs': row 50</t>
  </si>
  <si>
    <t>Updated discount rate for smoothing to reflect SCS values</t>
  </si>
  <si>
    <t>Inputs': roww 58:67</t>
  </si>
  <si>
    <t>Updated 2024-25 prices from EGX 2024-25 Price List</t>
  </si>
  <si>
    <t>Ergon Energy Owned &amp; Operated</t>
  </si>
  <si>
    <t>Gifted &amp; Ergon Energy Operated</t>
  </si>
  <si>
    <t>Rate 2A - Ergon Energy funded Rate 2, Owned &amp; Operated</t>
  </si>
  <si>
    <t>Rate 1 - Ergon Energy Owned &amp; Operated</t>
  </si>
  <si>
    <t>Rate 2 - Gifted &amp; Ergon Energy Operated</t>
  </si>
  <si>
    <t>Rate 2A - Rate 2 LED Ergon Energy Funded, Owned &amp; Operated</t>
  </si>
  <si>
    <t>Applied only to Rate 1 - Ergon Energy Owned &amp; Operated</t>
  </si>
  <si>
    <t>Applied only to Rate 2A - Ergon Energy Owned &amp; Operated</t>
  </si>
  <si>
    <t>Rate 1 - Eron Energy Owned &amp; Operated</t>
  </si>
  <si>
    <t>Import Qty</t>
  </si>
  <si>
    <t>Updated forecast revenue - from RRP Public Lighting intermediary model</t>
  </si>
  <si>
    <t>Updated quantities - from RRP opex and capex forecasting model</t>
  </si>
  <si>
    <t>AER Draft Decision for Ergon Energy - Public Lighting Annual Prices</t>
  </si>
  <si>
    <t>X factor (Year 2 to 5)</t>
  </si>
  <si>
    <t>Annual Prices 2025-26</t>
  </si>
  <si>
    <t>AER Draft Decision</t>
  </si>
  <si>
    <t>Initial Proposal</t>
  </si>
  <si>
    <t>Difference ($)</t>
  </si>
  <si>
    <t>Difference (%)</t>
  </si>
  <si>
    <t>Inputs' C49</t>
  </si>
  <si>
    <t>substituted with our expected inflation rate</t>
  </si>
  <si>
    <t>updated forecast revenue - from Public Lighting intermediary 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</si>
</sst>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#,##0_);[Red]\(#,##0\);\-"/>
    <numFmt numFmtId="168" formatCode="_(#,##0.0_);\(#,##0.0\);_(&quot;-&quot;_)"/>
    <numFmt numFmtId="169" formatCode="_-&quot;$&quot;* #,##0_-;\-&quot;$&quot;* #,##0_-;_-&quot;$&quot;* &quot;-&quot;??_-;_-@_-"/>
    <numFmt numFmtId="170" formatCode="#,##0.0"/>
    <numFmt numFmtId="171" formatCode="0.000000"/>
    <numFmt numFmtId="172" formatCode="_-&quot;$&quot;* #,##0.000_-;\-&quot;$&quot;* #,##0.000_-;_-&quot;$&quot;* &quot;-&quot;??_-;_-@_-"/>
    <numFmt numFmtId="173" formatCode="#,##0_ ;[Red]\-#,##0\ "/>
    <numFmt numFmtId="174" formatCode="_-&quot;$&quot;* #,##0.0000_-;\-&quot;$&quot;* #,##0.0000_-;_-&quot;$&quot;* &quot;-&quot;??_-;_-@_-"/>
    <numFmt numFmtId="175" formatCode="_(#,##0_);\(#,##0\);_(&quot;-&quot;_)"/>
    <numFmt numFmtId="176" formatCode="_-* #,##0_-;\-* #,##0_-;_-* &quot;-&quot;??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11"/>
      <color theme="0"/>
      <name val="Helvetica"/>
      <family val="2"/>
    </font>
    <font>
      <sz val="10"/>
      <color rgb="FFFF0066"/>
      <name val="Calibri"/>
      <family val="2"/>
      <scheme val="minor"/>
    </font>
    <font>
      <sz val="8"/>
      <color rgb="FFFF0066"/>
      <name val="Helvetica"/>
      <family val="2"/>
    </font>
    <font>
      <b/>
      <sz val="10"/>
      <name val="Helvetica"/>
      <family val="2"/>
    </font>
    <font>
      <sz val="10"/>
      <color theme="1"/>
      <name val="Helvetica"/>
      <family val="2"/>
    </font>
    <font>
      <sz val="10"/>
      <color theme="4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6"/>
      <color theme="3"/>
      <name val="Arial"/>
      <family val="2"/>
    </font>
    <font>
      <sz val="11"/>
      <color theme="3"/>
      <name val="Arial"/>
      <family val="2"/>
    </font>
    <font>
      <b/>
      <sz val="11"/>
      <color theme="3"/>
      <name val="Arial"/>
      <family val="2"/>
    </font>
    <font>
      <b/>
      <sz val="11"/>
      <name val="Arial"/>
      <family val="2"/>
    </font>
    <font>
      <b/>
      <sz val="14"/>
      <color theme="0"/>
      <name val="Arial"/>
      <family val="2"/>
    </font>
    <font>
      <sz val="11"/>
      <color theme="0"/>
      <name val="Arial"/>
      <family val="2"/>
    </font>
    <font>
      <sz val="16"/>
      <color theme="0"/>
      <name val="Arial"/>
      <family val="2"/>
    </font>
    <font>
      <sz val="11"/>
      <name val="Arial"/>
      <family val="2"/>
    </font>
    <font>
      <sz val="11"/>
      <color rgb="FFC00000"/>
      <name val="Arial"/>
      <family val="2"/>
    </font>
    <font>
      <sz val="11"/>
      <color rgb="FFFF0000"/>
      <name val="Arial"/>
      <family val="2"/>
    </font>
    <font>
      <b/>
      <sz val="22"/>
      <name val="Calibri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color theme="0" tint="-0.34998626667073579"/>
      <name val="Arial"/>
      <family val="2"/>
    </font>
    <font>
      <b/>
      <i/>
      <sz val="8"/>
      <name val="Arial"/>
      <family val="2"/>
    </font>
    <font>
      <b/>
      <sz val="20"/>
      <color theme="1"/>
      <name val="Arial"/>
      <family val="2"/>
    </font>
    <font>
      <b/>
      <sz val="11"/>
      <color rgb="FFC00000"/>
      <name val="Arial"/>
      <family val="2"/>
    </font>
    <font>
      <i/>
      <sz val="10"/>
      <color theme="1"/>
      <name val="Arial"/>
      <family val="2"/>
    </font>
    <font>
      <b/>
      <sz val="8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rgb="FFC0000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83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5117038483843"/>
      </left>
      <right style="thin">
        <color theme="3" tint="0.79995117038483843"/>
      </right>
      <top style="thin">
        <color theme="3" tint="0.79995117038483843"/>
      </top>
      <bottom style="thin">
        <color theme="3" tint="0.79995117038483843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medium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</borders>
  <cellStyleXfs count="85">
    <xf numFmtId="0" fontId="0" fillId="0" borderId="0"/>
    <xf numFmtId="0" fontId="1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9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4" fillId="0" borderId="0" applyBorder="0">
      <alignment vertical="center"/>
    </xf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4" borderId="0" applyBorder="0">
      <alignment horizontal="left" vertical="center"/>
    </xf>
    <xf numFmtId="0" fontId="6" fillId="0" borderId="0"/>
    <xf numFmtId="0" fontId="7" fillId="0" borderId="0"/>
    <xf numFmtId="0" fontId="8" fillId="0" borderId="0" applyFill="0" applyBorder="0">
      <alignment horizontal="left" vertical="center"/>
    </xf>
    <xf numFmtId="0" fontId="9" fillId="0" borderId="0" applyFill="0" applyBorder="0">
      <alignment vertical="center"/>
    </xf>
    <xf numFmtId="168" fontId="10" fillId="5" borderId="1">
      <alignment horizontal="right" vertical="center"/>
      <protection locked="0"/>
    </xf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2" borderId="0" applyFont="0" applyBorder="0" applyAlignment="0">
      <alignment horizontal="right"/>
      <protection locked="0"/>
    </xf>
    <xf numFmtId="164" fontId="2" fillId="3" borderId="0" applyFont="0" applyBorder="0">
      <alignment horizontal="right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1" fillId="0" borderId="0"/>
    <xf numFmtId="166" fontId="2" fillId="0" borderId="0" applyFont="0" applyFill="0" applyBorder="0" applyAlignment="0" applyProtection="0"/>
    <xf numFmtId="0" fontId="12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" fillId="0" borderId="0"/>
    <xf numFmtId="0" fontId="42" fillId="0" borderId="0"/>
    <xf numFmtId="0" fontId="43" fillId="0" borderId="0" applyNumberFormat="0" applyFill="0" applyBorder="0" applyAlignment="0" applyProtection="0"/>
    <xf numFmtId="175" fontId="4" fillId="0" borderId="47">
      <alignment horizontal="right" vertical="center"/>
      <protection locked="0"/>
    </xf>
    <xf numFmtId="0" fontId="2" fillId="0" borderId="0"/>
    <xf numFmtId="0" fontId="2" fillId="0" borderId="0"/>
    <xf numFmtId="0" fontId="14" fillId="0" borderId="0"/>
    <xf numFmtId="0" fontId="44" fillId="0" borderId="0" applyNumberFormat="0" applyFill="0" applyBorder="0" applyAlignment="0" applyProtection="0"/>
    <xf numFmtId="0" fontId="1" fillId="0" borderId="0"/>
    <xf numFmtId="44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2" fillId="0" borderId="0"/>
    <xf numFmtId="0" fontId="1" fillId="0" borderId="0"/>
    <xf numFmtId="44" fontId="1" fillId="0" borderId="0" applyFont="0" applyFill="0" applyBorder="0" applyAlignment="0" applyProtection="0"/>
    <xf numFmtId="0" fontId="45" fillId="0" borderId="0">
      <alignment vertical="top"/>
    </xf>
    <xf numFmtId="43" fontId="1" fillId="0" borderId="0" applyFont="0" applyFill="0" applyBorder="0" applyAlignment="0" applyProtection="0"/>
  </cellStyleXfs>
  <cellXfs count="190">
    <xf numFmtId="0" fontId="0" fillId="0" borderId="0" xfId="0"/>
    <xf numFmtId="0" fontId="16" fillId="6" borderId="0" xfId="0" applyFont="1" applyFill="1"/>
    <xf numFmtId="0" fontId="17" fillId="7" borderId="0" xfId="0" applyFont="1" applyFill="1"/>
    <xf numFmtId="0" fontId="18" fillId="7" borderId="0" xfId="0" applyFont="1" applyFill="1"/>
    <xf numFmtId="0" fontId="18" fillId="5" borderId="0" xfId="0" applyFont="1" applyFill="1"/>
    <xf numFmtId="0" fontId="19" fillId="6" borderId="0" xfId="0" applyFont="1" applyFill="1"/>
    <xf numFmtId="0" fontId="20" fillId="6" borderId="0" xfId="0" applyFont="1" applyFill="1"/>
    <xf numFmtId="0" fontId="21" fillId="6" borderId="0" xfId="0" applyFont="1" applyFill="1"/>
    <xf numFmtId="0" fontId="22" fillId="6" borderId="0" xfId="0" applyFont="1" applyFill="1"/>
    <xf numFmtId="0" fontId="23" fillId="5" borderId="0" xfId="0" applyFont="1" applyFill="1"/>
    <xf numFmtId="0" fontId="24" fillId="7" borderId="0" xfId="0" applyFont="1" applyFill="1"/>
    <xf numFmtId="0" fontId="25" fillId="7" borderId="0" xfId="0" applyFont="1" applyFill="1"/>
    <xf numFmtId="0" fontId="19" fillId="6" borderId="2" xfId="0" applyFont="1" applyFill="1" applyBorder="1"/>
    <xf numFmtId="0" fontId="16" fillId="6" borderId="2" xfId="0" applyFont="1" applyFill="1" applyBorder="1"/>
    <xf numFmtId="0" fontId="16" fillId="6" borderId="2" xfId="0" applyFont="1" applyFill="1" applyBorder="1" applyAlignment="1">
      <alignment horizontal="left" indent="1"/>
    </xf>
    <xf numFmtId="0" fontId="18" fillId="7" borderId="0" xfId="0" applyFont="1" applyFill="1" applyAlignment="1">
      <alignment horizontal="right"/>
    </xf>
    <xf numFmtId="0" fontId="24" fillId="6" borderId="0" xfId="0" applyFont="1" applyFill="1"/>
    <xf numFmtId="0" fontId="17" fillId="6" borderId="0" xfId="0" applyFont="1" applyFill="1"/>
    <xf numFmtId="0" fontId="25" fillId="6" borderId="0" xfId="0" applyFont="1" applyFill="1"/>
    <xf numFmtId="0" fontId="25" fillId="7" borderId="0" xfId="0" applyFont="1" applyFill="1" applyAlignment="1">
      <alignment horizontal="right"/>
    </xf>
    <xf numFmtId="0" fontId="16" fillId="6" borderId="0" xfId="0" applyFont="1" applyFill="1" applyAlignment="1">
      <alignment horizontal="right"/>
    </xf>
    <xf numFmtId="0" fontId="16" fillId="6" borderId="2" xfId="0" applyFont="1" applyFill="1" applyBorder="1" applyAlignment="1">
      <alignment horizontal="right"/>
    </xf>
    <xf numFmtId="3" fontId="16" fillId="6" borderId="2" xfId="0" applyNumberFormat="1" applyFont="1" applyFill="1" applyBorder="1"/>
    <xf numFmtId="3" fontId="19" fillId="6" borderId="2" xfId="0" applyNumberFormat="1" applyFont="1" applyFill="1" applyBorder="1"/>
    <xf numFmtId="0" fontId="19" fillId="6" borderId="4" xfId="0" applyFont="1" applyFill="1" applyBorder="1"/>
    <xf numFmtId="0" fontId="16" fillId="6" borderId="3" xfId="0" applyFont="1" applyFill="1" applyBorder="1"/>
    <xf numFmtId="0" fontId="19" fillId="6" borderId="3" xfId="0" applyFont="1" applyFill="1" applyBorder="1"/>
    <xf numFmtId="0" fontId="16" fillId="6" borderId="3" xfId="0" applyFont="1" applyFill="1" applyBorder="1" applyAlignment="1">
      <alignment horizontal="left" indent="1"/>
    </xf>
    <xf numFmtId="3" fontId="16" fillId="6" borderId="3" xfId="0" applyNumberFormat="1" applyFont="1" applyFill="1" applyBorder="1"/>
    <xf numFmtId="3" fontId="19" fillId="6" borderId="3" xfId="0" applyNumberFormat="1" applyFont="1" applyFill="1" applyBorder="1"/>
    <xf numFmtId="0" fontId="14" fillId="0" borderId="2" xfId="0" applyFont="1" applyBorder="1"/>
    <xf numFmtId="0" fontId="14" fillId="0" borderId="2" xfId="0" applyFont="1" applyBorder="1" applyAlignment="1">
      <alignment horizontal="left" indent="1"/>
    </xf>
    <xf numFmtId="0" fontId="13" fillId="0" borderId="2" xfId="0" applyFont="1" applyBorder="1"/>
    <xf numFmtId="0" fontId="19" fillId="0" borderId="2" xfId="0" applyFont="1" applyBorder="1"/>
    <xf numFmtId="0" fontId="16" fillId="0" borderId="2" xfId="0" applyFont="1" applyBorder="1" applyAlignment="1">
      <alignment horizontal="left" indent="1"/>
    </xf>
    <xf numFmtId="0" fontId="19" fillId="6" borderId="2" xfId="0" applyFont="1" applyFill="1" applyBorder="1" applyAlignment="1">
      <alignment horizontal="left" indent="1"/>
    </xf>
    <xf numFmtId="169" fontId="16" fillId="6" borderId="2" xfId="0" applyNumberFormat="1" applyFont="1" applyFill="1" applyBorder="1" applyAlignment="1">
      <alignment horizontal="left" indent="1"/>
    </xf>
    <xf numFmtId="169" fontId="19" fillId="6" borderId="2" xfId="0" applyNumberFormat="1" applyFont="1" applyFill="1" applyBorder="1" applyAlignment="1">
      <alignment horizontal="left" indent="1"/>
    </xf>
    <xf numFmtId="165" fontId="16" fillId="6" borderId="2" xfId="66" applyFont="1" applyFill="1" applyBorder="1"/>
    <xf numFmtId="171" fontId="16" fillId="6" borderId="0" xfId="0" applyNumberFormat="1" applyFont="1" applyFill="1"/>
    <xf numFmtId="165" fontId="27" fillId="6" borderId="2" xfId="66" applyFont="1" applyFill="1" applyBorder="1"/>
    <xf numFmtId="171" fontId="29" fillId="6" borderId="0" xfId="0" applyNumberFormat="1" applyFont="1" applyFill="1"/>
    <xf numFmtId="169" fontId="16" fillId="6" borderId="2" xfId="66" applyNumberFormat="1" applyFont="1" applyFill="1" applyBorder="1"/>
    <xf numFmtId="0" fontId="28" fillId="6" borderId="0" xfId="0" applyFont="1" applyFill="1"/>
    <xf numFmtId="169" fontId="16" fillId="8" borderId="2" xfId="66" applyNumberFormat="1" applyFont="1" applyFill="1" applyBorder="1" applyAlignment="1">
      <alignment horizontal="left" indent="1"/>
    </xf>
    <xf numFmtId="9" fontId="16" fillId="8" borderId="2" xfId="67" applyFont="1" applyFill="1" applyBorder="1" applyAlignment="1">
      <alignment vertical="center"/>
    </xf>
    <xf numFmtId="0" fontId="14" fillId="6" borderId="0" xfId="0" applyFont="1" applyFill="1"/>
    <xf numFmtId="0" fontId="14" fillId="6" borderId="0" xfId="0" applyFont="1" applyFill="1" applyAlignment="1">
      <alignment horizontal="center"/>
    </xf>
    <xf numFmtId="0" fontId="16" fillId="6" borderId="0" xfId="0" applyFont="1" applyFill="1" applyAlignment="1">
      <alignment horizontal="left"/>
    </xf>
    <xf numFmtId="0" fontId="18" fillId="5" borderId="0" xfId="0" applyFont="1" applyFill="1" applyAlignment="1">
      <alignment horizontal="left"/>
    </xf>
    <xf numFmtId="0" fontId="14" fillId="6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16" fillId="6" borderId="2" xfId="0" applyFont="1" applyFill="1" applyBorder="1" applyAlignment="1">
      <alignment vertical="center"/>
    </xf>
    <xf numFmtId="170" fontId="16" fillId="8" borderId="2" xfId="0" applyNumberFormat="1" applyFont="1" applyFill="1" applyBorder="1" applyAlignment="1">
      <alignment vertical="center"/>
    </xf>
    <xf numFmtId="0" fontId="16" fillId="6" borderId="0" xfId="0" applyFont="1" applyFill="1" applyAlignment="1">
      <alignment vertical="center"/>
    </xf>
    <xf numFmtId="0" fontId="25" fillId="7" borderId="0" xfId="0" applyFont="1" applyFill="1" applyAlignment="1">
      <alignment vertical="center"/>
    </xf>
    <xf numFmtId="4" fontId="16" fillId="8" borderId="2" xfId="0" applyNumberFormat="1" applyFont="1" applyFill="1" applyBorder="1" applyAlignment="1">
      <alignment vertical="center"/>
    </xf>
    <xf numFmtId="0" fontId="30" fillId="0" borderId="0" xfId="65" applyFont="1"/>
    <xf numFmtId="0" fontId="2" fillId="0" borderId="0" xfId="2" applyAlignment="1">
      <alignment horizontal="center"/>
    </xf>
    <xf numFmtId="0" fontId="2" fillId="0" borderId="0" xfId="2"/>
    <xf numFmtId="0" fontId="0" fillId="0" borderId="0" xfId="0" applyAlignment="1">
      <alignment horizontal="center"/>
    </xf>
    <xf numFmtId="0" fontId="13" fillId="6" borderId="13" xfId="0" applyFont="1" applyFill="1" applyBorder="1" applyAlignment="1">
      <alignment vertical="center"/>
    </xf>
    <xf numFmtId="0" fontId="31" fillId="0" borderId="14" xfId="2" applyFont="1" applyBorder="1" applyAlignment="1">
      <alignment horizontal="center"/>
    </xf>
    <xf numFmtId="0" fontId="13" fillId="6" borderId="15" xfId="0" applyFont="1" applyFill="1" applyBorder="1" applyAlignment="1">
      <alignment horizontal="center" vertical="center"/>
    </xf>
    <xf numFmtId="3" fontId="31" fillId="6" borderId="13" xfId="0" applyNumberFormat="1" applyFont="1" applyFill="1" applyBorder="1" applyAlignment="1">
      <alignment horizontal="center" vertical="center" wrapText="1"/>
    </xf>
    <xf numFmtId="3" fontId="31" fillId="6" borderId="16" xfId="0" applyNumberFormat="1" applyFont="1" applyFill="1" applyBorder="1" applyAlignment="1">
      <alignment horizontal="center" vertical="center" wrapText="1"/>
    </xf>
    <xf numFmtId="3" fontId="31" fillId="6" borderId="17" xfId="0" applyNumberFormat="1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left" indent="1"/>
    </xf>
    <xf numFmtId="0" fontId="33" fillId="0" borderId="14" xfId="2" applyFont="1" applyBorder="1" applyAlignment="1">
      <alignment horizontal="center"/>
    </xf>
    <xf numFmtId="0" fontId="33" fillId="6" borderId="15" xfId="0" applyFont="1" applyFill="1" applyBorder="1" applyAlignment="1">
      <alignment horizontal="center"/>
    </xf>
    <xf numFmtId="3" fontId="2" fillId="6" borderId="13" xfId="0" applyNumberFormat="1" applyFont="1" applyFill="1" applyBorder="1" applyAlignment="1">
      <alignment horizontal="center"/>
    </xf>
    <xf numFmtId="3" fontId="2" fillId="6" borderId="16" xfId="0" applyNumberFormat="1" applyFont="1" applyFill="1" applyBorder="1" applyAlignment="1">
      <alignment horizontal="center"/>
    </xf>
    <xf numFmtId="0" fontId="14" fillId="6" borderId="6" xfId="0" applyFont="1" applyFill="1" applyBorder="1" applyAlignment="1">
      <alignment horizontal="left" indent="1"/>
    </xf>
    <xf numFmtId="0" fontId="33" fillId="0" borderId="18" xfId="2" applyFont="1" applyBorder="1" applyAlignment="1">
      <alignment horizontal="center"/>
    </xf>
    <xf numFmtId="0" fontId="33" fillId="6" borderId="7" xfId="0" applyFont="1" applyFill="1" applyBorder="1" applyAlignment="1">
      <alignment horizontal="center"/>
    </xf>
    <xf numFmtId="3" fontId="2" fillId="6" borderId="6" xfId="0" applyNumberFormat="1" applyFont="1" applyFill="1" applyBorder="1" applyAlignment="1">
      <alignment horizontal="center"/>
    </xf>
    <xf numFmtId="3" fontId="2" fillId="6" borderId="8" xfId="0" applyNumberFormat="1" applyFont="1" applyFill="1" applyBorder="1" applyAlignment="1">
      <alignment horizontal="center"/>
    </xf>
    <xf numFmtId="0" fontId="14" fillId="6" borderId="19" xfId="0" applyFont="1" applyFill="1" applyBorder="1" applyAlignment="1">
      <alignment horizontal="left" indent="1"/>
    </xf>
    <xf numFmtId="0" fontId="33" fillId="0" borderId="20" xfId="2" applyFont="1" applyBorder="1" applyAlignment="1">
      <alignment horizontal="center"/>
    </xf>
    <xf numFmtId="0" fontId="33" fillId="6" borderId="21" xfId="0" applyFont="1" applyFill="1" applyBorder="1" applyAlignment="1">
      <alignment horizontal="center"/>
    </xf>
    <xf numFmtId="3" fontId="2" fillId="6" borderId="19" xfId="0" applyNumberFormat="1" applyFont="1" applyFill="1" applyBorder="1" applyAlignment="1">
      <alignment horizontal="center"/>
    </xf>
    <xf numFmtId="3" fontId="2" fillId="6" borderId="22" xfId="0" applyNumberFormat="1" applyFont="1" applyFill="1" applyBorder="1" applyAlignment="1">
      <alignment horizontal="center"/>
    </xf>
    <xf numFmtId="0" fontId="13" fillId="6" borderId="24" xfId="0" applyFont="1" applyFill="1" applyBorder="1"/>
    <xf numFmtId="0" fontId="2" fillId="0" borderId="25" xfId="2" applyBorder="1" applyAlignment="1">
      <alignment horizontal="center"/>
    </xf>
    <xf numFmtId="0" fontId="14" fillId="6" borderId="26" xfId="0" applyFont="1" applyFill="1" applyBorder="1" applyAlignment="1">
      <alignment horizontal="center"/>
    </xf>
    <xf numFmtId="3" fontId="31" fillId="6" borderId="24" xfId="0" applyNumberFormat="1" applyFont="1" applyFill="1" applyBorder="1" applyAlignment="1">
      <alignment horizontal="center"/>
    </xf>
    <xf numFmtId="3" fontId="31" fillId="6" borderId="27" xfId="0" applyNumberFormat="1" applyFont="1" applyFill="1" applyBorder="1" applyAlignment="1">
      <alignment horizontal="center"/>
    </xf>
    <xf numFmtId="3" fontId="31" fillId="6" borderId="28" xfId="0" applyNumberFormat="1" applyFont="1" applyFill="1" applyBorder="1" applyAlignment="1">
      <alignment horizontal="center"/>
    </xf>
    <xf numFmtId="3" fontId="31" fillId="6" borderId="0" xfId="0" applyNumberFormat="1" applyFont="1" applyFill="1" applyAlignment="1">
      <alignment horizontal="center"/>
    </xf>
    <xf numFmtId="3" fontId="2" fillId="6" borderId="29" xfId="0" applyNumberFormat="1" applyFont="1" applyFill="1" applyBorder="1" applyAlignment="1">
      <alignment horizontal="center"/>
    </xf>
    <xf numFmtId="3" fontId="2" fillId="6" borderId="30" xfId="0" applyNumberFormat="1" applyFont="1" applyFill="1" applyBorder="1" applyAlignment="1">
      <alignment horizontal="center"/>
    </xf>
    <xf numFmtId="3" fontId="14" fillId="6" borderId="8" xfId="0" applyNumberFormat="1" applyFont="1" applyFill="1" applyBorder="1" applyAlignment="1">
      <alignment horizontal="center"/>
    </xf>
    <xf numFmtId="3" fontId="14" fillId="6" borderId="9" xfId="0" applyNumberFormat="1" applyFont="1" applyFill="1" applyBorder="1" applyAlignment="1">
      <alignment horizontal="center"/>
    </xf>
    <xf numFmtId="3" fontId="31" fillId="6" borderId="31" xfId="0" applyNumberFormat="1" applyFont="1" applyFill="1" applyBorder="1" applyAlignment="1">
      <alignment horizontal="center"/>
    </xf>
    <xf numFmtId="0" fontId="13" fillId="6" borderId="0" xfId="0" applyFont="1" applyFill="1"/>
    <xf numFmtId="0" fontId="2" fillId="0" borderId="5" xfId="2" applyBorder="1" applyAlignment="1">
      <alignment horizontal="center"/>
    </xf>
    <xf numFmtId="173" fontId="34" fillId="0" borderId="0" xfId="2" applyNumberFormat="1" applyFont="1" applyAlignment="1">
      <alignment horizontal="left"/>
    </xf>
    <xf numFmtId="165" fontId="16" fillId="6" borderId="2" xfId="66" quotePrefix="1" applyFont="1" applyFill="1" applyBorder="1"/>
    <xf numFmtId="165" fontId="16" fillId="6" borderId="0" xfId="0" applyNumberFormat="1" applyFont="1" applyFill="1"/>
    <xf numFmtId="0" fontId="35" fillId="6" borderId="0" xfId="0" applyFont="1" applyFill="1"/>
    <xf numFmtId="4" fontId="34" fillId="0" borderId="0" xfId="2" applyNumberFormat="1" applyFont="1" applyAlignment="1">
      <alignment horizontal="left"/>
    </xf>
    <xf numFmtId="0" fontId="23" fillId="0" borderId="2" xfId="0" applyFont="1" applyBorder="1"/>
    <xf numFmtId="0" fontId="36" fillId="6" borderId="2" xfId="0" applyFont="1" applyFill="1" applyBorder="1"/>
    <xf numFmtId="0" fontId="37" fillId="6" borderId="0" xfId="0" applyFont="1" applyFill="1"/>
    <xf numFmtId="2" fontId="16" fillId="6" borderId="2" xfId="66" applyNumberFormat="1" applyFont="1" applyFill="1" applyBorder="1"/>
    <xf numFmtId="169" fontId="36" fillId="6" borderId="2" xfId="0" applyNumberFormat="1" applyFont="1" applyFill="1" applyBorder="1"/>
    <xf numFmtId="169" fontId="28" fillId="6" borderId="0" xfId="0" applyNumberFormat="1" applyFont="1" applyFill="1"/>
    <xf numFmtId="169" fontId="16" fillId="6" borderId="2" xfId="0" applyNumberFormat="1" applyFont="1" applyFill="1" applyBorder="1"/>
    <xf numFmtId="9" fontId="16" fillId="9" borderId="2" xfId="67" applyFont="1" applyFill="1" applyBorder="1"/>
    <xf numFmtId="174" fontId="16" fillId="6" borderId="0" xfId="0" applyNumberFormat="1" applyFont="1" applyFill="1"/>
    <xf numFmtId="174" fontId="16" fillId="6" borderId="2" xfId="0" applyNumberFormat="1" applyFont="1" applyFill="1" applyBorder="1"/>
    <xf numFmtId="174" fontId="16" fillId="6" borderId="2" xfId="0" quotePrefix="1" applyNumberFormat="1" applyFont="1" applyFill="1" applyBorder="1"/>
    <xf numFmtId="3" fontId="16" fillId="6" borderId="0" xfId="0" applyNumberFormat="1" applyFont="1" applyFill="1"/>
    <xf numFmtId="169" fontId="16" fillId="6" borderId="0" xfId="0" applyNumberFormat="1" applyFont="1" applyFill="1"/>
    <xf numFmtId="0" fontId="26" fillId="6" borderId="0" xfId="0" applyFont="1" applyFill="1"/>
    <xf numFmtId="0" fontId="19" fillId="6" borderId="38" xfId="0" applyFont="1" applyFill="1" applyBorder="1"/>
    <xf numFmtId="0" fontId="16" fillId="6" borderId="32" xfId="0" applyFont="1" applyFill="1" applyBorder="1" applyAlignment="1">
      <alignment vertical="center"/>
    </xf>
    <xf numFmtId="0" fontId="19" fillId="0" borderId="34" xfId="0" applyFont="1" applyBorder="1" applyAlignment="1">
      <alignment horizontal="center" wrapText="1"/>
    </xf>
    <xf numFmtId="0" fontId="16" fillId="6" borderId="37" xfId="0" applyFont="1" applyFill="1" applyBorder="1" applyAlignment="1">
      <alignment vertical="center"/>
    </xf>
    <xf numFmtId="0" fontId="16" fillId="6" borderId="33" xfId="0" applyFont="1" applyFill="1" applyBorder="1" applyAlignment="1">
      <alignment horizontal="center" vertical="center"/>
    </xf>
    <xf numFmtId="0" fontId="16" fillId="6" borderId="35" xfId="0" applyFont="1" applyFill="1" applyBorder="1" applyAlignment="1">
      <alignment vertical="center"/>
    </xf>
    <xf numFmtId="0" fontId="16" fillId="6" borderId="36" xfId="0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 wrapText="1"/>
    </xf>
    <xf numFmtId="0" fontId="39" fillId="6" borderId="0" xfId="0" applyFont="1" applyFill="1"/>
    <xf numFmtId="165" fontId="27" fillId="6" borderId="2" xfId="66" quotePrefix="1" applyFont="1" applyFill="1" applyBorder="1"/>
    <xf numFmtId="165" fontId="27" fillId="6" borderId="0" xfId="66" applyFont="1" applyFill="1" applyBorder="1"/>
    <xf numFmtId="3" fontId="19" fillId="6" borderId="0" xfId="0" applyNumberFormat="1" applyFont="1" applyFill="1"/>
    <xf numFmtId="165" fontId="16" fillId="6" borderId="0" xfId="66" applyFont="1" applyFill="1" applyBorder="1"/>
    <xf numFmtId="174" fontId="16" fillId="6" borderId="0" xfId="0" quotePrefix="1" applyNumberFormat="1" applyFont="1" applyFill="1"/>
    <xf numFmtId="2" fontId="16" fillId="6" borderId="0" xfId="66" applyNumberFormat="1" applyFont="1" applyFill="1" applyBorder="1"/>
    <xf numFmtId="169" fontId="16" fillId="6" borderId="0" xfId="66" applyNumberFormat="1" applyFont="1" applyFill="1" applyBorder="1"/>
    <xf numFmtId="169" fontId="36" fillId="6" borderId="0" xfId="0" applyNumberFormat="1" applyFont="1" applyFill="1"/>
    <xf numFmtId="0" fontId="18" fillId="6" borderId="0" xfId="0" applyFont="1" applyFill="1" applyAlignment="1">
      <alignment horizontal="right"/>
    </xf>
    <xf numFmtId="0" fontId="18" fillId="6" borderId="0" xfId="0" applyFont="1" applyFill="1"/>
    <xf numFmtId="0" fontId="40" fillId="6" borderId="0" xfId="0" applyFont="1" applyFill="1"/>
    <xf numFmtId="0" fontId="2" fillId="0" borderId="0" xfId="2" applyBorder="1" applyAlignment="1">
      <alignment horizontal="center"/>
    </xf>
    <xf numFmtId="0" fontId="14" fillId="0" borderId="0" xfId="0" applyFont="1" applyBorder="1" applyAlignment="1">
      <alignment horizontal="left" indent="1"/>
    </xf>
    <xf numFmtId="0" fontId="19" fillId="6" borderId="0" xfId="0" applyFont="1" applyFill="1" applyBorder="1"/>
    <xf numFmtId="0" fontId="16" fillId="6" borderId="2" xfId="0" applyFont="1" applyFill="1" applyBorder="1" applyAlignment="1">
      <alignment horizontal="right" indent="1"/>
    </xf>
    <xf numFmtId="0" fontId="16" fillId="6" borderId="0" xfId="0" applyFont="1" applyFill="1" applyBorder="1"/>
    <xf numFmtId="9" fontId="16" fillId="9" borderId="0" xfId="67" applyFont="1" applyFill="1" applyBorder="1"/>
    <xf numFmtId="0" fontId="36" fillId="6" borderId="0" xfId="0" applyFont="1" applyFill="1" applyBorder="1"/>
    <xf numFmtId="169" fontId="36" fillId="6" borderId="0" xfId="0" applyNumberFormat="1" applyFont="1" applyFill="1" applyBorder="1"/>
    <xf numFmtId="0" fontId="19" fillId="0" borderId="0" xfId="0" applyFont="1"/>
    <xf numFmtId="4" fontId="16" fillId="8" borderId="0" xfId="0" applyNumberFormat="1" applyFont="1" applyFill="1" applyAlignment="1">
      <alignment vertical="center"/>
    </xf>
    <xf numFmtId="165" fontId="16" fillId="6" borderId="2" xfId="66" applyFont="1" applyFill="1" applyBorder="1" applyAlignment="1">
      <alignment horizontal="right"/>
    </xf>
    <xf numFmtId="172" fontId="16" fillId="6" borderId="2" xfId="66" applyNumberFormat="1" applyFont="1" applyFill="1" applyBorder="1" applyAlignment="1">
      <alignment horizontal="right"/>
    </xf>
    <xf numFmtId="0" fontId="19" fillId="0" borderId="39" xfId="0" applyFont="1" applyBorder="1" applyAlignment="1">
      <alignment horizontal="center" wrapText="1"/>
    </xf>
    <xf numFmtId="0" fontId="16" fillId="6" borderId="40" xfId="0" applyFont="1" applyFill="1" applyBorder="1" applyAlignment="1">
      <alignment horizontal="center" vertical="center"/>
    </xf>
    <xf numFmtId="0" fontId="16" fillId="6" borderId="41" xfId="0" applyFont="1" applyFill="1" applyBorder="1" applyAlignment="1">
      <alignment horizontal="center" vertical="center" wrapText="1"/>
    </xf>
    <xf numFmtId="0" fontId="16" fillId="6" borderId="42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wrapText="1"/>
    </xf>
    <xf numFmtId="0" fontId="16" fillId="6" borderId="44" xfId="0" applyFont="1" applyFill="1" applyBorder="1" applyAlignment="1">
      <alignment horizontal="center" vertical="center"/>
    </xf>
    <xf numFmtId="0" fontId="16" fillId="6" borderId="18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/>
    </xf>
    <xf numFmtId="10" fontId="16" fillId="8" borderId="0" xfId="67" applyNumberFormat="1" applyFont="1" applyFill="1" applyBorder="1"/>
    <xf numFmtId="0" fontId="19" fillId="6" borderId="0" xfId="0" applyFont="1" applyFill="1" applyAlignment="1">
      <alignment horizontal="center" vertical="center"/>
    </xf>
    <xf numFmtId="10" fontId="16" fillId="10" borderId="2" xfId="67" applyNumberFormat="1" applyFont="1" applyFill="1" applyBorder="1" applyAlignment="1">
      <alignment vertical="center"/>
    </xf>
    <xf numFmtId="0" fontId="41" fillId="0" borderId="46" xfId="0" applyFont="1" applyBorder="1"/>
    <xf numFmtId="0" fontId="0" fillId="0" borderId="0" xfId="0" quotePrefix="1"/>
    <xf numFmtId="174" fontId="16" fillId="11" borderId="2" xfId="66" applyNumberFormat="1" applyFont="1" applyFill="1" applyBorder="1"/>
    <xf numFmtId="10" fontId="16" fillId="11" borderId="2" xfId="67" applyNumberFormat="1" applyFont="1" applyFill="1" applyBorder="1" applyAlignment="1">
      <alignment vertical="center"/>
    </xf>
    <xf numFmtId="10" fontId="16" fillId="11" borderId="2" xfId="67" applyNumberFormat="1" applyFont="1" applyFill="1" applyBorder="1"/>
    <xf numFmtId="169" fontId="16" fillId="11" borderId="2" xfId="66" applyNumberFormat="1" applyFont="1" applyFill="1" applyBorder="1" applyAlignment="1">
      <alignment horizontal="left" indent="1"/>
    </xf>
    <xf numFmtId="176" fontId="2" fillId="0" borderId="0" xfId="84" applyNumberFormat="1" applyFont="1" applyAlignment="1">
      <alignment horizontal="center"/>
    </xf>
    <xf numFmtId="9" fontId="0" fillId="0" borderId="0" xfId="67" applyFont="1"/>
    <xf numFmtId="9" fontId="0" fillId="0" borderId="0" xfId="0" applyNumberFormat="1"/>
    <xf numFmtId="0" fontId="46" fillId="0" borderId="0" xfId="0" applyFont="1"/>
    <xf numFmtId="0" fontId="18" fillId="7" borderId="0" xfId="0" applyFont="1" applyFill="1" applyAlignment="1">
      <alignment horizontal="center"/>
    </xf>
    <xf numFmtId="10" fontId="0" fillId="0" borderId="0" xfId="67" applyNumberFormat="1" applyFont="1"/>
    <xf numFmtId="165" fontId="16" fillId="6" borderId="2" xfId="66" applyFont="1" applyFill="1" applyBorder="1" applyAlignment="1">
      <alignment horizontal="center" vertical="center"/>
    </xf>
    <xf numFmtId="10" fontId="16" fillId="6" borderId="2" xfId="67" applyNumberFormat="1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3" fontId="2" fillId="11" borderId="13" xfId="0" applyNumberFormat="1" applyFont="1" applyFill="1" applyBorder="1" applyAlignment="1">
      <alignment horizontal="center"/>
    </xf>
    <xf numFmtId="3" fontId="2" fillId="11" borderId="16" xfId="0" applyNumberFormat="1" applyFont="1" applyFill="1" applyBorder="1" applyAlignment="1">
      <alignment horizontal="center"/>
    </xf>
    <xf numFmtId="3" fontId="2" fillId="11" borderId="17" xfId="0" applyNumberFormat="1" applyFont="1" applyFill="1" applyBorder="1" applyAlignment="1">
      <alignment horizontal="center"/>
    </xf>
    <xf numFmtId="3" fontId="2" fillId="11" borderId="6" xfId="0" applyNumberFormat="1" applyFont="1" applyFill="1" applyBorder="1" applyAlignment="1">
      <alignment horizontal="center"/>
    </xf>
    <xf numFmtId="3" fontId="2" fillId="11" borderId="8" xfId="0" applyNumberFormat="1" applyFont="1" applyFill="1" applyBorder="1" applyAlignment="1">
      <alignment horizontal="center"/>
    </xf>
    <xf numFmtId="3" fontId="2" fillId="11" borderId="9" xfId="0" applyNumberFormat="1" applyFont="1" applyFill="1" applyBorder="1" applyAlignment="1">
      <alignment horizontal="center"/>
    </xf>
    <xf numFmtId="3" fontId="2" fillId="11" borderId="19" xfId="0" applyNumberFormat="1" applyFont="1" applyFill="1" applyBorder="1" applyAlignment="1">
      <alignment horizontal="center"/>
    </xf>
    <xf numFmtId="3" fontId="2" fillId="11" borderId="22" xfId="0" applyNumberFormat="1" applyFont="1" applyFill="1" applyBorder="1" applyAlignment="1">
      <alignment horizontal="center"/>
    </xf>
    <xf numFmtId="3" fontId="2" fillId="11" borderId="23" xfId="0" applyNumberFormat="1" applyFont="1" applyFill="1" applyBorder="1" applyAlignment="1">
      <alignment horizontal="center"/>
    </xf>
    <xf numFmtId="3" fontId="2" fillId="11" borderId="29" xfId="0" applyNumberFormat="1" applyFont="1" applyFill="1" applyBorder="1" applyAlignment="1">
      <alignment horizontal="center"/>
    </xf>
    <xf numFmtId="3" fontId="2" fillId="11" borderId="30" xfId="0" applyNumberFormat="1" applyFont="1" applyFill="1" applyBorder="1" applyAlignment="1">
      <alignment horizontal="center"/>
    </xf>
    <xf numFmtId="3" fontId="14" fillId="11" borderId="8" xfId="0" applyNumberFormat="1" applyFont="1" applyFill="1" applyBorder="1" applyAlignment="1">
      <alignment horizontal="center"/>
    </xf>
    <xf numFmtId="3" fontId="14" fillId="11" borderId="9" xfId="0" applyNumberFormat="1" applyFont="1" applyFill="1" applyBorder="1" applyAlignment="1">
      <alignment horizontal="center"/>
    </xf>
    <xf numFmtId="0" fontId="18" fillId="7" borderId="0" xfId="0" applyFont="1" applyFill="1" applyAlignment="1">
      <alignment horizontal="center"/>
    </xf>
    <xf numFmtId="0" fontId="32" fillId="0" borderId="10" xfId="2" applyFont="1" applyBorder="1" applyAlignment="1">
      <alignment horizont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</cellXfs>
  <cellStyles count="85">
    <cellStyle name="Assumptions Right Number" xfId="72" xr:uid="{17EB1E9E-300F-4845-BB10-F7DEB53AC355}"/>
    <cellStyle name="Calc 1" xfId="18" xr:uid="{71D0D6B4-19A6-4F83-A642-1AC31A62112F}"/>
    <cellStyle name="Comma" xfId="84" builtinId="3"/>
    <cellStyle name="Comma 2" xfId="9" xr:uid="{788D2BF3-EAF4-4545-98DE-5EE541C54AC8}"/>
    <cellStyle name="Comma 2 2" xfId="16" xr:uid="{650EEC31-9558-44F5-B932-DA285268C3DB}"/>
    <cellStyle name="Comma 2 2 2" xfId="29" xr:uid="{DFD8BFAC-4DBE-41AF-A9A9-92D625D0101A}"/>
    <cellStyle name="Comma 2 2 2 2" xfId="59" xr:uid="{F3425699-2DB2-4649-9720-2FCD3BDE0D02}"/>
    <cellStyle name="Comma 2 2 3" xfId="48" xr:uid="{321F2B46-2125-4524-98A9-F16FF064EA47}"/>
    <cellStyle name="Comma 2 3" xfId="24" xr:uid="{C80D79F5-657D-4566-B683-6EC85A73FA77}"/>
    <cellStyle name="Comma 2 3 2" xfId="54" xr:uid="{0F3E1562-21EA-47D0-9F1A-948886FE375E}"/>
    <cellStyle name="Comma 2 4" xfId="43" xr:uid="{7F7F27CC-5571-4047-AECC-208B4269709D}"/>
    <cellStyle name="Comma 3" xfId="19" xr:uid="{80CAD437-1EDC-49B7-ACB5-A5A297F47523}"/>
    <cellStyle name="Comma 3 2" xfId="6" xr:uid="{138ED3EB-594B-42FA-8486-7AF07A2E7493}"/>
    <cellStyle name="Comma 3 2 2" xfId="7" xr:uid="{0C7407BC-CF1A-4DCC-9B92-C4EDC5011748}"/>
    <cellStyle name="Comma 3 2 2 2" xfId="23" xr:uid="{A7D4A73A-BC6C-46EC-8411-54956FA0AFE8}"/>
    <cellStyle name="Comma 3 2 2 2 2" xfId="53" xr:uid="{95A3A763-3E50-40A7-8A56-F9F5678F5210}"/>
    <cellStyle name="Comma 3 2 2 3" xfId="42" xr:uid="{2ABABBE8-7885-46C0-98F3-FC41ECF9B47E}"/>
    <cellStyle name="Comma 3 2 3" xfId="22" xr:uid="{D97AF0DB-1A4D-4064-A763-52ABAF86B27F}"/>
    <cellStyle name="Comma 3 2 3 2" xfId="52" xr:uid="{31DC04B7-215A-4E82-BC39-4565D302D1F3}"/>
    <cellStyle name="Comma 3 2 4" xfId="41" xr:uid="{85DD766A-6468-4890-9495-277D9F5068AC}"/>
    <cellStyle name="Comma 3 3" xfId="30" xr:uid="{781063DD-3B25-4D54-97D6-CC42021769FF}"/>
    <cellStyle name="Comma 3 3 2" xfId="60" xr:uid="{236DA8E7-CD70-4E20-A470-D0035AFB15C8}"/>
    <cellStyle name="Comma 3 4" xfId="49" xr:uid="{FC0E5382-687B-4F0C-AD7C-1EEDEC1A1517}"/>
    <cellStyle name="Comma 4" xfId="11" xr:uid="{12C46840-A395-418D-9136-2E3FB4A61235}"/>
    <cellStyle name="Comma 4 2" xfId="25" xr:uid="{0D9D81FE-278B-4D3D-99C1-716085E07A6A}"/>
    <cellStyle name="Comma 4 2 2" xfId="55" xr:uid="{55B5DD66-3820-4EE5-AC75-E9F5F9D6A002}"/>
    <cellStyle name="Comma 4 3" xfId="44" xr:uid="{06A86941-3CDB-4E7F-9E57-FE47C8390DC2}"/>
    <cellStyle name="Comma 5" xfId="38" xr:uid="{9F77A0C1-429C-4E91-A327-1335FCF8169F}"/>
    <cellStyle name="Comma 5 2" xfId="62" xr:uid="{8D25F225-A8A1-415F-A8DB-A7C0EB509D6B}"/>
    <cellStyle name="Comma 6" xfId="64" xr:uid="{A9958476-B1E5-4B67-9E5D-505E8D259FAC}"/>
    <cellStyle name="Currency" xfId="66" builtinId="4"/>
    <cellStyle name="Currency 2" xfId="12" xr:uid="{CA0D015C-212F-4A04-B8F2-0E56F53A116E}"/>
    <cellStyle name="Currency 2 2" xfId="5" xr:uid="{CAB0B02F-56A4-417A-932C-BFE425D0ECBE}"/>
    <cellStyle name="Currency 2 2 2" xfId="21" xr:uid="{E4E033A1-3F6F-479C-818B-AB33D2C40121}"/>
    <cellStyle name="Currency 2 2 2 2" xfId="51" xr:uid="{3CA9F89A-1710-4120-87C7-8804D3BBE1DE}"/>
    <cellStyle name="Currency 2 2 3" xfId="40" xr:uid="{655C95F9-1F16-472C-A369-272C37203094}"/>
    <cellStyle name="Currency 2 2 4" xfId="82" xr:uid="{02774D58-CBB7-4ECD-B876-BC00023FD06E}"/>
    <cellStyle name="Currency 2 3" xfId="26" xr:uid="{E9A13B97-4250-4A33-A1F3-983E726C83EA}"/>
    <cellStyle name="Currency 2 3 2" xfId="56" xr:uid="{22568F30-88BF-48DB-AA1D-A28BBD3386A0}"/>
    <cellStyle name="Currency 2 4" xfId="45" xr:uid="{8A75C9EB-8A13-4FC1-A7EC-54145456AEA6}"/>
    <cellStyle name="Currency 2 5" xfId="78" xr:uid="{55DCFB9B-728D-4992-BF0D-11E3BDAAE123}"/>
    <cellStyle name="Currency 3" xfId="61" xr:uid="{5644402C-E423-4819-AC4B-C2D830EFE11F}"/>
    <cellStyle name="Currency 4" xfId="4" xr:uid="{1B6D43A0-D9B5-4D85-8680-224E1270E789}"/>
    <cellStyle name="Currency 4 2" xfId="20" xr:uid="{D5681E65-A782-4D86-B276-96EC28957B43}"/>
    <cellStyle name="Currency 4 2 2" xfId="50" xr:uid="{2791C78C-6944-4D25-B003-D950061E2DD6}"/>
    <cellStyle name="Currency 4 3" xfId="39" xr:uid="{1F25BBC4-C2B1-4FA7-AEF2-C195084FE3B4}"/>
    <cellStyle name="Currency 5" xfId="31" xr:uid="{DE08B425-91D2-4BCF-9B27-3B97AD390FEF}"/>
    <cellStyle name="Currency 6" xfId="79" xr:uid="{77520684-890B-4AEA-ABB9-B97CE2B42949}"/>
    <cellStyle name="Heading 2 10" xfId="32" xr:uid="{17BF5CB6-C22B-4382-8DAE-C86280661835}"/>
    <cellStyle name="Heading 3 Output" xfId="35" xr:uid="{2A1D1AD6-95A5-41A9-B961-9C300EE73B5A}"/>
    <cellStyle name="Heading 4 Output" xfId="36" xr:uid="{E0FAC601-C40A-4885-B877-B33711F055D4}"/>
    <cellStyle name="Hyperlink 2" xfId="71" xr:uid="{6E607DCE-92B4-4A76-8E74-F188B7AE1D96}"/>
    <cellStyle name="Hyperlink 3" xfId="76" xr:uid="{7F1A8809-A638-4A57-B034-6C35025A1AFA}"/>
    <cellStyle name="Input1" xfId="13" xr:uid="{89C64BA7-AA54-4ADD-9642-5338186ACE2F}"/>
    <cellStyle name="Input1 2" xfId="27" xr:uid="{59017186-8F48-45D2-8536-483FE78B2267}"/>
    <cellStyle name="Input1 2 2" xfId="57" xr:uid="{B0F1AB70-472D-444F-825C-6174CE0EAF86}"/>
    <cellStyle name="Input1 3" xfId="46" xr:uid="{69072029-8B70-45C3-BF32-43D544CA9293}"/>
    <cellStyle name="Input3" xfId="14" xr:uid="{DD7F6B7A-A9CF-4A23-8D4E-65B9D38694DB}"/>
    <cellStyle name="Input3 2" xfId="28" xr:uid="{CD6409AB-4285-4C06-8F36-A01E7B0BCB31}"/>
    <cellStyle name="Input3 2 2" xfId="58" xr:uid="{5A7D46DF-012E-4D0A-9E86-CED7F8C394C4}"/>
    <cellStyle name="Input3 3" xfId="47" xr:uid="{D452B34A-8B13-4954-8728-A2E2F2D19AF1}"/>
    <cellStyle name="Normal" xfId="0" builtinId="0"/>
    <cellStyle name="Normal 10" xfId="81" xr:uid="{94F48EFF-8927-4BB2-8D3A-DD8CB79AF677}"/>
    <cellStyle name="Normal 13" xfId="74" xr:uid="{E43AE7B5-EFB0-4F0F-80E9-272525557F22}"/>
    <cellStyle name="Normal 2" xfId="10" xr:uid="{E2A25AC5-C1FC-4808-830F-667DB7CFF2EB}"/>
    <cellStyle name="Normal 2 10" xfId="73" xr:uid="{258F56F0-CADF-4867-960B-0287C3741856}"/>
    <cellStyle name="Normal 2 19" xfId="80" xr:uid="{C65DBFC9-0957-49E4-B12B-8E765EB303CD}"/>
    <cellStyle name="Normal 2 2" xfId="2" xr:uid="{0EBACF38-8ABE-4667-A3F0-B941ABAFEA70}"/>
    <cellStyle name="Normal 2 2 2" xfId="83" xr:uid="{32C6D04E-F64D-4E19-92D2-34DB5B416C13}"/>
    <cellStyle name="Normal 2 3" xfId="1" xr:uid="{4A64C658-17DA-4D09-A723-1258712CD991}"/>
    <cellStyle name="Normal 2 4" xfId="70" xr:uid="{E83FD4B9-0AA6-4073-8F57-F4BD5B046A62}"/>
    <cellStyle name="Normal 3" xfId="63" xr:uid="{7C0DBD61-B847-47CF-AF04-2D4B07C010C0}"/>
    <cellStyle name="Normal 3 2" xfId="68" xr:uid="{92317CA5-7134-4A8A-813F-98B345063425}"/>
    <cellStyle name="Normal 3 3" xfId="75" xr:uid="{A32621F6-9456-456C-BE71-BFA9E9508325}"/>
    <cellStyle name="Normal 334" xfId="34" xr:uid="{A72C540C-869D-462D-8B07-E5A4980EB3D8}"/>
    <cellStyle name="Normal 4" xfId="65" xr:uid="{D1FDFE7A-9A55-4A92-A521-26B546BF00BA}"/>
    <cellStyle name="Normal 4 10" xfId="33" xr:uid="{4B95556B-8ED3-430E-B370-86A676E19D3E}"/>
    <cellStyle name="Normal 4 3" xfId="3" xr:uid="{21C484D7-79A6-4411-B029-23E9C6E3219A}"/>
    <cellStyle name="Normal 5 3" xfId="69" xr:uid="{6A05A9E2-C97F-464B-8E61-6AE297F8932F}"/>
    <cellStyle name="Normal 5 3 4" xfId="77" xr:uid="{417F752B-2811-49A8-A8E9-C5D95A444B97}"/>
    <cellStyle name="Number Assumptions" xfId="37" xr:uid="{8A656378-DBC3-4402-A3DF-E09D123BED33}"/>
    <cellStyle name="Percent" xfId="67" builtinId="5"/>
    <cellStyle name="Percent 2" xfId="17" xr:uid="{CFFCBDE6-8AF0-4423-A03A-5189399B0E2B}"/>
    <cellStyle name="Percent 2 2" xfId="8" xr:uid="{D0F62ED0-D77C-4277-82A1-96A3142CCFEC}"/>
    <cellStyle name="Percent 3" xfId="15" xr:uid="{97B0FDF3-5EA8-4AD2-BEAF-B7A6DC7E834C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3</xdr:row>
      <xdr:rowOff>31750</xdr:rowOff>
    </xdr:from>
    <xdr:to>
      <xdr:col>12</xdr:col>
      <xdr:colOff>232419</xdr:colOff>
      <xdr:row>40</xdr:row>
      <xdr:rowOff>41102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C8ABBC-82B7-419E-A0CA-AEFBBAF33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" y="571500"/>
          <a:ext cx="7542857" cy="64704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5-30%20RRP\ERG%20Submitted\Ergon%20Energy%20-%2011.04%20-%20Public%20Lighting%20PTRM%20to%20Pricing%20Inputs%20Intermediary%20Model%20-%20November%202024%20-%20Public_4.xlsx" TargetMode="External"/><Relationship Id="rId1" Type="http://schemas.openxmlformats.org/officeDocument/2006/relationships/externalLinkPath" Target="/2025-30%20RRP/ERG%20Submitted/Ergon%20Energy%20-%2011.04%20-%20Public%20Lighting%20PTRM%20to%20Pricing%20Inputs%20Intermediary%20Model%20-%20November%202024%20-%20Public_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5-30%20RRP\Ergon%20RRP%20Models\Ergon%20Energy%20-%2011.03%20-%20Public%20Lighting%20PTRM%20-%20November%20%202024%20-%20Public.xlsm" TargetMode="External"/><Relationship Id="rId1" Type="http://schemas.openxmlformats.org/officeDocument/2006/relationships/externalLinkPath" Target="Ergon%20Energy%20-%2011.03%20-%20Public%20Lighting%20PTRM%20-%20November%20%202024%20-%20Public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5-30%20RRP\ERG%20Submitted\Ergon%20Energy%20-%2011.05%20-%20Public%20Lighting%20Pricing%20Model%20-%20November%202024%20-%20Public_4.xlsx" TargetMode="External"/><Relationship Id="rId1" Type="http://schemas.openxmlformats.org/officeDocument/2006/relationships/externalLinkPath" Target="/2025-30%20RRP/ERG%20Submitted/Ergon%20Energy%20-%2011.05%20-%20Public%20Lighting%20Pricing%20Model%20-%20November%202024%20-%20Public_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RP changes"/>
      <sheetName val="Purpose"/>
      <sheetName val="Allocations"/>
      <sheetName val="CPI"/>
      <sheetName val="PTRM output"/>
      <sheetName val="Pricing Input"/>
      <sheetName val="Table for reg proposals"/>
    </sheetNames>
    <sheetDataSet>
      <sheetData sheetId="0"/>
      <sheetData sheetId="1"/>
      <sheetData sheetId="2"/>
      <sheetData sheetId="3"/>
      <sheetData sheetId="4"/>
      <sheetData sheetId="5">
        <row r="21">
          <cell r="L21">
            <v>2106656.4849888347</v>
          </cell>
          <cell r="M21">
            <v>1506335.1290621075</v>
          </cell>
          <cell r="N21">
            <v>957757.92024493217</v>
          </cell>
          <cell r="O21">
            <v>457535.84074996237</v>
          </cell>
          <cell r="P21">
            <v>0</v>
          </cell>
        </row>
        <row r="22">
          <cell r="L22">
            <v>11106455.348376246</v>
          </cell>
          <cell r="M22">
            <v>9075274.8534747008</v>
          </cell>
          <cell r="N22">
            <v>9588175.2172842007</v>
          </cell>
          <cell r="O22">
            <v>9569679.1310359072</v>
          </cell>
          <cell r="P22">
            <v>8503033.9785876535</v>
          </cell>
        </row>
        <row r="24">
          <cell r="L24">
            <v>9054422.4936291035</v>
          </cell>
          <cell r="M24">
            <v>9576559.6517836023</v>
          </cell>
          <cell r="N24">
            <v>10035698.087074436</v>
          </cell>
          <cell r="O24">
            <v>10449990.141301448</v>
          </cell>
          <cell r="P24">
            <v>10837674.342780726</v>
          </cell>
        </row>
        <row r="25">
          <cell r="L25">
            <v>4834631.3985803314</v>
          </cell>
          <cell r="M25">
            <v>7279434.5452794991</v>
          </cell>
          <cell r="N25">
            <v>8029700.6450185571</v>
          </cell>
          <cell r="O25">
            <v>9397757.8151212316</v>
          </cell>
          <cell r="P25">
            <v>11875064.556888521</v>
          </cell>
        </row>
        <row r="26">
          <cell r="L26">
            <v>0</v>
          </cell>
          <cell r="M26">
            <v>1203052.3937781453</v>
          </cell>
          <cell r="N26">
            <v>1661396.6260785961</v>
          </cell>
          <cell r="O26">
            <v>2148333.145138978</v>
          </cell>
          <cell r="P26">
            <v>2663369.3907150528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ER NRs"/>
      <sheetName val="AER lookups"/>
      <sheetName val="AER ETL"/>
      <sheetName val="Business &amp; other details"/>
      <sheetName val="Draft Decision changes"/>
      <sheetName val="RRP changes"/>
      <sheetName val="Cover page"/>
      <sheetName val="Intro"/>
      <sheetName val="DMS input"/>
      <sheetName val="PTRM input"/>
      <sheetName val="WACC"/>
      <sheetName val="Assets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definedNames>
      <definedName name="vanilla01" refersTo="='WACC'!$G$18"/>
      <definedName name="vanilla02" refersTo="='WACC'!$H$18"/>
      <definedName name="vanilla03" refersTo="='WACC'!$I$18"/>
      <definedName name="vanilla04" refersTo="='WACC'!$J$18"/>
      <definedName name="vanilla05" refersTo="='WACC'!$K$18"/>
    </definedNames>
    <sheetDataSet>
      <sheetData sheetId="0"/>
      <sheetData sheetId="1">
        <row r="18">
          <cell r="G18" t="str">
            <v>Distribution</v>
          </cell>
          <cell r="H18" t="str">
            <v>Revenue cap</v>
          </cell>
          <cell r="I18" t="str">
            <v>Financial</v>
          </cell>
          <cell r="J18" t="str">
            <v>June</v>
          </cell>
          <cell r="K18">
            <v>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8">
          <cell r="G18">
            <v>5.8794879083977666E-2</v>
          </cell>
          <cell r="H18">
            <v>5.8979651866098076E-2</v>
          </cell>
          <cell r="I18">
            <v>5.9415214021040851E-2</v>
          </cell>
          <cell r="J18">
            <v>6.020973600812727E-2</v>
          </cell>
          <cell r="K18">
            <v>6.1027558664160611E-2</v>
          </cell>
        </row>
      </sheetData>
      <sheetData sheetId="11"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</sheetData>
      <sheetData sheetId="12">
        <row r="18">
          <cell r="G18">
            <v>52.68583719351534</v>
          </cell>
          <cell r="H18">
            <v>56.901092947257645</v>
          </cell>
          <cell r="I18">
            <v>61.028267504892703</v>
          </cell>
          <cell r="J18">
            <v>65.046084834526695</v>
          </cell>
          <cell r="K18">
            <v>68.943564262636144</v>
          </cell>
        </row>
      </sheetData>
      <sheetData sheetId="13"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</sheetData>
      <sheetData sheetId="14"/>
      <sheetData sheetId="15">
        <row r="18">
          <cell r="G18">
            <v>-1.4867946165324358E-2</v>
          </cell>
          <cell r="H18">
            <v>5.3213829243860582E-2</v>
          </cell>
          <cell r="I18">
            <v>5.3213829243860582E-2</v>
          </cell>
          <cell r="J18">
            <v>5.3213829243860582E-2</v>
          </cell>
          <cell r="K18">
            <v>5.3213829243860582E-2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RP changes"/>
      <sheetName val="Cover page"/>
      <sheetName val="Inputs"/>
      <sheetName val="Calculations"/>
      <sheetName val="Output"/>
      <sheetName val="Import Q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">
          <cell r="E8">
            <v>21456</v>
          </cell>
          <cell r="F8">
            <v>17165</v>
          </cell>
          <cell r="G8">
            <v>12874</v>
          </cell>
          <cell r="H8">
            <v>8582</v>
          </cell>
          <cell r="I8">
            <v>4291</v>
          </cell>
        </row>
        <row r="9">
          <cell r="E9">
            <v>13903</v>
          </cell>
          <cell r="F9">
            <v>11122</v>
          </cell>
          <cell r="G9">
            <v>8342</v>
          </cell>
          <cell r="H9">
            <v>5561</v>
          </cell>
          <cell r="I9">
            <v>2781</v>
          </cell>
        </row>
        <row r="10">
          <cell r="E10">
            <v>8073.2</v>
          </cell>
          <cell r="F10">
            <v>11949</v>
          </cell>
          <cell r="G10">
            <v>16332</v>
          </cell>
          <cell r="H10">
            <v>20718</v>
          </cell>
          <cell r="I10">
            <v>25105</v>
          </cell>
        </row>
        <row r="11">
          <cell r="E11">
            <v>61189.4</v>
          </cell>
          <cell r="F11">
            <v>62739</v>
          </cell>
          <cell r="G11">
            <v>65807</v>
          </cell>
          <cell r="H11">
            <v>68880</v>
          </cell>
          <cell r="I11">
            <v>71956</v>
          </cell>
        </row>
        <row r="13">
          <cell r="E13">
            <v>17165</v>
          </cell>
          <cell r="F13">
            <v>12874</v>
          </cell>
          <cell r="G13">
            <v>8582</v>
          </cell>
          <cell r="H13">
            <v>4291</v>
          </cell>
          <cell r="I13">
            <v>0</v>
          </cell>
        </row>
        <row r="14">
          <cell r="E14">
            <v>11122</v>
          </cell>
          <cell r="F14">
            <v>8342</v>
          </cell>
          <cell r="G14">
            <v>5561</v>
          </cell>
          <cell r="H14">
            <v>2781</v>
          </cell>
          <cell r="I14">
            <v>0</v>
          </cell>
        </row>
        <row r="15">
          <cell r="E15">
            <v>11949</v>
          </cell>
          <cell r="F15">
            <v>16332</v>
          </cell>
          <cell r="G15">
            <v>20718</v>
          </cell>
          <cell r="H15">
            <v>25105</v>
          </cell>
          <cell r="I15">
            <v>29494.000000000004</v>
          </cell>
        </row>
        <row r="16">
          <cell r="E16">
            <v>62739</v>
          </cell>
          <cell r="F16">
            <v>65807</v>
          </cell>
          <cell r="G16">
            <v>68880</v>
          </cell>
          <cell r="H16">
            <v>71956</v>
          </cell>
          <cell r="I16">
            <v>75037</v>
          </cell>
        </row>
        <row r="26">
          <cell r="E26">
            <v>10244</v>
          </cell>
          <cell r="F26">
            <v>8195</v>
          </cell>
          <cell r="G26">
            <v>6147</v>
          </cell>
          <cell r="H26">
            <v>4098</v>
          </cell>
          <cell r="I26">
            <v>2049</v>
          </cell>
        </row>
        <row r="27">
          <cell r="E27">
            <v>13129</v>
          </cell>
          <cell r="F27">
            <v>10503</v>
          </cell>
          <cell r="G27">
            <v>7878</v>
          </cell>
          <cell r="H27">
            <v>5252</v>
          </cell>
          <cell r="I27">
            <v>2626</v>
          </cell>
        </row>
        <row r="28">
          <cell r="E28">
            <v>4644</v>
          </cell>
          <cell r="F28">
            <v>6700</v>
          </cell>
          <cell r="G28">
            <v>8755</v>
          </cell>
          <cell r="H28">
            <v>10811</v>
          </cell>
          <cell r="I28">
            <v>12867</v>
          </cell>
        </row>
        <row r="29">
          <cell r="E29">
            <v>25546</v>
          </cell>
          <cell r="F29">
            <v>29680</v>
          </cell>
          <cell r="G29">
            <v>32331</v>
          </cell>
          <cell r="H29">
            <v>34983</v>
          </cell>
          <cell r="I29">
            <v>37636</v>
          </cell>
        </row>
        <row r="31">
          <cell r="E31">
            <v>8195</v>
          </cell>
          <cell r="F31">
            <v>6147</v>
          </cell>
          <cell r="G31">
            <v>4098</v>
          </cell>
          <cell r="H31">
            <v>2049</v>
          </cell>
          <cell r="I31">
            <v>0</v>
          </cell>
        </row>
        <row r="32">
          <cell r="E32">
            <v>10503</v>
          </cell>
          <cell r="F32">
            <v>7878</v>
          </cell>
          <cell r="G32">
            <v>5252</v>
          </cell>
          <cell r="H32">
            <v>2626</v>
          </cell>
          <cell r="I32">
            <v>0</v>
          </cell>
        </row>
        <row r="33">
          <cell r="E33">
            <v>6700</v>
          </cell>
          <cell r="F33">
            <v>8755</v>
          </cell>
          <cell r="G33">
            <v>10811</v>
          </cell>
          <cell r="H33">
            <v>12867</v>
          </cell>
          <cell r="I33">
            <v>14923.000000000004</v>
          </cell>
        </row>
        <row r="34">
          <cell r="E34">
            <v>29680</v>
          </cell>
          <cell r="F34">
            <v>32331</v>
          </cell>
          <cell r="G34">
            <v>34983</v>
          </cell>
          <cell r="H34">
            <v>37636</v>
          </cell>
          <cell r="I34">
            <v>40290</v>
          </cell>
        </row>
        <row r="44">
          <cell r="E44">
            <v>2049</v>
          </cell>
          <cell r="F44">
            <v>4098</v>
          </cell>
          <cell r="G44">
            <v>6146</v>
          </cell>
          <cell r="H44">
            <v>8195</v>
          </cell>
          <cell r="I44">
            <v>10244</v>
          </cell>
        </row>
        <row r="45">
          <cell r="E45">
            <v>2626</v>
          </cell>
          <cell r="F45">
            <v>5252</v>
          </cell>
          <cell r="G45">
            <v>7877</v>
          </cell>
          <cell r="H45">
            <v>10503</v>
          </cell>
          <cell r="I45">
            <v>13129</v>
          </cell>
        </row>
        <row r="47">
          <cell r="E47">
            <v>4098</v>
          </cell>
          <cell r="F47">
            <v>6146</v>
          </cell>
          <cell r="G47">
            <v>8195</v>
          </cell>
          <cell r="H47">
            <v>10244</v>
          </cell>
          <cell r="I47">
            <v>12293.000000000004</v>
          </cell>
        </row>
        <row r="48">
          <cell r="E48">
            <v>5252</v>
          </cell>
          <cell r="F48">
            <v>7877</v>
          </cell>
          <cell r="G48">
            <v>10503</v>
          </cell>
          <cell r="H48">
            <v>13129</v>
          </cell>
          <cell r="I48">
            <v>15755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C73D3-40EB-4387-87D6-61CADC21DA23}">
  <sheetPr>
    <tabColor theme="9" tint="0.39997558519241921"/>
  </sheetPr>
  <dimension ref="A1:F24"/>
  <sheetViews>
    <sheetView workbookViewId="0">
      <selection activeCell="C26" sqref="C26"/>
    </sheetView>
  </sheetViews>
  <sheetFormatPr defaultRowHeight="15" x14ac:dyDescent="0.25"/>
  <cols>
    <col min="2" max="2" width="38.85546875" bestFit="1" customWidth="1"/>
    <col min="3" max="6" width="20.85546875" customWidth="1"/>
  </cols>
  <sheetData>
    <row r="1" spans="1:6" ht="18.75" x14ac:dyDescent="0.3">
      <c r="A1" s="167" t="s">
        <v>139</v>
      </c>
    </row>
    <row r="2" spans="1:6" ht="18.75" x14ac:dyDescent="0.3">
      <c r="A2" s="167"/>
    </row>
    <row r="3" spans="1:6" ht="18.75" x14ac:dyDescent="0.3">
      <c r="A3" s="167"/>
      <c r="B3" s="168"/>
      <c r="C3" s="168" t="s">
        <v>115</v>
      </c>
      <c r="D3" s="168" t="s">
        <v>114</v>
      </c>
      <c r="E3" s="168" t="s">
        <v>116</v>
      </c>
    </row>
    <row r="4" spans="1:6" ht="18.75" x14ac:dyDescent="0.3">
      <c r="A4" s="167"/>
      <c r="B4" s="13" t="s">
        <v>140</v>
      </c>
      <c r="C4" s="169">
        <v>-0.06</v>
      </c>
      <c r="D4" s="169">
        <v>-0.06</v>
      </c>
      <c r="E4" s="169">
        <v>-0.06</v>
      </c>
    </row>
    <row r="5" spans="1:6" ht="18.75" x14ac:dyDescent="0.3">
      <c r="A5" s="167"/>
    </row>
    <row r="7" spans="1:6" x14ac:dyDescent="0.25">
      <c r="C7" s="186" t="s">
        <v>141</v>
      </c>
      <c r="D7" s="186"/>
      <c r="E7" s="186"/>
      <c r="F7" s="186"/>
    </row>
    <row r="8" spans="1:6" x14ac:dyDescent="0.25">
      <c r="B8" s="3" t="s">
        <v>3</v>
      </c>
      <c r="C8" s="168" t="s">
        <v>142</v>
      </c>
      <c r="D8" s="168" t="s">
        <v>143</v>
      </c>
      <c r="E8" s="168" t="s">
        <v>144</v>
      </c>
      <c r="F8" s="168" t="s">
        <v>145</v>
      </c>
    </row>
    <row r="9" spans="1:6" x14ac:dyDescent="0.25">
      <c r="B9" s="12" t="s">
        <v>37</v>
      </c>
      <c r="C9" s="21"/>
    </row>
    <row r="10" spans="1:6" x14ac:dyDescent="0.25">
      <c r="B10" s="13" t="s">
        <v>9</v>
      </c>
      <c r="C10" s="170">
        <v>413.12292956252139</v>
      </c>
      <c r="D10" s="170">
        <v>416.39204001447337</v>
      </c>
      <c r="E10" s="170">
        <f>C10-D10</f>
        <v>-3.269110451951974</v>
      </c>
      <c r="F10" s="171">
        <f>E10/D10</f>
        <v>-7.8510397361062495E-3</v>
      </c>
    </row>
    <row r="11" spans="1:6" x14ac:dyDescent="0.25">
      <c r="B11" s="13" t="s">
        <v>10</v>
      </c>
      <c r="C11" s="170">
        <v>246.12582030128982</v>
      </c>
      <c r="D11" s="170">
        <v>248.07345485281238</v>
      </c>
      <c r="E11" s="170">
        <f t="shared" ref="E11:E13" si="0">C11-D11</f>
        <v>-1.9476345515225546</v>
      </c>
      <c r="F11" s="171">
        <f t="shared" ref="F11:F23" si="1">E11/D11</f>
        <v>-7.851039736106109E-3</v>
      </c>
    </row>
    <row r="12" spans="1:6" x14ac:dyDescent="0.25">
      <c r="B12" s="13" t="s">
        <v>11</v>
      </c>
      <c r="C12" s="170">
        <v>162.71580331705403</v>
      </c>
      <c r="D12" s="170">
        <v>163.13832968014935</v>
      </c>
      <c r="E12" s="170">
        <f t="shared" si="0"/>
        <v>-0.42252636309532932</v>
      </c>
      <c r="F12" s="171">
        <f t="shared" si="1"/>
        <v>-2.5899882873861631E-3</v>
      </c>
    </row>
    <row r="13" spans="1:6" x14ac:dyDescent="0.25">
      <c r="B13" s="13" t="s">
        <v>12</v>
      </c>
      <c r="C13" s="170">
        <v>103.25228428817258</v>
      </c>
      <c r="D13" s="170">
        <v>103.5204009140455</v>
      </c>
      <c r="E13" s="170">
        <f t="shared" si="0"/>
        <v>-0.26811662587292062</v>
      </c>
      <c r="F13" s="171">
        <f t="shared" si="1"/>
        <v>-2.5899882873863848E-3</v>
      </c>
    </row>
    <row r="14" spans="1:6" x14ac:dyDescent="0.25">
      <c r="B14" s="13"/>
      <c r="C14" s="172"/>
      <c r="D14" s="170"/>
      <c r="E14" s="170"/>
      <c r="F14" s="171"/>
    </row>
    <row r="15" spans="1:6" x14ac:dyDescent="0.25">
      <c r="B15" s="12" t="s">
        <v>14</v>
      </c>
      <c r="C15" s="172"/>
      <c r="D15" s="170"/>
      <c r="E15" s="170"/>
      <c r="F15" s="171"/>
    </row>
    <row r="16" spans="1:6" x14ac:dyDescent="0.25">
      <c r="B16" s="13" t="s">
        <v>9</v>
      </c>
      <c r="C16" s="170">
        <v>166.83262330424697</v>
      </c>
      <c r="D16" s="170">
        <v>168.15279759994152</v>
      </c>
      <c r="E16" s="170">
        <f t="shared" ref="E16:E19" si="2">C16-D16</f>
        <v>-1.3201742956945566</v>
      </c>
      <c r="F16" s="171">
        <f t="shared" si="1"/>
        <v>-7.8510397361061558E-3</v>
      </c>
    </row>
    <row r="17" spans="2:6" x14ac:dyDescent="0.25">
      <c r="B17" s="13" t="s">
        <v>10</v>
      </c>
      <c r="C17" s="170">
        <v>109.29543555103389</v>
      </c>
      <c r="D17" s="170">
        <v>110.16030851049146</v>
      </c>
      <c r="E17" s="170">
        <f t="shared" si="2"/>
        <v>-0.86487295945757126</v>
      </c>
      <c r="F17" s="171">
        <f t="shared" si="1"/>
        <v>-7.8510397361060622E-3</v>
      </c>
    </row>
    <row r="18" spans="2:6" x14ac:dyDescent="0.25">
      <c r="B18" s="13" t="s">
        <v>11</v>
      </c>
      <c r="C18" s="170">
        <v>118.83680510020763</v>
      </c>
      <c r="D18" s="170">
        <v>119.14539026549132</v>
      </c>
      <c r="E18" s="170">
        <f t="shared" si="2"/>
        <v>-0.30858516528368796</v>
      </c>
      <c r="F18" s="171">
        <f t="shared" si="1"/>
        <v>-2.5899882873862646E-3</v>
      </c>
    </row>
    <row r="19" spans="2:6" x14ac:dyDescent="0.25">
      <c r="B19" s="13" t="s">
        <v>12</v>
      </c>
      <c r="C19" s="170">
        <v>78.876495325758825</v>
      </c>
      <c r="D19" s="170">
        <v>79.081315005373838</v>
      </c>
      <c r="E19" s="170">
        <f t="shared" si="2"/>
        <v>-0.20481967961501368</v>
      </c>
      <c r="F19" s="171">
        <f t="shared" si="1"/>
        <v>-2.5899882873861605E-3</v>
      </c>
    </row>
    <row r="20" spans="2:6" x14ac:dyDescent="0.25">
      <c r="B20" s="13"/>
      <c r="C20" s="172"/>
      <c r="D20" s="170"/>
      <c r="E20" s="170"/>
      <c r="F20" s="171"/>
    </row>
    <row r="21" spans="2:6" x14ac:dyDescent="0.25">
      <c r="B21" s="12" t="s">
        <v>106</v>
      </c>
      <c r="C21" s="172"/>
      <c r="D21" s="170"/>
      <c r="E21" s="170"/>
      <c r="F21" s="171"/>
    </row>
    <row r="22" spans="2:6" x14ac:dyDescent="0.25">
      <c r="B22" s="13" t="s">
        <v>11</v>
      </c>
      <c r="C22" s="170">
        <v>152.52224053019472</v>
      </c>
      <c r="D22" s="170">
        <v>152.98185310118768</v>
      </c>
      <c r="E22" s="170">
        <f t="shared" ref="E22:E23" si="3">C22-D22</f>
        <v>-0.45961257099295949</v>
      </c>
      <c r="F22" s="171">
        <f t="shared" si="1"/>
        <v>-3.0043600706611603E-3</v>
      </c>
    </row>
    <row r="23" spans="2:6" x14ac:dyDescent="0.25">
      <c r="B23" s="13" t="s">
        <v>12</v>
      </c>
      <c r="C23" s="170">
        <v>99.920413524677997</v>
      </c>
      <c r="D23" s="170">
        <v>100.22151504269343</v>
      </c>
      <c r="E23" s="170">
        <f t="shared" si="3"/>
        <v>-0.30110151801542884</v>
      </c>
      <c r="F23" s="171">
        <f t="shared" si="1"/>
        <v>-3.0043600706610991E-3</v>
      </c>
    </row>
    <row r="24" spans="2:6" x14ac:dyDescent="0.25">
      <c r="D24" s="145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EAEC9-9A2D-439F-BC6D-42F073F531F3}">
  <dimension ref="A1:B3"/>
  <sheetViews>
    <sheetView workbookViewId="0">
      <selection activeCell="E19" sqref="E19"/>
    </sheetView>
  </sheetViews>
  <sheetFormatPr defaultRowHeight="15" x14ac:dyDescent="0.25"/>
  <cols>
    <col min="1" max="1" width="26.7109375" customWidth="1"/>
    <col min="2" max="2" width="70.140625" customWidth="1"/>
  </cols>
  <sheetData>
    <row r="1" spans="1:2" x14ac:dyDescent="0.25">
      <c r="A1" s="158" t="s">
        <v>120</v>
      </c>
      <c r="B1" s="158" t="s">
        <v>121</v>
      </c>
    </row>
    <row r="2" spans="1:2" x14ac:dyDescent="0.25">
      <c r="A2" s="159" t="s">
        <v>146</v>
      </c>
      <c r="B2" t="s">
        <v>147</v>
      </c>
    </row>
    <row r="3" spans="1:2" x14ac:dyDescent="0.25">
      <c r="A3" s="159" t="s">
        <v>122</v>
      </c>
      <c r="B3" t="s">
        <v>148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C61C0-C095-4E3C-9853-95F2C9FAFF56}">
  <dimension ref="A1:B5"/>
  <sheetViews>
    <sheetView workbookViewId="0">
      <selection activeCell="B10" sqref="B10"/>
    </sheetView>
  </sheetViews>
  <sheetFormatPr defaultRowHeight="15" x14ac:dyDescent="0.25"/>
  <cols>
    <col min="1" max="1" width="26.7109375" customWidth="1"/>
    <col min="2" max="2" width="70.140625" customWidth="1"/>
  </cols>
  <sheetData>
    <row r="1" spans="1:2" x14ac:dyDescent="0.25">
      <c r="A1" s="158" t="s">
        <v>120</v>
      </c>
      <c r="B1" s="158" t="s">
        <v>121</v>
      </c>
    </row>
    <row r="2" spans="1:2" x14ac:dyDescent="0.25">
      <c r="A2" s="159" t="s">
        <v>123</v>
      </c>
      <c r="B2" t="s">
        <v>124</v>
      </c>
    </row>
    <row r="3" spans="1:2" x14ac:dyDescent="0.25">
      <c r="A3" t="s">
        <v>125</v>
      </c>
      <c r="B3" t="s">
        <v>126</v>
      </c>
    </row>
    <row r="4" spans="1:2" x14ac:dyDescent="0.25">
      <c r="A4" t="s">
        <v>122</v>
      </c>
      <c r="B4" t="s">
        <v>137</v>
      </c>
    </row>
    <row r="5" spans="1:2" x14ac:dyDescent="0.25">
      <c r="A5" t="s">
        <v>136</v>
      </c>
      <c r="B5" t="s">
        <v>138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5F4D7-AC8C-4C59-85AB-2567037403EC}">
  <dimension ref="A1:E3"/>
  <sheetViews>
    <sheetView showGridLines="0" showWhiteSpace="0" topLeftCell="A16" zoomScale="120" zoomScaleNormal="120" workbookViewId="0">
      <selection activeCell="N5" sqref="N5"/>
    </sheetView>
  </sheetViews>
  <sheetFormatPr defaultColWidth="8.85546875" defaultRowHeight="14.25" x14ac:dyDescent="0.2"/>
  <cols>
    <col min="1" max="16384" width="8.85546875" style="1"/>
  </cols>
  <sheetData>
    <row r="1" spans="1:5" ht="7.9" customHeight="1" x14ac:dyDescent="0.2"/>
    <row r="2" spans="1:5" ht="20.25" x14ac:dyDescent="0.3">
      <c r="A2" s="6" t="s">
        <v>91</v>
      </c>
      <c r="B2" s="7"/>
      <c r="C2" s="7"/>
      <c r="D2" s="7"/>
      <c r="E2" s="7"/>
    </row>
    <row r="3" spans="1:5" ht="15" x14ac:dyDescent="0.25">
      <c r="A3" s="8" t="s">
        <v>0</v>
      </c>
      <c r="B3" s="7"/>
      <c r="C3" s="7"/>
      <c r="D3" s="7"/>
      <c r="E3" s="7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77A46-1C99-47AF-A09D-FF80E3EE1030}">
  <dimension ref="A2:I68"/>
  <sheetViews>
    <sheetView topLeftCell="A51" zoomScale="130" zoomScaleNormal="130" workbookViewId="0">
      <selection activeCell="C53" sqref="C53"/>
    </sheetView>
  </sheetViews>
  <sheetFormatPr defaultColWidth="8.85546875" defaultRowHeight="14.25" x14ac:dyDescent="0.2"/>
  <cols>
    <col min="1" max="1" width="10.7109375" style="1" customWidth="1"/>
    <col min="2" max="2" width="52.140625" style="1" customWidth="1"/>
    <col min="3" max="7" width="16.7109375" style="1" customWidth="1"/>
    <col min="8" max="8" width="8.85546875" style="1"/>
    <col min="9" max="9" width="9.28515625" style="1" bestFit="1" customWidth="1"/>
    <col min="10" max="16384" width="8.85546875" style="1"/>
  </cols>
  <sheetData>
    <row r="2" spans="1:7" s="11" customFormat="1" ht="20.25" x14ac:dyDescent="0.3">
      <c r="A2" s="10"/>
      <c r="B2" s="2" t="s">
        <v>1</v>
      </c>
    </row>
    <row r="3" spans="1:7" x14ac:dyDescent="0.2">
      <c r="C3" s="48"/>
    </row>
    <row r="4" spans="1:7" ht="15" x14ac:dyDescent="0.25">
      <c r="B4" s="9" t="s">
        <v>2</v>
      </c>
      <c r="C4" s="49"/>
      <c r="D4" s="4"/>
      <c r="E4" s="4"/>
      <c r="F4" s="4"/>
      <c r="G4" s="4"/>
    </row>
    <row r="5" spans="1:7" x14ac:dyDescent="0.2">
      <c r="B5" s="46" t="s">
        <v>127</v>
      </c>
      <c r="C5" s="50" t="s">
        <v>45</v>
      </c>
    </row>
    <row r="6" spans="1:7" x14ac:dyDescent="0.2">
      <c r="B6" s="46" t="s">
        <v>128</v>
      </c>
      <c r="C6" s="51" t="s">
        <v>44</v>
      </c>
    </row>
    <row r="7" spans="1:7" x14ac:dyDescent="0.2">
      <c r="B7" s="46" t="s">
        <v>76</v>
      </c>
      <c r="C7" s="50" t="s">
        <v>106</v>
      </c>
    </row>
    <row r="12" spans="1:7" s="11" customFormat="1" ht="20.25" x14ac:dyDescent="0.3">
      <c r="A12" s="10"/>
      <c r="B12" s="2" t="s">
        <v>15</v>
      </c>
    </row>
    <row r="13" spans="1:7" s="18" customFormat="1" ht="20.25" x14ac:dyDescent="0.3">
      <c r="A13" s="16"/>
      <c r="B13" s="17"/>
    </row>
    <row r="14" spans="1:7" ht="15" customHeight="1" x14ac:dyDescent="0.25">
      <c r="B14" s="3" t="s">
        <v>3</v>
      </c>
      <c r="C14" s="15" t="s">
        <v>4</v>
      </c>
      <c r="D14" s="15" t="s">
        <v>5</v>
      </c>
      <c r="E14" s="15" t="s">
        <v>6</v>
      </c>
      <c r="F14" s="15" t="s">
        <v>7</v>
      </c>
      <c r="G14" s="15" t="s">
        <v>8</v>
      </c>
    </row>
    <row r="15" spans="1:7" ht="15" customHeight="1" x14ac:dyDescent="0.25">
      <c r="B15" s="35" t="s">
        <v>16</v>
      </c>
      <c r="C15" s="14"/>
      <c r="D15" s="14"/>
      <c r="E15" s="14"/>
      <c r="F15" s="14"/>
      <c r="G15" s="14"/>
    </row>
    <row r="16" spans="1:7" x14ac:dyDescent="0.2">
      <c r="B16" s="14" t="s">
        <v>17</v>
      </c>
      <c r="C16" s="163">
        <f>'[1]Pricing Input'!L$21</f>
        <v>2106656.4849888347</v>
      </c>
      <c r="D16" s="163">
        <f>'[1]Pricing Input'!M$21</f>
        <v>1506335.1290621075</v>
      </c>
      <c r="E16" s="163">
        <f>'[1]Pricing Input'!N$21</f>
        <v>957757.92024493217</v>
      </c>
      <c r="F16" s="163">
        <f>'[1]Pricing Input'!O$21</f>
        <v>457535.84074996237</v>
      </c>
      <c r="G16" s="163">
        <f>'[1]Pricing Input'!P$21</f>
        <v>0</v>
      </c>
    </row>
    <row r="17" spans="2:9" x14ac:dyDescent="0.2">
      <c r="B17" s="14" t="s">
        <v>83</v>
      </c>
      <c r="C17" s="163">
        <f>'[1]Pricing Input'!L$24</f>
        <v>9054422.4936291035</v>
      </c>
      <c r="D17" s="163">
        <f>'[1]Pricing Input'!M$24</f>
        <v>9576559.6517836023</v>
      </c>
      <c r="E17" s="163">
        <f>'[1]Pricing Input'!N$24</f>
        <v>10035698.087074436</v>
      </c>
      <c r="F17" s="163">
        <f>'[1]Pricing Input'!O$24</f>
        <v>10449990.141301448</v>
      </c>
      <c r="G17" s="163">
        <f>'[1]Pricing Input'!P$24</f>
        <v>10837674.342780726</v>
      </c>
    </row>
    <row r="18" spans="2:9" x14ac:dyDescent="0.2">
      <c r="B18" s="138" t="s">
        <v>84</v>
      </c>
      <c r="C18" s="44">
        <f>Calculations!C50*(Calculations!C10+Calculations!C17)+Calculations!C51*(Calculations!C11+Calculations!C18)</f>
        <v>8418106.6567508616</v>
      </c>
      <c r="D18" s="44">
        <f>Calculations!D50*(Calculations!D10+Calculations!D17)+Calculations!D51*(Calculations!D11+Calculations!D18)</f>
        <v>8617914.5950218495</v>
      </c>
      <c r="E18" s="44">
        <f>Calculations!E50*(Calculations!E10+Calculations!E17)+Calculations!E51*(Calculations!E11+Calculations!E18)</f>
        <v>8810732.2415907178</v>
      </c>
      <c r="F18" s="44">
        <f>Calculations!F50*(Calculations!F10+Calculations!F17)+Calculations!F51*(Calculations!F11+Calculations!F18)</f>
        <v>8997443.8622194454</v>
      </c>
      <c r="G18" s="44">
        <f>Calculations!G50*(Calculations!G10+Calculations!G17)+Calculations!G51*(Calculations!G11+Calculations!G18)</f>
        <v>9185384.4497094788</v>
      </c>
    </row>
    <row r="19" spans="2:9" x14ac:dyDescent="0.2">
      <c r="B19" s="138" t="s">
        <v>107</v>
      </c>
      <c r="C19" s="44">
        <f>(Calculations!C50*Calculations!C23)+(Calculations!C51*Calculations!C24)</f>
        <v>636315.83687824127</v>
      </c>
      <c r="D19" s="44">
        <f>(Calculations!D50*Calculations!D23)+(Calculations!D51*Calculations!D24)</f>
        <v>958645.05676175375</v>
      </c>
      <c r="E19" s="44">
        <f>(Calculations!E50*Calculations!E23)+(Calculations!E51*Calculations!E24)</f>
        <v>1224965.8454837194</v>
      </c>
      <c r="F19" s="44">
        <f>(Calculations!F50*Calculations!F23)+(Calculations!F51*Calculations!F24)</f>
        <v>1452546.279082003</v>
      </c>
      <c r="G19" s="44">
        <f>(Calculations!G50*Calculations!G23)+(Calculations!G51*Calculations!G24)</f>
        <v>1652289.8930712473</v>
      </c>
    </row>
    <row r="20" spans="2:9" x14ac:dyDescent="0.2">
      <c r="B20" s="14"/>
      <c r="C20" s="14"/>
      <c r="D20" s="14"/>
      <c r="E20" s="14"/>
      <c r="F20" s="14"/>
      <c r="G20" s="14"/>
    </row>
    <row r="21" spans="2:9" ht="15" x14ac:dyDescent="0.25">
      <c r="B21" s="35" t="s">
        <v>19</v>
      </c>
      <c r="C21" s="14"/>
      <c r="D21" s="14"/>
      <c r="E21" s="14"/>
      <c r="F21" s="14"/>
      <c r="G21" s="14"/>
    </row>
    <row r="22" spans="2:9" x14ac:dyDescent="0.2">
      <c r="B22" s="14" t="s">
        <v>20</v>
      </c>
      <c r="C22" s="44"/>
      <c r="D22" s="44"/>
      <c r="E22" s="44"/>
      <c r="F22" s="44"/>
      <c r="G22" s="44"/>
      <c r="I22" s="41"/>
    </row>
    <row r="23" spans="2:9" x14ac:dyDescent="0.2">
      <c r="B23" s="14" t="s">
        <v>21</v>
      </c>
      <c r="C23" s="44"/>
      <c r="D23" s="44"/>
      <c r="E23" s="44"/>
      <c r="F23" s="44"/>
      <c r="G23" s="44"/>
      <c r="I23" s="39"/>
    </row>
    <row r="24" spans="2:9" x14ac:dyDescent="0.2">
      <c r="B24" s="14" t="s">
        <v>22</v>
      </c>
      <c r="C24" s="163">
        <f>'[1]Pricing Input'!L$22</f>
        <v>11106455.348376246</v>
      </c>
      <c r="D24" s="163">
        <f>'[1]Pricing Input'!M$22</f>
        <v>9075274.8534747008</v>
      </c>
      <c r="E24" s="163">
        <f>'[1]Pricing Input'!N$22</f>
        <v>9588175.2172842007</v>
      </c>
      <c r="F24" s="163">
        <f>'[1]Pricing Input'!O$22</f>
        <v>9569679.1310359072</v>
      </c>
      <c r="G24" s="163">
        <f>'[1]Pricing Input'!P$22</f>
        <v>8503033.9785876535</v>
      </c>
    </row>
    <row r="25" spans="2:9" x14ac:dyDescent="0.2">
      <c r="B25" s="14"/>
      <c r="C25" s="14"/>
      <c r="D25" s="14"/>
      <c r="E25" s="14"/>
      <c r="F25" s="14"/>
      <c r="G25" s="14"/>
    </row>
    <row r="26" spans="2:9" ht="15" x14ac:dyDescent="0.25">
      <c r="B26" s="35" t="s">
        <v>23</v>
      </c>
      <c r="C26" s="14"/>
      <c r="D26" s="14"/>
      <c r="E26" s="14"/>
      <c r="F26" s="14"/>
      <c r="G26" s="14"/>
    </row>
    <row r="27" spans="2:9" x14ac:dyDescent="0.2">
      <c r="B27" s="14" t="s">
        <v>77</v>
      </c>
      <c r="C27" s="163">
        <f>'[1]Pricing Input'!L$25</f>
        <v>4834631.3985803314</v>
      </c>
      <c r="D27" s="163">
        <f>'[1]Pricing Input'!M$25</f>
        <v>7279434.5452794991</v>
      </c>
      <c r="E27" s="163">
        <f>'[1]Pricing Input'!N$25</f>
        <v>8029700.6450185571</v>
      </c>
      <c r="F27" s="163">
        <f>'[1]Pricing Input'!O$25</f>
        <v>9397757.8151212316</v>
      </c>
      <c r="G27" s="163">
        <f>'[1]Pricing Input'!P$25</f>
        <v>11875064.556888521</v>
      </c>
      <c r="I27" s="41"/>
    </row>
    <row r="28" spans="2:9" x14ac:dyDescent="0.2">
      <c r="B28" s="14" t="s">
        <v>78</v>
      </c>
      <c r="C28" s="44">
        <v>0</v>
      </c>
      <c r="D28" s="44">
        <v>0</v>
      </c>
      <c r="E28" s="44">
        <v>0</v>
      </c>
      <c r="F28" s="44">
        <v>0</v>
      </c>
      <c r="G28" s="44">
        <v>0</v>
      </c>
      <c r="H28" s="134" t="s">
        <v>80</v>
      </c>
      <c r="I28" s="41"/>
    </row>
    <row r="29" spans="2:9" x14ac:dyDescent="0.2">
      <c r="B29" s="14" t="s">
        <v>112</v>
      </c>
      <c r="C29" s="163">
        <f>'[1]Pricing Input'!L$26</f>
        <v>0</v>
      </c>
      <c r="D29" s="163">
        <f>'[1]Pricing Input'!M$26</f>
        <v>1203052.3937781453</v>
      </c>
      <c r="E29" s="163">
        <f>'[1]Pricing Input'!N$26</f>
        <v>1661396.6260785961</v>
      </c>
      <c r="F29" s="163">
        <f>'[1]Pricing Input'!O$26</f>
        <v>2148333.145138978</v>
      </c>
      <c r="G29" s="163">
        <f>'[1]Pricing Input'!P$26</f>
        <v>2663369.3907150528</v>
      </c>
      <c r="H29" s="134"/>
    </row>
    <row r="30" spans="2:9" x14ac:dyDescent="0.2">
      <c r="B30" s="14" t="s">
        <v>24</v>
      </c>
      <c r="C30" s="44">
        <f>SUM(C27:C29)</f>
        <v>4834631.3985803314</v>
      </c>
      <c r="D30" s="44">
        <f>SUM(D27:D29)</f>
        <v>8482486.9390576445</v>
      </c>
      <c r="E30" s="44">
        <f t="shared" ref="E30:G30" si="0">SUM(E27:E29)</f>
        <v>9691097.2710971534</v>
      </c>
      <c r="F30" s="44">
        <f t="shared" si="0"/>
        <v>11546090.960260209</v>
      </c>
      <c r="G30" s="44">
        <f t="shared" si="0"/>
        <v>14538433.947603574</v>
      </c>
    </row>
    <row r="31" spans="2:9" x14ac:dyDescent="0.2">
      <c r="B31" s="14"/>
      <c r="C31" s="14"/>
      <c r="D31" s="14"/>
      <c r="E31" s="14"/>
      <c r="F31" s="14"/>
      <c r="G31" s="14"/>
    </row>
    <row r="32" spans="2:9" ht="15" x14ac:dyDescent="0.25">
      <c r="B32" s="35" t="s">
        <v>25</v>
      </c>
      <c r="C32" s="14"/>
      <c r="D32" s="14"/>
      <c r="E32" s="14"/>
      <c r="F32" s="14"/>
      <c r="G32" s="14"/>
    </row>
    <row r="33" spans="1:7" x14ac:dyDescent="0.2">
      <c r="B33" s="14" t="s">
        <v>17</v>
      </c>
      <c r="C33" s="36">
        <f>C16+C24</f>
        <v>13213111.833365081</v>
      </c>
      <c r="D33" s="36">
        <f t="shared" ref="D33:G33" si="1">D16+D24</f>
        <v>10581609.982536808</v>
      </c>
      <c r="E33" s="36">
        <f t="shared" si="1"/>
        <v>10545933.137529133</v>
      </c>
      <c r="F33" s="36">
        <f t="shared" si="1"/>
        <v>10027214.971785869</v>
      </c>
      <c r="G33" s="36">
        <f t="shared" si="1"/>
        <v>8503033.9785876535</v>
      </c>
    </row>
    <row r="34" spans="1:7" x14ac:dyDescent="0.2">
      <c r="B34" s="14" t="s">
        <v>18</v>
      </c>
      <c r="C34" s="36">
        <f>C17+C30</f>
        <v>13889053.892209435</v>
      </c>
      <c r="D34" s="36">
        <f t="shared" ref="D34:G34" si="2">D17+D30</f>
        <v>18059046.590841249</v>
      </c>
      <c r="E34" s="36">
        <f t="shared" si="2"/>
        <v>19726795.35817159</v>
      </c>
      <c r="F34" s="36">
        <f t="shared" si="2"/>
        <v>21996081.101561658</v>
      </c>
      <c r="G34" s="36">
        <f t="shared" si="2"/>
        <v>25376108.2903843</v>
      </c>
    </row>
    <row r="35" spans="1:7" ht="15" x14ac:dyDescent="0.25">
      <c r="B35" s="35" t="s">
        <v>13</v>
      </c>
      <c r="C35" s="37">
        <f>C33+C34</f>
        <v>27102165.725574516</v>
      </c>
      <c r="D35" s="37">
        <f t="shared" ref="D35:G35" si="3">D33+D34</f>
        <v>28640656.573378056</v>
      </c>
      <c r="E35" s="37">
        <f t="shared" si="3"/>
        <v>30272728.495700724</v>
      </c>
      <c r="F35" s="37">
        <f t="shared" si="3"/>
        <v>32023296.073347528</v>
      </c>
      <c r="G35" s="37">
        <f t="shared" si="3"/>
        <v>33879142.26897195</v>
      </c>
    </row>
    <row r="36" spans="1:7" ht="15" x14ac:dyDescent="0.25">
      <c r="B36" s="5"/>
    </row>
    <row r="37" spans="1:7" x14ac:dyDescent="0.2">
      <c r="C37" s="113"/>
      <c r="D37" s="113"/>
      <c r="E37" s="113"/>
      <c r="F37" s="113"/>
      <c r="G37" s="113"/>
    </row>
    <row r="38" spans="1:7" s="11" customFormat="1" ht="20.25" x14ac:dyDescent="0.3">
      <c r="A38" s="10"/>
      <c r="B38" s="2" t="s">
        <v>26</v>
      </c>
    </row>
    <row r="40" spans="1:7" ht="15" x14ac:dyDescent="0.25">
      <c r="B40" s="33" t="s">
        <v>27</v>
      </c>
      <c r="C40" s="45">
        <v>0.1</v>
      </c>
      <c r="D40" s="134"/>
    </row>
    <row r="41" spans="1:7" ht="15" x14ac:dyDescent="0.25">
      <c r="B41" s="33"/>
      <c r="C41" s="52"/>
    </row>
    <row r="42" spans="1:7" ht="15" x14ac:dyDescent="0.25">
      <c r="B42" s="33" t="s">
        <v>28</v>
      </c>
      <c r="C42" s="52"/>
    </row>
    <row r="43" spans="1:7" x14ac:dyDescent="0.2">
      <c r="B43" s="34" t="s">
        <v>29</v>
      </c>
      <c r="C43" s="53">
        <v>1.5</v>
      </c>
    </row>
    <row r="44" spans="1:7" x14ac:dyDescent="0.2">
      <c r="B44" s="34" t="s">
        <v>30</v>
      </c>
      <c r="C44" s="53">
        <v>1.8</v>
      </c>
    </row>
    <row r="45" spans="1:7" ht="15" x14ac:dyDescent="0.25">
      <c r="B45" s="33"/>
      <c r="C45" s="52"/>
    </row>
    <row r="46" spans="1:7" x14ac:dyDescent="0.2">
      <c r="C46" s="54"/>
    </row>
    <row r="47" spans="1:7" s="11" customFormat="1" ht="20.25" x14ac:dyDescent="0.3">
      <c r="A47" s="10"/>
      <c r="B47" s="2" t="s">
        <v>31</v>
      </c>
      <c r="C47" s="55"/>
    </row>
    <row r="48" spans="1:7" x14ac:dyDescent="0.2">
      <c r="C48" s="54"/>
    </row>
    <row r="49" spans="2:8" ht="15" x14ac:dyDescent="0.25">
      <c r="B49" s="33" t="s">
        <v>32</v>
      </c>
      <c r="C49" s="157">
        <v>2.8500000000000001E-2</v>
      </c>
    </row>
    <row r="50" spans="2:8" ht="15" x14ac:dyDescent="0.25">
      <c r="B50" s="101" t="s">
        <v>33</v>
      </c>
      <c r="C50" s="161" cm="1">
        <f t="array" ref="C50">[2]!vanilla01</f>
        <v>5.8794879083977666E-2</v>
      </c>
      <c r="D50" s="162" cm="1">
        <f t="array" ref="D50">[2]!vanilla02</f>
        <v>5.8979651866098076E-2</v>
      </c>
      <c r="E50" s="162" cm="1">
        <f t="array" ref="E50">[2]!vanilla03</f>
        <v>5.9415214021040851E-2</v>
      </c>
      <c r="F50" s="162" cm="1">
        <f t="array" ref="F50">[2]!vanilla04</f>
        <v>6.020973600812727E-2</v>
      </c>
      <c r="G50" s="162" cm="1">
        <f t="array" ref="G50">[2]!vanilla05</f>
        <v>6.1027558664160611E-2</v>
      </c>
      <c r="H50" s="43"/>
    </row>
    <row r="51" spans="2:8" ht="15" x14ac:dyDescent="0.25">
      <c r="B51" s="101"/>
      <c r="C51" s="156" t="s">
        <v>115</v>
      </c>
      <c r="D51" s="156" t="s">
        <v>114</v>
      </c>
      <c r="E51" s="156" t="s">
        <v>116</v>
      </c>
      <c r="F51" s="1" t="s">
        <v>113</v>
      </c>
      <c r="G51" s="155"/>
      <c r="H51" s="43"/>
    </row>
    <row r="52" spans="2:8" ht="15" x14ac:dyDescent="0.25">
      <c r="B52" s="33" t="s">
        <v>34</v>
      </c>
      <c r="C52" s="56">
        <v>-7.0000000000000007E-2</v>
      </c>
      <c r="D52" s="56">
        <f>C52</f>
        <v>-7.0000000000000007E-2</v>
      </c>
      <c r="E52" s="56">
        <f>C52</f>
        <v>-7.0000000000000007E-2</v>
      </c>
    </row>
    <row r="53" spans="2:8" x14ac:dyDescent="0.2">
      <c r="C53" s="54"/>
    </row>
    <row r="54" spans="2:8" ht="15" x14ac:dyDescent="0.25">
      <c r="B54" s="33" t="s">
        <v>35</v>
      </c>
      <c r="C54" s="56">
        <v>365.25</v>
      </c>
    </row>
    <row r="55" spans="2:8" ht="15" x14ac:dyDescent="0.25">
      <c r="B55" s="143" t="s">
        <v>92</v>
      </c>
      <c r="C55" s="144">
        <v>365</v>
      </c>
      <c r="D55" s="144">
        <v>365</v>
      </c>
      <c r="E55" s="144">
        <v>365</v>
      </c>
      <c r="F55" s="144">
        <v>366</v>
      </c>
      <c r="G55" s="144">
        <v>365</v>
      </c>
    </row>
    <row r="57" spans="2:8" ht="15" x14ac:dyDescent="0.25">
      <c r="B57" s="33" t="s">
        <v>36</v>
      </c>
      <c r="C57" s="33"/>
    </row>
    <row r="58" spans="2:8" ht="15" x14ac:dyDescent="0.25">
      <c r="B58" s="12" t="s">
        <v>37</v>
      </c>
      <c r="C58" s="12"/>
    </row>
    <row r="59" spans="2:8" x14ac:dyDescent="0.2">
      <c r="B59" s="13" t="s">
        <v>9</v>
      </c>
      <c r="C59" s="160">
        <v>1.1071800000000001</v>
      </c>
    </row>
    <row r="60" spans="2:8" x14ac:dyDescent="0.2">
      <c r="B60" s="13" t="s">
        <v>10</v>
      </c>
      <c r="C60" s="160">
        <v>0.65964</v>
      </c>
    </row>
    <row r="61" spans="2:8" x14ac:dyDescent="0.2">
      <c r="B61" s="13" t="s">
        <v>11</v>
      </c>
      <c r="C61" s="160">
        <v>0.37096000000000001</v>
      </c>
    </row>
    <row r="62" spans="2:8" x14ac:dyDescent="0.2">
      <c r="B62" s="13" t="s">
        <v>12</v>
      </c>
      <c r="C62" s="160">
        <v>0.23541999999999999</v>
      </c>
    </row>
    <row r="63" spans="2:8" x14ac:dyDescent="0.2">
      <c r="B63" s="13"/>
      <c r="C63" s="13"/>
    </row>
    <row r="64" spans="2:8" ht="15" x14ac:dyDescent="0.25">
      <c r="B64" s="12" t="s">
        <v>14</v>
      </c>
      <c r="C64" s="12"/>
    </row>
    <row r="65" spans="2:5" x14ac:dyDescent="0.2">
      <c r="B65" s="13" t="s">
        <v>9</v>
      </c>
      <c r="C65" s="160">
        <v>0.44712000000000002</v>
      </c>
    </row>
    <row r="66" spans="2:5" x14ac:dyDescent="0.2">
      <c r="B66" s="13" t="s">
        <v>10</v>
      </c>
      <c r="C66" s="160">
        <v>0.29287999999999997</v>
      </c>
    </row>
    <row r="67" spans="2:5" x14ac:dyDescent="0.2">
      <c r="B67" s="13" t="s">
        <v>11</v>
      </c>
      <c r="C67" s="160">
        <v>0.27093</v>
      </c>
      <c r="E67" s="98"/>
    </row>
    <row r="68" spans="2:5" x14ac:dyDescent="0.2">
      <c r="B68" s="13" t="s">
        <v>12</v>
      </c>
      <c r="C68" s="160">
        <v>0.17984</v>
      </c>
    </row>
  </sheetData>
  <phoneticPr fontId="15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D63D-28F4-46D5-B02D-E0F39BB421A1}">
  <sheetPr>
    <pageSetUpPr fitToPage="1"/>
  </sheetPr>
  <dimension ref="A1:AD157"/>
  <sheetViews>
    <sheetView tabSelected="1" zoomScale="120" zoomScaleNormal="120" workbookViewId="0">
      <pane ySplit="1" topLeftCell="A123" activePane="bottomLeft" state="frozen"/>
      <selection pane="bottomLeft" activeCell="C144" sqref="C144"/>
    </sheetView>
  </sheetViews>
  <sheetFormatPr defaultColWidth="8.85546875" defaultRowHeight="14.25" x14ac:dyDescent="0.2"/>
  <cols>
    <col min="1" max="1" width="10.7109375" style="1" customWidth="1"/>
    <col min="2" max="2" width="68.28515625" style="1" customWidth="1"/>
    <col min="3" max="7" width="16.7109375" style="1" customWidth="1"/>
    <col min="8" max="8" width="11.42578125" style="1" customWidth="1"/>
    <col min="9" max="9" width="12.7109375" style="1" customWidth="1"/>
    <col min="10" max="10" width="16" style="1" customWidth="1"/>
    <col min="11" max="11" width="16.28515625" style="1" customWidth="1"/>
    <col min="12" max="15" width="13.28515625" style="1" bestFit="1" customWidth="1"/>
    <col min="16" max="16" width="9.140625" style="1" bestFit="1" customWidth="1"/>
    <col min="17" max="17" width="19.7109375" style="1" bestFit="1" customWidth="1"/>
    <col min="18" max="23" width="8.85546875" style="1"/>
    <col min="24" max="24" width="13.5703125" style="1" customWidth="1"/>
    <col min="25" max="16384" width="8.85546875" style="1"/>
  </cols>
  <sheetData>
    <row r="1" spans="1:8" ht="26.25" x14ac:dyDescent="0.4">
      <c r="B1" s="99" t="s">
        <v>117</v>
      </c>
    </row>
    <row r="3" spans="1:8" s="114" customFormat="1" ht="20.25" x14ac:dyDescent="0.3">
      <c r="A3" s="2"/>
      <c r="B3" s="2" t="s">
        <v>38</v>
      </c>
      <c r="C3" s="2"/>
      <c r="D3" s="2"/>
      <c r="E3" s="2"/>
      <c r="F3" s="2"/>
      <c r="G3" s="2"/>
      <c r="H3" s="17"/>
    </row>
    <row r="4" spans="1:8" s="18" customFormat="1" ht="20.25" x14ac:dyDescent="0.3">
      <c r="A4" s="16"/>
      <c r="B4" s="17"/>
    </row>
    <row r="5" spans="1:8" ht="15" x14ac:dyDescent="0.25">
      <c r="B5" s="3" t="s">
        <v>3</v>
      </c>
      <c r="C5" s="15" t="s">
        <v>4</v>
      </c>
      <c r="D5" s="15" t="s">
        <v>5</v>
      </c>
      <c r="E5" s="15" t="s">
        <v>6</v>
      </c>
      <c r="F5" s="15" t="s">
        <v>7</v>
      </c>
      <c r="G5" s="15" t="s">
        <v>8</v>
      </c>
      <c r="H5" s="132"/>
    </row>
    <row r="6" spans="1:8" ht="15" x14ac:dyDescent="0.25">
      <c r="B6" s="9" t="s">
        <v>39</v>
      </c>
      <c r="C6" s="4"/>
      <c r="D6" s="4"/>
      <c r="E6" s="4"/>
      <c r="F6" s="4"/>
      <c r="G6" s="4"/>
      <c r="H6" s="133"/>
    </row>
    <row r="7" spans="1:8" ht="15" x14ac:dyDescent="0.25">
      <c r="B7" s="12" t="s">
        <v>130</v>
      </c>
      <c r="C7" s="13"/>
      <c r="D7" s="13"/>
      <c r="E7" s="13"/>
      <c r="F7" s="13"/>
      <c r="G7" s="13"/>
    </row>
    <row r="8" spans="1:8" x14ac:dyDescent="0.2">
      <c r="B8" s="14" t="s">
        <v>9</v>
      </c>
      <c r="C8" s="22">
        <f>'Import Qty'!E18</f>
        <v>19310.5</v>
      </c>
      <c r="D8" s="22">
        <f>'Import Qty'!F18</f>
        <v>15019.5</v>
      </c>
      <c r="E8" s="22">
        <f>'Import Qty'!G18</f>
        <v>10728</v>
      </c>
      <c r="F8" s="22">
        <f>'Import Qty'!H18</f>
        <v>6436.5</v>
      </c>
      <c r="G8" s="22">
        <f>'Import Qty'!I18</f>
        <v>2145.5</v>
      </c>
      <c r="H8" s="112"/>
    </row>
    <row r="9" spans="1:8" x14ac:dyDescent="0.2">
      <c r="B9" s="14" t="s">
        <v>10</v>
      </c>
      <c r="C9" s="22">
        <f>'Import Qty'!E19</f>
        <v>12512.5</v>
      </c>
      <c r="D9" s="22">
        <f>'Import Qty'!F19</f>
        <v>9732</v>
      </c>
      <c r="E9" s="22">
        <f>'Import Qty'!G19</f>
        <v>6951.5</v>
      </c>
      <c r="F9" s="22">
        <f>'Import Qty'!H19</f>
        <v>4171</v>
      </c>
      <c r="G9" s="22">
        <f>'Import Qty'!I19</f>
        <v>1390.5</v>
      </c>
      <c r="H9" s="112"/>
    </row>
    <row r="10" spans="1:8" x14ac:dyDescent="0.2">
      <c r="B10" s="14" t="s">
        <v>11</v>
      </c>
      <c r="C10" s="22">
        <f>'Import Qty'!E20</f>
        <v>10011.1</v>
      </c>
      <c r="D10" s="22">
        <f>'Import Qty'!F20</f>
        <v>14140.5</v>
      </c>
      <c r="E10" s="22">
        <f>'Import Qty'!G20</f>
        <v>18525</v>
      </c>
      <c r="F10" s="22">
        <f>'Import Qty'!H20</f>
        <v>22911.5</v>
      </c>
      <c r="G10" s="22">
        <f>'Import Qty'!I20</f>
        <v>27299.5</v>
      </c>
      <c r="H10" s="112"/>
    </row>
    <row r="11" spans="1:8" x14ac:dyDescent="0.2">
      <c r="B11" s="14" t="s">
        <v>12</v>
      </c>
      <c r="C11" s="22">
        <f>'Import Qty'!E21</f>
        <v>61964.2</v>
      </c>
      <c r="D11" s="22">
        <f>'Import Qty'!F21</f>
        <v>64273</v>
      </c>
      <c r="E11" s="22">
        <f>'Import Qty'!G21</f>
        <v>67343.5</v>
      </c>
      <c r="F11" s="22">
        <f>'Import Qty'!H21</f>
        <v>70418</v>
      </c>
      <c r="G11" s="22">
        <f>'Import Qty'!I21</f>
        <v>73496.5</v>
      </c>
      <c r="H11" s="112"/>
    </row>
    <row r="12" spans="1:8" ht="15" x14ac:dyDescent="0.25">
      <c r="B12" s="12" t="s">
        <v>13</v>
      </c>
      <c r="C12" s="23">
        <f>SUM(C8:C11)</f>
        <v>103798.29999999999</v>
      </c>
      <c r="D12" s="23">
        <f t="shared" ref="D12:G12" si="0">SUM(D8:D11)</f>
        <v>103165</v>
      </c>
      <c r="E12" s="23">
        <f t="shared" si="0"/>
        <v>103548</v>
      </c>
      <c r="F12" s="23">
        <f t="shared" si="0"/>
        <v>103937</v>
      </c>
      <c r="G12" s="23">
        <f t="shared" si="0"/>
        <v>104332</v>
      </c>
      <c r="H12" s="126"/>
    </row>
    <row r="13" spans="1:8" x14ac:dyDescent="0.2">
      <c r="B13" s="13"/>
      <c r="C13" s="13"/>
      <c r="D13" s="13"/>
      <c r="E13" s="13"/>
      <c r="F13" s="13"/>
      <c r="G13" s="13"/>
    </row>
    <row r="14" spans="1:8" ht="15" x14ac:dyDescent="0.25">
      <c r="B14" s="12" t="s">
        <v>131</v>
      </c>
      <c r="C14" s="13"/>
      <c r="D14" s="13"/>
      <c r="E14" s="13"/>
      <c r="F14" s="13"/>
      <c r="G14" s="13"/>
    </row>
    <row r="15" spans="1:8" x14ac:dyDescent="0.2">
      <c r="B15" s="14" t="s">
        <v>9</v>
      </c>
      <c r="C15" s="22">
        <f>'Import Qty'!E36</f>
        <v>9219.5</v>
      </c>
      <c r="D15" s="22">
        <f>'Import Qty'!F36</f>
        <v>7171</v>
      </c>
      <c r="E15" s="22">
        <f>'Import Qty'!G36</f>
        <v>5122.5</v>
      </c>
      <c r="F15" s="22">
        <f>'Import Qty'!H36</f>
        <v>3073.5</v>
      </c>
      <c r="G15" s="22">
        <f>'Import Qty'!I36</f>
        <v>1024.5</v>
      </c>
      <c r="H15" s="112"/>
    </row>
    <row r="16" spans="1:8" x14ac:dyDescent="0.2">
      <c r="B16" s="14" t="s">
        <v>10</v>
      </c>
      <c r="C16" s="22">
        <f>'Import Qty'!E37</f>
        <v>11816</v>
      </c>
      <c r="D16" s="22">
        <f>'Import Qty'!F37</f>
        <v>9190.5</v>
      </c>
      <c r="E16" s="22">
        <f>'Import Qty'!G37</f>
        <v>6565</v>
      </c>
      <c r="F16" s="22">
        <f>'Import Qty'!H37</f>
        <v>3939</v>
      </c>
      <c r="G16" s="22">
        <f>'Import Qty'!I37</f>
        <v>1313</v>
      </c>
      <c r="H16" s="112"/>
    </row>
    <row r="17" spans="2:8" x14ac:dyDescent="0.2">
      <c r="B17" s="14" t="s">
        <v>11</v>
      </c>
      <c r="C17" s="22">
        <f>'Import Qty'!E38</f>
        <v>5672</v>
      </c>
      <c r="D17" s="22">
        <f>'Import Qty'!F38</f>
        <v>7727.5</v>
      </c>
      <c r="E17" s="22">
        <f>'Import Qty'!G38</f>
        <v>9783</v>
      </c>
      <c r="F17" s="22">
        <f>'Import Qty'!H38</f>
        <v>11839</v>
      </c>
      <c r="G17" s="22">
        <f>'Import Qty'!I38</f>
        <v>13895.000000000002</v>
      </c>
      <c r="H17" s="112"/>
    </row>
    <row r="18" spans="2:8" x14ac:dyDescent="0.2">
      <c r="B18" s="14" t="s">
        <v>12</v>
      </c>
      <c r="C18" s="22">
        <f>'Import Qty'!E39</f>
        <v>27613</v>
      </c>
      <c r="D18" s="22">
        <f>'Import Qty'!F39</f>
        <v>31005.5</v>
      </c>
      <c r="E18" s="22">
        <f>'Import Qty'!G39</f>
        <v>33657</v>
      </c>
      <c r="F18" s="22">
        <f>'Import Qty'!H39</f>
        <v>36309.5</v>
      </c>
      <c r="G18" s="22">
        <f>'Import Qty'!I39</f>
        <v>38963</v>
      </c>
      <c r="H18" s="112"/>
    </row>
    <row r="19" spans="2:8" ht="15" x14ac:dyDescent="0.25">
      <c r="B19" s="12" t="s">
        <v>13</v>
      </c>
      <c r="C19" s="23">
        <f>SUM(C15:C18)</f>
        <v>54320.5</v>
      </c>
      <c r="D19" s="23">
        <f t="shared" ref="D19:G19" si="1">SUM(D15:D18)</f>
        <v>55094.5</v>
      </c>
      <c r="E19" s="23">
        <f t="shared" si="1"/>
        <v>55127.5</v>
      </c>
      <c r="F19" s="23">
        <f t="shared" si="1"/>
        <v>55161</v>
      </c>
      <c r="G19" s="23">
        <f t="shared" si="1"/>
        <v>55195.5</v>
      </c>
      <c r="H19" s="126"/>
    </row>
    <row r="20" spans="2:8" ht="15" x14ac:dyDescent="0.25">
      <c r="B20" s="22"/>
      <c r="C20" s="22"/>
      <c r="D20" s="22"/>
      <c r="E20" s="22"/>
      <c r="F20" s="22"/>
      <c r="G20" s="22"/>
      <c r="H20" s="126"/>
    </row>
    <row r="21" spans="2:8" ht="15" x14ac:dyDescent="0.25">
      <c r="B21" s="22"/>
      <c r="C21" s="22"/>
      <c r="D21" s="22"/>
      <c r="E21" s="22"/>
      <c r="F21" s="22"/>
      <c r="G21" s="22"/>
      <c r="H21" s="126"/>
    </row>
    <row r="22" spans="2:8" ht="15" x14ac:dyDescent="0.25">
      <c r="B22" s="12" t="s">
        <v>132</v>
      </c>
      <c r="C22" s="22"/>
      <c r="D22" s="22"/>
      <c r="E22" s="22"/>
      <c r="F22" s="22"/>
      <c r="G22" s="22"/>
      <c r="H22" s="126"/>
    </row>
    <row r="23" spans="2:8" x14ac:dyDescent="0.2">
      <c r="B23" s="14" t="s">
        <v>11</v>
      </c>
      <c r="C23" s="22">
        <f>'Import Qty'!E50</f>
        <v>3073.5</v>
      </c>
      <c r="D23" s="22">
        <f>'Import Qty'!F50</f>
        <v>5122</v>
      </c>
      <c r="E23" s="22">
        <f>'Import Qty'!G50</f>
        <v>7170.5</v>
      </c>
      <c r="F23" s="22">
        <f>'Import Qty'!H50</f>
        <v>9219.5</v>
      </c>
      <c r="G23" s="22">
        <f>'Import Qty'!I50</f>
        <v>11268.500000000002</v>
      </c>
    </row>
    <row r="24" spans="2:8" x14ac:dyDescent="0.2">
      <c r="B24" s="14" t="s">
        <v>12</v>
      </c>
      <c r="C24" s="22">
        <f>'Import Qty'!E51</f>
        <v>3939</v>
      </c>
      <c r="D24" s="22">
        <f>'Import Qty'!F51</f>
        <v>6564.5</v>
      </c>
      <c r="E24" s="22">
        <f>'Import Qty'!G51</f>
        <v>9190</v>
      </c>
      <c r="F24" s="22">
        <f>'Import Qty'!H51</f>
        <v>11816</v>
      </c>
      <c r="G24" s="22">
        <f>'Import Qty'!I51</f>
        <v>14442</v>
      </c>
    </row>
    <row r="25" spans="2:8" ht="15" x14ac:dyDescent="0.25">
      <c r="B25" s="12" t="s">
        <v>13</v>
      </c>
      <c r="C25" s="23">
        <f>SUM(C23:C24)</f>
        <v>7012.5</v>
      </c>
      <c r="D25" s="23">
        <f t="shared" ref="D25:G25" si="2">SUM(D23:D24)</f>
        <v>11686.5</v>
      </c>
      <c r="E25" s="23">
        <f t="shared" si="2"/>
        <v>16360.5</v>
      </c>
      <c r="F25" s="23">
        <f t="shared" si="2"/>
        <v>21035.5</v>
      </c>
      <c r="G25" s="23">
        <f t="shared" si="2"/>
        <v>25710.5</v>
      </c>
    </row>
    <row r="26" spans="2:8" ht="15" x14ac:dyDescent="0.25">
      <c r="B26" s="24" t="s">
        <v>40</v>
      </c>
      <c r="C26" s="22"/>
      <c r="D26" s="22"/>
      <c r="E26" s="22"/>
      <c r="F26" s="22"/>
      <c r="G26" s="22"/>
    </row>
    <row r="27" spans="2:8" ht="15" x14ac:dyDescent="0.25">
      <c r="B27" s="137"/>
      <c r="C27" s="22"/>
      <c r="D27" s="22"/>
      <c r="E27" s="22"/>
      <c r="F27" s="22"/>
      <c r="G27" s="22"/>
    </row>
    <row r="28" spans="2:8" ht="15" x14ac:dyDescent="0.25">
      <c r="B28" s="26" t="s">
        <v>41</v>
      </c>
      <c r="C28" s="22"/>
      <c r="D28" s="22"/>
      <c r="E28" s="22"/>
      <c r="F28" s="22"/>
      <c r="G28" s="22"/>
    </row>
    <row r="29" spans="2:8" x14ac:dyDescent="0.2">
      <c r="B29" s="27" t="s">
        <v>9</v>
      </c>
      <c r="C29" s="22">
        <f>C8+C15</f>
        <v>28530</v>
      </c>
      <c r="D29" s="22">
        <f t="shared" ref="D29:G29" si="3">D8+D15</f>
        <v>22190.5</v>
      </c>
      <c r="E29" s="22">
        <f t="shared" si="3"/>
        <v>15850.5</v>
      </c>
      <c r="F29" s="22">
        <f t="shared" si="3"/>
        <v>9510</v>
      </c>
      <c r="G29" s="22">
        <f t="shared" si="3"/>
        <v>3170</v>
      </c>
    </row>
    <row r="30" spans="2:8" x14ac:dyDescent="0.2">
      <c r="B30" s="27" t="s">
        <v>10</v>
      </c>
      <c r="C30" s="22">
        <f t="shared" ref="C30:G30" si="4">C9+C16</f>
        <v>24328.5</v>
      </c>
      <c r="D30" s="22">
        <f t="shared" si="4"/>
        <v>18922.5</v>
      </c>
      <c r="E30" s="22">
        <f t="shared" si="4"/>
        <v>13516.5</v>
      </c>
      <c r="F30" s="22">
        <f t="shared" si="4"/>
        <v>8110</v>
      </c>
      <c r="G30" s="22">
        <f t="shared" si="4"/>
        <v>2703.5</v>
      </c>
    </row>
    <row r="31" spans="2:8" x14ac:dyDescent="0.2">
      <c r="B31" s="27" t="s">
        <v>11</v>
      </c>
      <c r="C31" s="22">
        <f t="shared" ref="C31:G31" si="5">C10+C17</f>
        <v>15683.1</v>
      </c>
      <c r="D31" s="22">
        <f t="shared" si="5"/>
        <v>21868</v>
      </c>
      <c r="E31" s="22">
        <f t="shared" si="5"/>
        <v>28308</v>
      </c>
      <c r="F31" s="22">
        <f t="shared" si="5"/>
        <v>34750.5</v>
      </c>
      <c r="G31" s="22">
        <f t="shared" si="5"/>
        <v>41194.5</v>
      </c>
    </row>
    <row r="32" spans="2:8" x14ac:dyDescent="0.2">
      <c r="B32" s="27" t="s">
        <v>12</v>
      </c>
      <c r="C32" s="22">
        <f t="shared" ref="C32:G32" si="6">C11+C18</f>
        <v>89577.2</v>
      </c>
      <c r="D32" s="22">
        <f t="shared" si="6"/>
        <v>95278.5</v>
      </c>
      <c r="E32" s="22">
        <f t="shared" si="6"/>
        <v>101000.5</v>
      </c>
      <c r="F32" s="22">
        <f t="shared" si="6"/>
        <v>106727.5</v>
      </c>
      <c r="G32" s="22">
        <f t="shared" si="6"/>
        <v>112459.5</v>
      </c>
    </row>
    <row r="33" spans="1:30" ht="15" x14ac:dyDescent="0.25">
      <c r="B33" s="12" t="s">
        <v>13</v>
      </c>
      <c r="C33" s="23">
        <f>SUM(C29:C32)</f>
        <v>158118.79999999999</v>
      </c>
      <c r="D33" s="23">
        <f t="shared" ref="D33:G33" si="7">SUM(D29:D32)</f>
        <v>158259.5</v>
      </c>
      <c r="E33" s="23">
        <f t="shared" si="7"/>
        <v>158675.5</v>
      </c>
      <c r="F33" s="23">
        <f t="shared" si="7"/>
        <v>159098</v>
      </c>
      <c r="G33" s="23">
        <f t="shared" si="7"/>
        <v>159527.5</v>
      </c>
    </row>
    <row r="34" spans="1:30" x14ac:dyDescent="0.2">
      <c r="B34" s="25"/>
      <c r="C34" s="22"/>
      <c r="D34" s="22"/>
      <c r="E34" s="22"/>
      <c r="F34" s="22"/>
      <c r="G34" s="22"/>
    </row>
    <row r="35" spans="1:30" ht="15" x14ac:dyDescent="0.25">
      <c r="B35" s="26" t="s">
        <v>103</v>
      </c>
      <c r="C35" s="25"/>
      <c r="D35" s="25"/>
      <c r="E35" s="25"/>
      <c r="F35" s="25"/>
      <c r="G35" s="25"/>
    </row>
    <row r="36" spans="1:30" x14ac:dyDescent="0.2">
      <c r="B36" s="27" t="s">
        <v>9</v>
      </c>
      <c r="C36" s="28">
        <f t="shared" ref="C36:G37" si="8">C8+C15</f>
        <v>28530</v>
      </c>
      <c r="D36" s="28">
        <f t="shared" si="8"/>
        <v>22190.5</v>
      </c>
      <c r="E36" s="28">
        <f t="shared" si="8"/>
        <v>15850.5</v>
      </c>
      <c r="F36" s="28">
        <f t="shared" si="8"/>
        <v>9510</v>
      </c>
      <c r="G36" s="28">
        <f t="shared" si="8"/>
        <v>3170</v>
      </c>
      <c r="H36" s="112"/>
    </row>
    <row r="37" spans="1:30" x14ac:dyDescent="0.2">
      <c r="B37" s="27" t="s">
        <v>10</v>
      </c>
      <c r="C37" s="28">
        <f t="shared" si="8"/>
        <v>24328.5</v>
      </c>
      <c r="D37" s="28">
        <f t="shared" si="8"/>
        <v>18922.5</v>
      </c>
      <c r="E37" s="28">
        <f t="shared" si="8"/>
        <v>13516.5</v>
      </c>
      <c r="F37" s="28">
        <f t="shared" si="8"/>
        <v>8110</v>
      </c>
      <c r="G37" s="28">
        <f t="shared" si="8"/>
        <v>2703.5</v>
      </c>
      <c r="H37" s="112"/>
    </row>
    <row r="38" spans="1:30" x14ac:dyDescent="0.2">
      <c r="B38" s="27" t="s">
        <v>11</v>
      </c>
      <c r="C38" s="28">
        <f t="shared" ref="C38:G39" si="9">C10+C17+C23</f>
        <v>18756.599999999999</v>
      </c>
      <c r="D38" s="28">
        <f t="shared" si="9"/>
        <v>26990</v>
      </c>
      <c r="E38" s="28">
        <f t="shared" si="9"/>
        <v>35478.5</v>
      </c>
      <c r="F38" s="28">
        <f t="shared" si="9"/>
        <v>43970</v>
      </c>
      <c r="G38" s="28">
        <f t="shared" si="9"/>
        <v>52463</v>
      </c>
      <c r="H38" s="112"/>
    </row>
    <row r="39" spans="1:30" x14ac:dyDescent="0.2">
      <c r="B39" s="27" t="s">
        <v>12</v>
      </c>
      <c r="C39" s="28">
        <f t="shared" si="9"/>
        <v>93516.2</v>
      </c>
      <c r="D39" s="28">
        <f t="shared" si="9"/>
        <v>101843</v>
      </c>
      <c r="E39" s="28">
        <f t="shared" si="9"/>
        <v>110190.5</v>
      </c>
      <c r="F39" s="28">
        <f t="shared" si="9"/>
        <v>118543.5</v>
      </c>
      <c r="G39" s="28">
        <f t="shared" si="9"/>
        <v>126901.5</v>
      </c>
      <c r="H39" s="112"/>
    </row>
    <row r="40" spans="1:30" ht="15" x14ac:dyDescent="0.25">
      <c r="B40" s="12" t="s">
        <v>13</v>
      </c>
      <c r="C40" s="29">
        <f>SUM(C36:C39)</f>
        <v>165131.29999999999</v>
      </c>
      <c r="D40" s="29">
        <f t="shared" ref="D40:G40" si="10">SUM(D36:D39)</f>
        <v>169946</v>
      </c>
      <c r="E40" s="29">
        <f t="shared" si="10"/>
        <v>175036</v>
      </c>
      <c r="F40" s="29">
        <f t="shared" si="10"/>
        <v>180133.5</v>
      </c>
      <c r="G40" s="29">
        <f t="shared" si="10"/>
        <v>185238</v>
      </c>
      <c r="H40" s="126"/>
    </row>
    <row r="43" spans="1:30" s="114" customFormat="1" ht="20.25" x14ac:dyDescent="0.3">
      <c r="A43" s="2"/>
      <c r="B43" s="2" t="s">
        <v>42</v>
      </c>
      <c r="C43" s="2"/>
      <c r="D43" s="2"/>
      <c r="E43" s="2"/>
      <c r="F43" s="2"/>
      <c r="G43" s="2"/>
      <c r="H43" s="17"/>
    </row>
    <row r="45" spans="1:30" ht="15" x14ac:dyDescent="0.25">
      <c r="B45" s="3" t="s">
        <v>3</v>
      </c>
      <c r="C45" s="15" t="s">
        <v>4</v>
      </c>
      <c r="D45" s="15" t="s">
        <v>5</v>
      </c>
      <c r="E45" s="15" t="s">
        <v>6</v>
      </c>
      <c r="F45" s="15" t="s">
        <v>7</v>
      </c>
      <c r="G45" s="15" t="s">
        <v>8</v>
      </c>
      <c r="H45" s="132"/>
    </row>
    <row r="46" spans="1:30" ht="15" x14ac:dyDescent="0.25">
      <c r="B46" s="12" t="s">
        <v>43</v>
      </c>
      <c r="C46" s="13"/>
      <c r="D46" s="13"/>
      <c r="E46" s="13"/>
      <c r="F46" s="13"/>
      <c r="G46" s="13"/>
    </row>
    <row r="47" spans="1:30" ht="15" x14ac:dyDescent="0.25">
      <c r="B47" s="35" t="s">
        <v>104</v>
      </c>
      <c r="C47" s="13"/>
      <c r="D47" s="13"/>
      <c r="E47" s="13"/>
      <c r="F47" s="13"/>
      <c r="G47" s="13"/>
    </row>
    <row r="48" spans="1:30" x14ac:dyDescent="0.2">
      <c r="B48" s="14" t="s">
        <v>9</v>
      </c>
      <c r="C48" s="97">
        <f>Inputs!C16/(Calculations!C36+Calculations!C37/Inputs!$C$43)</f>
        <v>47.07717457348398</v>
      </c>
      <c r="D48" s="38">
        <f>Inputs!D16/(Calculations!D36+Calculations!D37/Inputs!$C$43)</f>
        <v>43.278652197558074</v>
      </c>
      <c r="E48" s="38">
        <f>Inputs!E16/(Calculations!E36+Calculations!E37/Inputs!$C$43)</f>
        <v>38.523738320090587</v>
      </c>
      <c r="F48" s="38">
        <f>Inputs!F16/(Calculations!F36+Calculations!F37/Inputs!$C$43)</f>
        <v>30.672793793293565</v>
      </c>
      <c r="G48" s="38">
        <f>Inputs!G16/(Calculations!G36+Calculations!G37/Inputs!$C$43)</f>
        <v>0</v>
      </c>
      <c r="H48" s="127"/>
      <c r="AD48" s="98"/>
    </row>
    <row r="49" spans="2:30" x14ac:dyDescent="0.2">
      <c r="B49" s="14" t="s">
        <v>10</v>
      </c>
      <c r="C49" s="38">
        <f>C48/Inputs!$C$43</f>
        <v>31.38478304898932</v>
      </c>
      <c r="D49" s="38">
        <f>D48/Inputs!$C$43</f>
        <v>28.852434798372048</v>
      </c>
      <c r="E49" s="38">
        <f>E48/Inputs!$C$43</f>
        <v>25.682492213393726</v>
      </c>
      <c r="F49" s="38">
        <f>F48/Inputs!$C$43</f>
        <v>20.448529195529044</v>
      </c>
      <c r="G49" s="38">
        <f>G48/Inputs!$C$43</f>
        <v>0</v>
      </c>
      <c r="H49" s="127"/>
      <c r="AD49" s="98"/>
    </row>
    <row r="50" spans="2:30" x14ac:dyDescent="0.2">
      <c r="B50" s="14" t="s">
        <v>11</v>
      </c>
      <c r="C50" s="38">
        <f>Inputs!C17/(Calculations!C38+Calculations!C39/Inputs!$C$43)</f>
        <v>111.64415069361193</v>
      </c>
      <c r="D50" s="38">
        <f>Inputs!D17/(Calculations!D38+Calculations!D39/Inputs!$C$43)</f>
        <v>100.9277125911655</v>
      </c>
      <c r="E50" s="38">
        <f>Inputs!E17/(Calculations!E38+Calculations!E39/Inputs!$C$43)</f>
        <v>92.122320204834551</v>
      </c>
      <c r="F50" s="38">
        <f>Inputs!F17/(Calculations!F38+Calculations!F39/Inputs!$C$43)</f>
        <v>84.9599601728587</v>
      </c>
      <c r="G50" s="38">
        <f>Inputs!G17/(Calculations!G38+Calculations!G39/Inputs!$C$43)</f>
        <v>79.07017409955003</v>
      </c>
      <c r="H50" s="127"/>
      <c r="AD50" s="98"/>
    </row>
    <row r="51" spans="2:30" x14ac:dyDescent="0.2">
      <c r="B51" s="14" t="s">
        <v>12</v>
      </c>
      <c r="C51" s="38">
        <f>C50/Inputs!$C$43</f>
        <v>74.429433795741289</v>
      </c>
      <c r="D51" s="38">
        <f>D50/Inputs!$C$43</f>
        <v>67.285141727443673</v>
      </c>
      <c r="E51" s="38">
        <f>E50/Inputs!$C$43</f>
        <v>61.41488013655637</v>
      </c>
      <c r="F51" s="38">
        <f>F50/Inputs!$C$43</f>
        <v>56.639973448572469</v>
      </c>
      <c r="G51" s="38">
        <f>G50/Inputs!$C$43</f>
        <v>52.713449399700018</v>
      </c>
      <c r="H51" s="127"/>
      <c r="AD51" s="98"/>
    </row>
    <row r="52" spans="2:30" x14ac:dyDescent="0.2">
      <c r="B52" s="13"/>
      <c r="C52" s="38"/>
      <c r="D52" s="38"/>
      <c r="E52" s="38"/>
      <c r="F52" s="38"/>
      <c r="G52" s="38"/>
      <c r="H52" s="127"/>
      <c r="AD52" s="98"/>
    </row>
    <row r="53" spans="2:30" ht="15" x14ac:dyDescent="0.25">
      <c r="B53" s="12" t="s">
        <v>79</v>
      </c>
      <c r="C53" s="38"/>
      <c r="D53" s="38"/>
      <c r="E53" s="38"/>
      <c r="F53" s="38"/>
      <c r="G53" s="38"/>
      <c r="H53" s="127"/>
    </row>
    <row r="54" spans="2:30" ht="15" x14ac:dyDescent="0.25">
      <c r="B54" s="35" t="s">
        <v>133</v>
      </c>
      <c r="C54" s="38"/>
      <c r="D54" s="38"/>
      <c r="E54" s="38"/>
      <c r="F54" s="38"/>
      <c r="G54" s="38"/>
      <c r="H54" s="127"/>
    </row>
    <row r="55" spans="2:30" x14ac:dyDescent="0.2">
      <c r="B55" s="14" t="s">
        <v>9</v>
      </c>
      <c r="C55" s="124">
        <f>Inputs!C24/(Calculations!C8+Calculations!C9/Inputs!$C$44)*(1-Inputs!$C$40)</f>
        <v>380.62036801045701</v>
      </c>
      <c r="D55" s="40">
        <f>Inputs!D24/(Calculations!D8+Calculations!D9/Inputs!$C$44)*(1-Inputs!$C$40)</f>
        <v>399.86687181281673</v>
      </c>
      <c r="E55" s="40">
        <f>Inputs!E24/(Calculations!E8+Calculations!E9/Inputs!$C$44)*(1-Inputs!$C$40)</f>
        <v>591.45925664176639</v>
      </c>
      <c r="F55" s="40">
        <f>Inputs!F24/(Calculations!F8+Calculations!F9/Inputs!$C$44)*(1-Inputs!$C$40)</f>
        <v>983.89130923849336</v>
      </c>
      <c r="G55" s="40">
        <f>Inputs!G24/(Calculations!G8+Calculations!G9/Inputs!$C$44)*(1-Inputs!$C$40)</f>
        <v>2622.5944416480083</v>
      </c>
      <c r="H55" s="125"/>
    </row>
    <row r="56" spans="2:30" x14ac:dyDescent="0.2">
      <c r="B56" s="14" t="s">
        <v>10</v>
      </c>
      <c r="C56" s="38">
        <f>C55/Inputs!$C$44</f>
        <v>211.45576000580945</v>
      </c>
      <c r="D56" s="38">
        <f>D55/Inputs!$C$44</f>
        <v>222.14826211823151</v>
      </c>
      <c r="E56" s="38">
        <f>E55/Inputs!$C$44</f>
        <v>328.58847591209241</v>
      </c>
      <c r="F56" s="38">
        <f>F55/Inputs!$C$44</f>
        <v>546.6062829102741</v>
      </c>
      <c r="G56" s="38">
        <f>G55/Inputs!$C$44</f>
        <v>1456.9969120266712</v>
      </c>
      <c r="H56" s="127"/>
    </row>
    <row r="57" spans="2:30" x14ac:dyDescent="0.2">
      <c r="B57" s="14" t="s">
        <v>11</v>
      </c>
      <c r="C57" s="124">
        <f>Inputs!C27/(Calculations!C10+Calculations!C11/Inputs!$C$44)*(1-Inputs!$C$40)</f>
        <v>97.920649629715996</v>
      </c>
      <c r="D57" s="40">
        <f>Inputs!D27/(Calculations!D10+Calculations!D11/Inputs!$C$44)*(1-Inputs!$C$40)</f>
        <v>131.43009948468378</v>
      </c>
      <c r="E57" s="40">
        <f>Inputs!E27/(Calculations!E10+Calculations!E11/Inputs!$C$44)*(1-Inputs!$C$40)</f>
        <v>129.19166583006066</v>
      </c>
      <c r="F57" s="40">
        <f>Inputs!F27/(Calculations!F10+Calculations!F11/Inputs!$C$44)*(1-Inputs!$C$40)</f>
        <v>136.34734830780221</v>
      </c>
      <c r="G57" s="40">
        <f>Inputs!G27/(Calculations!G10+Calculations!G11/Inputs!$C$44)*(1-Inputs!$C$40)</f>
        <v>156.86802675698902</v>
      </c>
      <c r="H57" s="125"/>
    </row>
    <row r="58" spans="2:30" x14ac:dyDescent="0.2">
      <c r="B58" s="14" t="s">
        <v>12</v>
      </c>
      <c r="C58" s="38">
        <f>C57/Inputs!$C$44</f>
        <v>54.400360905397775</v>
      </c>
      <c r="D58" s="38">
        <f>D57/Inputs!$C$44</f>
        <v>73.016721935935436</v>
      </c>
      <c r="E58" s="38">
        <f>E57/Inputs!$C$44</f>
        <v>71.773147683367029</v>
      </c>
      <c r="F58" s="38">
        <f>F57/Inputs!$C$44</f>
        <v>75.748526837667896</v>
      </c>
      <c r="G58" s="38">
        <f>G57/Inputs!$C$44</f>
        <v>87.148903753882792</v>
      </c>
      <c r="H58" s="127"/>
    </row>
    <row r="59" spans="2:30" x14ac:dyDescent="0.2">
      <c r="B59" s="13"/>
      <c r="C59" s="38"/>
      <c r="D59" s="38"/>
      <c r="E59" s="38"/>
      <c r="F59" s="38"/>
      <c r="G59" s="38"/>
      <c r="H59" s="127"/>
    </row>
    <row r="60" spans="2:30" ht="15" x14ac:dyDescent="0.25">
      <c r="B60" s="12" t="s">
        <v>81</v>
      </c>
      <c r="C60" s="38"/>
      <c r="D60" s="38"/>
      <c r="E60" s="38"/>
      <c r="F60" s="38"/>
      <c r="G60" s="38"/>
      <c r="H60" s="127"/>
    </row>
    <row r="61" spans="2:30" ht="15" x14ac:dyDescent="0.25">
      <c r="B61" s="35" t="s">
        <v>82</v>
      </c>
      <c r="C61" s="38"/>
      <c r="D61" s="38"/>
      <c r="E61" s="38"/>
      <c r="F61" s="38"/>
      <c r="G61" s="38"/>
      <c r="H61" s="127"/>
    </row>
    <row r="62" spans="2:30" x14ac:dyDescent="0.2">
      <c r="B62" s="14" t="s">
        <v>9</v>
      </c>
      <c r="C62" s="124">
        <f>Inputs!C24/(Calculations!C15+Calculations!C16/Inputs!$C$44)*Inputs!$C$40</f>
        <v>70.365524837395398</v>
      </c>
      <c r="D62" s="124">
        <f>Inputs!D24/(Calculations!D15+Calculations!D16/Inputs!$C$44)*Inputs!$C$40</f>
        <v>73.921952078913151</v>
      </c>
      <c r="E62" s="124">
        <f>Inputs!E24/(Calculations!E15+Calculations!E16/Inputs!$C$44)*Inputs!$C$40</f>
        <v>109.33271287644712</v>
      </c>
      <c r="F62" s="124">
        <f>Inputs!F24/(Calculations!F15+Calculations!F16/Inputs!$C$44)*Inputs!$C$40</f>
        <v>181.86967402431168</v>
      </c>
      <c r="G62" s="124">
        <f>Inputs!G24/(Calculations!G15+Calculations!G16/Inputs!$C$44)*Inputs!$C$40</f>
        <v>484.79494350694551</v>
      </c>
      <c r="H62" s="125"/>
    </row>
    <row r="63" spans="2:30" x14ac:dyDescent="0.2">
      <c r="B63" s="14" t="s">
        <v>10</v>
      </c>
      <c r="C63" s="38">
        <f>C62/Inputs!$C$44</f>
        <v>39.091958242997443</v>
      </c>
      <c r="D63" s="38">
        <f>D62/Inputs!$C$44</f>
        <v>41.06775115495175</v>
      </c>
      <c r="E63" s="38">
        <f>E62/Inputs!$C$44</f>
        <v>60.740396042470621</v>
      </c>
      <c r="F63" s="38">
        <f>F62/Inputs!$C$44</f>
        <v>101.03870779128427</v>
      </c>
      <c r="G63" s="38">
        <f>G62/Inputs!$C$44</f>
        <v>269.33052417052528</v>
      </c>
      <c r="H63" s="127"/>
    </row>
    <row r="64" spans="2:30" x14ac:dyDescent="0.2">
      <c r="B64" s="14" t="s">
        <v>11</v>
      </c>
      <c r="C64" s="38">
        <f>Inputs!C27/(Calculations!C17+Calculations!C18/Inputs!$C$44)*Inputs!$C$40</f>
        <v>23.008297994967553</v>
      </c>
      <c r="D64" s="38">
        <f>Inputs!D27/(Calculations!D17+Calculations!D18/Inputs!$C$44)*Inputs!$C$40</f>
        <v>29.172842439058442</v>
      </c>
      <c r="E64" s="38">
        <f>Inputs!E27/(Calculations!E17+Calculations!E18/Inputs!$C$44)*Inputs!$C$40</f>
        <v>28.192853722971389</v>
      </c>
      <c r="F64" s="38">
        <f>Inputs!F27/(Calculations!F17+Calculations!F18/Inputs!$C$44)*Inputs!$C$40</f>
        <v>29.357952344802591</v>
      </c>
      <c r="G64" s="38">
        <f>Inputs!G27/(Calculations!G17+Calculations!G18/Inputs!$C$44)*Inputs!$C$40</f>
        <v>33.412192769561607</v>
      </c>
      <c r="H64" s="127"/>
    </row>
    <row r="65" spans="1:8" x14ac:dyDescent="0.2">
      <c r="B65" s="14" t="s">
        <v>12</v>
      </c>
      <c r="C65" s="38">
        <f>C64/Inputs!$C$44</f>
        <v>12.782387774981974</v>
      </c>
      <c r="D65" s="38">
        <f>D64/Inputs!$C$44</f>
        <v>16.207134688365802</v>
      </c>
      <c r="E65" s="38">
        <f>E64/Inputs!$C$44</f>
        <v>15.662696512761883</v>
      </c>
      <c r="F65" s="38">
        <f>F64/Inputs!$C$44</f>
        <v>16.309973524890328</v>
      </c>
      <c r="G65" s="38">
        <f>G64/Inputs!$C$44</f>
        <v>18.562329316423114</v>
      </c>
      <c r="H65" s="127"/>
    </row>
    <row r="66" spans="1:8" x14ac:dyDescent="0.2">
      <c r="B66" s="14"/>
      <c r="C66" s="38"/>
      <c r="D66" s="38"/>
      <c r="E66" s="38"/>
      <c r="F66" s="38"/>
      <c r="G66" s="38"/>
      <c r="H66" s="127"/>
    </row>
    <row r="67" spans="1:8" ht="15" x14ac:dyDescent="0.25">
      <c r="B67" s="12" t="s">
        <v>105</v>
      </c>
      <c r="C67" s="38"/>
      <c r="D67" s="38"/>
      <c r="E67" s="38"/>
      <c r="F67" s="38"/>
      <c r="G67" s="38"/>
      <c r="H67" s="127"/>
    </row>
    <row r="68" spans="1:8" ht="15" x14ac:dyDescent="0.25">
      <c r="B68" s="35" t="s">
        <v>134</v>
      </c>
      <c r="C68" s="38"/>
      <c r="D68" s="38"/>
      <c r="E68" s="38"/>
      <c r="F68" s="38"/>
      <c r="G68" s="38"/>
      <c r="H68" s="127"/>
    </row>
    <row r="69" spans="1:8" x14ac:dyDescent="0.2">
      <c r="B69" s="14" t="s">
        <v>11</v>
      </c>
      <c r="C69" s="38">
        <f>Inputs!C29/(C23+C24/Inputs!$C$44)</f>
        <v>0</v>
      </c>
      <c r="D69" s="38">
        <f>Inputs!D29/(D23+D24/Inputs!$C$44)</f>
        <v>137.19466480829831</v>
      </c>
      <c r="E69" s="38">
        <f>Inputs!E29/(E23+E24/Inputs!$C$44)</f>
        <v>135.33635609255023</v>
      </c>
      <c r="F69" s="38">
        <f>Inputs!F29/(F23+F24/Inputs!$C$44)</f>
        <v>136.10876246432417</v>
      </c>
      <c r="G69" s="38">
        <f>Inputs!G29/(G23+G24/Inputs!$C$44)</f>
        <v>138.0568318570925</v>
      </c>
      <c r="H69" s="127"/>
    </row>
    <row r="70" spans="1:8" x14ac:dyDescent="0.2">
      <c r="B70" s="14" t="s">
        <v>12</v>
      </c>
      <c r="C70" s="38">
        <f>C69/Inputs!$C$44</f>
        <v>0</v>
      </c>
      <c r="D70" s="38">
        <f>D69/Inputs!$C$44</f>
        <v>76.219258226832395</v>
      </c>
      <c r="E70" s="38">
        <f>E69/Inputs!$C$44</f>
        <v>75.186864495861244</v>
      </c>
      <c r="F70" s="38">
        <f>F69/Inputs!$C$44</f>
        <v>75.615979146846755</v>
      </c>
      <c r="G70" s="38">
        <f>G69/Inputs!$C$44</f>
        <v>76.698239920606952</v>
      </c>
      <c r="H70" s="127"/>
    </row>
    <row r="71" spans="1:8" x14ac:dyDescent="0.2">
      <c r="B71" s="14"/>
      <c r="C71" s="38"/>
      <c r="D71" s="38"/>
      <c r="E71" s="38"/>
      <c r="F71" s="38"/>
      <c r="G71" s="38"/>
      <c r="H71" s="127"/>
    </row>
    <row r="72" spans="1:8" x14ac:dyDescent="0.2">
      <c r="B72" s="13"/>
      <c r="C72" s="38"/>
      <c r="D72" s="38"/>
      <c r="E72" s="38"/>
      <c r="F72" s="38"/>
      <c r="G72" s="38"/>
      <c r="H72" s="127"/>
    </row>
    <row r="74" spans="1:8" s="114" customFormat="1" ht="20.25" x14ac:dyDescent="0.3">
      <c r="A74" s="2"/>
      <c r="B74" s="2" t="s">
        <v>46</v>
      </c>
      <c r="C74" s="2"/>
      <c r="D74" s="2"/>
      <c r="E74" s="2"/>
      <c r="F74" s="2"/>
      <c r="G74" s="2"/>
      <c r="H74" s="17"/>
    </row>
    <row r="76" spans="1:8" x14ac:dyDescent="0.2">
      <c r="B76" s="32" t="s">
        <v>130</v>
      </c>
      <c r="C76" s="13"/>
      <c r="D76" s="13"/>
      <c r="E76" s="13"/>
      <c r="F76" s="13"/>
      <c r="G76" s="13"/>
    </row>
    <row r="77" spans="1:8" x14ac:dyDescent="0.2">
      <c r="B77" s="31" t="s">
        <v>9</v>
      </c>
      <c r="C77" s="110">
        <f>(C48+C55)/Inputs!$C$54</f>
        <v>1.1709720536179082</v>
      </c>
      <c r="D77" s="110">
        <f>(D48+D55)/Inputs!$C$54</f>
        <v>1.2132663217258721</v>
      </c>
      <c r="E77" s="110">
        <f>(E48+E55)/Inputs!$C$54</f>
        <v>1.7247994386361587</v>
      </c>
      <c r="F77" s="110">
        <f>(F48+F55)/Inputs!$C$54</f>
        <v>2.7777251280815523</v>
      </c>
      <c r="G77" s="110">
        <f>(G48+G55)/Inputs!$C$54</f>
        <v>7.1802722563942734</v>
      </c>
      <c r="H77" s="109"/>
    </row>
    <row r="78" spans="1:8" x14ac:dyDescent="0.2">
      <c r="B78" s="31" t="s">
        <v>10</v>
      </c>
      <c r="C78" s="110">
        <f>(C49+C56)/Inputs!$C$54</f>
        <v>0.66486117195016781</v>
      </c>
      <c r="D78" s="110">
        <f>(D49+D56)/Inputs!$C$54</f>
        <v>0.68720245562382909</v>
      </c>
      <c r="E78" s="110">
        <f>(E49+E56)/Inputs!$C$54</f>
        <v>0.96994104894041377</v>
      </c>
      <c r="F78" s="110">
        <f>(F49+F56)/Inputs!$C$54</f>
        <v>1.5525114636709192</v>
      </c>
      <c r="G78" s="110">
        <f>(G49+G56)/Inputs!$C$54</f>
        <v>3.9890401424412629</v>
      </c>
      <c r="H78" s="109"/>
    </row>
    <row r="79" spans="1:8" x14ac:dyDescent="0.2">
      <c r="B79" s="31" t="s">
        <v>11</v>
      </c>
      <c r="C79" s="111">
        <f>(C50+C57)/Inputs!$C$54</f>
        <v>0.57375715352040502</v>
      </c>
      <c r="D79" s="110">
        <f>(D50+D57)/Inputs!$C$54</f>
        <v>0.63616101868815678</v>
      </c>
      <c r="E79" s="110">
        <f>(E50+E57)/Inputs!$C$54</f>
        <v>0.60592467086898072</v>
      </c>
      <c r="F79" s="110">
        <f>(F50+F57)/Inputs!$C$54</f>
        <v>0.6059063887218642</v>
      </c>
      <c r="G79" s="110">
        <f>(G50+G57)/Inputs!$C$54</f>
        <v>0.64596358892960726</v>
      </c>
      <c r="H79" s="109"/>
    </row>
    <row r="80" spans="1:8" x14ac:dyDescent="0.2">
      <c r="B80" s="31" t="s">
        <v>12</v>
      </c>
      <c r="C80" s="110">
        <f>(C51+C58)/Inputs!$C$54</f>
        <v>0.35271675482858061</v>
      </c>
      <c r="D80" s="110">
        <f>(D51+D58)/Inputs!$C$54</f>
        <v>0.38412556786688323</v>
      </c>
      <c r="E80" s="110">
        <f>(E51+E58)/Inputs!$C$54</f>
        <v>0.36464894680334953</v>
      </c>
      <c r="F80" s="110">
        <f>(F51+F58)/Inputs!$C$54</f>
        <v>0.3624599597159216</v>
      </c>
      <c r="G80" s="110">
        <f>(G51+G58)/Inputs!$C$54</f>
        <v>0.38292225367168459</v>
      </c>
      <c r="H80" s="109"/>
    </row>
    <row r="81" spans="1:8" x14ac:dyDescent="0.2">
      <c r="B81" s="30"/>
      <c r="C81" s="110"/>
      <c r="D81" s="110"/>
      <c r="E81" s="110"/>
      <c r="F81" s="110"/>
      <c r="G81" s="110"/>
      <c r="H81" s="109"/>
    </row>
    <row r="82" spans="1:8" x14ac:dyDescent="0.2">
      <c r="B82" s="32" t="s">
        <v>131</v>
      </c>
      <c r="C82" s="110"/>
      <c r="D82" s="110"/>
      <c r="E82" s="110"/>
      <c r="F82" s="110"/>
      <c r="G82" s="110"/>
      <c r="H82" s="109"/>
    </row>
    <row r="83" spans="1:8" x14ac:dyDescent="0.2">
      <c r="B83" s="31" t="s">
        <v>9</v>
      </c>
      <c r="C83" s="110">
        <f>(C48+C62)/Inputs!$C$54</f>
        <v>0.32154058702499488</v>
      </c>
      <c r="D83" s="110">
        <f>(D48+D62)/Inputs!$C$54</f>
        <v>0.32087776667069468</v>
      </c>
      <c r="E83" s="110">
        <f>(E48+E62)/Inputs!$C$54</f>
        <v>0.40480890129099989</v>
      </c>
      <c r="F83" s="110">
        <f>(F48+F62)/Inputs!$C$54</f>
        <v>0.58190956281342987</v>
      </c>
      <c r="G83" s="110">
        <f>(G48+G62)/Inputs!$C$54</f>
        <v>1.3272962176781533</v>
      </c>
      <c r="H83" s="109"/>
    </row>
    <row r="84" spans="1:8" x14ac:dyDescent="0.2">
      <c r="B84" s="31" t="s">
        <v>10</v>
      </c>
      <c r="C84" s="110">
        <f>(C49+C63)/Inputs!$C$54</f>
        <v>0.19295480162077144</v>
      </c>
      <c r="D84" s="110">
        <f>(D49+D63)/Inputs!$C$54</f>
        <v>0.19143103614873044</v>
      </c>
      <c r="E84" s="110">
        <f>(E49+E63)/Inputs!$C$54</f>
        <v>0.23661297263754785</v>
      </c>
      <c r="F84" s="110">
        <f>(F49+F63)/Inputs!$C$54</f>
        <v>0.33261392741085094</v>
      </c>
      <c r="G84" s="110">
        <f>(G49+G63)/Inputs!$C$54</f>
        <v>0.73738678759897403</v>
      </c>
      <c r="H84" s="109"/>
    </row>
    <row r="85" spans="1:8" x14ac:dyDescent="0.2">
      <c r="B85" s="31" t="s">
        <v>11</v>
      </c>
      <c r="C85" s="110">
        <f>(C50+C64)/Inputs!$C$54</f>
        <v>0.36865831263129223</v>
      </c>
      <c r="D85" s="110">
        <f>(D50+D64)/Inputs!$C$54</f>
        <v>0.35619590699582188</v>
      </c>
      <c r="E85" s="110">
        <f>(E50+E64)/Inputs!$C$54</f>
        <v>0.32940499364217918</v>
      </c>
      <c r="F85" s="110">
        <f>(F50+F64)/Inputs!$C$54</f>
        <v>0.31298538676977766</v>
      </c>
      <c r="G85" s="110">
        <f>(G50+G64)/Inputs!$C$54</f>
        <v>0.30795993667107913</v>
      </c>
      <c r="H85" s="109"/>
    </row>
    <row r="86" spans="1:8" x14ac:dyDescent="0.2">
      <c r="B86" s="31" t="s">
        <v>12</v>
      </c>
      <c r="C86" s="110">
        <f>(C51+C65)/Inputs!$C$54</f>
        <v>0.23877295433462906</v>
      </c>
      <c r="D86" s="110">
        <f>(D51+D65)/Inputs!$C$54</f>
        <v>0.22858939470447492</v>
      </c>
      <c r="E86" s="110">
        <f>(E51+E65)/Inputs!$C$54</f>
        <v>0.21102690389957082</v>
      </c>
      <c r="F86" s="110">
        <f>(F51+F65)/Inputs!$C$54</f>
        <v>0.19972606974254017</v>
      </c>
      <c r="G86" s="110">
        <f>(G51+G65)/Inputs!$C$54</f>
        <v>0.19514244686139118</v>
      </c>
      <c r="H86" s="109"/>
    </row>
    <row r="87" spans="1:8" x14ac:dyDescent="0.2">
      <c r="B87" s="136"/>
      <c r="C87" s="136"/>
      <c r="D87" s="136"/>
      <c r="E87" s="136"/>
      <c r="F87" s="136"/>
      <c r="G87" s="136"/>
      <c r="H87" s="109"/>
    </row>
    <row r="88" spans="1:8" x14ac:dyDescent="0.2">
      <c r="B88" s="32" t="s">
        <v>129</v>
      </c>
      <c r="C88" s="136"/>
      <c r="D88" s="136"/>
      <c r="E88" s="136"/>
      <c r="F88" s="136"/>
      <c r="G88" s="136"/>
      <c r="H88" s="109"/>
    </row>
    <row r="89" spans="1:8" x14ac:dyDescent="0.2">
      <c r="B89" s="31" t="s">
        <v>11</v>
      </c>
      <c r="C89" s="110">
        <f>(C50+C69)/Inputs!$C$54</f>
        <v>0.30566502585520039</v>
      </c>
      <c r="D89" s="110">
        <f>(D50+D69)/Inputs!$C$54</f>
        <v>0.65194353839688923</v>
      </c>
      <c r="E89" s="110">
        <f>(E50+E69)/Inputs!$C$54</f>
        <v>0.6227479159408208</v>
      </c>
      <c r="F89" s="110">
        <f>(F50+F69)/Inputs!$C$54</f>
        <v>0.60525317628249931</v>
      </c>
      <c r="G89" s="110">
        <f>(G50+G69)/Inputs!$C$54</f>
        <v>0.59446134416603025</v>
      </c>
      <c r="H89" s="109"/>
    </row>
    <row r="90" spans="1:8" x14ac:dyDescent="0.2">
      <c r="B90" s="31" t="s">
        <v>12</v>
      </c>
      <c r="C90" s="110">
        <f>(C51+C70)/Inputs!$C$54</f>
        <v>0.2037766839034669</v>
      </c>
      <c r="D90" s="110">
        <f>(D51+D70)/Inputs!$C$54</f>
        <v>0.39289363437173463</v>
      </c>
      <c r="E90" s="110">
        <f>(E51+E70)/Inputs!$C$54</f>
        <v>0.37399519406548287</v>
      </c>
      <c r="F90" s="110">
        <f>(F51+F70)/Inputs!$C$54</f>
        <v>0.36209706391627439</v>
      </c>
      <c r="G90" s="110">
        <f>(G51+G70)/Inputs!$C$54</f>
        <v>0.35430989546969738</v>
      </c>
      <c r="H90" s="109"/>
    </row>
    <row r="91" spans="1:8" x14ac:dyDescent="0.2">
      <c r="B91" s="136"/>
      <c r="C91" s="136"/>
      <c r="D91" s="136"/>
      <c r="E91" s="136"/>
      <c r="F91" s="136"/>
      <c r="G91" s="136"/>
      <c r="H91" s="109"/>
    </row>
    <row r="92" spans="1:8" x14ac:dyDescent="0.2">
      <c r="B92" s="136"/>
      <c r="C92" s="136"/>
      <c r="D92" s="136"/>
      <c r="E92" s="136"/>
      <c r="F92" s="136"/>
      <c r="G92" s="136"/>
    </row>
    <row r="93" spans="1:8" s="114" customFormat="1" ht="20.25" x14ac:dyDescent="0.3">
      <c r="A93" s="2"/>
      <c r="B93" s="2" t="s">
        <v>47</v>
      </c>
      <c r="C93" s="2"/>
      <c r="D93" s="2"/>
      <c r="E93" s="2"/>
      <c r="F93" s="2"/>
      <c r="G93" s="2"/>
      <c r="H93" s="17"/>
    </row>
    <row r="95" spans="1:8" x14ac:dyDescent="0.2">
      <c r="B95" s="32" t="s">
        <v>130</v>
      </c>
      <c r="C95" s="13"/>
      <c r="D95" s="13"/>
      <c r="E95" s="13"/>
      <c r="F95" s="13"/>
      <c r="G95" s="13"/>
    </row>
    <row r="96" spans="1:8" x14ac:dyDescent="0.2">
      <c r="B96" s="31" t="s">
        <v>9</v>
      </c>
      <c r="C96" s="111">
        <f>Inputs!C59*(1+Inputs!$C$49)*(1-$C$146)</f>
        <v>1.3368448957622385</v>
      </c>
      <c r="D96" s="110">
        <f>C96*(1+Inputs!$C$49)*(1-Inputs!$C$52)</f>
        <v>1.4711911235618647</v>
      </c>
      <c r="E96" s="110">
        <f>D96*(1+Inputs!$C$49)*(1-Inputs!$C$52)</f>
        <v>1.6190384755242144</v>
      </c>
      <c r="F96" s="110">
        <f>E96*(1+Inputs!$C$49)*(1-Inputs!$C$52)</f>
        <v>1.7817437471220203</v>
      </c>
      <c r="G96" s="110">
        <f>F96*(1+Inputs!$C$49)*(1-Inputs!$C$52)</f>
        <v>1.9608000849890477</v>
      </c>
      <c r="H96" s="109"/>
    </row>
    <row r="97" spans="1:8" x14ac:dyDescent="0.2">
      <c r="B97" s="31" t="s">
        <v>10</v>
      </c>
      <c r="C97" s="110">
        <f>Inputs!C60*(1+Inputs!$C$49)*(1-$C$146)</f>
        <v>0.79647064347315066</v>
      </c>
      <c r="D97" s="110">
        <f>C97*(1+Inputs!$C$49)*(1-Inputs!$C$52)</f>
        <v>0.87651196078898497</v>
      </c>
      <c r="E97" s="110">
        <f>D97*(1+Inputs!$C$49)*(1-Inputs!$C$52)</f>
        <v>0.9645970302884741</v>
      </c>
      <c r="F97" s="110">
        <f>E97*(1+Inputs!$C$49)*(1-Inputs!$C$52)</f>
        <v>1.0615342088473143</v>
      </c>
      <c r="G97" s="110">
        <f>F97*(1+Inputs!$C$49)*(1-Inputs!$C$52)</f>
        <v>1.1682130891654252</v>
      </c>
      <c r="H97" s="109"/>
    </row>
    <row r="98" spans="1:8" x14ac:dyDescent="0.2">
      <c r="B98" s="31" t="s">
        <v>11</v>
      </c>
      <c r="C98" s="110">
        <f>Inputs!C61*(1+Inputs!$C$49)*(1-$C$147)</f>
        <v>0.44725028141214934</v>
      </c>
      <c r="D98" s="110">
        <f>C98*(1+Inputs!$C$49)*(1-Inputs!$D$52)</f>
        <v>0.49219669844266334</v>
      </c>
      <c r="E98" s="110">
        <f>D98*(1+Inputs!$C$49)*(1-Inputs!$D$52)</f>
        <v>0.54166000565265882</v>
      </c>
      <c r="F98" s="110">
        <f>E98*(1+Inputs!$C$49)*(1-Inputs!$D$52)</f>
        <v>0.59609412792072269</v>
      </c>
      <c r="G98" s="110">
        <f>F98*(1+Inputs!$C$49)*(1-Inputs!$D$52)</f>
        <v>0.65599860730611581</v>
      </c>
      <c r="H98" s="109"/>
    </row>
    <row r="99" spans="1:8" x14ac:dyDescent="0.2">
      <c r="B99" s="31" t="s">
        <v>12</v>
      </c>
      <c r="C99" s="110">
        <f>Inputs!C62*(1+Inputs!$C$49)*(1-$C$147)</f>
        <v>0.28383561906957133</v>
      </c>
      <c r="D99" s="110">
        <f>C99*(1+Inputs!$C$49)*(1-Inputs!$D$52)</f>
        <v>0.3123596796079679</v>
      </c>
      <c r="E99" s="110">
        <f>D99*(1+Inputs!$C$49)*(1-Inputs!$D$52)</f>
        <v>0.34375026561017064</v>
      </c>
      <c r="F99" s="110">
        <f>E99*(1+Inputs!$C$49)*(1-Inputs!$D$52)</f>
        <v>0.37829544855266478</v>
      </c>
      <c r="G99" s="110">
        <f>F99*(1+Inputs!$C$49)*(1-Inputs!$D$52)</f>
        <v>0.41631224965496488</v>
      </c>
      <c r="H99" s="109"/>
    </row>
    <row r="100" spans="1:8" x14ac:dyDescent="0.2">
      <c r="B100" s="30"/>
      <c r="C100" s="110"/>
      <c r="D100" s="110"/>
      <c r="E100" s="110"/>
      <c r="F100" s="110"/>
      <c r="G100" s="110"/>
      <c r="H100" s="109"/>
    </row>
    <row r="101" spans="1:8" x14ac:dyDescent="0.2">
      <c r="B101" s="32" t="s">
        <v>131</v>
      </c>
      <c r="C101" s="110"/>
      <c r="D101" s="110"/>
      <c r="E101" s="110"/>
      <c r="F101" s="110"/>
      <c r="G101" s="110"/>
      <c r="H101" s="109"/>
    </row>
    <row r="102" spans="1:8" x14ac:dyDescent="0.2">
      <c r="B102" s="31" t="s">
        <v>9</v>
      </c>
      <c r="C102" s="110">
        <f>Inputs!C65*(1+Inputs!$C$49)*(1-$C$146)</f>
        <v>0.53986713072238668</v>
      </c>
      <c r="D102" s="110">
        <f>C102*(1+Inputs!$C$49)*(1-Inputs!$C$52)</f>
        <v>0.59412107802433289</v>
      </c>
      <c r="E102" s="110">
        <f>D102*(1+Inputs!$C$49)*(1-Inputs!$C$52)</f>
        <v>0.65382727576038824</v>
      </c>
      <c r="F102" s="110">
        <f>E102*(1+Inputs!$C$49)*(1-Inputs!$C$52)</f>
        <v>0.71953364783792839</v>
      </c>
      <c r="G102" s="110">
        <f>F102*(1+Inputs!$C$49)*(1-Inputs!$C$52)</f>
        <v>0.79184318177740098</v>
      </c>
      <c r="H102" s="109"/>
    </row>
    <row r="103" spans="1:8" x14ac:dyDescent="0.2">
      <c r="B103" s="31" t="s">
        <v>10</v>
      </c>
      <c r="C103" s="110">
        <f>Inputs!C66*(1+Inputs!$C$49)*(1-$C$146)</f>
        <v>0.35363277251291064</v>
      </c>
      <c r="D103" s="110">
        <f>C103*(1+Inputs!$C$49)*(1-Inputs!$C$52)</f>
        <v>0.3891710979865956</v>
      </c>
      <c r="E103" s="110">
        <f>D103*(1+Inputs!$C$49)*(1-Inputs!$C$52)</f>
        <v>0.42828084747875855</v>
      </c>
      <c r="F103" s="110">
        <f>E103*(1+Inputs!$C$49)*(1-Inputs!$C$52)</f>
        <v>0.47132093124613639</v>
      </c>
      <c r="G103" s="110">
        <f>F103*(1+Inputs!$C$49)*(1-Inputs!$C$52)</f>
        <v>0.5186863282317169</v>
      </c>
      <c r="H103" s="109"/>
    </row>
    <row r="104" spans="1:8" x14ac:dyDescent="0.2">
      <c r="B104" s="31" t="s">
        <v>11</v>
      </c>
      <c r="C104" s="110">
        <f>Inputs!C67*(1+Inputs!$C$49)*(1-$C$147)</f>
        <v>0.32664847623192156</v>
      </c>
      <c r="D104" s="110">
        <f>C104*(1+Inputs!$C$49)*(1-Inputs!$D$52)</f>
        <v>0.35947501485084854</v>
      </c>
      <c r="E104" s="110">
        <f>D104*(1+Inputs!$C$49)*(1-Inputs!$D$52)</f>
        <v>0.39560045646828457</v>
      </c>
      <c r="F104" s="110">
        <f>E104*(1+Inputs!$C$49)*(1-Inputs!$D$52)</f>
        <v>0.43535632434106486</v>
      </c>
      <c r="G104" s="110">
        <f>F104*(1+Inputs!$C$49)*(1-Inputs!$D$52)</f>
        <v>0.4791074581557202</v>
      </c>
      <c r="H104" s="109"/>
    </row>
    <row r="105" spans="1:8" x14ac:dyDescent="0.2">
      <c r="B105" s="31" t="s">
        <v>12</v>
      </c>
      <c r="C105" s="110">
        <f>Inputs!C68*(1+Inputs!$C$49)*(1-$C$147)</f>
        <v>0.21682523886446228</v>
      </c>
      <c r="D105" s="110">
        <f>C105*(1+Inputs!$C$49)*(1-Inputs!$D$52)</f>
        <v>0.23861509124414643</v>
      </c>
      <c r="E105" s="110">
        <f>D105*(1+Inputs!$C$49)*(1-Inputs!$D$52)</f>
        <v>0.26259471483872693</v>
      </c>
      <c r="F105" s="110">
        <f>E105*(1+Inputs!$C$49)*(1-Inputs!$D$52)</f>
        <v>0.28898417070644478</v>
      </c>
      <c r="G105" s="110">
        <f>F105*(1+Inputs!$C$49)*(1-Inputs!$D$52)</f>
        <v>0.31802563494158897</v>
      </c>
      <c r="H105" s="109"/>
    </row>
    <row r="106" spans="1:8" x14ac:dyDescent="0.2">
      <c r="B106" s="32"/>
      <c r="C106" s="110"/>
      <c r="D106" s="110"/>
      <c r="E106" s="110"/>
      <c r="F106" s="110"/>
      <c r="G106" s="110"/>
      <c r="H106" s="109"/>
    </row>
    <row r="107" spans="1:8" x14ac:dyDescent="0.2">
      <c r="B107" s="32" t="s">
        <v>129</v>
      </c>
      <c r="C107" s="110"/>
      <c r="D107" s="110"/>
      <c r="E107" s="110"/>
      <c r="F107" s="110"/>
      <c r="G107" s="110"/>
      <c r="H107" s="109"/>
    </row>
    <row r="108" spans="1:8" x14ac:dyDescent="0.2">
      <c r="B108" s="31" t="s">
        <v>11</v>
      </c>
      <c r="C108" s="110">
        <f>Inputs!C61*(1+Inputs!$C$49)*(1-$C$148)</f>
        <v>0.44639276572545961</v>
      </c>
      <c r="D108" s="110">
        <f>C108*(1+Inputs!$C$49)*(1-Inputs!$E$52)</f>
        <v>0.4912530067170397</v>
      </c>
      <c r="E108" s="110">
        <f>D108*(1+Inputs!$C$49)*(1-Inputs!$E$52)</f>
        <v>0.54062147762706869</v>
      </c>
      <c r="F108" s="110">
        <f>E108*(1+Inputs!$C$49)*(1-Inputs!$E$52)</f>
        <v>0.59495123302120101</v>
      </c>
      <c r="G108" s="110">
        <f>F108*(1+Inputs!$C$49)*(1-Inputs!$E$52)</f>
        <v>0.65474085718366659</v>
      </c>
      <c r="H108" s="128"/>
    </row>
    <row r="109" spans="1:8" x14ac:dyDescent="0.2">
      <c r="B109" s="31" t="s">
        <v>12</v>
      </c>
      <c r="C109" s="110">
        <f>Inputs!C62*(1+Inputs!$C$49)*(1-$C$148)</f>
        <v>0.28329141930959589</v>
      </c>
      <c r="D109" s="110">
        <f>C109*(1+Inputs!$C$49)*(1-Inputs!$E$52)</f>
        <v>0.31176079049311378</v>
      </c>
      <c r="E109" s="110">
        <f>D109*(1+Inputs!$C$49)*(1-Inputs!$E$52)</f>
        <v>0.34309119113371928</v>
      </c>
      <c r="F109" s="110">
        <f>E109*(1+Inputs!$C$49)*(1-Inputs!$E$52)</f>
        <v>0.37757014038670239</v>
      </c>
      <c r="G109" s="110">
        <f>F109*(1+Inputs!$C$49)*(1-Inputs!$E$52)</f>
        <v>0.4155140516448641</v>
      </c>
      <c r="H109" s="128"/>
    </row>
    <row r="111" spans="1:8" s="114" customFormat="1" ht="20.25" x14ac:dyDescent="0.3">
      <c r="A111" s="2"/>
      <c r="B111" s="2" t="s">
        <v>48</v>
      </c>
      <c r="C111" s="2"/>
      <c r="D111" s="2"/>
      <c r="E111" s="2"/>
      <c r="F111" s="2"/>
      <c r="G111" s="2"/>
      <c r="H111" s="17"/>
    </row>
    <row r="113" spans="2:8" x14ac:dyDescent="0.2">
      <c r="B113" s="13" t="s">
        <v>49</v>
      </c>
      <c r="C113" s="104">
        <f>1*(1+Inputs!C50)</f>
        <v>1.0587948790839776</v>
      </c>
      <c r="D113" s="104">
        <f>C113*(1+Inputs!D50)</f>
        <v>1.121242232449958</v>
      </c>
      <c r="E113" s="104">
        <f>D113*(1+Inputs!E50)</f>
        <v>1.1878610796604019</v>
      </c>
      <c r="F113" s="104">
        <f>E113*(1+Inputs!F50)</f>
        <v>1.2593818816810838</v>
      </c>
      <c r="G113" s="104">
        <f>F113*(1+Inputs!G50)</f>
        <v>1.3362388833459571</v>
      </c>
      <c r="H113" s="129"/>
    </row>
    <row r="114" spans="2:8" x14ac:dyDescent="0.2">
      <c r="B114" s="139"/>
      <c r="C114" s="129"/>
      <c r="D114" s="129"/>
      <c r="E114" s="129"/>
      <c r="F114" s="129"/>
      <c r="G114" s="129"/>
      <c r="H114" s="129"/>
    </row>
    <row r="115" spans="2:8" ht="15" x14ac:dyDescent="0.25">
      <c r="B115" s="5" t="s">
        <v>85</v>
      </c>
    </row>
    <row r="116" spans="2:8" x14ac:dyDescent="0.2">
      <c r="B116" s="13" t="s">
        <v>50</v>
      </c>
      <c r="C116" s="42">
        <f>(SUMPRODUCT(C8:C9,C77:C78)+SUMPRODUCT(C15:C16,C83:C84))*Inputs!$C$54</f>
        <v>13213111.833365081</v>
      </c>
      <c r="D116" s="42">
        <f>(SUMPRODUCT(D8:D9,D77:D78)+SUMPRODUCT(D15:D16,D83:D84))*Inputs!$C$54</f>
        <v>10581609.982536808</v>
      </c>
      <c r="E116" s="42">
        <f>(SUMPRODUCT(E8:E9,E77:E78)+SUMPRODUCT(E15:E16,E83:E84))*Inputs!$C$54</f>
        <v>10545933.137529133</v>
      </c>
      <c r="F116" s="42">
        <f>(SUMPRODUCT(F8:F9,F77:F78)+SUMPRODUCT(F15:F16,F83:F84))*Inputs!$C$54</f>
        <v>10027214.971785871</v>
      </c>
      <c r="G116" s="42">
        <f>(SUMPRODUCT(G8:G9,G77:G78)+SUMPRODUCT(G15:G16,G83:G84))*Inputs!$C$54</f>
        <v>8503033.9785876535</v>
      </c>
      <c r="H116" s="130"/>
    </row>
    <row r="117" spans="2:8" x14ac:dyDescent="0.2">
      <c r="B117" s="13" t="s">
        <v>51</v>
      </c>
      <c r="C117" s="42">
        <f>Inputs!C33</f>
        <v>13213111.833365081</v>
      </c>
      <c r="D117" s="42">
        <f>Inputs!D33</f>
        <v>10581609.982536808</v>
      </c>
      <c r="E117" s="42">
        <f>Inputs!E33</f>
        <v>10545933.137529133</v>
      </c>
      <c r="F117" s="42">
        <f>Inputs!F33</f>
        <v>10027214.971785869</v>
      </c>
      <c r="G117" s="42">
        <f>Inputs!G33</f>
        <v>8503033.9785876535</v>
      </c>
      <c r="H117" s="130"/>
    </row>
    <row r="118" spans="2:8" ht="15" x14ac:dyDescent="0.25">
      <c r="B118" s="102" t="s">
        <v>52</v>
      </c>
      <c r="C118" s="105">
        <f>C116-C117</f>
        <v>0</v>
      </c>
      <c r="D118" s="105">
        <f t="shared" ref="D118:G118" si="11">D116-D117</f>
        <v>0</v>
      </c>
      <c r="E118" s="105">
        <f t="shared" si="11"/>
        <v>0</v>
      </c>
      <c r="F118" s="105">
        <f t="shared" si="11"/>
        <v>0</v>
      </c>
      <c r="G118" s="105">
        <f t="shared" si="11"/>
        <v>0</v>
      </c>
      <c r="H118" s="131"/>
    </row>
    <row r="119" spans="2:8" ht="15" x14ac:dyDescent="0.25">
      <c r="B119" s="141"/>
      <c r="C119" s="105"/>
      <c r="D119" s="105"/>
      <c r="E119" s="105"/>
      <c r="F119" s="105"/>
      <c r="G119" s="105"/>
      <c r="H119" s="131"/>
    </row>
    <row r="120" spans="2:8" ht="15" x14ac:dyDescent="0.25">
      <c r="B120" s="33" t="s">
        <v>84</v>
      </c>
      <c r="C120" s="105"/>
      <c r="D120" s="105"/>
      <c r="E120" s="105"/>
      <c r="F120" s="105"/>
      <c r="G120" s="105"/>
      <c r="H120" s="131"/>
    </row>
    <row r="121" spans="2:8" x14ac:dyDescent="0.2">
      <c r="B121" s="13" t="s">
        <v>53</v>
      </c>
      <c r="C121" s="42">
        <f>(SUMPRODUCT(C10:C11,C79:C80)+SUMPRODUCT(C17:C18,C85:C86))*Inputs!$C$54</f>
        <v>13252738.055331195</v>
      </c>
      <c r="D121" s="42">
        <f>(SUMPRODUCT(D10:D11,D79:D80)+SUMPRODUCT(D17:D18,D85:D86))*Inputs!$C$54</f>
        <v>15897349.140301349</v>
      </c>
      <c r="E121" s="42">
        <f>(SUMPRODUCT(E10:E11,E79:E80)+SUMPRODUCT(E17:E18,E85:E86))*Inputs!$C$54</f>
        <v>16840432.886609275</v>
      </c>
      <c r="F121" s="42">
        <f>(SUMPRODUCT(F10:F11,F79:F80)+SUMPRODUCT(F17:F18,F85:F86))*Inputs!$C$54</f>
        <v>18395201.677340679</v>
      </c>
      <c r="G121" s="42">
        <f>(SUMPRODUCT(G10:G11,G79:G80)+SUMPRODUCT(G17:G18,G85:G86))*Inputs!$C$54</f>
        <v>21060449.006597999</v>
      </c>
      <c r="H121" s="130"/>
    </row>
    <row r="122" spans="2:8" x14ac:dyDescent="0.2">
      <c r="B122" s="13" t="s">
        <v>54</v>
      </c>
      <c r="C122" s="42">
        <f>Inputs!C27+Inputs!C18</f>
        <v>13252738.055331193</v>
      </c>
      <c r="D122" s="42">
        <f>Inputs!D27+Inputs!D18</f>
        <v>15897349.140301349</v>
      </c>
      <c r="E122" s="42">
        <f>Inputs!E27+Inputs!E18</f>
        <v>16840432.886609275</v>
      </c>
      <c r="F122" s="42">
        <f>Inputs!F27+Inputs!F18</f>
        <v>18395201.677340679</v>
      </c>
      <c r="G122" s="42">
        <f>Inputs!G27+Inputs!G18</f>
        <v>21060449.006597999</v>
      </c>
      <c r="H122" s="130"/>
    </row>
    <row r="123" spans="2:8" ht="15" x14ac:dyDescent="0.25">
      <c r="B123" s="102" t="s">
        <v>52</v>
      </c>
      <c r="C123" s="105">
        <f>C121-C122</f>
        <v>0</v>
      </c>
      <c r="D123" s="105">
        <f t="shared" ref="D123:G123" si="12">D121-D122</f>
        <v>0</v>
      </c>
      <c r="E123" s="105">
        <f t="shared" si="12"/>
        <v>0</v>
      </c>
      <c r="F123" s="105">
        <f t="shared" si="12"/>
        <v>0</v>
      </c>
      <c r="G123" s="105">
        <f t="shared" si="12"/>
        <v>0</v>
      </c>
      <c r="H123" s="131"/>
    </row>
    <row r="124" spans="2:8" ht="15" x14ac:dyDescent="0.25">
      <c r="B124" s="32"/>
      <c r="C124" s="42"/>
      <c r="D124" s="42"/>
      <c r="E124" s="42"/>
      <c r="F124" s="42"/>
      <c r="G124" s="42"/>
      <c r="H124" s="131"/>
    </row>
    <row r="125" spans="2:8" ht="15" x14ac:dyDescent="0.25">
      <c r="B125" s="33" t="s">
        <v>107</v>
      </c>
      <c r="C125" s="42"/>
      <c r="D125" s="42"/>
      <c r="E125" s="42"/>
      <c r="F125" s="42"/>
      <c r="G125" s="42"/>
      <c r="H125" s="131"/>
    </row>
    <row r="126" spans="2:8" ht="15" x14ac:dyDescent="0.25">
      <c r="B126" s="13" t="s">
        <v>53</v>
      </c>
      <c r="C126" s="42">
        <f>SUMPRODUCT(C23:C24,C89:C90)*Inputs!$C$54</f>
        <v>636315.83687824127</v>
      </c>
      <c r="D126" s="42">
        <f>SUMPRODUCT(D23:D24,D89:D90)*Inputs!$C$54</f>
        <v>2161697.4505398991</v>
      </c>
      <c r="E126" s="42">
        <f>SUMPRODUCT(E23:E24,E89:E90)*Inputs!$C$54</f>
        <v>2886362.4715623157</v>
      </c>
      <c r="F126" s="42">
        <f>SUMPRODUCT(F23:F24,F89:F90)*Inputs!$C$54</f>
        <v>3600879.4242209811</v>
      </c>
      <c r="G126" s="42">
        <f>SUMPRODUCT(G23:G24,G89:G90)*Inputs!$C$54</f>
        <v>4315659.2837862996</v>
      </c>
      <c r="H126" s="131"/>
    </row>
    <row r="127" spans="2:8" x14ac:dyDescent="0.2">
      <c r="B127" s="13" t="s">
        <v>54</v>
      </c>
      <c r="C127" s="42">
        <f>Inputs!C29+Inputs!C19</f>
        <v>636315.83687824127</v>
      </c>
      <c r="D127" s="42">
        <f>Inputs!D29+Inputs!D19</f>
        <v>2161697.4505398991</v>
      </c>
      <c r="E127" s="42">
        <f>Inputs!E29+Inputs!E19</f>
        <v>2886362.4715623157</v>
      </c>
      <c r="F127" s="42">
        <f>Inputs!F29+Inputs!F19</f>
        <v>3600879.4242209811</v>
      </c>
      <c r="G127" s="42">
        <f>Inputs!G29+Inputs!G19</f>
        <v>4315659.2837863006</v>
      </c>
      <c r="H127" s="106"/>
    </row>
    <row r="128" spans="2:8" ht="15" x14ac:dyDescent="0.25">
      <c r="B128" s="102" t="s">
        <v>52</v>
      </c>
      <c r="C128" s="105">
        <f>C126-C127</f>
        <v>0</v>
      </c>
      <c r="D128" s="105">
        <f t="shared" ref="D128:G128" si="13">D126-D127</f>
        <v>0</v>
      </c>
      <c r="E128" s="105">
        <f t="shared" si="13"/>
        <v>0</v>
      </c>
      <c r="F128" s="105">
        <f t="shared" si="13"/>
        <v>0</v>
      </c>
      <c r="G128" s="105">
        <f t="shared" si="13"/>
        <v>0</v>
      </c>
    </row>
    <row r="129" spans="2:8" ht="15" x14ac:dyDescent="0.25">
      <c r="B129" s="102"/>
      <c r="C129" s="42"/>
      <c r="D129" s="42"/>
      <c r="E129" s="42"/>
      <c r="F129" s="42"/>
      <c r="G129" s="42"/>
    </row>
    <row r="130" spans="2:8" x14ac:dyDescent="0.2">
      <c r="B130" s="13" t="s">
        <v>55</v>
      </c>
      <c r="C130" s="42">
        <f>(SUMPRODUCT(C8:C9,C96:C97)+SUMPRODUCT(C15:C16,C102:C103))*Inputs!$C$54</f>
        <v>16413170.633324912</v>
      </c>
      <c r="D130" s="42">
        <f>(SUMPRODUCT(D8:D9,D96:D97)+SUMPRODUCT(D15:D16,D102:D103))*Inputs!$C$54</f>
        <v>14048935.351069681</v>
      </c>
      <c r="E130" s="42">
        <f>(SUMPRODUCT(E8:E9,E96:E97)+SUMPRODUCT(E15:E16,E102:E103))*Inputs!$C$54</f>
        <v>11043456.110669294</v>
      </c>
      <c r="F130" s="42">
        <f>(SUMPRODUCT(F8:F9,F96:F97)+SUMPRODUCT(F15:F16,F102:F103))*Inputs!$C$54</f>
        <v>7291804.4774724897</v>
      </c>
      <c r="G130" s="42">
        <f>(SUMPRODUCT(G8:G9,G96:G97)+SUMPRODUCT(G15:G16,G102:G103))*Inputs!$C$54</f>
        <v>2674935.9044504985</v>
      </c>
      <c r="H130" s="130"/>
    </row>
    <row r="131" spans="2:8" x14ac:dyDescent="0.2">
      <c r="B131" s="13" t="s">
        <v>86</v>
      </c>
      <c r="C131" s="42">
        <f>(SUMPRODUCT(C10:C11,C98:C99)+SUMPRODUCT(C17:C18,C104:C105))*Inputs!$C$54</f>
        <v>10922823.105591267</v>
      </c>
      <c r="D131" s="42">
        <f>(SUMPRODUCT(D10:D11,D98:D99)+SUMPRODUCT(D17:D18,D104:D105))*Inputs!$C$54</f>
        <v>13591838.045192277</v>
      </c>
      <c r="E131" s="42">
        <f>(SUMPRODUCT(E10:E11,E98:E99)+SUMPRODUCT(E17:E18,E104:E105))*Inputs!$C$54</f>
        <v>16762019.104723401</v>
      </c>
      <c r="F131" s="42">
        <f>(SUMPRODUCT(F10:F11,F98:F99)+SUMPRODUCT(F17:F18,F104:F105))*Inputs!$C$54</f>
        <v>20433280.747479044</v>
      </c>
      <c r="G131" s="42">
        <f>(SUMPRODUCT(G10:G11,G98:G99)+SUMPRODUCT(G17:G18,G104:G105))*Inputs!$C$54</f>
        <v>24674229.326056696</v>
      </c>
      <c r="H131" s="130"/>
    </row>
    <row r="132" spans="2:8" x14ac:dyDescent="0.2">
      <c r="B132" s="139" t="s">
        <v>108</v>
      </c>
      <c r="C132" s="42">
        <f>SUMPRODUCT(C23:C24,C108:C109)*Inputs!$C$54</f>
        <v>908695.63739948929</v>
      </c>
      <c r="D132" s="42">
        <f>SUMPRODUCT(D23:D24,D108:D109)*Inputs!$C$54</f>
        <v>1666545.025405203</v>
      </c>
      <c r="E132" s="42">
        <f>SUMPRODUCT(E23:E24,E108:E109)*Inputs!$C$54</f>
        <v>2567537.4220109396</v>
      </c>
      <c r="F132" s="42">
        <f>SUMPRODUCT(F23:F24,F108:F109)*Inputs!$C$54</f>
        <v>3632967.0405695192</v>
      </c>
      <c r="G132" s="42">
        <f>SUMPRODUCT(G23:G24,G108:G109)*Inputs!$C$54</f>
        <v>4886607.1686264426</v>
      </c>
      <c r="H132" s="130"/>
    </row>
    <row r="134" spans="2:8" x14ac:dyDescent="0.2">
      <c r="B134" s="13" t="s">
        <v>56</v>
      </c>
      <c r="C134" s="107">
        <f>(C117/C113)+(D117/D113)+(E117/E113)+(F117/F113)+(G117/G113)</f>
        <v>45120294.330960087</v>
      </c>
    </row>
    <row r="135" spans="2:8" x14ac:dyDescent="0.2">
      <c r="B135" s="13" t="s">
        <v>57</v>
      </c>
      <c r="C135" s="107">
        <f>(C130/C113)+(D130/D113)+(E130/E113)+(F130/F113)+(G130/G113)</f>
        <v>45120294.330960087</v>
      </c>
    </row>
    <row r="136" spans="2:8" ht="15" x14ac:dyDescent="0.25">
      <c r="B136" s="102" t="s">
        <v>52</v>
      </c>
      <c r="C136" s="105">
        <f>C134-C135</f>
        <v>0</v>
      </c>
    </row>
    <row r="138" spans="2:8" x14ac:dyDescent="0.2">
      <c r="B138" s="13" t="s">
        <v>88</v>
      </c>
      <c r="C138" s="107">
        <f>(C122/C113)+(D122/D113)+(E122/E113)+(F122/F113)+(G122/G113)</f>
        <v>71239778.854779273</v>
      </c>
      <c r="E138" s="113"/>
    </row>
    <row r="139" spans="2:8" x14ac:dyDescent="0.2">
      <c r="B139" s="13" t="s">
        <v>89</v>
      </c>
      <c r="C139" s="107">
        <f>(C131/C113)+(D131/D113)+(E131/E113)+(F131/F113)+(G131/G113)</f>
        <v>71239778.854779258</v>
      </c>
    </row>
    <row r="140" spans="2:8" ht="15" x14ac:dyDescent="0.25">
      <c r="B140" s="102" t="s">
        <v>52</v>
      </c>
      <c r="C140" s="105">
        <f>C138-C139</f>
        <v>0</v>
      </c>
    </row>
    <row r="141" spans="2:8" ht="15" x14ac:dyDescent="0.25">
      <c r="B141" s="141"/>
      <c r="C141" s="142"/>
    </row>
    <row r="142" spans="2:8" x14ac:dyDescent="0.2">
      <c r="B142" s="13" t="s">
        <v>109</v>
      </c>
      <c r="C142" s="107">
        <f>(C127/C113)+(D127/D113)+(E127/E113)+(F127/F113)+(G127/G113)</f>
        <v>11047761.932150465</v>
      </c>
    </row>
    <row r="143" spans="2:8" x14ac:dyDescent="0.2">
      <c r="B143" s="13" t="s">
        <v>110</v>
      </c>
      <c r="C143" s="107">
        <f>(C132/C113)+(D132/D113)+(E132/E113)+(F132/F113)+(G132/G113)</f>
        <v>11047761.932150468</v>
      </c>
    </row>
    <row r="144" spans="2:8" ht="15" x14ac:dyDescent="0.25">
      <c r="B144" s="102" t="s">
        <v>52</v>
      </c>
      <c r="C144" s="105">
        <f>C142-C143</f>
        <v>0</v>
      </c>
    </row>
    <row r="146" spans="2:6" ht="15" x14ac:dyDescent="0.25">
      <c r="B146" s="33" t="s">
        <v>58</v>
      </c>
      <c r="C146" s="108">
        <v>-0.17397404148694287</v>
      </c>
      <c r="D146" s="1" t="s">
        <v>59</v>
      </c>
    </row>
    <row r="147" spans="2:6" ht="15" x14ac:dyDescent="0.25">
      <c r="B147" s="33" t="s">
        <v>87</v>
      </c>
      <c r="C147" s="108">
        <v>-0.17224730665610999</v>
      </c>
      <c r="D147" s="1" t="s">
        <v>59</v>
      </c>
    </row>
    <row r="148" spans="2:6" ht="15" x14ac:dyDescent="0.25">
      <c r="B148" s="33" t="s">
        <v>102</v>
      </c>
      <c r="C148" s="140">
        <v>-0.16999974976030757</v>
      </c>
      <c r="D148" s="1" t="s">
        <v>59</v>
      </c>
    </row>
    <row r="150" spans="2:6" x14ac:dyDescent="0.2">
      <c r="B150" s="103" t="s">
        <v>60</v>
      </c>
    </row>
    <row r="153" spans="2:6" ht="15" thickBot="1" x14ac:dyDescent="0.25">
      <c r="C153" s="123" t="s">
        <v>61</v>
      </c>
    </row>
    <row r="154" spans="2:6" ht="36" customHeight="1" x14ac:dyDescent="0.25">
      <c r="C154" s="115" t="s">
        <v>62</v>
      </c>
      <c r="D154" s="151" t="s">
        <v>99</v>
      </c>
      <c r="E154" s="147" t="s">
        <v>98</v>
      </c>
      <c r="F154" s="117" t="s">
        <v>97</v>
      </c>
    </row>
    <row r="155" spans="2:6" s="54" customFormat="1" ht="27.6" customHeight="1" x14ac:dyDescent="0.25">
      <c r="C155" s="116" t="s">
        <v>63</v>
      </c>
      <c r="D155" s="152" t="s">
        <v>94</v>
      </c>
      <c r="E155" s="148" t="s">
        <v>95</v>
      </c>
      <c r="F155" s="119" t="s">
        <v>100</v>
      </c>
    </row>
    <row r="156" spans="2:6" s="54" customFormat="1" ht="27.6" customHeight="1" x14ac:dyDescent="0.25">
      <c r="C156" s="118" t="s">
        <v>64</v>
      </c>
      <c r="D156" s="153">
        <v>0</v>
      </c>
      <c r="E156" s="149">
        <v>0</v>
      </c>
      <c r="F156" s="122">
        <v>0</v>
      </c>
    </row>
    <row r="157" spans="2:6" s="54" customFormat="1" ht="27.6" customHeight="1" thickBot="1" x14ac:dyDescent="0.3">
      <c r="C157" s="120" t="s">
        <v>65</v>
      </c>
      <c r="D157" s="154" t="s">
        <v>93</v>
      </c>
      <c r="E157" s="150" t="s">
        <v>96</v>
      </c>
      <c r="F157" s="121" t="s">
        <v>101</v>
      </c>
    </row>
  </sheetData>
  <phoneticPr fontId="15" type="noConversion"/>
  <pageMargins left="0.51181102362204722" right="0.51181102362204722" top="0.35433070866141736" bottom="0.35433070866141736" header="0.31496062992125984" footer="0.31496062992125984"/>
  <pageSetup paperSize="9" scale="4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F12AA-9565-4D95-8743-B19C03180312}">
  <dimension ref="A2:G38"/>
  <sheetViews>
    <sheetView topLeftCell="A20" zoomScale="110" zoomScaleNormal="110" workbookViewId="0">
      <selection activeCell="C44" sqref="C44"/>
    </sheetView>
  </sheetViews>
  <sheetFormatPr defaultColWidth="8.85546875" defaultRowHeight="14.25" x14ac:dyDescent="0.2"/>
  <cols>
    <col min="1" max="1" width="10.7109375" style="1" customWidth="1"/>
    <col min="2" max="2" width="61.42578125" style="1" bestFit="1" customWidth="1"/>
    <col min="3" max="7" width="16.7109375" style="20" customWidth="1"/>
    <col min="8" max="16384" width="8.85546875" style="1"/>
  </cols>
  <sheetData>
    <row r="2" spans="1:7" s="11" customFormat="1" ht="20.25" x14ac:dyDescent="0.3">
      <c r="A2" s="10"/>
      <c r="B2" s="2" t="s">
        <v>66</v>
      </c>
      <c r="C2" s="19"/>
      <c r="D2" s="19"/>
      <c r="E2" s="19"/>
      <c r="F2" s="19"/>
      <c r="G2" s="19"/>
    </row>
    <row r="4" spans="1:7" ht="15" customHeight="1" x14ac:dyDescent="0.25">
      <c r="B4" s="3" t="s">
        <v>3</v>
      </c>
      <c r="C4" s="15" t="s">
        <v>4</v>
      </c>
      <c r="D4" s="15" t="s">
        <v>5</v>
      </c>
      <c r="E4" s="15" t="s">
        <v>6</v>
      </c>
      <c r="F4" s="15" t="s">
        <v>7</v>
      </c>
      <c r="G4" s="15" t="s">
        <v>8</v>
      </c>
    </row>
    <row r="5" spans="1:7" ht="15" x14ac:dyDescent="0.25">
      <c r="B5" s="12" t="s">
        <v>130</v>
      </c>
      <c r="C5" s="21"/>
      <c r="D5" s="21"/>
      <c r="E5" s="21"/>
      <c r="F5" s="21"/>
      <c r="G5" s="21"/>
    </row>
    <row r="6" spans="1:7" x14ac:dyDescent="0.2">
      <c r="B6" s="13" t="s">
        <v>9</v>
      </c>
      <c r="C6" s="145">
        <f>Calculations!C96*Inputs!C$55</f>
        <v>487.94838695321704</v>
      </c>
      <c r="D6" s="145">
        <f>Calculations!D96*Inputs!D$55</f>
        <v>536.98476010008062</v>
      </c>
      <c r="E6" s="145">
        <f>Calculations!E96*Inputs!E$55</f>
        <v>590.94904356633822</v>
      </c>
      <c r="F6" s="145">
        <f>Calculations!F96*Inputs!F$55</f>
        <v>652.11821144665942</v>
      </c>
      <c r="G6" s="145">
        <f>Calculations!G96*Inputs!G$55</f>
        <v>715.69203102100244</v>
      </c>
    </row>
    <row r="7" spans="1:7" x14ac:dyDescent="0.2">
      <c r="B7" s="13" t="s">
        <v>10</v>
      </c>
      <c r="C7" s="145">
        <f>Calculations!C97*Inputs!C$55</f>
        <v>290.71178486769998</v>
      </c>
      <c r="D7" s="145">
        <f>Calculations!D97*Inputs!D$55</f>
        <v>319.9268656879795</v>
      </c>
      <c r="E7" s="145">
        <f>Calculations!E97*Inputs!E$55</f>
        <v>352.07791605529303</v>
      </c>
      <c r="F7" s="145">
        <f>Calculations!F97*Inputs!F$55</f>
        <v>388.52152043811702</v>
      </c>
      <c r="G7" s="145">
        <f>Calculations!G97*Inputs!G$55</f>
        <v>426.39777754538022</v>
      </c>
    </row>
    <row r="8" spans="1:7" x14ac:dyDescent="0.2">
      <c r="B8" s="13" t="s">
        <v>11</v>
      </c>
      <c r="C8" s="145">
        <f>Calculations!C98*Inputs!C$55</f>
        <v>163.24635271543451</v>
      </c>
      <c r="D8" s="145">
        <f>Calculations!D98*Inputs!D$55</f>
        <v>179.65179493157211</v>
      </c>
      <c r="E8" s="145">
        <f>Calculations!E98*Inputs!E$55</f>
        <v>197.70590206322046</v>
      </c>
      <c r="F8" s="145">
        <f>Calculations!F98*Inputs!F$55</f>
        <v>218.17045081898451</v>
      </c>
      <c r="G8" s="145">
        <f>Calculations!G98*Inputs!G$55</f>
        <v>239.43949166673227</v>
      </c>
    </row>
    <row r="9" spans="1:7" x14ac:dyDescent="0.2">
      <c r="B9" s="13" t="s">
        <v>12</v>
      </c>
      <c r="C9" s="145">
        <f>Calculations!C99*Inputs!C$55</f>
        <v>103.60000096039353</v>
      </c>
      <c r="D9" s="145">
        <f>Calculations!D99*Inputs!D$55</f>
        <v>114.01128305690828</v>
      </c>
      <c r="E9" s="145">
        <f>Calculations!E99*Inputs!E$55</f>
        <v>125.46884694771228</v>
      </c>
      <c r="F9" s="145">
        <f>Calculations!F99*Inputs!F$55</f>
        <v>138.45613417027531</v>
      </c>
      <c r="G9" s="145">
        <f>Calculations!G99*Inputs!G$55</f>
        <v>151.95397112406218</v>
      </c>
    </row>
    <row r="10" spans="1:7" x14ac:dyDescent="0.2">
      <c r="B10" s="13"/>
      <c r="C10" s="21"/>
      <c r="D10" s="21"/>
      <c r="E10" s="21"/>
      <c r="F10" s="21"/>
      <c r="G10" s="21"/>
    </row>
    <row r="11" spans="1:7" ht="15" x14ac:dyDescent="0.25">
      <c r="B11" s="12" t="s">
        <v>131</v>
      </c>
      <c r="C11" s="21"/>
      <c r="D11" s="21"/>
      <c r="E11" s="21"/>
      <c r="F11" s="21"/>
      <c r="G11" s="21"/>
    </row>
    <row r="12" spans="1:7" x14ac:dyDescent="0.2">
      <c r="B12" s="13" t="s">
        <v>9</v>
      </c>
      <c r="C12" s="145">
        <f>Calculations!C102*Inputs!C$55</f>
        <v>197.05150271367114</v>
      </c>
      <c r="D12" s="145">
        <f>Calculations!D102*Inputs!D$55</f>
        <v>216.85419347888151</v>
      </c>
      <c r="E12" s="145">
        <f>Calculations!E102*Inputs!E$55</f>
        <v>238.64695565254172</v>
      </c>
      <c r="F12" s="145">
        <f>Calculations!F102*Inputs!F$55</f>
        <v>263.34931510868176</v>
      </c>
      <c r="G12" s="145">
        <f>Calculations!G102*Inputs!G$55</f>
        <v>289.02276134875137</v>
      </c>
    </row>
    <row r="13" spans="1:7" x14ac:dyDescent="0.2">
      <c r="B13" s="13" t="s">
        <v>10</v>
      </c>
      <c r="C13" s="145">
        <f>Calculations!C103*Inputs!C$55</f>
        <v>129.07596196721238</v>
      </c>
      <c r="D13" s="145">
        <f>Calculations!D103*Inputs!D$55</f>
        <v>142.04745076510738</v>
      </c>
      <c r="E13" s="145">
        <f>Calculations!E103*Inputs!E$55</f>
        <v>156.32250932974688</v>
      </c>
      <c r="F13" s="145">
        <f>Calculations!F103*Inputs!F$55</f>
        <v>172.50346083608591</v>
      </c>
      <c r="G13" s="145">
        <f>Calculations!G103*Inputs!G$55</f>
        <v>189.32050980457666</v>
      </c>
    </row>
    <row r="14" spans="1:7" x14ac:dyDescent="0.2">
      <c r="B14" s="13" t="s">
        <v>11</v>
      </c>
      <c r="C14" s="145">
        <f>Calculations!C104*Inputs!C$55</f>
        <v>119.22669382465136</v>
      </c>
      <c r="D14" s="145">
        <f>Calculations!D104*Inputs!D$55</f>
        <v>131.20838042055971</v>
      </c>
      <c r="E14" s="145">
        <f>Calculations!E104*Inputs!E$55</f>
        <v>144.39416661092386</v>
      </c>
      <c r="F14" s="145">
        <f>Calculations!F104*Inputs!F$55</f>
        <v>159.34041470882974</v>
      </c>
      <c r="G14" s="145">
        <f>Calculations!G104*Inputs!G$55</f>
        <v>174.87422222683787</v>
      </c>
    </row>
    <row r="15" spans="1:7" x14ac:dyDescent="0.2">
      <c r="B15" s="13" t="s">
        <v>12</v>
      </c>
      <c r="C15" s="145">
        <f>Calculations!C105*Inputs!C$55</f>
        <v>79.14121218552873</v>
      </c>
      <c r="D15" s="145">
        <f>Calculations!D105*Inputs!D$55</f>
        <v>87.094508304113447</v>
      </c>
      <c r="E15" s="145">
        <f>Calculations!E105*Inputs!E$55</f>
        <v>95.847070916135323</v>
      </c>
      <c r="F15" s="145">
        <f>Calculations!F105*Inputs!F$55</f>
        <v>105.76820647855878</v>
      </c>
      <c r="G15" s="145">
        <f>Calculations!G105*Inputs!G$55</f>
        <v>116.07935675367997</v>
      </c>
    </row>
    <row r="16" spans="1:7" x14ac:dyDescent="0.2">
      <c r="B16" s="13"/>
      <c r="C16" s="21"/>
      <c r="D16" s="21"/>
      <c r="E16" s="21"/>
      <c r="F16" s="21"/>
      <c r="G16" s="21"/>
    </row>
    <row r="17" spans="1:7" ht="15" x14ac:dyDescent="0.25">
      <c r="B17" s="12" t="s">
        <v>129</v>
      </c>
      <c r="C17" s="21"/>
      <c r="D17" s="21"/>
      <c r="E17" s="21"/>
      <c r="F17" s="21"/>
      <c r="G17" s="21"/>
    </row>
    <row r="18" spans="1:7" x14ac:dyDescent="0.2">
      <c r="B18" s="13" t="s">
        <v>11</v>
      </c>
      <c r="C18" s="145">
        <f>Calculations!C108*Inputs!C$55</f>
        <v>162.93335948979276</v>
      </c>
      <c r="D18" s="145">
        <f>Calculations!D108*Inputs!D$55</f>
        <v>179.30734745171949</v>
      </c>
      <c r="E18" s="145">
        <f>Calculations!E108*Inputs!E$55</f>
        <v>197.32683933388006</v>
      </c>
      <c r="F18" s="145">
        <f>Calculations!F108*Inputs!F$55</f>
        <v>217.75215128575957</v>
      </c>
      <c r="G18" s="145">
        <f>Calculations!G108*Inputs!G$55</f>
        <v>238.9804128720383</v>
      </c>
    </row>
    <row r="19" spans="1:7" x14ac:dyDescent="0.2">
      <c r="B19" s="13" t="s">
        <v>12</v>
      </c>
      <c r="C19" s="145">
        <f>Calculations!C109*Inputs!C$55</f>
        <v>103.4013680480025</v>
      </c>
      <c r="D19" s="145">
        <f>Calculations!D109*Inputs!D$55</f>
        <v>113.79268852998653</v>
      </c>
      <c r="E19" s="145">
        <f>Calculations!E109*Inputs!E$55</f>
        <v>125.22828476380754</v>
      </c>
      <c r="F19" s="145">
        <f>Calculations!F109*Inputs!F$55</f>
        <v>138.19067138153306</v>
      </c>
      <c r="G19" s="145">
        <f>Calculations!G109*Inputs!G$55</f>
        <v>151.6626288503754</v>
      </c>
    </row>
    <row r="21" spans="1:7" s="11" customFormat="1" ht="20.25" x14ac:dyDescent="0.3">
      <c r="A21" s="10"/>
      <c r="B21" s="2" t="s">
        <v>67</v>
      </c>
      <c r="C21" s="19"/>
      <c r="D21" s="19"/>
      <c r="E21" s="19"/>
      <c r="F21" s="19"/>
      <c r="G21" s="19"/>
    </row>
    <row r="23" spans="1:7" ht="15" x14ac:dyDescent="0.25">
      <c r="B23" s="3" t="s">
        <v>3</v>
      </c>
      <c r="C23" s="15" t="s">
        <v>4</v>
      </c>
      <c r="D23" s="15" t="s">
        <v>5</v>
      </c>
      <c r="E23" s="15" t="s">
        <v>6</v>
      </c>
      <c r="F23" s="15" t="s">
        <v>7</v>
      </c>
      <c r="G23" s="15" t="s">
        <v>8</v>
      </c>
    </row>
    <row r="24" spans="1:7" ht="15" x14ac:dyDescent="0.25">
      <c r="B24" s="12" t="s">
        <v>135</v>
      </c>
      <c r="C24" s="21"/>
      <c r="D24" s="21"/>
      <c r="E24" s="21"/>
      <c r="F24" s="21"/>
      <c r="G24" s="21"/>
    </row>
    <row r="25" spans="1:7" x14ac:dyDescent="0.2">
      <c r="B25" s="13" t="s">
        <v>9</v>
      </c>
      <c r="C25" s="146">
        <f>Calculations!C96</f>
        <v>1.3368448957622385</v>
      </c>
      <c r="D25" s="146">
        <f>Calculations!D96</f>
        <v>1.4711911235618647</v>
      </c>
      <c r="E25" s="146">
        <f>Calculations!E96</f>
        <v>1.6190384755242144</v>
      </c>
      <c r="F25" s="146">
        <f>Calculations!F96</f>
        <v>1.7817437471220203</v>
      </c>
      <c r="G25" s="146">
        <f>Calculations!G96</f>
        <v>1.9608000849890477</v>
      </c>
    </row>
    <row r="26" spans="1:7" x14ac:dyDescent="0.2">
      <c r="B26" s="13" t="s">
        <v>10</v>
      </c>
      <c r="C26" s="146">
        <f>Calculations!C97</f>
        <v>0.79647064347315066</v>
      </c>
      <c r="D26" s="146">
        <f>Calculations!D97</f>
        <v>0.87651196078898497</v>
      </c>
      <c r="E26" s="146">
        <f>Calculations!E97</f>
        <v>0.9645970302884741</v>
      </c>
      <c r="F26" s="146">
        <f>Calculations!F97</f>
        <v>1.0615342088473143</v>
      </c>
      <c r="G26" s="146">
        <f>Calculations!G97</f>
        <v>1.1682130891654252</v>
      </c>
    </row>
    <row r="27" spans="1:7" x14ac:dyDescent="0.2">
      <c r="B27" s="13" t="s">
        <v>11</v>
      </c>
      <c r="C27" s="146">
        <f>Calculations!C98</f>
        <v>0.44725028141214934</v>
      </c>
      <c r="D27" s="146">
        <f>Calculations!D98</f>
        <v>0.49219669844266334</v>
      </c>
      <c r="E27" s="146">
        <f>Calculations!E98</f>
        <v>0.54166000565265882</v>
      </c>
      <c r="F27" s="146">
        <f>Calculations!F98</f>
        <v>0.59609412792072269</v>
      </c>
      <c r="G27" s="146">
        <f>Calculations!G98</f>
        <v>0.65599860730611581</v>
      </c>
    </row>
    <row r="28" spans="1:7" x14ac:dyDescent="0.2">
      <c r="B28" s="13" t="s">
        <v>12</v>
      </c>
      <c r="C28" s="146">
        <f>Calculations!C99</f>
        <v>0.28383561906957133</v>
      </c>
      <c r="D28" s="146">
        <f>Calculations!D99</f>
        <v>0.3123596796079679</v>
      </c>
      <c r="E28" s="146">
        <f>Calculations!E99</f>
        <v>0.34375026561017064</v>
      </c>
      <c r="F28" s="146">
        <f>Calculations!F99</f>
        <v>0.37829544855266478</v>
      </c>
      <c r="G28" s="146">
        <f>Calculations!G99</f>
        <v>0.41631224965496488</v>
      </c>
    </row>
    <row r="29" spans="1:7" x14ac:dyDescent="0.2">
      <c r="B29" s="13"/>
      <c r="C29" s="21"/>
      <c r="D29" s="21"/>
      <c r="E29" s="21"/>
      <c r="F29" s="21"/>
      <c r="G29" s="21"/>
    </row>
    <row r="30" spans="1:7" ht="15" x14ac:dyDescent="0.25">
      <c r="B30" s="12" t="s">
        <v>131</v>
      </c>
      <c r="C30" s="21"/>
      <c r="D30" s="21"/>
      <c r="E30" s="21"/>
      <c r="F30" s="21"/>
      <c r="G30" s="21"/>
    </row>
    <row r="31" spans="1:7" x14ac:dyDescent="0.2">
      <c r="B31" s="13" t="s">
        <v>9</v>
      </c>
      <c r="C31" s="146">
        <f>Calculations!C102</f>
        <v>0.53986713072238668</v>
      </c>
      <c r="D31" s="146">
        <f>Calculations!D102</f>
        <v>0.59412107802433289</v>
      </c>
      <c r="E31" s="146">
        <f>Calculations!E102</f>
        <v>0.65382727576038824</v>
      </c>
      <c r="F31" s="146">
        <f>Calculations!F102</f>
        <v>0.71953364783792839</v>
      </c>
      <c r="G31" s="146">
        <f>Calculations!G102</f>
        <v>0.79184318177740098</v>
      </c>
    </row>
    <row r="32" spans="1:7" x14ac:dyDescent="0.2">
      <c r="B32" s="13" t="s">
        <v>10</v>
      </c>
      <c r="C32" s="146">
        <f>Calculations!C103</f>
        <v>0.35363277251291064</v>
      </c>
      <c r="D32" s="146">
        <f>Calculations!D103</f>
        <v>0.3891710979865956</v>
      </c>
      <c r="E32" s="146">
        <f>Calculations!E103</f>
        <v>0.42828084747875855</v>
      </c>
      <c r="F32" s="146">
        <f>Calculations!F103</f>
        <v>0.47132093124613639</v>
      </c>
      <c r="G32" s="146">
        <f>Calculations!G103</f>
        <v>0.5186863282317169</v>
      </c>
    </row>
    <row r="33" spans="2:7" x14ac:dyDescent="0.2">
      <c r="B33" s="13" t="s">
        <v>11</v>
      </c>
      <c r="C33" s="146">
        <f>Calculations!C104</f>
        <v>0.32664847623192156</v>
      </c>
      <c r="D33" s="146">
        <f>Calculations!D104</f>
        <v>0.35947501485084854</v>
      </c>
      <c r="E33" s="146">
        <f>Calculations!E104</f>
        <v>0.39560045646828457</v>
      </c>
      <c r="F33" s="146">
        <f>Calculations!F104</f>
        <v>0.43535632434106486</v>
      </c>
      <c r="G33" s="146">
        <f>Calculations!G104</f>
        <v>0.4791074581557202</v>
      </c>
    </row>
    <row r="34" spans="2:7" x14ac:dyDescent="0.2">
      <c r="B34" s="13" t="s">
        <v>12</v>
      </c>
      <c r="C34" s="146">
        <f>Calculations!C105</f>
        <v>0.21682523886446228</v>
      </c>
      <c r="D34" s="146">
        <f>Calculations!D105</f>
        <v>0.23861509124414643</v>
      </c>
      <c r="E34" s="146">
        <f>Calculations!E105</f>
        <v>0.26259471483872693</v>
      </c>
      <c r="F34" s="146">
        <f>Calculations!F105</f>
        <v>0.28898417070644478</v>
      </c>
      <c r="G34" s="146">
        <f>Calculations!G105</f>
        <v>0.31802563494158897</v>
      </c>
    </row>
    <row r="35" spans="2:7" x14ac:dyDescent="0.2">
      <c r="B35" s="13"/>
      <c r="C35" s="21"/>
      <c r="D35" s="21"/>
      <c r="E35" s="21"/>
      <c r="F35" s="21"/>
      <c r="G35" s="21"/>
    </row>
    <row r="36" spans="2:7" ht="15" x14ac:dyDescent="0.25">
      <c r="B36" s="12" t="s">
        <v>129</v>
      </c>
      <c r="C36" s="21"/>
      <c r="D36" s="21"/>
      <c r="E36" s="21"/>
      <c r="F36" s="21"/>
      <c r="G36" s="21"/>
    </row>
    <row r="37" spans="2:7" x14ac:dyDescent="0.2">
      <c r="B37" s="13" t="s">
        <v>11</v>
      </c>
      <c r="C37" s="146">
        <f>Calculations!C108</f>
        <v>0.44639276572545961</v>
      </c>
      <c r="D37" s="146">
        <f>Calculations!D108</f>
        <v>0.4912530067170397</v>
      </c>
      <c r="E37" s="146">
        <f>Calculations!E108</f>
        <v>0.54062147762706869</v>
      </c>
      <c r="F37" s="146">
        <f>Calculations!F108</f>
        <v>0.59495123302120101</v>
      </c>
      <c r="G37" s="146">
        <f>Calculations!G108</f>
        <v>0.65474085718366659</v>
      </c>
    </row>
    <row r="38" spans="2:7" x14ac:dyDescent="0.2">
      <c r="B38" s="13" t="s">
        <v>12</v>
      </c>
      <c r="C38" s="146">
        <f>Calculations!C109</f>
        <v>0.28329141930959589</v>
      </c>
      <c r="D38" s="146">
        <f>Calculations!D109</f>
        <v>0.31176079049311378</v>
      </c>
      <c r="E38" s="146">
        <f>Calculations!E109</f>
        <v>0.34309119113371928</v>
      </c>
      <c r="F38" s="146">
        <f>Calculations!F109</f>
        <v>0.37757014038670239</v>
      </c>
      <c r="G38" s="146">
        <f>Calculations!G109</f>
        <v>0.4155140516448641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237A-262E-4090-8DEC-D9C453611CCE}">
  <sheetPr>
    <tabColor theme="9" tint="0.59999389629810485"/>
  </sheetPr>
  <dimension ref="B1:K70"/>
  <sheetViews>
    <sheetView showGridLines="0" topLeftCell="A31" workbookViewId="0">
      <selection activeCell="E55" sqref="E55:J57"/>
    </sheetView>
  </sheetViews>
  <sheetFormatPr defaultRowHeight="15" x14ac:dyDescent="0.25"/>
  <cols>
    <col min="1" max="1" width="2.5703125" customWidth="1"/>
    <col min="2" max="2" width="37" customWidth="1"/>
    <col min="3" max="3" width="12.7109375" customWidth="1"/>
    <col min="4" max="7" width="12.7109375" style="60" customWidth="1"/>
    <col min="8" max="8" width="12.85546875" style="60" customWidth="1"/>
    <col min="9" max="10" width="13" style="60" customWidth="1"/>
    <col min="11" max="11" width="11.140625" customWidth="1"/>
  </cols>
  <sheetData>
    <row r="1" spans="2:11" ht="28.5" x14ac:dyDescent="0.45">
      <c r="B1" s="57" t="s">
        <v>90</v>
      </c>
      <c r="C1" s="57"/>
    </row>
    <row r="2" spans="2:11" ht="28.5" x14ac:dyDescent="0.45">
      <c r="B2" s="57" t="s">
        <v>68</v>
      </c>
      <c r="C2" s="57"/>
    </row>
    <row r="5" spans="2:11" ht="15.75" thickBot="1" x14ac:dyDescent="0.3">
      <c r="B5" s="59"/>
      <c r="C5" s="59"/>
      <c r="D5" s="58"/>
      <c r="E5" s="58"/>
      <c r="F5" s="58"/>
      <c r="G5" s="58"/>
      <c r="H5" s="58"/>
      <c r="I5" s="58"/>
      <c r="J5" s="58"/>
      <c r="K5" s="59"/>
    </row>
    <row r="6" spans="2:11" ht="16.5" thickBot="1" x14ac:dyDescent="0.3">
      <c r="B6" s="59"/>
      <c r="C6" s="58"/>
      <c r="D6" s="58"/>
      <c r="E6" s="187" t="s">
        <v>45</v>
      </c>
      <c r="F6" s="188"/>
      <c r="G6" s="188"/>
      <c r="H6" s="188"/>
      <c r="I6" s="189"/>
      <c r="J6" s="58"/>
      <c r="K6" s="59"/>
    </row>
    <row r="7" spans="2:11" ht="15.75" thickBot="1" x14ac:dyDescent="0.3">
      <c r="B7" s="61" t="s">
        <v>69</v>
      </c>
      <c r="C7" s="62" t="s">
        <v>70</v>
      </c>
      <c r="D7" s="63" t="s">
        <v>71</v>
      </c>
      <c r="E7" s="64" t="s">
        <v>4</v>
      </c>
      <c r="F7" s="65" t="s">
        <v>5</v>
      </c>
      <c r="G7" s="65" t="s">
        <v>6</v>
      </c>
      <c r="H7" s="65" t="s">
        <v>7</v>
      </c>
      <c r="I7" s="66" t="s">
        <v>8</v>
      </c>
      <c r="J7" s="59"/>
      <c r="K7" s="59"/>
    </row>
    <row r="8" spans="2:11" x14ac:dyDescent="0.25">
      <c r="B8" s="67" t="s">
        <v>72</v>
      </c>
      <c r="C8" s="68">
        <v>1</v>
      </c>
      <c r="D8" s="69" t="s">
        <v>73</v>
      </c>
      <c r="E8" s="173">
        <f>'[3]Import Qty'!E8</f>
        <v>21456</v>
      </c>
      <c r="F8" s="174">
        <f>'[3]Import Qty'!F8</f>
        <v>17165</v>
      </c>
      <c r="G8" s="174">
        <f>'[3]Import Qty'!G8</f>
        <v>12874</v>
      </c>
      <c r="H8" s="174">
        <f>'[3]Import Qty'!H8</f>
        <v>8582</v>
      </c>
      <c r="I8" s="175">
        <f>'[3]Import Qty'!I8</f>
        <v>4291</v>
      </c>
      <c r="J8" s="59"/>
      <c r="K8" s="59"/>
    </row>
    <row r="9" spans="2:11" x14ac:dyDescent="0.25">
      <c r="B9" s="72" t="s">
        <v>10</v>
      </c>
      <c r="C9" s="73">
        <v>1</v>
      </c>
      <c r="D9" s="74" t="s">
        <v>73</v>
      </c>
      <c r="E9" s="176">
        <f>'[3]Import Qty'!E9</f>
        <v>13903</v>
      </c>
      <c r="F9" s="177">
        <f>'[3]Import Qty'!F9</f>
        <v>11122</v>
      </c>
      <c r="G9" s="177">
        <f>'[3]Import Qty'!G9</f>
        <v>8342</v>
      </c>
      <c r="H9" s="177">
        <f>'[3]Import Qty'!H9</f>
        <v>5561</v>
      </c>
      <c r="I9" s="178">
        <f>'[3]Import Qty'!I9</f>
        <v>2781</v>
      </c>
      <c r="J9" s="59"/>
      <c r="K9" s="59"/>
    </row>
    <row r="10" spans="2:11" x14ac:dyDescent="0.25">
      <c r="B10" s="72" t="s">
        <v>11</v>
      </c>
      <c r="C10" s="73">
        <v>1</v>
      </c>
      <c r="D10" s="74" t="s">
        <v>73</v>
      </c>
      <c r="E10" s="176">
        <f>'[3]Import Qty'!E10</f>
        <v>8073.2</v>
      </c>
      <c r="F10" s="177">
        <f>'[3]Import Qty'!F10</f>
        <v>11949</v>
      </c>
      <c r="G10" s="177">
        <f>'[3]Import Qty'!G10</f>
        <v>16332</v>
      </c>
      <c r="H10" s="177">
        <f>'[3]Import Qty'!H10</f>
        <v>20718</v>
      </c>
      <c r="I10" s="178">
        <f>'[3]Import Qty'!I10</f>
        <v>25105</v>
      </c>
      <c r="J10" s="59"/>
      <c r="K10" s="59"/>
    </row>
    <row r="11" spans="2:11" x14ac:dyDescent="0.25">
      <c r="B11" s="77" t="s">
        <v>12</v>
      </c>
      <c r="C11" s="78">
        <v>1</v>
      </c>
      <c r="D11" s="79" t="s">
        <v>73</v>
      </c>
      <c r="E11" s="179">
        <f>'[3]Import Qty'!E11</f>
        <v>61189.4</v>
      </c>
      <c r="F11" s="180">
        <f>'[3]Import Qty'!F11</f>
        <v>62739</v>
      </c>
      <c r="G11" s="180">
        <f>'[3]Import Qty'!G11</f>
        <v>65807</v>
      </c>
      <c r="H11" s="180">
        <f>'[3]Import Qty'!H11</f>
        <v>68880</v>
      </c>
      <c r="I11" s="181">
        <f>'[3]Import Qty'!I11</f>
        <v>71956</v>
      </c>
      <c r="J11" s="59"/>
      <c r="K11" s="59"/>
    </row>
    <row r="12" spans="2:11" ht="15.75" thickBot="1" x14ac:dyDescent="0.3">
      <c r="B12" s="82" t="s">
        <v>13</v>
      </c>
      <c r="C12" s="83">
        <v>1</v>
      </c>
      <c r="D12" s="84" t="s">
        <v>73</v>
      </c>
      <c r="E12" s="85">
        <f>SUM(E8:E11)</f>
        <v>104621.6</v>
      </c>
      <c r="F12" s="86">
        <f t="shared" ref="F12:I12" si="0">SUM(F8:F11)</f>
        <v>102975</v>
      </c>
      <c r="G12" s="86">
        <f t="shared" si="0"/>
        <v>103355</v>
      </c>
      <c r="H12" s="86">
        <f t="shared" si="0"/>
        <v>103741</v>
      </c>
      <c r="I12" s="87">
        <f t="shared" si="0"/>
        <v>104133</v>
      </c>
      <c r="J12" s="59"/>
      <c r="K12" s="59"/>
    </row>
    <row r="13" spans="2:11" x14ac:dyDescent="0.25">
      <c r="B13" s="67" t="s">
        <v>72</v>
      </c>
      <c r="C13" s="68">
        <v>1</v>
      </c>
      <c r="D13" s="69" t="s">
        <v>74</v>
      </c>
      <c r="E13" s="173">
        <f>'[3]Import Qty'!E13</f>
        <v>17165</v>
      </c>
      <c r="F13" s="174">
        <f>'[3]Import Qty'!F13</f>
        <v>12874</v>
      </c>
      <c r="G13" s="182">
        <f>'[3]Import Qty'!G13</f>
        <v>8582</v>
      </c>
      <c r="H13" s="182">
        <f>'[3]Import Qty'!H13</f>
        <v>4291</v>
      </c>
      <c r="I13" s="183">
        <f>'[3]Import Qty'!I13</f>
        <v>0</v>
      </c>
      <c r="J13" s="96"/>
      <c r="K13" s="59"/>
    </row>
    <row r="14" spans="2:11" x14ac:dyDescent="0.25">
      <c r="B14" s="72" t="s">
        <v>10</v>
      </c>
      <c r="C14" s="73">
        <v>1</v>
      </c>
      <c r="D14" s="74" t="s">
        <v>74</v>
      </c>
      <c r="E14" s="176">
        <f>'[3]Import Qty'!E14</f>
        <v>11122</v>
      </c>
      <c r="F14" s="177">
        <f>'[3]Import Qty'!F14</f>
        <v>8342</v>
      </c>
      <c r="G14" s="184">
        <f>'[3]Import Qty'!G14</f>
        <v>5561</v>
      </c>
      <c r="H14" s="184">
        <f>'[3]Import Qty'!H14</f>
        <v>2781</v>
      </c>
      <c r="I14" s="185">
        <f>'[3]Import Qty'!I14</f>
        <v>0</v>
      </c>
      <c r="J14" s="96"/>
      <c r="K14" s="59"/>
    </row>
    <row r="15" spans="2:11" x14ac:dyDescent="0.25">
      <c r="B15" s="72" t="s">
        <v>11</v>
      </c>
      <c r="C15" s="73">
        <v>1</v>
      </c>
      <c r="D15" s="74" t="s">
        <v>74</v>
      </c>
      <c r="E15" s="176">
        <f>'[3]Import Qty'!E15</f>
        <v>11949</v>
      </c>
      <c r="F15" s="177">
        <f>'[3]Import Qty'!F15</f>
        <v>16332</v>
      </c>
      <c r="G15" s="184">
        <f>'[3]Import Qty'!G15</f>
        <v>20718</v>
      </c>
      <c r="H15" s="184">
        <f>'[3]Import Qty'!H15</f>
        <v>25105</v>
      </c>
      <c r="I15" s="185">
        <f>'[3]Import Qty'!I15</f>
        <v>29494.000000000004</v>
      </c>
      <c r="J15" s="96"/>
      <c r="K15" s="59"/>
    </row>
    <row r="16" spans="2:11" x14ac:dyDescent="0.25">
      <c r="B16" s="77" t="s">
        <v>12</v>
      </c>
      <c r="C16" s="78">
        <v>1</v>
      </c>
      <c r="D16" s="79" t="s">
        <v>74</v>
      </c>
      <c r="E16" s="179">
        <f>'[3]Import Qty'!E16</f>
        <v>62739</v>
      </c>
      <c r="F16" s="180">
        <f>'[3]Import Qty'!F16</f>
        <v>65807</v>
      </c>
      <c r="G16" s="184">
        <f>'[3]Import Qty'!G16</f>
        <v>68880</v>
      </c>
      <c r="H16" s="184">
        <f>'[3]Import Qty'!H16</f>
        <v>71956</v>
      </c>
      <c r="I16" s="185">
        <f>'[3]Import Qty'!I16</f>
        <v>75037</v>
      </c>
      <c r="J16" s="96"/>
      <c r="K16" s="59"/>
    </row>
    <row r="17" spans="2:11" ht="15.75" thickBot="1" x14ac:dyDescent="0.3">
      <c r="B17" s="82" t="s">
        <v>13</v>
      </c>
      <c r="C17" s="83">
        <v>1</v>
      </c>
      <c r="D17" s="84" t="s">
        <v>74</v>
      </c>
      <c r="E17" s="85">
        <f>SUM(E13:E16)</f>
        <v>102975</v>
      </c>
      <c r="F17" s="86">
        <f t="shared" ref="F17:I17" si="1">SUM(F13:F16)</f>
        <v>103355</v>
      </c>
      <c r="G17" s="86">
        <f t="shared" si="1"/>
        <v>103741</v>
      </c>
      <c r="H17" s="86">
        <f t="shared" si="1"/>
        <v>104133</v>
      </c>
      <c r="I17" s="93">
        <f t="shared" si="1"/>
        <v>104531</v>
      </c>
      <c r="J17" s="59"/>
      <c r="K17" s="59"/>
    </row>
    <row r="18" spans="2:11" x14ac:dyDescent="0.25">
      <c r="B18" s="67" t="s">
        <v>72</v>
      </c>
      <c r="C18" s="68">
        <v>1</v>
      </c>
      <c r="D18" s="69" t="s">
        <v>75</v>
      </c>
      <c r="E18" s="70">
        <f t="shared" ref="E18:I21" si="2">(E8+E13)/2</f>
        <v>19310.5</v>
      </c>
      <c r="F18" s="71">
        <f t="shared" si="2"/>
        <v>15019.5</v>
      </c>
      <c r="G18" s="89">
        <f t="shared" si="2"/>
        <v>10728</v>
      </c>
      <c r="H18" s="89">
        <f t="shared" si="2"/>
        <v>6436.5</v>
      </c>
      <c r="I18" s="90">
        <f t="shared" si="2"/>
        <v>2145.5</v>
      </c>
      <c r="J18" s="58"/>
      <c r="K18" s="59"/>
    </row>
    <row r="19" spans="2:11" x14ac:dyDescent="0.25">
      <c r="B19" s="72" t="s">
        <v>10</v>
      </c>
      <c r="C19" s="73">
        <v>1</v>
      </c>
      <c r="D19" s="74" t="s">
        <v>75</v>
      </c>
      <c r="E19" s="75">
        <f t="shared" si="2"/>
        <v>12512.5</v>
      </c>
      <c r="F19" s="76">
        <f t="shared" si="2"/>
        <v>9732</v>
      </c>
      <c r="G19" s="91">
        <f t="shared" si="2"/>
        <v>6951.5</v>
      </c>
      <c r="H19" s="91">
        <f t="shared" si="2"/>
        <v>4171</v>
      </c>
      <c r="I19" s="92">
        <f t="shared" si="2"/>
        <v>1390.5</v>
      </c>
      <c r="J19" s="58"/>
      <c r="K19" s="59"/>
    </row>
    <row r="20" spans="2:11" x14ac:dyDescent="0.25">
      <c r="B20" s="72" t="s">
        <v>11</v>
      </c>
      <c r="C20" s="73">
        <v>1</v>
      </c>
      <c r="D20" s="74" t="s">
        <v>75</v>
      </c>
      <c r="E20" s="75">
        <f t="shared" si="2"/>
        <v>10011.1</v>
      </c>
      <c r="F20" s="76">
        <f t="shared" si="2"/>
        <v>14140.5</v>
      </c>
      <c r="G20" s="91">
        <f t="shared" si="2"/>
        <v>18525</v>
      </c>
      <c r="H20" s="91">
        <f t="shared" si="2"/>
        <v>22911.5</v>
      </c>
      <c r="I20" s="92">
        <f t="shared" si="2"/>
        <v>27299.5</v>
      </c>
      <c r="J20" s="58"/>
      <c r="K20" s="59"/>
    </row>
    <row r="21" spans="2:11" x14ac:dyDescent="0.25">
      <c r="B21" s="77" t="s">
        <v>12</v>
      </c>
      <c r="C21" s="78">
        <v>1</v>
      </c>
      <c r="D21" s="79" t="s">
        <v>75</v>
      </c>
      <c r="E21" s="80">
        <f t="shared" si="2"/>
        <v>61964.2</v>
      </c>
      <c r="F21" s="81">
        <f t="shared" si="2"/>
        <v>64273</v>
      </c>
      <c r="G21" s="91">
        <f t="shared" si="2"/>
        <v>67343.5</v>
      </c>
      <c r="H21" s="91">
        <f t="shared" si="2"/>
        <v>70418</v>
      </c>
      <c r="I21" s="92">
        <f t="shared" si="2"/>
        <v>73496.5</v>
      </c>
      <c r="J21" s="58"/>
      <c r="K21" s="59"/>
    </row>
    <row r="22" spans="2:11" ht="15.75" thickBot="1" x14ac:dyDescent="0.3">
      <c r="B22" s="82" t="s">
        <v>13</v>
      </c>
      <c r="C22" s="83">
        <v>1</v>
      </c>
      <c r="D22" s="84" t="s">
        <v>75</v>
      </c>
      <c r="E22" s="85">
        <f>SUM(E18:E21)</f>
        <v>103798.29999999999</v>
      </c>
      <c r="F22" s="86">
        <f t="shared" ref="F22:H22" si="3">SUM(F18:F21)</f>
        <v>103165</v>
      </c>
      <c r="G22" s="86">
        <f t="shared" si="3"/>
        <v>103548</v>
      </c>
      <c r="H22" s="86">
        <f t="shared" si="3"/>
        <v>103937</v>
      </c>
      <c r="I22" s="93">
        <f>SUM(I18:I21)</f>
        <v>104332</v>
      </c>
      <c r="J22" s="164"/>
      <c r="K22" s="59"/>
    </row>
    <row r="23" spans="2:11" ht="15.75" thickBot="1" x14ac:dyDescent="0.3">
      <c r="B23" s="94"/>
      <c r="C23" s="95"/>
      <c r="D23" s="47"/>
      <c r="E23" s="88"/>
      <c r="F23" s="88"/>
      <c r="G23" s="88"/>
      <c r="H23" s="88"/>
      <c r="I23" s="88"/>
      <c r="J23" s="59"/>
      <c r="K23" s="59"/>
    </row>
    <row r="24" spans="2:11" ht="16.5" thickBot="1" x14ac:dyDescent="0.3">
      <c r="B24" s="59"/>
      <c r="C24" s="58"/>
      <c r="D24" s="58"/>
      <c r="E24" s="187" t="s">
        <v>118</v>
      </c>
      <c r="F24" s="188"/>
      <c r="G24" s="188"/>
      <c r="H24" s="188"/>
      <c r="I24" s="189"/>
      <c r="J24" s="59"/>
      <c r="K24" s="59"/>
    </row>
    <row r="25" spans="2:11" ht="15.75" thickBot="1" x14ac:dyDescent="0.3">
      <c r="B25" s="61" t="s">
        <v>69</v>
      </c>
      <c r="C25" s="62" t="s">
        <v>70</v>
      </c>
      <c r="D25" s="63" t="s">
        <v>71</v>
      </c>
      <c r="E25" s="64" t="s">
        <v>4</v>
      </c>
      <c r="F25" s="65" t="s">
        <v>5</v>
      </c>
      <c r="G25" s="65" t="s">
        <v>6</v>
      </c>
      <c r="H25" s="65" t="s">
        <v>7</v>
      </c>
      <c r="I25" s="66" t="s">
        <v>8</v>
      </c>
      <c r="J25" s="59"/>
      <c r="K25" s="59"/>
    </row>
    <row r="26" spans="2:11" x14ac:dyDescent="0.25">
      <c r="B26" s="67" t="s">
        <v>72</v>
      </c>
      <c r="C26" s="68">
        <v>2</v>
      </c>
      <c r="D26" s="69" t="s">
        <v>73</v>
      </c>
      <c r="E26" s="173">
        <f>'[3]Import Qty'!E26</f>
        <v>10244</v>
      </c>
      <c r="F26" s="174">
        <f>'[3]Import Qty'!F26</f>
        <v>8195</v>
      </c>
      <c r="G26" s="174">
        <f>'[3]Import Qty'!G26</f>
        <v>6147</v>
      </c>
      <c r="H26" s="174">
        <f>'[3]Import Qty'!H26</f>
        <v>4098</v>
      </c>
      <c r="I26" s="175">
        <f>'[3]Import Qty'!I26</f>
        <v>2049</v>
      </c>
      <c r="J26" s="59"/>
      <c r="K26" s="59"/>
    </row>
    <row r="27" spans="2:11" x14ac:dyDescent="0.25">
      <c r="B27" s="72" t="s">
        <v>10</v>
      </c>
      <c r="C27" s="73">
        <v>2</v>
      </c>
      <c r="D27" s="74" t="s">
        <v>73</v>
      </c>
      <c r="E27" s="176">
        <f>'[3]Import Qty'!E27</f>
        <v>13129</v>
      </c>
      <c r="F27" s="177">
        <f>'[3]Import Qty'!F27</f>
        <v>10503</v>
      </c>
      <c r="G27" s="177">
        <f>'[3]Import Qty'!G27</f>
        <v>7878</v>
      </c>
      <c r="H27" s="177">
        <f>'[3]Import Qty'!H27</f>
        <v>5252</v>
      </c>
      <c r="I27" s="178">
        <f>'[3]Import Qty'!I27</f>
        <v>2626</v>
      </c>
      <c r="J27" s="59"/>
      <c r="K27" s="59"/>
    </row>
    <row r="28" spans="2:11" x14ac:dyDescent="0.25">
      <c r="B28" s="72" t="s">
        <v>11</v>
      </c>
      <c r="C28" s="73">
        <v>2</v>
      </c>
      <c r="D28" s="74" t="s">
        <v>73</v>
      </c>
      <c r="E28" s="176">
        <f>'[3]Import Qty'!E28</f>
        <v>4644</v>
      </c>
      <c r="F28" s="177">
        <f>'[3]Import Qty'!F28</f>
        <v>6700</v>
      </c>
      <c r="G28" s="177">
        <f>'[3]Import Qty'!G28</f>
        <v>8755</v>
      </c>
      <c r="H28" s="177">
        <f>'[3]Import Qty'!H28</f>
        <v>10811</v>
      </c>
      <c r="I28" s="178">
        <f>'[3]Import Qty'!I28</f>
        <v>12867</v>
      </c>
      <c r="J28" s="59"/>
      <c r="K28" s="59"/>
    </row>
    <row r="29" spans="2:11" x14ac:dyDescent="0.25">
      <c r="B29" s="77" t="s">
        <v>12</v>
      </c>
      <c r="C29" s="78">
        <v>2</v>
      </c>
      <c r="D29" s="79" t="s">
        <v>73</v>
      </c>
      <c r="E29" s="179">
        <f>'[3]Import Qty'!E29</f>
        <v>25546</v>
      </c>
      <c r="F29" s="180">
        <f>'[3]Import Qty'!F29</f>
        <v>29680</v>
      </c>
      <c r="G29" s="180">
        <f>'[3]Import Qty'!G29</f>
        <v>32331</v>
      </c>
      <c r="H29" s="180">
        <f>'[3]Import Qty'!H29</f>
        <v>34983</v>
      </c>
      <c r="I29" s="181">
        <f>'[3]Import Qty'!I29</f>
        <v>37636</v>
      </c>
      <c r="J29" s="59"/>
      <c r="K29" s="59"/>
    </row>
    <row r="30" spans="2:11" ht="15.75" thickBot="1" x14ac:dyDescent="0.3">
      <c r="B30" s="82" t="s">
        <v>13</v>
      </c>
      <c r="C30" s="83">
        <v>2</v>
      </c>
      <c r="D30" s="84" t="s">
        <v>73</v>
      </c>
      <c r="E30" s="85">
        <f>SUM(E26:E29)</f>
        <v>53563</v>
      </c>
      <c r="F30" s="86">
        <f t="shared" ref="F30:I30" si="4">SUM(F26:F29)</f>
        <v>55078</v>
      </c>
      <c r="G30" s="86">
        <f t="shared" si="4"/>
        <v>55111</v>
      </c>
      <c r="H30" s="86">
        <f t="shared" si="4"/>
        <v>55144</v>
      </c>
      <c r="I30" s="87">
        <f t="shared" si="4"/>
        <v>55178</v>
      </c>
      <c r="J30" s="59"/>
      <c r="K30" s="59"/>
    </row>
    <row r="31" spans="2:11" x14ac:dyDescent="0.25">
      <c r="B31" s="67" t="s">
        <v>72</v>
      </c>
      <c r="C31" s="68">
        <v>2</v>
      </c>
      <c r="D31" s="69" t="s">
        <v>74</v>
      </c>
      <c r="E31" s="173">
        <f>'[3]Import Qty'!E31</f>
        <v>8195</v>
      </c>
      <c r="F31" s="174">
        <f>'[3]Import Qty'!F31</f>
        <v>6147</v>
      </c>
      <c r="G31" s="182">
        <f>'[3]Import Qty'!G31</f>
        <v>4098</v>
      </c>
      <c r="H31" s="182">
        <f>'[3]Import Qty'!H31</f>
        <v>2049</v>
      </c>
      <c r="I31" s="183">
        <f>'[3]Import Qty'!I31</f>
        <v>0</v>
      </c>
      <c r="J31" s="59"/>
      <c r="K31" s="59"/>
    </row>
    <row r="32" spans="2:11" x14ac:dyDescent="0.25">
      <c r="B32" s="72" t="s">
        <v>10</v>
      </c>
      <c r="C32" s="73">
        <v>2</v>
      </c>
      <c r="D32" s="74" t="s">
        <v>74</v>
      </c>
      <c r="E32" s="176">
        <f>'[3]Import Qty'!E32</f>
        <v>10503</v>
      </c>
      <c r="F32" s="177">
        <f>'[3]Import Qty'!F32</f>
        <v>7878</v>
      </c>
      <c r="G32" s="184">
        <f>'[3]Import Qty'!G32</f>
        <v>5252</v>
      </c>
      <c r="H32" s="184">
        <f>'[3]Import Qty'!H32</f>
        <v>2626</v>
      </c>
      <c r="I32" s="185">
        <f>'[3]Import Qty'!I32</f>
        <v>0</v>
      </c>
      <c r="J32" s="59"/>
      <c r="K32" s="59"/>
    </row>
    <row r="33" spans="2:11" x14ac:dyDescent="0.25">
      <c r="B33" s="72" t="s">
        <v>11</v>
      </c>
      <c r="C33" s="73">
        <v>2</v>
      </c>
      <c r="D33" s="74" t="s">
        <v>74</v>
      </c>
      <c r="E33" s="176">
        <f>'[3]Import Qty'!E33</f>
        <v>6700</v>
      </c>
      <c r="F33" s="177">
        <f>'[3]Import Qty'!F33</f>
        <v>8755</v>
      </c>
      <c r="G33" s="184">
        <f>'[3]Import Qty'!G33</f>
        <v>10811</v>
      </c>
      <c r="H33" s="184">
        <f>'[3]Import Qty'!H33</f>
        <v>12867</v>
      </c>
      <c r="I33" s="185">
        <f>'[3]Import Qty'!I33</f>
        <v>14923.000000000004</v>
      </c>
      <c r="J33" s="59"/>
      <c r="K33" s="59"/>
    </row>
    <row r="34" spans="2:11" x14ac:dyDescent="0.25">
      <c r="B34" s="77" t="s">
        <v>12</v>
      </c>
      <c r="C34" s="78">
        <v>2</v>
      </c>
      <c r="D34" s="79" t="s">
        <v>74</v>
      </c>
      <c r="E34" s="179">
        <f>'[3]Import Qty'!E34</f>
        <v>29680</v>
      </c>
      <c r="F34" s="180">
        <f>'[3]Import Qty'!F34</f>
        <v>32331</v>
      </c>
      <c r="G34" s="184">
        <f>'[3]Import Qty'!G34</f>
        <v>34983</v>
      </c>
      <c r="H34" s="184">
        <f>'[3]Import Qty'!H34</f>
        <v>37636</v>
      </c>
      <c r="I34" s="185">
        <f>'[3]Import Qty'!I34</f>
        <v>40290</v>
      </c>
      <c r="J34" s="59"/>
      <c r="K34" s="59"/>
    </row>
    <row r="35" spans="2:11" ht="15.75" thickBot="1" x14ac:dyDescent="0.3">
      <c r="B35" s="82" t="s">
        <v>13</v>
      </c>
      <c r="C35" s="83">
        <v>2</v>
      </c>
      <c r="D35" s="84" t="s">
        <v>74</v>
      </c>
      <c r="E35" s="85">
        <f>SUM(E31:E34)</f>
        <v>55078</v>
      </c>
      <c r="F35" s="86">
        <f t="shared" ref="F35:I35" si="5">SUM(F31:F34)</f>
        <v>55111</v>
      </c>
      <c r="G35" s="86">
        <f t="shared" si="5"/>
        <v>55144</v>
      </c>
      <c r="H35" s="86">
        <f t="shared" si="5"/>
        <v>55178</v>
      </c>
      <c r="I35" s="93">
        <f t="shared" si="5"/>
        <v>55213</v>
      </c>
      <c r="J35" s="59"/>
      <c r="K35" s="59"/>
    </row>
    <row r="36" spans="2:11" x14ac:dyDescent="0.25">
      <c r="B36" s="67" t="s">
        <v>72</v>
      </c>
      <c r="C36" s="68">
        <v>2</v>
      </c>
      <c r="D36" s="69" t="s">
        <v>75</v>
      </c>
      <c r="E36" s="70">
        <f t="shared" ref="E36:I36" si="6">(E26+E31)/2</f>
        <v>9219.5</v>
      </c>
      <c r="F36" s="71">
        <f t="shared" si="6"/>
        <v>7171</v>
      </c>
      <c r="G36" s="89">
        <f t="shared" si="6"/>
        <v>5122.5</v>
      </c>
      <c r="H36" s="89">
        <f t="shared" si="6"/>
        <v>3073.5</v>
      </c>
      <c r="I36" s="90">
        <f t="shared" si="6"/>
        <v>1024.5</v>
      </c>
      <c r="J36" s="59"/>
      <c r="K36" s="59"/>
    </row>
    <row r="37" spans="2:11" x14ac:dyDescent="0.25">
      <c r="B37" s="72" t="s">
        <v>10</v>
      </c>
      <c r="C37" s="73">
        <v>2</v>
      </c>
      <c r="D37" s="74" t="s">
        <v>75</v>
      </c>
      <c r="E37" s="75">
        <f t="shared" ref="E37:I37" si="7">(E27+E32)/2</f>
        <v>11816</v>
      </c>
      <c r="F37" s="76">
        <f t="shared" si="7"/>
        <v>9190.5</v>
      </c>
      <c r="G37" s="91">
        <f t="shared" si="7"/>
        <v>6565</v>
      </c>
      <c r="H37" s="91">
        <f t="shared" si="7"/>
        <v>3939</v>
      </c>
      <c r="I37" s="92">
        <f t="shared" si="7"/>
        <v>1313</v>
      </c>
      <c r="J37" s="59"/>
      <c r="K37" s="59"/>
    </row>
    <row r="38" spans="2:11" x14ac:dyDescent="0.25">
      <c r="B38" s="72" t="s">
        <v>11</v>
      </c>
      <c r="C38" s="73">
        <v>2</v>
      </c>
      <c r="D38" s="74" t="s">
        <v>75</v>
      </c>
      <c r="E38" s="75">
        <f t="shared" ref="E38:I38" si="8">(E28+E33)/2</f>
        <v>5672</v>
      </c>
      <c r="F38" s="76">
        <f t="shared" si="8"/>
        <v>7727.5</v>
      </c>
      <c r="G38" s="91">
        <f t="shared" si="8"/>
        <v>9783</v>
      </c>
      <c r="H38" s="91">
        <f t="shared" si="8"/>
        <v>11839</v>
      </c>
      <c r="I38" s="92">
        <f t="shared" si="8"/>
        <v>13895.000000000002</v>
      </c>
      <c r="J38" s="59"/>
      <c r="K38" s="59"/>
    </row>
    <row r="39" spans="2:11" x14ac:dyDescent="0.25">
      <c r="B39" s="77" t="s">
        <v>12</v>
      </c>
      <c r="C39" s="78">
        <v>2</v>
      </c>
      <c r="D39" s="79" t="s">
        <v>75</v>
      </c>
      <c r="E39" s="80">
        <f t="shared" ref="E39:I39" si="9">(E29+E34)/2</f>
        <v>27613</v>
      </c>
      <c r="F39" s="81">
        <f t="shared" si="9"/>
        <v>31005.5</v>
      </c>
      <c r="G39" s="91">
        <f t="shared" si="9"/>
        <v>33657</v>
      </c>
      <c r="H39" s="91">
        <f t="shared" si="9"/>
        <v>36309.5</v>
      </c>
      <c r="I39" s="92">
        <f t="shared" si="9"/>
        <v>38963</v>
      </c>
      <c r="J39" s="59"/>
      <c r="K39" s="59"/>
    </row>
    <row r="40" spans="2:11" ht="15.75" thickBot="1" x14ac:dyDescent="0.3">
      <c r="B40" s="82" t="s">
        <v>13</v>
      </c>
      <c r="C40" s="83">
        <v>2</v>
      </c>
      <c r="D40" s="84" t="s">
        <v>75</v>
      </c>
      <c r="E40" s="85">
        <f>SUM(E36:E39)</f>
        <v>54320.5</v>
      </c>
      <c r="F40" s="86">
        <f t="shared" ref="F40:I40" si="10">SUM(F36:F39)</f>
        <v>55094.5</v>
      </c>
      <c r="G40" s="86">
        <f t="shared" si="10"/>
        <v>55127.5</v>
      </c>
      <c r="H40" s="86">
        <f t="shared" si="10"/>
        <v>55161</v>
      </c>
      <c r="I40" s="93">
        <f t="shared" si="10"/>
        <v>55195.5</v>
      </c>
      <c r="J40" s="59"/>
      <c r="K40" s="59"/>
    </row>
    <row r="41" spans="2:11" ht="15.75" thickBot="1" x14ac:dyDescent="0.3">
      <c r="B41" s="94"/>
      <c r="C41" s="135"/>
      <c r="D41" s="47"/>
      <c r="E41" s="88"/>
      <c r="F41" s="88"/>
      <c r="G41" s="88"/>
      <c r="H41" s="88"/>
      <c r="I41" s="88"/>
      <c r="J41" s="59"/>
      <c r="K41" s="59"/>
    </row>
    <row r="42" spans="2:11" ht="16.5" thickBot="1" x14ac:dyDescent="0.3">
      <c r="B42" s="59"/>
      <c r="C42" s="58"/>
      <c r="D42" s="58"/>
      <c r="E42" s="187" t="s">
        <v>119</v>
      </c>
      <c r="F42" s="188"/>
      <c r="G42" s="188"/>
      <c r="H42" s="188"/>
      <c r="I42" s="189"/>
      <c r="J42" s="58"/>
      <c r="K42" s="59"/>
    </row>
    <row r="43" spans="2:11" x14ac:dyDescent="0.25">
      <c r="B43" s="61" t="s">
        <v>69</v>
      </c>
      <c r="C43" s="62" t="s">
        <v>70</v>
      </c>
      <c r="D43" s="63" t="s">
        <v>71</v>
      </c>
      <c r="E43" s="64" t="s">
        <v>4</v>
      </c>
      <c r="F43" s="65" t="s">
        <v>5</v>
      </c>
      <c r="G43" s="65" t="s">
        <v>6</v>
      </c>
      <c r="H43" s="65" t="s">
        <v>7</v>
      </c>
      <c r="I43" s="66" t="s">
        <v>8</v>
      </c>
      <c r="J43" s="59"/>
      <c r="K43" s="59"/>
    </row>
    <row r="44" spans="2:11" x14ac:dyDescent="0.25">
      <c r="B44" s="72" t="s">
        <v>11</v>
      </c>
      <c r="C44" s="73" t="s">
        <v>111</v>
      </c>
      <c r="D44" s="74" t="s">
        <v>73</v>
      </c>
      <c r="E44" s="176">
        <f>'[3]Import Qty'!E44</f>
        <v>2049</v>
      </c>
      <c r="F44" s="177">
        <f>'[3]Import Qty'!F44</f>
        <v>4098</v>
      </c>
      <c r="G44" s="177">
        <f>'[3]Import Qty'!G44</f>
        <v>6146</v>
      </c>
      <c r="H44" s="177">
        <f>'[3]Import Qty'!H44</f>
        <v>8195</v>
      </c>
      <c r="I44" s="178">
        <f>'[3]Import Qty'!I44</f>
        <v>10244</v>
      </c>
      <c r="J44" s="59"/>
      <c r="K44" s="59"/>
    </row>
    <row r="45" spans="2:11" x14ac:dyDescent="0.25">
      <c r="B45" s="77" t="s">
        <v>12</v>
      </c>
      <c r="C45" s="78" t="s">
        <v>111</v>
      </c>
      <c r="D45" s="79" t="s">
        <v>73</v>
      </c>
      <c r="E45" s="179">
        <f>'[3]Import Qty'!E45</f>
        <v>2626</v>
      </c>
      <c r="F45" s="180">
        <f>'[3]Import Qty'!F45</f>
        <v>5252</v>
      </c>
      <c r="G45" s="180">
        <f>'[3]Import Qty'!G45</f>
        <v>7877</v>
      </c>
      <c r="H45" s="180">
        <f>'[3]Import Qty'!H45</f>
        <v>10503</v>
      </c>
      <c r="I45" s="181">
        <f>'[3]Import Qty'!I45</f>
        <v>13129</v>
      </c>
      <c r="J45" s="59"/>
      <c r="K45" s="59"/>
    </row>
    <row r="46" spans="2:11" ht="15.75" thickBot="1" x14ac:dyDescent="0.3">
      <c r="B46" s="82" t="s">
        <v>13</v>
      </c>
      <c r="C46" s="83" t="s">
        <v>111</v>
      </c>
      <c r="D46" s="84" t="s">
        <v>73</v>
      </c>
      <c r="E46" s="85">
        <f>SUM(E44:E45)</f>
        <v>4675</v>
      </c>
      <c r="F46" s="86">
        <f>SUM(F44:F45)</f>
        <v>9350</v>
      </c>
      <c r="G46" s="86">
        <f>SUM(G44:G45)</f>
        <v>14023</v>
      </c>
      <c r="H46" s="86">
        <f>SUM(H44:H45)</f>
        <v>18698</v>
      </c>
      <c r="I46" s="87">
        <f>SUM(I44:I45)</f>
        <v>23373</v>
      </c>
      <c r="J46" s="59"/>
      <c r="K46" s="59"/>
    </row>
    <row r="47" spans="2:11" x14ac:dyDescent="0.25">
      <c r="B47" s="72" t="s">
        <v>11</v>
      </c>
      <c r="C47" s="73" t="s">
        <v>111</v>
      </c>
      <c r="D47" s="74" t="s">
        <v>74</v>
      </c>
      <c r="E47" s="176">
        <f>'[3]Import Qty'!E47</f>
        <v>4098</v>
      </c>
      <c r="F47" s="177">
        <f>'[3]Import Qty'!F47</f>
        <v>6146</v>
      </c>
      <c r="G47" s="184">
        <f>'[3]Import Qty'!G47</f>
        <v>8195</v>
      </c>
      <c r="H47" s="184">
        <f>'[3]Import Qty'!H47</f>
        <v>10244</v>
      </c>
      <c r="I47" s="185">
        <f>'[3]Import Qty'!I47</f>
        <v>12293.000000000004</v>
      </c>
      <c r="J47" s="100"/>
      <c r="K47" s="59"/>
    </row>
    <row r="48" spans="2:11" x14ac:dyDescent="0.25">
      <c r="B48" s="77" t="s">
        <v>12</v>
      </c>
      <c r="C48" s="78" t="s">
        <v>111</v>
      </c>
      <c r="D48" s="79" t="s">
        <v>74</v>
      </c>
      <c r="E48" s="179">
        <f>'[3]Import Qty'!E48</f>
        <v>5252</v>
      </c>
      <c r="F48" s="180">
        <f>'[3]Import Qty'!F48</f>
        <v>7877</v>
      </c>
      <c r="G48" s="184">
        <f>'[3]Import Qty'!G48</f>
        <v>10503</v>
      </c>
      <c r="H48" s="184">
        <f>'[3]Import Qty'!H48</f>
        <v>13129</v>
      </c>
      <c r="I48" s="185">
        <f>'[3]Import Qty'!I48</f>
        <v>15755</v>
      </c>
      <c r="J48" s="100"/>
      <c r="K48" s="59"/>
    </row>
    <row r="49" spans="2:11" ht="15.75" thickBot="1" x14ac:dyDescent="0.3">
      <c r="B49" s="82" t="s">
        <v>13</v>
      </c>
      <c r="C49" s="83" t="s">
        <v>111</v>
      </c>
      <c r="D49" s="84" t="s">
        <v>74</v>
      </c>
      <c r="E49" s="85">
        <f>SUM(E47:E48)</f>
        <v>9350</v>
      </c>
      <c r="F49" s="86">
        <f>SUM(F47:F48)</f>
        <v>14023</v>
      </c>
      <c r="G49" s="86">
        <f>SUM(G47:G48)</f>
        <v>18698</v>
      </c>
      <c r="H49" s="86">
        <f>SUM(H47:H48)</f>
        <v>23373</v>
      </c>
      <c r="I49" s="93">
        <f>SUM(I47:I48)</f>
        <v>28048.000000000004</v>
      </c>
      <c r="J49" s="59"/>
      <c r="K49" s="59"/>
    </row>
    <row r="50" spans="2:11" x14ac:dyDescent="0.25">
      <c r="B50" s="72" t="s">
        <v>11</v>
      </c>
      <c r="C50" s="73" t="s">
        <v>111</v>
      </c>
      <c r="D50" s="74" t="s">
        <v>75</v>
      </c>
      <c r="E50" s="75">
        <f t="shared" ref="E50:I51" si="11">(E44+E47)/2</f>
        <v>3073.5</v>
      </c>
      <c r="F50" s="76">
        <f t="shared" si="11"/>
        <v>5122</v>
      </c>
      <c r="G50" s="91">
        <f t="shared" si="11"/>
        <v>7170.5</v>
      </c>
      <c r="H50" s="91">
        <f t="shared" si="11"/>
        <v>9219.5</v>
      </c>
      <c r="I50" s="92">
        <f t="shared" si="11"/>
        <v>11268.500000000002</v>
      </c>
      <c r="J50" s="59"/>
      <c r="K50" s="59"/>
    </row>
    <row r="51" spans="2:11" x14ac:dyDescent="0.25">
      <c r="B51" s="77" t="s">
        <v>12</v>
      </c>
      <c r="C51" s="78" t="s">
        <v>111</v>
      </c>
      <c r="D51" s="79" t="s">
        <v>75</v>
      </c>
      <c r="E51" s="80">
        <f t="shared" si="11"/>
        <v>3939</v>
      </c>
      <c r="F51" s="81">
        <f t="shared" si="11"/>
        <v>6564.5</v>
      </c>
      <c r="G51" s="91">
        <f t="shared" si="11"/>
        <v>9190</v>
      </c>
      <c r="H51" s="91">
        <f t="shared" si="11"/>
        <v>11816</v>
      </c>
      <c r="I51" s="92">
        <f t="shared" si="11"/>
        <v>14442</v>
      </c>
      <c r="J51" s="59"/>
      <c r="K51" s="59"/>
    </row>
    <row r="52" spans="2:11" ht="15.75" thickBot="1" x14ac:dyDescent="0.3">
      <c r="B52" s="82" t="s">
        <v>13</v>
      </c>
      <c r="C52" s="83" t="s">
        <v>111</v>
      </c>
      <c r="D52" s="84" t="s">
        <v>75</v>
      </c>
      <c r="E52" s="85">
        <f>SUM(E50:E51)</f>
        <v>7012.5</v>
      </c>
      <c r="F52" s="86">
        <f>SUM(F50:F51)</f>
        <v>11686.5</v>
      </c>
      <c r="G52" s="86">
        <f>SUM(G50:G51)</f>
        <v>16360.5</v>
      </c>
      <c r="H52" s="86">
        <f>SUM(H50:H51)</f>
        <v>21035.5</v>
      </c>
      <c r="I52" s="93">
        <f>SUM(I50:I51)</f>
        <v>25710.5</v>
      </c>
      <c r="J52" s="58"/>
      <c r="K52" s="59"/>
    </row>
    <row r="53" spans="2:11" x14ac:dyDescent="0.25">
      <c r="B53" s="59"/>
      <c r="C53" s="58"/>
      <c r="D53" s="58"/>
      <c r="E53" s="58"/>
      <c r="F53" s="58"/>
      <c r="G53" s="58"/>
      <c r="H53" s="58"/>
      <c r="I53" s="58"/>
      <c r="J53" s="58"/>
      <c r="K53" s="59"/>
    </row>
    <row r="54" spans="2:11" x14ac:dyDescent="0.25">
      <c r="D54"/>
      <c r="E54" s="165"/>
      <c r="F54" s="165"/>
      <c r="G54" s="165"/>
      <c r="H54" s="165"/>
      <c r="I54" s="165"/>
      <c r="J54" s="166"/>
    </row>
    <row r="55" spans="2:11" x14ac:dyDescent="0.25">
      <c r="D55"/>
      <c r="E55" s="165"/>
      <c r="F55" s="165"/>
      <c r="G55" s="165"/>
      <c r="H55" s="165"/>
      <c r="I55" s="165"/>
    </row>
    <row r="56" spans="2:11" x14ac:dyDescent="0.25">
      <c r="D56"/>
      <c r="E56" s="165"/>
      <c r="F56" s="165"/>
      <c r="G56" s="165"/>
      <c r="H56" s="165"/>
      <c r="I56" s="165"/>
      <c r="J56" s="166"/>
    </row>
    <row r="57" spans="2:11" x14ac:dyDescent="0.25">
      <c r="D57"/>
      <c r="E57"/>
      <c r="F57"/>
      <c r="G57"/>
      <c r="H57"/>
      <c r="I57"/>
      <c r="J57"/>
    </row>
    <row r="58" spans="2:11" x14ac:dyDescent="0.25">
      <c r="D58"/>
      <c r="E58"/>
      <c r="F58"/>
      <c r="G58"/>
      <c r="H58"/>
      <c r="I58"/>
      <c r="J58"/>
    </row>
    <row r="59" spans="2:11" x14ac:dyDescent="0.25">
      <c r="D59"/>
      <c r="E59"/>
      <c r="F59"/>
      <c r="G59"/>
      <c r="H59"/>
      <c r="I59"/>
      <c r="J59"/>
    </row>
    <row r="60" spans="2:11" x14ac:dyDescent="0.25">
      <c r="D60"/>
      <c r="E60"/>
      <c r="F60"/>
      <c r="G60"/>
      <c r="H60"/>
      <c r="I60"/>
      <c r="J60"/>
    </row>
    <row r="61" spans="2:11" x14ac:dyDescent="0.25">
      <c r="D61"/>
      <c r="E61"/>
      <c r="F61"/>
      <c r="G61"/>
      <c r="H61"/>
      <c r="I61"/>
      <c r="J61"/>
    </row>
    <row r="62" spans="2:11" x14ac:dyDescent="0.25">
      <c r="D62"/>
      <c r="E62"/>
      <c r="F62"/>
      <c r="G62"/>
      <c r="H62"/>
      <c r="I62"/>
      <c r="J62"/>
    </row>
    <row r="63" spans="2:11" x14ac:dyDescent="0.25">
      <c r="D63"/>
      <c r="E63"/>
      <c r="F63"/>
      <c r="G63"/>
      <c r="H63"/>
      <c r="I63"/>
      <c r="J63"/>
    </row>
    <row r="64" spans="2:11" x14ac:dyDescent="0.25">
      <c r="D64"/>
      <c r="E64"/>
      <c r="F64"/>
      <c r="G64"/>
      <c r="H64"/>
      <c r="I64"/>
      <c r="J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</sheetData>
  <mergeCells count="3">
    <mergeCell ref="E6:I6"/>
    <mergeCell ref="E42:I42"/>
    <mergeCell ref="E24:I24"/>
  </mergeCells>
  <pageMargins left="0.11811023622047245" right="0.11811023622047245" top="0.15748031496062992" bottom="0.15748031496062992" header="0.11811023622047245" footer="0.11811023622047245"/>
  <pageSetup paperSize="9" scale="8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7E261F1861D46A9AC2E8912814C9C" ma:contentTypeVersion="19" ma:contentTypeDescription="Create a new document." ma:contentTypeScope="" ma:versionID="7e66c6d821b81934021b30d09778e8f3">
  <xsd:schema xmlns:xsd="http://www.w3.org/2001/XMLSchema" xmlns:xs="http://www.w3.org/2001/XMLSchema" xmlns:p="http://schemas.microsoft.com/office/2006/metadata/properties" xmlns:ns1="http://schemas.microsoft.com/sharepoint/v3" xmlns:ns2="db304e25-41f7-439f-a0b4-57d6fe7814bb" xmlns:ns3="2b6314a3-02c5-49ae-9e9b-4170ca21d125" targetNamespace="http://schemas.microsoft.com/office/2006/metadata/properties" ma:root="true" ma:fieldsID="d0fba248f1d7bcfe80765fa22ba57fab" ns1:_="" ns2:_="" ns3:_="">
    <xsd:import namespace="http://schemas.microsoft.com/sharepoint/v3"/>
    <xsd:import namespace="db304e25-41f7-439f-a0b4-57d6fe7814bb"/>
    <xsd:import namespace="2b6314a3-02c5-49ae-9e9b-4170ca21d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04e25-41f7-439f-a0b4-57d6fe7814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23674a-7107-482d-9678-6238db5811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6314a3-02c5-49ae-9e9b-4170ca21d1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b024dee-35df-4756-b282-d7f9fc42c13b}" ma:internalName="TaxCatchAll" ma:showField="CatchAllData" ma:web="2b6314a3-02c5-49ae-9e9b-4170ca21d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db304e25-41f7-439f-a0b4-57d6fe7814bb">
      <Terms xmlns="http://schemas.microsoft.com/office/infopath/2007/PartnerControls"/>
    </lcf76f155ced4ddcb4097134ff3c332f>
    <_ip_UnifiedCompliancePolicyProperties xmlns="http://schemas.microsoft.com/sharepoint/v3" xsi:nil="true"/>
    <TaxCatchAll xmlns="2b6314a3-02c5-49ae-9e9b-4170ca21d125" xsi:nil="true"/>
  </documentManagement>
</p:properties>
</file>

<file path=customXml/itemProps1.xml><?xml version="1.0" encoding="utf-8"?>
<ds:datastoreItem xmlns:ds="http://schemas.openxmlformats.org/officeDocument/2006/customXml" ds:itemID="{E15B4915-8E19-455C-9041-B9AD0007AE83}"/>
</file>

<file path=customXml/itemProps2.xml><?xml version="1.0" encoding="utf-8"?>
<ds:datastoreItem xmlns:ds="http://schemas.openxmlformats.org/officeDocument/2006/customXml" ds:itemID="{8CBCDC0F-BBF4-422C-808A-91BD29B9C1CC}"/>
</file>

<file path=customXml/itemProps3.xml><?xml version="1.0" encoding="utf-8"?>
<ds:datastoreItem xmlns:ds="http://schemas.openxmlformats.org/officeDocument/2006/customXml" ds:itemID="{0AACD1B1-2BF9-4763-9E86-DFACC9510C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AER Draft Decision</vt:lpstr>
      <vt:lpstr>Draft Decision changes</vt:lpstr>
      <vt:lpstr>RRP changes</vt:lpstr>
      <vt:lpstr>Cover page</vt:lpstr>
      <vt:lpstr>Inputs</vt:lpstr>
      <vt:lpstr>Calculations</vt:lpstr>
      <vt:lpstr>Output</vt:lpstr>
      <vt:lpstr>Import Qty</vt:lpstr>
      <vt:lpstr>Calculations!Print_Area</vt:lpstr>
      <vt:lpstr>'Import Qty'!Print_Area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2024-11-13T06:41:50Z</dcterms:created>
  <dcterms:modified xsi:type="dcterms:W3CDTF">2024-11-13T07:11:00Z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0x010100DA87E261F1861D46A9AC2E8912814C9C</vt:lpwstr>
  </property>
</Properties>
</file>