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energyqonline.sharepoint.com/sites/AER2025/Shared Documents/General/Revised Regulatory Proposal (Energex &amp; Ergon)/RRP Supporting Docs_Energex/07 Inventive Schemes/"/>
    </mc:Choice>
  </mc:AlternateContent>
  <xr:revisionPtr revIDLastSave="13" documentId="13_ncr:1_{606FE421-3F4F-4C38-B7E7-C9E2E4FF2404}" xr6:coauthVersionLast="47" xr6:coauthVersionMax="47" xr10:uidLastSave="{A12CB885-EF8A-42C2-A700-CD73E0DBAAED}"/>
  <bookViews>
    <workbookView xWindow="-120" yWindow="-120" windowWidth="25440" windowHeight="15390" tabRatio="811" activeTab="1" xr2:uid="{00000000-000D-0000-FFFF-FFFF00000000}"/>
  </bookViews>
  <sheets>
    <sheet name="Cover" sheetId="20" r:id="rId1"/>
    <sheet name="Output | Decision tables" sheetId="19" r:id="rId2"/>
    <sheet name="STPIS inputs" sheetId="21" r:id="rId3"/>
    <sheet name="Cap adjustment" sheetId="23" r:id="rId4"/>
    <sheet name="Annual performance and targets" sheetId="17" r:id="rId5"/>
    <sheet name="Incentive rates calc" sheetId="14" r:id="rId6"/>
    <sheet name="Change log" sheetId="22" state="hidden" r:id="rId7"/>
  </sheets>
  <externalReferences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9" l="1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C42" i="17"/>
  <c r="C43" i="17"/>
  <c r="C44" i="17"/>
  <c r="C41" i="17"/>
  <c r="M41" i="17"/>
  <c r="N41" i="17"/>
  <c r="O41" i="17"/>
  <c r="P41" i="17"/>
  <c r="M42" i="17"/>
  <c r="N42" i="17"/>
  <c r="O42" i="17"/>
  <c r="P42" i="17"/>
  <c r="M43" i="17"/>
  <c r="N43" i="17"/>
  <c r="O43" i="17"/>
  <c r="P43" i="17"/>
  <c r="L42" i="17"/>
  <c r="L43" i="17"/>
  <c r="L41" i="17"/>
  <c r="R41" i="17"/>
  <c r="Q41" i="17"/>
  <c r="H44" i="17" l="1"/>
  <c r="I44" i="17"/>
  <c r="L19" i="17"/>
  <c r="L20" i="17"/>
  <c r="L21" i="17"/>
  <c r="C19" i="17"/>
  <c r="C20" i="17"/>
  <c r="C21" i="17"/>
  <c r="P19" i="17"/>
  <c r="P20" i="17"/>
  <c r="P21" i="17"/>
  <c r="P8" i="17"/>
  <c r="P9" i="17"/>
  <c r="P10" i="17"/>
  <c r="G8" i="17"/>
  <c r="G9" i="17"/>
  <c r="G10" i="17"/>
  <c r="G19" i="17"/>
  <c r="G20" i="17"/>
  <c r="G21" i="17"/>
  <c r="I11" i="17" l="1"/>
  <c r="C11" i="21"/>
  <c r="F19" i="23"/>
  <c r="F26" i="19" l="1"/>
  <c r="E26" i="19"/>
  <c r="D26" i="19"/>
  <c r="F12" i="19"/>
  <c r="E12" i="19"/>
  <c r="D12" i="19"/>
  <c r="H39" i="23"/>
  <c r="F7" i="21" s="1"/>
  <c r="H38" i="23"/>
  <c r="E7" i="21" s="1"/>
  <c r="H37" i="23"/>
  <c r="D7" i="21" s="1"/>
  <c r="H11" i="17"/>
  <c r="M19" i="17"/>
  <c r="N19" i="17"/>
  <c r="O19" i="17"/>
  <c r="M20" i="17"/>
  <c r="N20" i="17"/>
  <c r="O20" i="17"/>
  <c r="M21" i="17"/>
  <c r="N21" i="17"/>
  <c r="O21" i="17"/>
  <c r="D20" i="17"/>
  <c r="E20" i="17"/>
  <c r="F20" i="17"/>
  <c r="D21" i="17"/>
  <c r="I21" i="17" s="1"/>
  <c r="E21" i="17"/>
  <c r="F21" i="17"/>
  <c r="D19" i="17"/>
  <c r="E19" i="17"/>
  <c r="F19" i="17"/>
  <c r="L9" i="17"/>
  <c r="M9" i="17"/>
  <c r="N9" i="17"/>
  <c r="O9" i="17"/>
  <c r="L10" i="17"/>
  <c r="M10" i="17"/>
  <c r="N10" i="17"/>
  <c r="O10" i="17"/>
  <c r="M8" i="17"/>
  <c r="N8" i="17"/>
  <c r="O8" i="17"/>
  <c r="L8" i="17"/>
  <c r="C9" i="17"/>
  <c r="D9" i="17"/>
  <c r="E9" i="17"/>
  <c r="F9" i="17"/>
  <c r="C10" i="17"/>
  <c r="D10" i="17"/>
  <c r="E10" i="17"/>
  <c r="F10" i="17"/>
  <c r="D8" i="17"/>
  <c r="E8" i="17"/>
  <c r="F8" i="17"/>
  <c r="C8" i="17"/>
  <c r="C19" i="23"/>
  <c r="D19" i="23"/>
  <c r="E19" i="23"/>
  <c r="B19" i="23"/>
  <c r="G19" i="23" s="1"/>
  <c r="R10" i="17" l="1"/>
  <c r="Q19" i="17"/>
  <c r="R19" i="17"/>
  <c r="I10" i="17"/>
  <c r="I9" i="17"/>
  <c r="R9" i="17"/>
  <c r="I8" i="17"/>
  <c r="R8" i="17"/>
  <c r="R20" i="17"/>
  <c r="Q8" i="17"/>
  <c r="R21" i="17"/>
  <c r="I20" i="17"/>
  <c r="I19" i="17"/>
  <c r="D22" i="23"/>
  <c r="D24" i="23" s="1"/>
  <c r="D28" i="23" l="1"/>
  <c r="D31" i="23" s="1"/>
  <c r="C28" i="23"/>
  <c r="C31" i="23" s="1"/>
  <c r="E28" i="23"/>
  <c r="E31" i="23" s="1"/>
  <c r="D23" i="23"/>
  <c r="G30" i="17" l="1"/>
  <c r="G31" i="17"/>
  <c r="G32" i="17"/>
  <c r="C32" i="17"/>
  <c r="D32" i="17"/>
  <c r="D30" i="17"/>
  <c r="D31" i="17"/>
  <c r="E30" i="17"/>
  <c r="E32" i="17"/>
  <c r="C31" i="17"/>
  <c r="C30" i="17"/>
  <c r="F32" i="17"/>
  <c r="E31" i="17"/>
  <c r="F30" i="17"/>
  <c r="F31" i="17"/>
  <c r="D26" i="23"/>
  <c r="D30" i="23" s="1"/>
  <c r="E26" i="23"/>
  <c r="E30" i="23" s="1"/>
  <c r="C26" i="23"/>
  <c r="C30" i="23" s="1"/>
  <c r="H42" i="17" l="1"/>
  <c r="I42" i="17"/>
  <c r="P30" i="17"/>
  <c r="P31" i="17"/>
  <c r="P32" i="17"/>
  <c r="H43" i="17"/>
  <c r="I43" i="17"/>
  <c r="I41" i="17"/>
  <c r="H41" i="17"/>
  <c r="I30" i="17"/>
  <c r="I31" i="17"/>
  <c r="I32" i="17"/>
  <c r="L31" i="17"/>
  <c r="M30" i="17"/>
  <c r="M32" i="17"/>
  <c r="M31" i="17"/>
  <c r="N30" i="17"/>
  <c r="N31" i="17"/>
  <c r="O30" i="17"/>
  <c r="O31" i="17"/>
  <c r="L30" i="17"/>
  <c r="L32" i="17"/>
  <c r="N32" i="17"/>
  <c r="O32" i="17"/>
  <c r="Q42" i="17" l="1"/>
  <c r="R42" i="17"/>
  <c r="Q43" i="17"/>
  <c r="R43" i="17"/>
  <c r="B7" i="21"/>
  <c r="F6" i="14"/>
  <c r="E6" i="14"/>
  <c r="D6" i="14"/>
  <c r="Q20" i="17"/>
  <c r="Q21" i="17"/>
  <c r="D5" i="14"/>
  <c r="E5" i="14"/>
  <c r="F5" i="14"/>
  <c r="D11" i="14"/>
  <c r="D27" i="19" s="1"/>
  <c r="H19" i="17"/>
  <c r="H20" i="17"/>
  <c r="H21" i="17"/>
  <c r="Q9" i="17"/>
  <c r="Q10" i="17"/>
  <c r="R30" i="17"/>
  <c r="R31" i="17"/>
  <c r="R32" i="17"/>
  <c r="Q32" i="17"/>
  <c r="H32" i="17"/>
  <c r="Q31" i="17"/>
  <c r="H31" i="17"/>
  <c r="Q30" i="17"/>
  <c r="H30" i="17"/>
  <c r="H8" i="17"/>
  <c r="H9" i="17"/>
  <c r="H10" i="17"/>
  <c r="F11" i="14" l="1"/>
  <c r="F27" i="19" s="1"/>
  <c r="E11" i="14"/>
  <c r="E27" i="19" s="1"/>
  <c r="D13" i="19" l="1"/>
  <c r="F13" i="19"/>
  <c r="E14" i="19"/>
  <c r="D14" i="19"/>
  <c r="E13" i="19"/>
  <c r="F14" i="19"/>
  <c r="D9" i="14" l="1"/>
  <c r="E8" i="14"/>
  <c r="F9" i="14"/>
  <c r="F8" i="14"/>
  <c r="D8" i="14"/>
  <c r="E9" i="14"/>
  <c r="D4" i="21" l="1"/>
  <c r="E4" i="21" l="1"/>
  <c r="F4" i="21" l="1"/>
  <c r="G4" i="21"/>
  <c r="H4" i="21" l="1"/>
  <c r="C4" i="21" s="1"/>
  <c r="D7" i="14" l="1"/>
  <c r="F7" i="14"/>
  <c r="E7" i="14"/>
  <c r="E12" i="14" l="1"/>
  <c r="E18" i="19" s="1"/>
  <c r="E13" i="14"/>
  <c r="E19" i="19" s="1"/>
  <c r="F12" i="14"/>
  <c r="F18" i="19" s="1"/>
  <c r="F13" i="14"/>
  <c r="F19" i="19" s="1"/>
  <c r="D12" i="14"/>
  <c r="D18" i="19" s="1"/>
  <c r="D13" i="14"/>
  <c r="D19" i="19" s="1"/>
</calcChain>
</file>

<file path=xl/sharedStrings.xml><?xml version="1.0" encoding="utf-8"?>
<sst xmlns="http://schemas.openxmlformats.org/spreadsheetml/2006/main" count="255" uniqueCount="136">
  <si>
    <t>Service Target Performance Incentive Scheme</t>
  </si>
  <si>
    <t>Electricity Distribution Network Service Provider</t>
  </si>
  <si>
    <t>Energex</t>
  </si>
  <si>
    <t>2025-30</t>
  </si>
  <si>
    <t>Contents</t>
  </si>
  <si>
    <t>Output | Decision tables</t>
  </si>
  <si>
    <t>Provides output including incentive rates, targets and VCR by feeders type.</t>
  </si>
  <si>
    <t>STPIS inputs</t>
  </si>
  <si>
    <t>Inputs average smoothed revenus, average annual energy consumptions, CPI and network feeders type.</t>
  </si>
  <si>
    <t>Annual performance and targets</t>
  </si>
  <si>
    <t>Calculates targets based on historical performance and adjusment by STPIS paramteres and network feeder types.</t>
  </si>
  <si>
    <t>Incentive rates calculations</t>
  </si>
  <si>
    <t>Calculates incentive rates by STPIS paramteres and network feeder types.</t>
  </si>
  <si>
    <t>Change log</t>
  </si>
  <si>
    <t>Provides log of updates made to the model template (rather than changes between preliminary and final model submissions).</t>
  </si>
  <si>
    <t>AER Decision STPIS for 2025-30</t>
  </si>
  <si>
    <t>Revenue at Risk</t>
  </si>
  <si>
    <t>± 1.8 %</t>
  </si>
  <si>
    <t>Beta</t>
  </si>
  <si>
    <t>Log normal</t>
  </si>
  <si>
    <t>Feeders classifications</t>
  </si>
  <si>
    <t>CBD</t>
  </si>
  <si>
    <t>Urban</t>
  </si>
  <si>
    <t>Short rural</t>
  </si>
  <si>
    <t>Customer service parameter</t>
  </si>
  <si>
    <t>± 0.2 %</t>
  </si>
  <si>
    <t>STPIS Targets and incentive rates</t>
  </si>
  <si>
    <t>STPIS performance targets for 2025-30 period</t>
  </si>
  <si>
    <t>Classification</t>
  </si>
  <si>
    <t>SAIDI (minutes)</t>
  </si>
  <si>
    <t>SAIFI (interruptions)</t>
  </si>
  <si>
    <t>STPIS Incentive rates for FY2025-30 period</t>
  </si>
  <si>
    <r>
      <rPr>
        <i/>
        <sz val="8"/>
        <rFont val="Arial"/>
        <family val="2"/>
      </rPr>
      <t xml:space="preserve">ir - </t>
    </r>
    <r>
      <rPr>
        <sz val="8"/>
        <rFont val="Arial"/>
        <family val="2"/>
      </rPr>
      <t>SAIDI</t>
    </r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</si>
  <si>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SAIFI</t>
    </r>
  </si>
  <si>
    <t>Customer service</t>
  </si>
  <si>
    <t>Incentive rate</t>
  </si>
  <si>
    <t>Target</t>
  </si>
  <si>
    <t>Telephone answering (calls answered in 30 seconds)</t>
  </si>
  <si>
    <t>Value of customer reliablity ($/MWh)</t>
  </si>
  <si>
    <t>VCR</t>
  </si>
  <si>
    <t>Inputs</t>
  </si>
  <si>
    <t>Average</t>
  </si>
  <si>
    <t>2025-26</t>
  </si>
  <si>
    <t>2026-27</t>
  </si>
  <si>
    <t>2027-28</t>
  </si>
  <si>
    <t>2028-29</t>
  </si>
  <si>
    <t>2029-30</t>
  </si>
  <si>
    <t>Revenue Smoothing ($ Real 2024-25)</t>
  </si>
  <si>
    <t>VCR ($/MWh)</t>
  </si>
  <si>
    <t>AER, Value of customer reliability review, final report, December 2019, pp. 17 and 71.</t>
  </si>
  <si>
    <t>CPI</t>
  </si>
  <si>
    <t>ABS</t>
  </si>
  <si>
    <t>Updated to June 2024 for this draft decision.  Dec 2024 VCRs will be used for final decision.</t>
  </si>
  <si>
    <t>Backcasted  data Actual Data (Exclude &lt;= 3min Momentary)</t>
  </si>
  <si>
    <t>Measure</t>
  </si>
  <si>
    <t>2019/20</t>
  </si>
  <si>
    <t>2020/21</t>
  </si>
  <si>
    <t>2021/22</t>
  </si>
  <si>
    <t>2022/23</t>
  </si>
  <si>
    <t>2023/24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</si>
  <si>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</si>
  <si>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</si>
  <si>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</si>
  <si>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</si>
  <si>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</si>
  <si>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</si>
  <si>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</si>
  <si>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</si>
  <si>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Recast to STPIS v2.</t>
  </si>
  <si>
    <t>S-Factor (DRAFT Ergon Energy - STPIS Compliance Model 2023-24.xlsx)</t>
  </si>
  <si>
    <t>Cummulative</t>
  </si>
  <si>
    <t>sum of the raw s-factors for the relaibility of supply parameters</t>
  </si>
  <si>
    <t>Reliability cap</t>
  </si>
  <si>
    <t>performance over the cap</t>
  </si>
  <si>
    <t>%above cap exlcuding telephone answering</t>
  </si>
  <si>
    <t>SAIDI proportion</t>
  </si>
  <si>
    <t>SAIFI proportion</t>
  </si>
  <si>
    <t>SAIDI Incentive rates in current regulatory period</t>
  </si>
  <si>
    <t>Use 2015-2020 regulatory control period as year where performanc exceeded the cap is 2019/20</t>
  </si>
  <si>
    <t>Adj required to 2025-30 RCP reliability targets due to R@R cap for 2020-25 SAIDI</t>
  </si>
  <si>
    <t>SAIFI Incentive rates in current regulatory period</t>
  </si>
  <si>
    <t>Adj required to 2025-30 RCP reliability targets due to R@R cap for 2020-25 SAIFI</t>
  </si>
  <si>
    <t>Adj required to 2025-30 RCP reliability targets due to R@R</t>
  </si>
  <si>
    <t>FORECAST ENERGY CONSUMPTION BY NETWORK TYPE</t>
  </si>
  <si>
    <t>Network Type</t>
  </si>
  <si>
    <t>2024/25</t>
  </si>
  <si>
    <t>2025/26</t>
  </si>
  <si>
    <t>2026/27</t>
  </si>
  <si>
    <t>2027/28</t>
  </si>
  <si>
    <t>2028/29</t>
  </si>
  <si>
    <t>5 Year Average MWH</t>
  </si>
  <si>
    <t xml:space="preserve"> CBD</t>
  </si>
  <si>
    <t xml:space="preserve"> URBAN</t>
  </si>
  <si>
    <t xml:space="preserve"> SHORT RURAL</t>
  </si>
  <si>
    <t>Historical STPIS performance and adjustments</t>
  </si>
  <si>
    <t>Source:</t>
  </si>
  <si>
    <t>Annual compliance actual</t>
  </si>
  <si>
    <t>SAIFI</t>
  </si>
  <si>
    <t>SAIDI</t>
  </si>
  <si>
    <t>Draft decision</t>
  </si>
  <si>
    <t>Final decision</t>
  </si>
  <si>
    <t>T:\AER\STPIS annual compliance\NSW QLD SA TAS 2018 - 19\Ausgrid\[FINAL Ausgrid STPIS compliance model 2018-19.xlsx]Actual Performance'</t>
  </si>
  <si>
    <t>T:\AER\STPIS annual compliance\NEM STPIS_FY22\STPIS-Assessment\Sent DNSP\[Ausgrid STPIS compliance FY2021-22_AER Final.xlsx]Actual Performance</t>
  </si>
  <si>
    <t>Telephone</t>
  </si>
  <si>
    <t>T:\AER\STPIS annual compliance\NEM STPIS_FY22\STPIS-Assessment\Sent DNSP\[Ausgrid STPIS compliance FY2021-22_AER Final.xlsx]Power BI output'!</t>
  </si>
  <si>
    <t>Revenue proposal</t>
  </si>
  <si>
    <t>[Ausgrid - IR#004 - STPIS incentive rates - 20230330.xlsx]Working sheet (2019 AER)</t>
  </si>
  <si>
    <t>Adjustments over cap and others</t>
  </si>
  <si>
    <t>Adjustments</t>
  </si>
  <si>
    <t>Decision</t>
  </si>
  <si>
    <t>Incentive rates calculation</t>
  </si>
  <si>
    <t>Incentive rate attributes</t>
  </si>
  <si>
    <t>Value of Customer Reliability (VCR) for NSW ($/MWh)</t>
  </si>
  <si>
    <r>
      <t>VCR</t>
    </r>
    <r>
      <rPr>
        <vertAlign val="subscript"/>
        <sz val="8"/>
        <color theme="1"/>
        <rFont val="Arial"/>
        <family val="2"/>
      </rPr>
      <t>n</t>
    </r>
  </si>
  <si>
    <t>Average annual energy consumption by network type (MWh)</t>
  </si>
  <si>
    <r>
      <t>C</t>
    </r>
    <r>
      <rPr>
        <vertAlign val="subscript"/>
        <sz val="8"/>
        <color theme="1"/>
        <rFont val="Arial"/>
        <family val="2"/>
      </rPr>
      <t>n</t>
    </r>
  </si>
  <si>
    <t>Average smoothed revenue requirement ($)</t>
  </si>
  <si>
    <t>R</t>
  </si>
  <si>
    <t>Average unplanned SAIFI target</t>
  </si>
  <si>
    <r>
      <t>SAIFI</t>
    </r>
    <r>
      <rPr>
        <vertAlign val="subscript"/>
        <sz val="8"/>
        <color theme="1"/>
        <rFont val="Arial"/>
        <family val="2"/>
      </rPr>
      <t>n</t>
    </r>
  </si>
  <si>
    <t>Average unplanned SAIDI target</t>
  </si>
  <si>
    <r>
      <t>SAIDI</t>
    </r>
    <r>
      <rPr>
        <vertAlign val="subscript"/>
        <sz val="8"/>
        <color theme="1"/>
        <rFont val="Arial"/>
        <family val="2"/>
      </rPr>
      <t>n</t>
    </r>
  </si>
  <si>
    <t>Network type weighting</t>
  </si>
  <si>
    <r>
      <t>w</t>
    </r>
    <r>
      <rPr>
        <vertAlign val="subscript"/>
        <sz val="8"/>
        <color theme="1"/>
        <rFont val="Arial"/>
        <family val="2"/>
      </rPr>
      <t>n</t>
    </r>
  </si>
  <si>
    <t>Inflation</t>
  </si>
  <si>
    <t>SAIDI Incentive rates</t>
  </si>
  <si>
    <t>SAIFI Incentive rates</t>
  </si>
  <si>
    <t>Changelog (to detail completion of inputs, and any changes to inputs)</t>
  </si>
  <si>
    <t>Date</t>
  </si>
  <si>
    <t>Cell range</t>
  </si>
  <si>
    <t>Description</t>
  </si>
  <si>
    <t>Changed format of decision tables tab</t>
  </si>
  <si>
    <t>C18 to F18; C19 to F19</t>
  </si>
  <si>
    <t>Output decision tables incentive rates calculation divided value by 100. This was removed as the value is also in percentage form</t>
  </si>
  <si>
    <t>C23-F23</t>
  </si>
  <si>
    <t>Output decision tables, fixed VCR not being escalated.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</si>
</sst>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_-* #,##0.0_-;\-* #,##0.0_-;_-* &quot;-&quot;??_-;_-@_-"/>
    <numFmt numFmtId="174" formatCode="_(* #,##0.0_);_(* \(#,##0.0\);_(* &quot;-&quot;??_);_(@_)"/>
    <numFmt numFmtId="175" formatCode="_(&quot;$&quot;* #,##0_);_(&quot;$&quot;* \(#,##0\);_(&quot;$&quot;* &quot;-&quot;??_);_(@_)"/>
    <numFmt numFmtId="176" formatCode="#,##0.0000"/>
    <numFmt numFmtId="177" formatCode="0.00;\-0.00;\-;@"/>
    <numFmt numFmtId="178" formatCode="0.000;\-0.000;\-;@"/>
    <numFmt numFmtId="179" formatCode="0.0000%"/>
    <numFmt numFmtId="180" formatCode="0.00000%"/>
    <numFmt numFmtId="181" formatCode="0.0000000;\-0.0000000;\-;@"/>
    <numFmt numFmtId="182" formatCode="0.0000000"/>
    <numFmt numFmtId="183" formatCode="0.0000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b/>
      <i/>
      <sz val="8"/>
      <color theme="0"/>
      <name val="Arial"/>
      <family val="2"/>
    </font>
    <font>
      <sz val="8"/>
      <color theme="8" tint="-0.249977111117893"/>
      <name val="Arial"/>
      <family val="2"/>
    </font>
    <font>
      <sz val="8"/>
      <color rgb="FFFF0000"/>
      <name val="Arial"/>
      <family val="2"/>
    </font>
    <font>
      <i/>
      <sz val="8"/>
      <color theme="0"/>
      <name val="Arial"/>
      <family val="2"/>
    </font>
    <font>
      <sz val="8"/>
      <color rgb="FF0070C0"/>
      <name val="Arial"/>
      <family val="2"/>
    </font>
    <font>
      <i/>
      <sz val="8"/>
      <color theme="8" tint="-0.249977111117893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Helvetica"/>
      <family val="2"/>
    </font>
    <font>
      <sz val="10"/>
      <color theme="4"/>
      <name val="Helvetica"/>
      <family val="2"/>
    </font>
    <font>
      <sz val="10"/>
      <color theme="4"/>
      <name val="Calibri"/>
      <family val="2"/>
      <scheme val="minor"/>
    </font>
    <font>
      <sz val="8"/>
      <color theme="4"/>
      <name val="Arial"/>
      <family val="2"/>
    </font>
    <font>
      <b/>
      <sz val="8"/>
      <color theme="4"/>
      <name val="Ari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11" borderId="0" applyNumberFormat="0" applyBorder="0" applyAlignment="0" applyProtection="0"/>
    <xf numFmtId="0" fontId="39" fillId="0" borderId="0" applyFill="0" applyBorder="0">
      <alignment horizontal="left" vertical="center"/>
    </xf>
    <xf numFmtId="0" fontId="40" fillId="14" borderId="6">
      <alignment horizontal="left" vertical="center"/>
      <protection locked="0"/>
    </xf>
    <xf numFmtId="0" fontId="41" fillId="14" borderId="6">
      <alignment horizontal="left" vertical="center"/>
      <protection locked="0"/>
    </xf>
  </cellStyleXfs>
  <cellXfs count="181">
    <xf numFmtId="0" fontId="0" fillId="0" borderId="0" xfId="0"/>
    <xf numFmtId="0" fontId="0" fillId="6" borderId="0" xfId="0" applyFill="1"/>
    <xf numFmtId="0" fontId="2" fillId="6" borderId="0" xfId="0" applyFont="1" applyFill="1"/>
    <xf numFmtId="0" fontId="7" fillId="6" borderId="0" xfId="0" applyFont="1" applyFill="1"/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0" borderId="4" xfId="0" applyFont="1" applyBorder="1"/>
    <xf numFmtId="0" fontId="11" fillId="0" borderId="3" xfId="0" applyFont="1" applyBorder="1" applyAlignment="1">
      <alignment horizontal="left"/>
    </xf>
    <xf numFmtId="17" fontId="11" fillId="0" borderId="3" xfId="0" quotePrefix="1" applyNumberFormat="1" applyFont="1" applyBorder="1"/>
    <xf numFmtId="0" fontId="11" fillId="0" borderId="3" xfId="0" applyFont="1" applyBorder="1"/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quotePrefix="1" applyFont="1"/>
    <xf numFmtId="0" fontId="13" fillId="0" borderId="0" xfId="0" applyFont="1"/>
    <xf numFmtId="17" fontId="11" fillId="0" borderId="0" xfId="0" quotePrefix="1" applyNumberFormat="1" applyFont="1"/>
    <xf numFmtId="0" fontId="12" fillId="6" borderId="0" xfId="0" applyFont="1" applyFill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8" fillId="7" borderId="5" xfId="9" applyFont="1" applyFill="1" applyBorder="1" applyAlignment="1">
      <alignment vertical="center"/>
    </xf>
    <xf numFmtId="172" fontId="16" fillId="0" borderId="0" xfId="9" applyNumberFormat="1" applyFont="1"/>
    <xf numFmtId="172" fontId="11" fillId="0" borderId="0" xfId="12" applyNumberFormat="1" applyFont="1" applyAlignment="1" applyProtection="1"/>
    <xf numFmtId="172" fontId="17" fillId="0" borderId="0" xfId="9" applyNumberFormat="1" applyFont="1"/>
    <xf numFmtId="173" fontId="17" fillId="0" borderId="0" xfId="9" applyNumberFormat="1" applyFont="1"/>
    <xf numFmtId="0" fontId="17" fillId="0" borderId="0" xfId="9" applyFont="1"/>
    <xf numFmtId="0" fontId="17" fillId="0" borderId="0" xfId="9" applyFont="1" applyAlignment="1">
      <alignment wrapText="1"/>
    </xf>
    <xf numFmtId="172" fontId="19" fillId="0" borderId="4" xfId="12" applyNumberFormat="1" applyFont="1" applyBorder="1" applyAlignment="1" applyProtection="1"/>
    <xf numFmtId="172" fontId="20" fillId="0" borderId="4" xfId="9" applyNumberFormat="1" applyFont="1" applyBorder="1"/>
    <xf numFmtId="172" fontId="17" fillId="0" borderId="4" xfId="9" applyNumberFormat="1" applyFont="1" applyBorder="1"/>
    <xf numFmtId="173" fontId="17" fillId="0" borderId="4" xfId="9" applyNumberFormat="1" applyFont="1" applyBorder="1"/>
    <xf numFmtId="0" fontId="17" fillId="0" borderId="4" xfId="9" applyFont="1" applyBorder="1"/>
    <xf numFmtId="172" fontId="16" fillId="0" borderId="0" xfId="9" quotePrefix="1" applyNumberFormat="1" applyFont="1"/>
    <xf numFmtId="0" fontId="2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18" fillId="7" borderId="5" xfId="9" applyNumberFormat="1" applyFont="1" applyFill="1" applyBorder="1" applyAlignment="1">
      <alignment horizontal="center" vertical="center" wrapText="1"/>
    </xf>
    <xf numFmtId="0" fontId="2" fillId="6" borderId="0" xfId="9" applyFill="1" applyAlignment="1">
      <alignment horizontal="center" vertical="center" wrapText="1"/>
    </xf>
    <xf numFmtId="0" fontId="2" fillId="6" borderId="0" xfId="9" applyFill="1" applyAlignment="1">
      <alignment horizontal="center" vertical="center"/>
    </xf>
    <xf numFmtId="0" fontId="2" fillId="0" borderId="0" xfId="9" applyAlignment="1">
      <alignment horizontal="center" vertical="center"/>
    </xf>
    <xf numFmtId="0" fontId="21" fillId="7" borderId="5" xfId="9" applyFont="1" applyFill="1" applyBorder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17" fontId="11" fillId="0" borderId="0" xfId="0" quotePrefix="1" applyNumberFormat="1" applyFont="1" applyAlignment="1">
      <alignment vertical="center"/>
    </xf>
    <xf numFmtId="0" fontId="23" fillId="6" borderId="0" xfId="12" applyFont="1" applyFill="1" applyAlignment="1">
      <alignment vertical="center"/>
    </xf>
    <xf numFmtId="0" fontId="22" fillId="6" borderId="0" xfId="0" applyFont="1" applyFill="1"/>
    <xf numFmtId="0" fontId="24" fillId="6" borderId="0" xfId="0" applyFont="1" applyFill="1"/>
    <xf numFmtId="14" fontId="11" fillId="0" borderId="0" xfId="12" applyNumberFormat="1" applyFont="1" applyAlignment="1" applyProtection="1"/>
    <xf numFmtId="0" fontId="2" fillId="7" borderId="5" xfId="9" applyFill="1" applyBorder="1"/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5" fillId="0" borderId="0" xfId="0" applyFont="1"/>
    <xf numFmtId="0" fontId="22" fillId="0" borderId="0" xfId="0" applyFont="1" applyAlignment="1">
      <alignment horizontal="left" vertical="center" indent="1"/>
    </xf>
    <xf numFmtId="0" fontId="22" fillId="0" borderId="0" xfId="12" applyNumberFormat="1" applyFont="1" applyAlignment="1" applyProtection="1">
      <alignment horizontal="left" vertical="center" indent="1"/>
    </xf>
    <xf numFmtId="0" fontId="6" fillId="7" borderId="0" xfId="9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7" borderId="1" xfId="9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0" fontId="6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72" fontId="26" fillId="1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0" fontId="26" fillId="0" borderId="0" xfId="0" applyNumberFormat="1" applyFont="1" applyAlignment="1">
      <alignment horizontal="right" vertical="center"/>
    </xf>
    <xf numFmtId="10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10" fontId="26" fillId="0" borderId="0" xfId="0" applyNumberFormat="1" applyFont="1" applyAlignment="1">
      <alignment vertical="center"/>
    </xf>
    <xf numFmtId="0" fontId="26" fillId="0" borderId="0" xfId="0" applyFont="1" applyAlignment="1">
      <alignment horizontal="right" vertical="center"/>
    </xf>
    <xf numFmtId="169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6" fontId="26" fillId="0" borderId="0" xfId="1" applyFont="1" applyAlignment="1">
      <alignment vertical="center"/>
    </xf>
    <xf numFmtId="17" fontId="26" fillId="10" borderId="1" xfId="0" applyNumberFormat="1" applyFont="1" applyFill="1" applyBorder="1" applyAlignment="1">
      <alignment horizontal="left" vertical="center"/>
    </xf>
    <xf numFmtId="0" fontId="26" fillId="10" borderId="1" xfId="0" applyFont="1" applyFill="1" applyBorder="1" applyAlignment="1">
      <alignment horizontal="center" vertical="center"/>
    </xf>
    <xf numFmtId="0" fontId="28" fillId="10" borderId="0" xfId="0" applyFont="1" applyFill="1" applyAlignment="1">
      <alignment horizontal="left" vertical="center"/>
    </xf>
    <xf numFmtId="174" fontId="26" fillId="0" borderId="0" xfId="0" applyNumberFormat="1" applyFont="1" applyAlignment="1">
      <alignment horizontal="right"/>
    </xf>
    <xf numFmtId="174" fontId="11" fillId="0" borderId="0" xfId="15" applyNumberFormat="1" applyFont="1" applyFill="1" applyBorder="1" applyAlignment="1">
      <alignment horizontal="right"/>
    </xf>
    <xf numFmtId="0" fontId="26" fillId="0" borderId="0" xfId="0" applyFont="1"/>
    <xf numFmtId="175" fontId="26" fillId="0" borderId="0" xfId="2" applyNumberFormat="1" applyFont="1" applyFill="1"/>
    <xf numFmtId="0" fontId="26" fillId="0" borderId="1" xfId="0" applyFont="1" applyBorder="1" applyAlignment="1">
      <alignment horizontal="right" vertical="center"/>
    </xf>
    <xf numFmtId="37" fontId="26" fillId="0" borderId="1" xfId="0" applyNumberFormat="1" applyFont="1" applyBorder="1" applyAlignment="1">
      <alignment horizontal="center" vertical="center"/>
    </xf>
    <xf numFmtId="0" fontId="6" fillId="7" borderId="0" xfId="9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6" fillId="7" borderId="5" xfId="9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166" fontId="31" fillId="0" borderId="0" xfId="1" applyFont="1" applyAlignment="1">
      <alignment vertical="center"/>
    </xf>
    <xf numFmtId="0" fontId="30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Font="1" applyFill="1" applyBorder="1" applyAlignment="1">
      <alignment horizontal="left" vertical="center"/>
    </xf>
    <xf numFmtId="167" fontId="26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6" fillId="5" borderId="1" xfId="0" applyFont="1" applyFill="1" applyBorder="1"/>
    <xf numFmtId="167" fontId="6" fillId="5" borderId="1" xfId="0" applyNumberFormat="1" applyFont="1" applyFill="1" applyBorder="1"/>
    <xf numFmtId="0" fontId="34" fillId="0" borderId="0" xfId="0" applyFont="1" applyAlignment="1">
      <alignment horizontal="left" indent="1"/>
    </xf>
    <xf numFmtId="0" fontId="33" fillId="0" borderId="0" xfId="0" applyFont="1"/>
    <xf numFmtId="0" fontId="34" fillId="0" borderId="0" xfId="0" applyFont="1" applyAlignment="1">
      <alignment horizontal="left" vertical="center"/>
    </xf>
    <xf numFmtId="168" fontId="26" fillId="0" borderId="1" xfId="1" applyNumberFormat="1" applyFont="1" applyBorder="1" applyAlignment="1">
      <alignment vertical="center"/>
    </xf>
    <xf numFmtId="0" fontId="26" fillId="0" borderId="1" xfId="0" applyFont="1" applyBorder="1" applyAlignment="1">
      <alignment horizontal="left" vertical="center" indent="1"/>
    </xf>
    <xf numFmtId="2" fontId="26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7" borderId="1" xfId="9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indent="2"/>
    </xf>
    <xf numFmtId="169" fontId="26" fillId="0" borderId="1" xfId="11" applyNumberFormat="1" applyFont="1" applyBorder="1" applyAlignment="1">
      <alignment horizontal="center" vertical="center"/>
    </xf>
    <xf numFmtId="169" fontId="26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left" vertical="center" indent="1"/>
    </xf>
    <xf numFmtId="169" fontId="26" fillId="1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169" fontId="26" fillId="10" borderId="0" xfId="0" applyNumberFormat="1" applyFont="1" applyFill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3" fontId="26" fillId="0" borderId="1" xfId="2" applyNumberFormat="1" applyFont="1" applyBorder="1" applyAlignment="1">
      <alignment horizontal="center" vertical="center"/>
    </xf>
    <xf numFmtId="0" fontId="27" fillId="0" borderId="0" xfId="0" applyFont="1"/>
    <xf numFmtId="0" fontId="6" fillId="7" borderId="0" xfId="9" applyFont="1" applyFill="1" applyAlignment="1">
      <alignment horizontal="center"/>
    </xf>
    <xf numFmtId="0" fontId="6" fillId="7" borderId="0" xfId="9" applyFont="1" applyFill="1"/>
    <xf numFmtId="3" fontId="26" fillId="0" borderId="1" xfId="1" applyNumberFormat="1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166" fontId="26" fillId="0" borderId="0" xfId="0" applyNumberFormat="1" applyFont="1"/>
    <xf numFmtId="171" fontId="26" fillId="0" borderId="0" xfId="0" applyNumberFormat="1" applyFont="1"/>
    <xf numFmtId="170" fontId="26" fillId="0" borderId="0" xfId="0" applyNumberFormat="1" applyFont="1"/>
    <xf numFmtId="0" fontId="37" fillId="10" borderId="0" xfId="9" applyFont="1" applyFill="1" applyAlignment="1">
      <alignment vertical="center"/>
    </xf>
    <xf numFmtId="169" fontId="26" fillId="0" borderId="0" xfId="0" applyNumberFormat="1" applyFont="1"/>
    <xf numFmtId="167" fontId="26" fillId="0" borderId="0" xfId="0" applyNumberFormat="1" applyFont="1"/>
    <xf numFmtId="0" fontId="37" fillId="13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1" fillId="0" borderId="0" xfId="9" applyFont="1" applyAlignment="1" applyProtection="1">
      <alignment wrapText="1"/>
      <protection locked="0"/>
    </xf>
    <xf numFmtId="0" fontId="11" fillId="0" borderId="0" xfId="9" applyFont="1" applyProtection="1">
      <protection locked="0"/>
    </xf>
    <xf numFmtId="0" fontId="37" fillId="12" borderId="0" xfId="18" applyFont="1" applyFill="1" applyBorder="1" applyAlignment="1">
      <alignment horizontal="left" vertical="center"/>
    </xf>
    <xf numFmtId="4" fontId="19" fillId="0" borderId="4" xfId="19" applyNumberFormat="1" applyFont="1" applyBorder="1" applyAlignment="1">
      <alignment horizontal="center" wrapText="1"/>
    </xf>
    <xf numFmtId="177" fontId="42" fillId="14" borderId="7" xfId="20" applyNumberFormat="1" applyFont="1" applyBorder="1" applyAlignment="1">
      <alignment horizontal="center" vertical="center"/>
      <protection locked="0"/>
    </xf>
    <xf numFmtId="178" fontId="42" fillId="14" borderId="7" xfId="20" applyNumberFormat="1" applyFont="1" applyBorder="1" applyAlignment="1">
      <alignment horizontal="center" vertical="center"/>
      <protection locked="0"/>
    </xf>
    <xf numFmtId="10" fontId="42" fillId="14" borderId="7" xfId="11" applyNumberFormat="1" applyFont="1" applyFill="1" applyBorder="1" applyAlignment="1" applyProtection="1">
      <alignment horizontal="center" vertical="center"/>
      <protection locked="0"/>
    </xf>
    <xf numFmtId="169" fontId="42" fillId="14" borderId="7" xfId="20" applyNumberFormat="1" applyFont="1" applyBorder="1" applyAlignment="1">
      <alignment horizontal="center" vertical="center"/>
      <protection locked="0"/>
    </xf>
    <xf numFmtId="167" fontId="42" fillId="14" borderId="7" xfId="20" applyNumberFormat="1" applyFont="1" applyBorder="1" applyAlignment="1">
      <alignment horizontal="center" vertical="center"/>
      <protection locked="0"/>
    </xf>
    <xf numFmtId="179" fontId="42" fillId="14" borderId="7" xfId="11" applyNumberFormat="1" applyFont="1" applyFill="1" applyBorder="1" applyAlignment="1" applyProtection="1">
      <alignment horizontal="center" vertical="center"/>
      <protection locked="0"/>
    </xf>
    <xf numFmtId="180" fontId="42" fillId="14" borderId="7" xfId="11" applyNumberFormat="1" applyFont="1" applyFill="1" applyBorder="1" applyAlignment="1" applyProtection="1">
      <alignment horizontal="center" vertical="center"/>
      <protection locked="0"/>
    </xf>
    <xf numFmtId="167" fontId="26" fillId="5" borderId="1" xfId="0" applyNumberFormat="1" applyFont="1" applyFill="1" applyBorder="1"/>
    <xf numFmtId="0" fontId="26" fillId="7" borderId="5" xfId="9" applyFont="1" applyFill="1" applyBorder="1" applyAlignment="1">
      <alignment vertical="center"/>
    </xf>
    <xf numFmtId="169" fontId="26" fillId="5" borderId="1" xfId="0" applyNumberFormat="1" applyFont="1" applyFill="1" applyBorder="1" applyAlignment="1">
      <alignment horizontal="center" vertical="center"/>
    </xf>
    <xf numFmtId="169" fontId="11" fillId="0" borderId="1" xfId="0" applyNumberFormat="1" applyFont="1" applyBorder="1" applyAlignment="1">
      <alignment horizontal="center" vertical="center"/>
    </xf>
    <xf numFmtId="169" fontId="33" fillId="0" borderId="1" xfId="0" applyNumberFormat="1" applyFont="1" applyBorder="1" applyAlignment="1">
      <alignment horizontal="center" vertical="center"/>
    </xf>
    <xf numFmtId="169" fontId="26" fillId="0" borderId="1" xfId="1" applyNumberFormat="1" applyFont="1" applyBorder="1" applyAlignment="1">
      <alignment vertical="center"/>
    </xf>
    <xf numFmtId="179" fontId="19" fillId="0" borderId="8" xfId="15" applyNumberFormat="1" applyFont="1" applyFill="1" applyBorder="1" applyProtection="1"/>
    <xf numFmtId="0" fontId="43" fillId="0" borderId="4" xfId="19" applyFont="1" applyBorder="1" applyAlignment="1">
      <alignment horizontal="left"/>
    </xf>
    <xf numFmtId="0" fontId="19" fillId="0" borderId="4" xfId="19" applyFont="1" applyBorder="1" applyAlignment="1">
      <alignment horizontal="center" vertical="center" wrapText="1"/>
    </xf>
    <xf numFmtId="0" fontId="19" fillId="0" borderId="1" xfId="19" applyFont="1" applyBorder="1" applyAlignment="1">
      <alignment horizontal="center" vertical="center" wrapText="1"/>
    </xf>
    <xf numFmtId="3" fontId="42" fillId="14" borderId="7" xfId="20" applyNumberFormat="1" applyFont="1" applyBorder="1" applyAlignment="1">
      <alignment horizontal="center" vertical="center"/>
      <protection locked="0"/>
    </xf>
    <xf numFmtId="3" fontId="11" fillId="0" borderId="0" xfId="19" applyNumberFormat="1" applyFont="1" applyBorder="1" applyAlignment="1">
      <alignment horizontal="center" vertical="center"/>
    </xf>
    <xf numFmtId="180" fontId="42" fillId="14" borderId="7" xfId="20" applyNumberFormat="1" applyFont="1" applyBorder="1" applyAlignment="1">
      <alignment horizontal="center" vertical="center"/>
      <protection locked="0"/>
    </xf>
    <xf numFmtId="181" fontId="42" fillId="14" borderId="7" xfId="20" applyNumberFormat="1" applyFont="1" applyBorder="1" applyAlignment="1">
      <alignment horizontal="center" vertical="center"/>
      <protection locked="0"/>
    </xf>
    <xf numFmtId="182" fontId="26" fillId="0" borderId="1" xfId="11" applyNumberFormat="1" applyFont="1" applyBorder="1" applyAlignment="1">
      <alignment horizontal="center" vertical="center"/>
    </xf>
    <xf numFmtId="0" fontId="42" fillId="14" borderId="7" xfId="11" applyNumberFormat="1" applyFont="1" applyFill="1" applyBorder="1" applyAlignment="1" applyProtection="1">
      <alignment horizontal="center" vertical="center"/>
      <protection locked="0"/>
    </xf>
    <xf numFmtId="10" fontId="26" fillId="10" borderId="1" xfId="11" applyNumberFormat="1" applyFont="1" applyFill="1" applyBorder="1" applyAlignment="1">
      <alignment horizontal="center" vertical="center"/>
    </xf>
    <xf numFmtId="4" fontId="19" fillId="0" borderId="4" xfId="19" quotePrefix="1" applyNumberFormat="1" applyFont="1" applyBorder="1" applyAlignment="1">
      <alignment horizontal="center" wrapText="1"/>
    </xf>
    <xf numFmtId="0" fontId="45" fillId="12" borderId="0" xfId="18" applyFont="1" applyFill="1" applyBorder="1" applyAlignment="1">
      <alignment horizontal="left" vertical="center"/>
    </xf>
    <xf numFmtId="0" fontId="46" fillId="0" borderId="4" xfId="19" applyFont="1" applyBorder="1" applyAlignment="1">
      <alignment horizontal="left"/>
    </xf>
    <xf numFmtId="183" fontId="26" fillId="0" borderId="1" xfId="11" applyNumberFormat="1" applyFont="1" applyBorder="1" applyAlignment="1">
      <alignment horizontal="center" vertical="center"/>
    </xf>
    <xf numFmtId="0" fontId="42" fillId="14" borderId="9" xfId="21" applyFont="1" applyBorder="1" applyAlignment="1">
      <alignment horizontal="center" vertical="center" wrapText="1"/>
      <protection locked="0"/>
    </xf>
  </cellXfs>
  <cellStyles count="22">
    <cellStyle name="Accent1" xfId="18" builtinId="29"/>
    <cellStyle name="Comma" xfId="1" builtinId="3"/>
    <cellStyle name="Comma 2" xfId="3" xr:uid="{00000000-0005-0000-0000-000002000000}"/>
    <cellStyle name="Comma 2 2" xfId="14" xr:uid="{A62E1EA3-D681-47C9-BB06-520808197D59}"/>
    <cellStyle name="Comma 3" xfId="5" xr:uid="{00000000-0005-0000-0000-000003000000}"/>
    <cellStyle name="Comma 4" xfId="17" xr:uid="{ABBA96B8-F2EC-4EE9-B975-7A7B9A95F4A9}"/>
    <cellStyle name="Comma 81" xfId="16" xr:uid="{718DF1FF-E755-431E-B842-A3271CCB78C3}"/>
    <cellStyle name="Currency" xfId="2" builtinId="4"/>
    <cellStyle name="Currency 2" xfId="4" xr:uid="{00000000-0005-0000-0000-000005000000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eading 3 Output" xfId="19" xr:uid="{C795EC3A-1A5C-4F7B-BCE2-649EC05005B5}"/>
    <cellStyle name="Heading 4 Assumptions" xfId="21" xr:uid="{B2849BF5-89A5-40E0-ADC9-E1424ACC8789}"/>
    <cellStyle name="Heading 4 Assumptions 2" xfId="20" xr:uid="{830AD566-F633-41E2-8ABD-B9233B4EF1AF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Percent 2" xfId="15" xr:uid="{1A0322E6-0478-4101-AFA6-7E9703E2AD34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65154</xdr:colOff>
      <xdr:row>9</xdr:row>
      <xdr:rowOff>33618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586476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18</xdr:col>
      <xdr:colOff>487708</xdr:colOff>
      <xdr:row>42</xdr:row>
      <xdr:rowOff>94990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53C9D-61D4-4293-B797-BA583F00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9587" y="124239"/>
          <a:ext cx="4314273" cy="556087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</xdr:row>
      <xdr:rowOff>0</xdr:rowOff>
    </xdr:from>
    <xdr:to>
      <xdr:col>25</xdr:col>
      <xdr:colOff>617199</xdr:colOff>
      <xdr:row>46</xdr:row>
      <xdr:rowOff>47032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1110CB-0A20-4DC2-A15E-7B52FF5D1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33913" y="124239"/>
          <a:ext cx="4450114" cy="6014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1236036</xdr:colOff>
      <xdr:row>0</xdr:row>
      <xdr:rowOff>63690</xdr:rowOff>
    </xdr:from>
    <xdr:to>
      <xdr:col>13</xdr:col>
      <xdr:colOff>307590</xdr:colOff>
      <xdr:row>38</xdr:row>
      <xdr:rowOff>12206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4971" y="63690"/>
          <a:ext cx="3990292" cy="5473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rgyqonline.sharepoint.com/sites/AER2025Finance/Shared%20Documents/Revised%20Regulatory%20Proposal/RRP%2006.11.24%20AER%20Templates/EGX%20PTRMs/EGX%20PTRM%20RRP%2006.11.24%20SMOOTHED%20w%20JS%20SOLAR.xlsm" TargetMode="External"/><Relationship Id="rId1" Type="http://schemas.openxmlformats.org/officeDocument/2006/relationships/externalLinkPath" Target="/sites/AER2025Finance/Shared%20Documents/Revised%20Regulatory%20Proposal/RRP%2006.11.24%20AER%20Templates/EGX%20PTRMs/EGX%20PTRM%20RRP%2006.11.24%20SMOOTHED%20w%20JS%20SOL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MS input"/>
      <sheetName val="AER Amendments"/>
      <sheetName val="PTRM input"/>
      <sheetName val="WACC"/>
      <sheetName val="Assets"/>
      <sheetName val="Analysis"/>
      <sheetName val="Forecast revenues"/>
      <sheetName val="Debt Raising Cost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4">
          <cell r="G44">
            <v>1517.7952757065939</v>
          </cell>
          <cell r="H44">
            <v>1562.5387976505619</v>
          </cell>
          <cell r="I44">
            <v>1609.7491626057263</v>
          </cell>
          <cell r="J44">
            <v>1709.161501708232</v>
          </cell>
          <cell r="K44">
            <v>1751.8905392509375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zoomScale="85" zoomScaleNormal="85" workbookViewId="0">
      <selection activeCell="S4" sqref="S4"/>
    </sheetView>
  </sheetViews>
  <sheetFormatPr defaultColWidth="8.7265625" defaultRowHeight="14.5"/>
  <cols>
    <col min="1" max="4" width="9.26953125" customWidth="1"/>
    <col min="5" max="5" width="11.26953125" customWidth="1"/>
    <col min="8" max="8" width="7.26953125" customWidth="1"/>
    <col min="13" max="13" width="10.54296875" bestFit="1" customWidth="1"/>
  </cols>
  <sheetData>
    <row r="1" spans="1:36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36" ht="46">
      <c r="C2" s="11"/>
      <c r="D2" s="11"/>
      <c r="E2" s="11"/>
      <c r="F2" s="11"/>
      <c r="G2" s="11"/>
      <c r="H2" s="11"/>
      <c r="I2" s="11"/>
      <c r="J2" s="27" t="s">
        <v>0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6" ht="20">
      <c r="C3" s="11"/>
      <c r="D3" s="11"/>
      <c r="E3" s="11"/>
      <c r="F3" s="11"/>
      <c r="G3" s="11"/>
      <c r="H3" s="11"/>
      <c r="I3" s="11"/>
      <c r="J3" s="28" t="s">
        <v>1</v>
      </c>
      <c r="K3" s="11"/>
      <c r="L3" s="11"/>
      <c r="M3" s="11"/>
      <c r="N3" s="11"/>
      <c r="O3" s="11"/>
      <c r="P3" s="11"/>
      <c r="Q3" s="11"/>
      <c r="R3" s="11"/>
      <c r="S3" s="28" t="s">
        <v>2</v>
      </c>
      <c r="T3" s="11"/>
      <c r="U3" s="28" t="s">
        <v>3</v>
      </c>
      <c r="V3" s="11"/>
      <c r="W3" s="11"/>
      <c r="X3" s="11"/>
      <c r="Y3" s="11"/>
      <c r="Z3" s="11"/>
      <c r="AA3" s="11"/>
    </row>
    <row r="4" spans="1:36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36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8" spans="1:36" ht="53">
      <c r="I8" s="6"/>
      <c r="J8" s="7"/>
    </row>
    <row r="9" spans="1:36" ht="20">
      <c r="L9" s="8"/>
      <c r="M9" s="9"/>
    </row>
    <row r="11" spans="1:36" ht="44.5">
      <c r="A11" s="1"/>
      <c r="B11" s="1"/>
      <c r="C11" s="1"/>
      <c r="E11" s="2"/>
      <c r="F11" s="3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6" s="5" customFormat="1" ht="12.5">
      <c r="A12" s="2"/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36" s="5" customFormat="1" ht="13.5" customHeight="1">
      <c r="A13" s="2"/>
      <c r="B13" s="2"/>
      <c r="C13" s="2"/>
      <c r="D13" s="18"/>
      <c r="E13" s="19"/>
      <c r="F13" s="19"/>
      <c r="G13" s="2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36" s="49" customFormat="1" ht="18" customHeight="1">
      <c r="A14" s="2"/>
      <c r="B14" s="2"/>
      <c r="C14" s="50" t="s">
        <v>4</v>
      </c>
      <c r="D14" s="43"/>
      <c r="E14" s="43"/>
      <c r="F14" s="43"/>
      <c r="G14" s="43"/>
      <c r="H14" s="43"/>
      <c r="I14" s="43"/>
      <c r="J14" s="43"/>
      <c r="K14" s="43"/>
      <c r="L14" s="44"/>
      <c r="M14" s="44"/>
      <c r="N14" s="44"/>
      <c r="O14" s="44"/>
      <c r="P14" s="45"/>
      <c r="Q14" s="46"/>
      <c r="R14" s="45"/>
      <c r="S14" s="46"/>
      <c r="T14" s="45"/>
      <c r="U14" s="45"/>
      <c r="V14" s="45"/>
      <c r="W14" s="45"/>
      <c r="X14" s="45"/>
      <c r="Y14" s="45"/>
      <c r="Z14" s="45"/>
      <c r="AA14" s="45"/>
      <c r="AB14" s="5"/>
      <c r="AC14" s="5"/>
      <c r="AD14" s="47"/>
      <c r="AE14" s="47"/>
      <c r="AF14" s="47"/>
      <c r="AG14" s="47"/>
      <c r="AH14" s="47"/>
      <c r="AI14" s="48"/>
      <c r="AJ14" s="48"/>
    </row>
    <row r="15" spans="1:36" s="5" customFormat="1" ht="12.5">
      <c r="A15" s="2"/>
      <c r="B15" s="2"/>
      <c r="C15" s="2"/>
      <c r="D15" s="22"/>
      <c r="E15" s="2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36" s="5" customFormat="1" ht="15.5">
      <c r="A16" s="2"/>
      <c r="B16" s="2"/>
      <c r="C16" s="59"/>
      <c r="D16" s="2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3" s="54" customFormat="1" ht="23.25" customHeight="1">
      <c r="A17" s="51"/>
      <c r="B17" s="51"/>
      <c r="C17" s="58" t="s">
        <v>5</v>
      </c>
      <c r="D17" s="52"/>
      <c r="E17" s="53"/>
      <c r="F17" s="53"/>
      <c r="G17" s="53"/>
      <c r="H17" s="67" t="s">
        <v>6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3" s="54" customFormat="1" ht="23.25" customHeight="1">
      <c r="A18" s="51"/>
      <c r="B18" s="51"/>
      <c r="C18" s="58" t="s">
        <v>7</v>
      </c>
      <c r="D18" s="52"/>
      <c r="E18" s="55"/>
      <c r="F18" s="53"/>
      <c r="G18" s="53"/>
      <c r="H18" s="67" t="s">
        <v>8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3" s="54" customFormat="1" ht="23.25" customHeight="1">
      <c r="A19" s="51"/>
      <c r="B19" s="51"/>
      <c r="C19" s="58" t="s">
        <v>9</v>
      </c>
      <c r="D19" s="56"/>
      <c r="E19" s="57"/>
      <c r="F19" s="53"/>
      <c r="G19" s="53"/>
      <c r="H19" s="67" t="s">
        <v>10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3" s="54" customFormat="1" ht="23.25" customHeight="1">
      <c r="A20" s="51"/>
      <c r="B20" s="51"/>
      <c r="C20" s="58" t="s">
        <v>11</v>
      </c>
      <c r="D20" s="52"/>
      <c r="E20" s="53"/>
      <c r="F20" s="53"/>
      <c r="G20" s="53"/>
      <c r="H20" s="67" t="s">
        <v>12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3" s="54" customFormat="1" ht="23.25" customHeight="1">
      <c r="A21" s="51"/>
      <c r="B21" s="51"/>
      <c r="C21" s="58" t="s">
        <v>13</v>
      </c>
      <c r="D21" s="52"/>
      <c r="E21" s="53"/>
      <c r="F21" s="53"/>
      <c r="G21" s="53"/>
      <c r="H21" s="68" t="s">
        <v>14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3" s="5" customFormat="1" ht="15.5">
      <c r="A22" s="2"/>
      <c r="B22" s="2"/>
      <c r="C22" s="59"/>
      <c r="D22" s="21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3" s="5" customFormat="1" ht="15.5">
      <c r="A23" s="2"/>
      <c r="B23" s="2"/>
      <c r="C23" s="59"/>
      <c r="D23" s="16"/>
      <c r="E23" s="16"/>
      <c r="F23" s="16"/>
      <c r="G23" s="15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5"/>
      <c r="V23" s="15"/>
    </row>
    <row r="24" spans="1:23" ht="15.5">
      <c r="A24" s="1"/>
      <c r="B24" s="1"/>
      <c r="C24" s="60"/>
      <c r="D24" s="16"/>
      <c r="E24" s="16"/>
      <c r="F24" s="16"/>
      <c r="G24" s="15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3" ht="15.5">
      <c r="A25" s="1"/>
      <c r="B25" s="1"/>
      <c r="C25" s="6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3">
      <c r="A26" s="1"/>
      <c r="B26" s="1"/>
      <c r="C26" s="1"/>
      <c r="D26" s="22"/>
      <c r="E26" s="25"/>
      <c r="F26" s="15"/>
      <c r="G26" s="15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3">
      <c r="A27" s="1"/>
      <c r="B27" s="1"/>
      <c r="C27" s="1"/>
      <c r="D27" s="21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3">
      <c r="A28" s="1"/>
      <c r="B28" s="1"/>
      <c r="C28" s="1"/>
      <c r="D28" s="21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6"/>
      <c r="T28" s="26"/>
      <c r="U28" s="26"/>
      <c r="V28" s="26"/>
      <c r="W28" s="1"/>
    </row>
    <row r="29" spans="1:23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>
      <c r="D30" s="22"/>
      <c r="E30" s="25"/>
      <c r="F30" s="15"/>
      <c r="G30" s="15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3">
      <c r="D31" s="14"/>
      <c r="E31" s="5"/>
      <c r="F31" s="5"/>
      <c r="G31" s="5"/>
      <c r="H31" s="5"/>
    </row>
    <row r="32" spans="1:23">
      <c r="D32" s="14"/>
      <c r="E32" s="5"/>
      <c r="F32" s="5"/>
      <c r="G32" s="5"/>
      <c r="H32" s="5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K31"/>
  <sheetViews>
    <sheetView showGridLines="0" tabSelected="1" zoomScale="120" zoomScaleNormal="120" workbookViewId="0">
      <selection activeCell="E24" sqref="E24"/>
    </sheetView>
  </sheetViews>
  <sheetFormatPr defaultColWidth="9.26953125" defaultRowHeight="10"/>
  <cols>
    <col min="1" max="1" width="9.26953125" style="93"/>
    <col min="2" max="2" width="52.54296875" style="93" customWidth="1"/>
    <col min="3" max="3" width="24.54296875" style="121" bestFit="1" customWidth="1"/>
    <col min="4" max="6" width="18.453125" style="93" customWidth="1"/>
    <col min="7" max="7" width="13.54296875" style="93" customWidth="1"/>
    <col min="8" max="8" width="13.453125" style="93" customWidth="1"/>
    <col min="9" max="10" width="9.54296875" style="93" bestFit="1" customWidth="1"/>
    <col min="11" max="12" width="12.453125" style="93" bestFit="1" customWidth="1"/>
    <col min="13" max="16384" width="9.26953125" style="93"/>
  </cols>
  <sheetData>
    <row r="1" spans="2:11" ht="12.4" customHeight="1"/>
    <row r="2" spans="2:11" ht="12.4" customHeight="1">
      <c r="B2" s="69" t="s">
        <v>15</v>
      </c>
      <c r="C2" s="69"/>
      <c r="D2" s="69"/>
      <c r="E2" s="69"/>
      <c r="F2" s="69"/>
    </row>
    <row r="3" spans="2:11" ht="12.4" customHeight="1"/>
    <row r="4" spans="2:11" s="70" customFormat="1" ht="12.4" customHeight="1">
      <c r="B4" s="117" t="s">
        <v>16</v>
      </c>
      <c r="C4" s="109" t="s">
        <v>17</v>
      </c>
    </row>
    <row r="5" spans="2:11" s="70" customFormat="1" ht="12.4" customHeight="1">
      <c r="B5" s="117" t="s">
        <v>18</v>
      </c>
      <c r="C5" s="118">
        <v>2.5</v>
      </c>
      <c r="D5" s="81" t="s">
        <v>19</v>
      </c>
    </row>
    <row r="6" spans="2:11" s="70" customFormat="1" ht="12.4" customHeight="1">
      <c r="B6" s="117" t="s">
        <v>20</v>
      </c>
      <c r="C6" s="119"/>
      <c r="D6" s="119" t="s">
        <v>21</v>
      </c>
      <c r="E6" s="119" t="s">
        <v>22</v>
      </c>
      <c r="F6" s="119" t="s">
        <v>23</v>
      </c>
    </row>
    <row r="7" spans="2:11" s="70" customFormat="1" ht="12.4" customHeight="1">
      <c r="B7" s="117" t="s">
        <v>24</v>
      </c>
      <c r="C7" s="119" t="s">
        <v>25</v>
      </c>
    </row>
    <row r="8" spans="2:11" ht="12.4" customHeight="1">
      <c r="B8" s="120"/>
    </row>
    <row r="9" spans="2:11" s="70" customFormat="1" ht="12.4" customHeight="1">
      <c r="B9" s="69" t="s">
        <v>26</v>
      </c>
      <c r="C9" s="69"/>
      <c r="D9" s="69"/>
      <c r="E9" s="69"/>
      <c r="F9" s="69"/>
    </row>
    <row r="10" spans="2:11" ht="12.4" customHeight="1"/>
    <row r="11" spans="2:11" s="122" customFormat="1" ht="12.4" customHeight="1">
      <c r="B11" s="122" t="s">
        <v>27</v>
      </c>
      <c r="C11" s="123"/>
    </row>
    <row r="12" spans="2:11" s="70" customFormat="1" ht="12.4" customHeight="1">
      <c r="B12" s="124" t="s">
        <v>28</v>
      </c>
      <c r="C12" s="71"/>
      <c r="D12" s="71" t="str">
        <f>D17</f>
        <v>CBD</v>
      </c>
      <c r="E12" s="71" t="str">
        <f>E17</f>
        <v>Urban</v>
      </c>
      <c r="F12" s="71" t="str">
        <f>F17</f>
        <v>Short rural</v>
      </c>
    </row>
    <row r="13" spans="2:11" s="70" customFormat="1" ht="12.4" customHeight="1">
      <c r="B13" s="128" t="s">
        <v>29</v>
      </c>
      <c r="C13" s="129"/>
      <c r="D13" s="129">
        <f>'Annual performance and targets'!$R$41</f>
        <v>3.5081521927492054</v>
      </c>
      <c r="E13" s="129">
        <f>'Annual performance and targets'!$R$42</f>
        <v>55.787547598198515</v>
      </c>
      <c r="F13" s="129">
        <f>'Annual performance and targets'!$R$43</f>
        <v>131.73569199665164</v>
      </c>
      <c r="H13" s="127"/>
      <c r="I13" s="127"/>
      <c r="J13" s="127"/>
      <c r="K13" s="127"/>
    </row>
    <row r="14" spans="2:11" s="70" customFormat="1" ht="12.4" customHeight="1">
      <c r="B14" s="128" t="s">
        <v>30</v>
      </c>
      <c r="C14" s="129"/>
      <c r="D14" s="129">
        <f>'Annual performance and targets'!$I$41</f>
        <v>4.2705817469471039E-2</v>
      </c>
      <c r="E14" s="129">
        <f>'Annual performance and targets'!$I$42</f>
        <v>0.55185130287847972</v>
      </c>
      <c r="F14" s="129">
        <f>'Annual performance and targets'!$I$43</f>
        <v>1.1488440236676174</v>
      </c>
      <c r="H14" s="127"/>
      <c r="I14" s="127"/>
      <c r="J14" s="127"/>
    </row>
    <row r="15" spans="2:11" ht="12.4" customHeight="1"/>
    <row r="16" spans="2:11" s="122" customFormat="1" ht="12.4" customHeight="1">
      <c r="B16" s="122" t="s">
        <v>31</v>
      </c>
      <c r="C16" s="123"/>
    </row>
    <row r="17" spans="2:6" s="70" customFormat="1" ht="12.4" customHeight="1">
      <c r="B17" s="124" t="s">
        <v>28</v>
      </c>
      <c r="C17" s="71"/>
      <c r="D17" s="71" t="s">
        <v>21</v>
      </c>
      <c r="E17" s="71" t="s">
        <v>22</v>
      </c>
      <c r="F17" s="71" t="s">
        <v>23</v>
      </c>
    </row>
    <row r="18" spans="2:6" s="70" customFormat="1" ht="12.4" customHeight="1">
      <c r="B18" s="125" t="s">
        <v>32</v>
      </c>
      <c r="C18" s="126"/>
      <c r="D18" s="179">
        <f>'Incentive rates calc'!$D$12</f>
        <v>2.4876304038097263E-3</v>
      </c>
      <c r="E18" s="179">
        <f>'Incentive rates calc'!$E$12</f>
        <v>5.2623827925702325E-2</v>
      </c>
      <c r="F18" s="179">
        <f>'Incentive rates calc'!$F$12</f>
        <v>2.0832482249485744E-2</v>
      </c>
    </row>
    <row r="19" spans="2:6" s="70" customFormat="1" ht="12.4" customHeight="1">
      <c r="B19" s="125" t="s">
        <v>33</v>
      </c>
      <c r="C19" s="126"/>
      <c r="D19" s="179">
        <f>'Incentive rates calc'!$D$13</f>
        <v>0.13623414908461925</v>
      </c>
      <c r="E19" s="179">
        <f>'Incentive rates calc'!$E$13</f>
        <v>3.5465523531326983</v>
      </c>
      <c r="F19" s="179">
        <f>'Incentive rates calc'!$F$13</f>
        <v>1.5925465996580284</v>
      </c>
    </row>
    <row r="20" spans="2:6" s="70" customFormat="1" ht="12.4" customHeight="1">
      <c r="B20" s="130"/>
      <c r="C20" s="131"/>
      <c r="D20" s="131"/>
      <c r="E20" s="131"/>
      <c r="F20" s="131"/>
    </row>
    <row r="21" spans="2:6" s="70" customFormat="1" ht="12.4" customHeight="1">
      <c r="B21" s="122" t="s">
        <v>34</v>
      </c>
      <c r="C21" s="123"/>
      <c r="D21" s="122"/>
      <c r="E21" s="122"/>
      <c r="F21" s="122"/>
    </row>
    <row r="22" spans="2:6" s="70" customFormat="1" ht="12.4" customHeight="1">
      <c r="B22" s="124"/>
      <c r="C22" s="71"/>
      <c r="D22" s="71" t="s">
        <v>35</v>
      </c>
      <c r="E22" s="71" t="s">
        <v>36</v>
      </c>
      <c r="F22" s="71"/>
    </row>
    <row r="23" spans="2:6" s="70" customFormat="1" ht="12.4" customHeight="1">
      <c r="B23" s="132" t="s">
        <v>37</v>
      </c>
      <c r="C23" s="133"/>
      <c r="D23" s="129">
        <v>-0.04</v>
      </c>
      <c r="E23" s="175">
        <f>'Annual performance and targets'!I11</f>
        <v>0.87358088201303852</v>
      </c>
      <c r="F23" s="133"/>
    </row>
    <row r="24" spans="2:6" s="70" customFormat="1" ht="12.4" customHeight="1">
      <c r="C24" s="86"/>
    </row>
    <row r="25" spans="2:6" s="122" customFormat="1" ht="12.4" customHeight="1">
      <c r="B25" s="122" t="s">
        <v>38</v>
      </c>
      <c r="C25" s="123"/>
    </row>
    <row r="26" spans="2:6" s="70" customFormat="1" ht="12.4" customHeight="1">
      <c r="B26" s="124"/>
      <c r="C26" s="71"/>
      <c r="D26" s="71" t="str">
        <f>D17</f>
        <v>CBD</v>
      </c>
      <c r="E26" s="71" t="str">
        <f>E17</f>
        <v>Urban</v>
      </c>
      <c r="F26" s="71" t="str">
        <f>F17</f>
        <v>Short rural</v>
      </c>
    </row>
    <row r="27" spans="2:6" s="70" customFormat="1" ht="12.4" customHeight="1">
      <c r="B27" s="132" t="s">
        <v>39</v>
      </c>
      <c r="C27" s="133"/>
      <c r="D27" s="133">
        <f>'STPIS inputs'!D9*(1+'Incentive rates calc'!D11)</f>
        <v>55785.02599653379</v>
      </c>
      <c r="E27" s="133">
        <f>'STPIS inputs'!E9*(1+'Incentive rates calc'!E11)</f>
        <v>50158.908145580586</v>
      </c>
      <c r="F27" s="133">
        <f>'STPIS inputs'!F9*(1+'Incentive rates calc'!F11)</f>
        <v>50158.908145580586</v>
      </c>
    </row>
    <row r="28" spans="2:6" ht="12.4" customHeight="1"/>
    <row r="29" spans="2:6">
      <c r="B29" s="134"/>
    </row>
    <row r="30" spans="2:6">
      <c r="D30" s="144"/>
      <c r="E30" s="144"/>
      <c r="F30" s="144"/>
    </row>
    <row r="31" spans="2:6">
      <c r="D31" s="1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1:J18"/>
  <sheetViews>
    <sheetView showGridLines="0" topLeftCell="B1" zoomScale="115" zoomScaleNormal="115" workbookViewId="0">
      <selection activeCell="D7" sqref="D7"/>
    </sheetView>
  </sheetViews>
  <sheetFormatPr defaultColWidth="9.26953125" defaultRowHeight="10"/>
  <cols>
    <col min="1" max="1" width="5.453125" style="93" customWidth="1"/>
    <col min="2" max="2" width="61.26953125" style="93" bestFit="1" customWidth="1"/>
    <col min="3" max="8" width="20.7265625" style="93" customWidth="1"/>
    <col min="9" max="16384" width="9.26953125" style="93"/>
  </cols>
  <sheetData>
    <row r="1" spans="2:10" ht="12.4" customHeight="1"/>
    <row r="2" spans="2:10" s="70" customFormat="1" ht="12.4" customHeight="1">
      <c r="B2" s="69" t="s">
        <v>40</v>
      </c>
      <c r="C2" s="143"/>
      <c r="D2" s="143"/>
      <c r="E2" s="143"/>
      <c r="F2" s="143"/>
      <c r="G2" s="143"/>
      <c r="H2" s="143"/>
    </row>
    <row r="3" spans="2:10" s="70" customFormat="1" ht="12.4" customHeight="1">
      <c r="C3" s="71" t="s">
        <v>41</v>
      </c>
      <c r="D3" s="71" t="s">
        <v>42</v>
      </c>
      <c r="E3" s="71" t="s">
        <v>43</v>
      </c>
      <c r="F3" s="71" t="s">
        <v>44</v>
      </c>
      <c r="G3" s="71" t="s">
        <v>45</v>
      </c>
      <c r="H3" s="71" t="s">
        <v>46</v>
      </c>
    </row>
    <row r="4" spans="2:10" s="70" customFormat="1" ht="12.4" customHeight="1">
      <c r="B4" s="72" t="s">
        <v>47</v>
      </c>
      <c r="C4" s="73">
        <f>AVERAGE(D4:H4)</f>
        <v>1630227055.3844104</v>
      </c>
      <c r="D4" s="73">
        <f>'[1]Revenue summary'!G44*1000000</f>
        <v>1517795275.706594</v>
      </c>
      <c r="E4" s="73">
        <f>'[1]Revenue summary'!H44*1000000</f>
        <v>1562538797.650562</v>
      </c>
      <c r="F4" s="73">
        <f>'[1]Revenue summary'!I44*1000000</f>
        <v>1609749162.6057262</v>
      </c>
      <c r="G4" s="73">
        <f>'[1]Revenue summary'!J44*1000000</f>
        <v>1709161501.7082319</v>
      </c>
      <c r="H4" s="73">
        <f>'[1]Revenue summary'!K44*1000000</f>
        <v>1751890539.2509375</v>
      </c>
      <c r="J4" s="74"/>
    </row>
    <row r="5" spans="2:10" s="77" customFormat="1" ht="12.4" customHeight="1">
      <c r="B5" s="75"/>
      <c r="C5" s="76"/>
      <c r="H5" s="78"/>
    </row>
    <row r="6" spans="2:10" s="70" customFormat="1" ht="12.4" customHeight="1">
      <c r="B6" s="79"/>
      <c r="C6" s="80"/>
      <c r="D6" s="71" t="s">
        <v>21</v>
      </c>
      <c r="E6" s="71" t="s">
        <v>22</v>
      </c>
      <c r="F6" s="71" t="s">
        <v>23</v>
      </c>
    </row>
    <row r="7" spans="2:10" s="70" customFormat="1" ht="12.4" customHeight="1">
      <c r="B7" s="72" t="str">
        <f>'Incentive rates calc'!B6</f>
        <v>Average annual energy consumption by network type (MWh)</v>
      </c>
      <c r="C7" s="81"/>
      <c r="D7" s="82">
        <f>'Cap adjustment'!$H$37</f>
        <v>637261.64322633052</v>
      </c>
      <c r="E7" s="82">
        <f>'Cap adjustment'!$H$38</f>
        <v>14992840.629560366</v>
      </c>
      <c r="F7" s="82">
        <f>'Cap adjustment'!$H$39</f>
        <v>5935297.7272133045</v>
      </c>
    </row>
    <row r="8" spans="2:10" s="70" customFormat="1" ht="12.4" customHeight="1">
      <c r="B8" s="83"/>
      <c r="C8" s="83"/>
      <c r="D8" s="84"/>
      <c r="E8" s="84"/>
      <c r="F8" s="84"/>
    </row>
    <row r="9" spans="2:10" s="70" customFormat="1" ht="12.4" customHeight="1">
      <c r="B9" s="72" t="s">
        <v>48</v>
      </c>
      <c r="C9" s="95"/>
      <c r="D9" s="96">
        <v>44520</v>
      </c>
      <c r="E9" s="96">
        <v>40030</v>
      </c>
      <c r="F9" s="96">
        <v>40030</v>
      </c>
      <c r="G9" s="90" t="s">
        <v>49</v>
      </c>
      <c r="H9" s="90"/>
      <c r="I9" s="90"/>
      <c r="J9" s="90"/>
    </row>
    <row r="10" spans="2:10" s="70" customFormat="1" ht="12.4" customHeight="1"/>
    <row r="11" spans="2:10" s="70" customFormat="1" ht="12.4" customHeight="1">
      <c r="B11" s="72" t="s">
        <v>50</v>
      </c>
      <c r="C11" s="85">
        <f>C15/C14-1</f>
        <v>0.25303292894280749</v>
      </c>
    </row>
    <row r="12" spans="2:10" s="70" customFormat="1" ht="12.4" customHeight="1">
      <c r="C12" s="86"/>
      <c r="D12" s="87"/>
      <c r="E12" s="87"/>
      <c r="F12" s="87"/>
      <c r="G12" s="87"/>
    </row>
    <row r="13" spans="2:10" s="70" customFormat="1" ht="12.4" customHeight="1">
      <c r="B13" s="79" t="s">
        <v>51</v>
      </c>
      <c r="C13" s="86"/>
    </row>
    <row r="14" spans="2:10" s="77" customFormat="1" ht="12.4" customHeight="1">
      <c r="B14" s="88">
        <v>43617</v>
      </c>
      <c r="C14" s="89">
        <v>115.4</v>
      </c>
    </row>
    <row r="15" spans="2:10" s="77" customFormat="1" ht="12.4" customHeight="1">
      <c r="B15" s="88">
        <v>45473</v>
      </c>
      <c r="C15" s="89">
        <v>144.6</v>
      </c>
      <c r="D15" s="90" t="s">
        <v>52</v>
      </c>
    </row>
    <row r="16" spans="2:10" ht="12.4" customHeight="1"/>
    <row r="17" spans="4:8">
      <c r="D17" s="91"/>
      <c r="E17" s="92"/>
      <c r="F17" s="92"/>
      <c r="G17" s="92"/>
      <c r="H17" s="92"/>
    </row>
    <row r="18" spans="4:8">
      <c r="D18" s="94"/>
      <c r="E18" s="94"/>
      <c r="F18" s="94"/>
      <c r="G18" s="94"/>
      <c r="H18" s="9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ECA-5806-416B-9FB7-A6F3110A0AC7}">
  <dimension ref="A2:H39"/>
  <sheetViews>
    <sheetView showGridLines="0" zoomScale="115" zoomScaleNormal="115" workbookViewId="0">
      <selection activeCell="F3" sqref="F3"/>
    </sheetView>
  </sheetViews>
  <sheetFormatPr defaultColWidth="9.26953125" defaultRowHeight="10"/>
  <cols>
    <col min="1" max="1" width="56" style="93" bestFit="1" customWidth="1"/>
    <col min="2" max="3" width="10.54296875" style="93" bestFit="1" customWidth="1"/>
    <col min="4" max="4" width="11.26953125" style="93" bestFit="1" customWidth="1"/>
    <col min="5" max="5" width="10.54296875" style="93" bestFit="1" customWidth="1"/>
    <col min="6" max="6" width="9.7265625" style="93" customWidth="1"/>
    <col min="7" max="16384" width="9.26953125" style="93"/>
  </cols>
  <sheetData>
    <row r="2" spans="1:7" ht="10.5">
      <c r="A2" s="150" t="s">
        <v>53</v>
      </c>
    </row>
    <row r="3" spans="1:7" ht="10.5">
      <c r="A3" s="146" t="s">
        <v>54</v>
      </c>
      <c r="B3" s="151" t="s">
        <v>55</v>
      </c>
      <c r="C3" s="151" t="s">
        <v>56</v>
      </c>
      <c r="D3" s="151" t="s">
        <v>57</v>
      </c>
      <c r="E3" s="151" t="s">
        <v>58</v>
      </c>
      <c r="F3" s="176" t="s">
        <v>59</v>
      </c>
    </row>
    <row r="4" spans="1:7">
      <c r="A4" s="147" t="s">
        <v>60</v>
      </c>
      <c r="B4" s="156">
        <v>1.9681316830849205</v>
      </c>
      <c r="C4" s="156">
        <v>4.7950054153000004</v>
      </c>
      <c r="D4" s="156">
        <v>3.143416502</v>
      </c>
      <c r="E4" s="156">
        <v>1.4673612824</v>
      </c>
      <c r="F4" s="156">
        <v>0.83803408248934996</v>
      </c>
    </row>
    <row r="5" spans="1:7">
      <c r="A5" s="147" t="s">
        <v>61</v>
      </c>
      <c r="B5" s="156">
        <v>51.735688560171795</v>
      </c>
      <c r="C5" s="156">
        <v>49.744001861000001</v>
      </c>
      <c r="D5" s="156">
        <v>57.632940290000001</v>
      </c>
      <c r="E5" s="156">
        <v>54.165724590899998</v>
      </c>
      <c r="F5" s="156">
        <v>60.330570690449001</v>
      </c>
    </row>
    <row r="6" spans="1:7">
      <c r="A6" s="147" t="s">
        <v>62</v>
      </c>
      <c r="B6" s="156">
        <v>122.65902739088638</v>
      </c>
      <c r="C6" s="156">
        <v>128.05968364040001</v>
      </c>
      <c r="D6" s="156">
        <v>152.60557636690001</v>
      </c>
      <c r="E6" s="156">
        <v>108.5229760401</v>
      </c>
      <c r="F6" s="156">
        <v>141.5023845465</v>
      </c>
    </row>
    <row r="7" spans="1:7">
      <c r="A7" s="147" t="s">
        <v>63</v>
      </c>
      <c r="B7" s="152"/>
      <c r="C7" s="152"/>
      <c r="D7" s="152"/>
      <c r="E7" s="152"/>
      <c r="F7" s="152"/>
    </row>
    <row r="8" spans="1:7">
      <c r="A8" s="147"/>
      <c r="B8" s="152"/>
      <c r="C8" s="152"/>
      <c r="D8" s="152"/>
      <c r="E8" s="152"/>
      <c r="F8" s="152"/>
    </row>
    <row r="9" spans="1:7">
      <c r="A9" s="147" t="s">
        <v>64</v>
      </c>
      <c r="B9" s="155">
        <v>1.3134629957059864E-2</v>
      </c>
      <c r="C9" s="155">
        <v>7.5481129699999996E-2</v>
      </c>
      <c r="D9" s="155">
        <v>6.3735177899999995E-2</v>
      </c>
      <c r="E9" s="155">
        <v>4.6855734000000003E-3</v>
      </c>
      <c r="F9" s="155">
        <v>7.4092368486046003E-3</v>
      </c>
    </row>
    <row r="10" spans="1:7">
      <c r="A10" s="147" t="s">
        <v>65</v>
      </c>
      <c r="B10" s="155">
        <v>0.51996151950200808</v>
      </c>
      <c r="C10" s="155">
        <v>0.54163831640000004</v>
      </c>
      <c r="D10" s="155">
        <v>0.5572910123</v>
      </c>
      <c r="E10" s="155">
        <v>0.51868329889999998</v>
      </c>
      <c r="F10" s="155">
        <v>0.57259902774869997</v>
      </c>
    </row>
    <row r="11" spans="1:7">
      <c r="A11" s="147" t="s">
        <v>66</v>
      </c>
      <c r="B11" s="155">
        <v>1.1428424734600957</v>
      </c>
      <c r="C11" s="155">
        <v>1.166829396</v>
      </c>
      <c r="D11" s="155">
        <v>1.2616169883999999</v>
      </c>
      <c r="E11" s="155">
        <v>0.93586385689999996</v>
      </c>
      <c r="F11" s="155">
        <v>1.1879840640363</v>
      </c>
    </row>
    <row r="12" spans="1:7">
      <c r="A12" s="147" t="s">
        <v>67</v>
      </c>
      <c r="B12" s="153"/>
      <c r="C12" s="153"/>
      <c r="D12" s="153"/>
      <c r="E12" s="153"/>
    </row>
    <row r="13" spans="1:7">
      <c r="B13" s="114" t="s">
        <v>68</v>
      </c>
    </row>
    <row r="16" spans="1:7" ht="10.5">
      <c r="A16" s="150" t="s">
        <v>69</v>
      </c>
      <c r="B16" s="151" t="s">
        <v>55</v>
      </c>
      <c r="C16" s="151" t="s">
        <v>56</v>
      </c>
      <c r="D16" s="151" t="s">
        <v>57</v>
      </c>
      <c r="E16" s="151" t="s">
        <v>58</v>
      </c>
      <c r="F16" s="176" t="s">
        <v>59</v>
      </c>
      <c r="G16" s="93" t="s">
        <v>70</v>
      </c>
    </row>
    <row r="17" spans="1:8">
      <c r="A17" s="148" t="s">
        <v>71</v>
      </c>
      <c r="B17" s="157">
        <v>2.4666303425041634E-2</v>
      </c>
      <c r="C17" s="157">
        <v>1.3314913122571409E-2</v>
      </c>
      <c r="D17" s="157">
        <v>2.4365253999158259E-3</v>
      </c>
      <c r="E17" s="157">
        <v>1.7536512630000001E-2</v>
      </c>
      <c r="F17" s="157">
        <v>2.9233946658153826E-3</v>
      </c>
    </row>
    <row r="18" spans="1:8">
      <c r="A18" s="149" t="s">
        <v>72</v>
      </c>
      <c r="B18" s="157">
        <v>1.9E-2</v>
      </c>
      <c r="C18" s="157">
        <v>1.7999999999999999E-2</v>
      </c>
      <c r="D18" s="157">
        <v>1.7999999999999999E-2</v>
      </c>
      <c r="E18" s="157">
        <v>1.7999999999999999E-2</v>
      </c>
      <c r="F18" s="157">
        <v>1.7999999999999999E-2</v>
      </c>
    </row>
    <row r="19" spans="1:8" ht="10.5">
      <c r="A19" s="149" t="s">
        <v>73</v>
      </c>
      <c r="B19" s="157">
        <f>IF(B17&gt;B18,B17-B18,0)</f>
        <v>5.6663034250416348E-3</v>
      </c>
      <c r="C19" s="157">
        <f t="shared" ref="C19:F19" si="0">IF(C17&gt;C18,C17-C18,0)</f>
        <v>0</v>
      </c>
      <c r="D19" s="157">
        <f t="shared" si="0"/>
        <v>0</v>
      </c>
      <c r="E19" s="157">
        <f t="shared" si="0"/>
        <v>0</v>
      </c>
      <c r="F19" s="157">
        <f t="shared" si="0"/>
        <v>0</v>
      </c>
      <c r="G19" s="165">
        <f>SUM(B19:F19)</f>
        <v>5.6663034250416348E-3</v>
      </c>
    </row>
    <row r="22" spans="1:8">
      <c r="A22" s="15" t="s">
        <v>74</v>
      </c>
      <c r="B22" s="152"/>
      <c r="C22" s="154"/>
      <c r="D22" s="158">
        <f>G19</f>
        <v>5.6663034250416348E-3</v>
      </c>
      <c r="E22" s="154"/>
      <c r="F22" s="114"/>
      <c r="G22" s="114"/>
      <c r="H22" s="114"/>
    </row>
    <row r="23" spans="1:8">
      <c r="A23" s="15" t="s">
        <v>75</v>
      </c>
      <c r="B23" s="152"/>
      <c r="C23" s="154"/>
      <c r="D23" s="158">
        <f>D22*0.6</f>
        <v>3.3997820550249807E-3</v>
      </c>
      <c r="E23" s="154"/>
    </row>
    <row r="24" spans="1:8">
      <c r="A24" s="15" t="s">
        <v>76</v>
      </c>
      <c r="B24" s="152"/>
      <c r="C24" s="154"/>
      <c r="D24" s="158">
        <f>D22*0.4</f>
        <v>2.2665213700166541E-3</v>
      </c>
      <c r="E24" s="154"/>
    </row>
    <row r="25" spans="1:8">
      <c r="A25" s="15" t="s">
        <v>77</v>
      </c>
      <c r="B25" s="152"/>
      <c r="C25" s="174">
        <v>2.8E-3</v>
      </c>
      <c r="D25" s="174">
        <v>4.9399999999999999E-2</v>
      </c>
      <c r="E25" s="174">
        <v>1.1599999999999999E-2</v>
      </c>
      <c r="F25" s="114" t="s">
        <v>78</v>
      </c>
    </row>
    <row r="26" spans="1:8">
      <c r="A26" s="15" t="s">
        <v>79</v>
      </c>
      <c r="B26" s="152"/>
      <c r="C26" s="154">
        <f>$D23*C$25/(SUM($C$25:$E$25))</f>
        <v>1.4920673595720919E-4</v>
      </c>
      <c r="D26" s="158">
        <f t="shared" ref="D26:E26" si="1">$D23*D$25/(SUM($C$25:$E$25))</f>
        <v>2.6324331272450478E-3</v>
      </c>
      <c r="E26" s="154">
        <f t="shared" si="1"/>
        <v>6.1814219182272385E-4</v>
      </c>
    </row>
    <row r="27" spans="1:8">
      <c r="A27" s="15" t="s">
        <v>80</v>
      </c>
      <c r="B27" s="152"/>
      <c r="C27" s="174">
        <v>0.27350000000000002</v>
      </c>
      <c r="D27" s="174">
        <v>3.3748999999999998</v>
      </c>
      <c r="E27" s="174">
        <v>0.96930000000000005</v>
      </c>
      <c r="F27" s="114" t="s">
        <v>78</v>
      </c>
    </row>
    <row r="28" spans="1:8">
      <c r="A28" s="15" t="s">
        <v>81</v>
      </c>
      <c r="B28" s="152"/>
      <c r="C28" s="154">
        <f>$D24*C$27/SUM($C$27:$E$27)</f>
        <v>1.3424293364652426E-4</v>
      </c>
      <c r="D28" s="158">
        <f t="shared" ref="D28:E28" si="2">$D24*D$27/SUM($C$27:$E$27)</f>
        <v>1.6565136261925215E-3</v>
      </c>
      <c r="E28" s="154">
        <f t="shared" si="2"/>
        <v>4.7576481017760859E-4</v>
      </c>
    </row>
    <row r="29" spans="1:8">
      <c r="A29" s="15"/>
      <c r="B29" s="152"/>
      <c r="C29" s="152"/>
      <c r="D29" s="171"/>
      <c r="E29" s="152"/>
    </row>
    <row r="30" spans="1:8">
      <c r="A30" s="15" t="s">
        <v>82</v>
      </c>
      <c r="B30" s="152"/>
      <c r="C30" s="172">
        <f>(C26/C25*100)/5</f>
        <v>1.0657623996943513</v>
      </c>
      <c r="D30" s="172">
        <f>(D26/D25*100)/5</f>
        <v>1.0657623996943513</v>
      </c>
      <c r="E30" s="172">
        <f>(E26/E25*100)/5</f>
        <v>1.0657623996943515</v>
      </c>
      <c r="F30" s="114"/>
      <c r="H30" s="114"/>
    </row>
    <row r="31" spans="1:8">
      <c r="A31" s="15" t="s">
        <v>82</v>
      </c>
      <c r="B31" s="152"/>
      <c r="C31" s="172">
        <f>(C28/C27*100)/5</f>
        <v>9.8166679083381524E-3</v>
      </c>
      <c r="D31" s="172">
        <f>(D28/D27*100)/5</f>
        <v>9.8166679083381524E-3</v>
      </c>
      <c r="E31" s="172">
        <f>(E28/E27*100)/5</f>
        <v>9.8166679083381524E-3</v>
      </c>
      <c r="F31" s="114"/>
      <c r="H31" s="114"/>
    </row>
    <row r="32" spans="1:8">
      <c r="A32" s="15"/>
      <c r="F32" s="114"/>
      <c r="H32" s="114"/>
    </row>
    <row r="33" spans="1:8" ht="15.65" customHeight="1">
      <c r="A33" s="15"/>
      <c r="F33" s="114"/>
      <c r="H33" s="114"/>
    </row>
    <row r="35" spans="1:8" ht="10.5">
      <c r="A35" s="177" t="s">
        <v>83</v>
      </c>
    </row>
    <row r="36" spans="1:8" ht="31.5">
      <c r="A36" s="178" t="s">
        <v>84</v>
      </c>
      <c r="B36" s="166"/>
      <c r="C36" s="167" t="s">
        <v>85</v>
      </c>
      <c r="D36" s="167" t="s">
        <v>86</v>
      </c>
      <c r="E36" s="167" t="s">
        <v>87</v>
      </c>
      <c r="F36" s="167" t="s">
        <v>88</v>
      </c>
      <c r="G36" s="167" t="s">
        <v>89</v>
      </c>
      <c r="H36" s="168" t="s">
        <v>90</v>
      </c>
    </row>
    <row r="37" spans="1:8">
      <c r="A37" s="15" t="s">
        <v>91</v>
      </c>
      <c r="B37" s="180"/>
      <c r="C37" s="169">
        <v>633940.20199646056</v>
      </c>
      <c r="D37" s="169">
        <v>634944.90841830731</v>
      </c>
      <c r="E37" s="169">
        <v>636067.81559566548</v>
      </c>
      <c r="F37" s="169">
        <v>640086.64128305274</v>
      </c>
      <c r="G37" s="169">
        <v>641268.64883816661</v>
      </c>
      <c r="H37" s="170">
        <f>AVERAGE(C37:G37)</f>
        <v>637261.64322633052</v>
      </c>
    </row>
    <row r="38" spans="1:8">
      <c r="A38" s="15" t="s">
        <v>92</v>
      </c>
      <c r="B38" s="180"/>
      <c r="C38" s="169">
        <v>14914697.154977813</v>
      </c>
      <c r="D38" s="169">
        <v>14938334.860812394</v>
      </c>
      <c r="E38" s="169">
        <v>14964753.473215748</v>
      </c>
      <c r="F38" s="169">
        <v>15059304.296554068</v>
      </c>
      <c r="G38" s="169">
        <v>15087113.36224181</v>
      </c>
      <c r="H38" s="170">
        <f t="shared" ref="H38:H39" si="3">AVERAGE(C38:G38)</f>
        <v>14992840.629560366</v>
      </c>
    </row>
    <row r="39" spans="1:8">
      <c r="A39" s="15" t="s">
        <v>93</v>
      </c>
      <c r="B39" s="180"/>
      <c r="C39" s="169">
        <v>5904362.643025727</v>
      </c>
      <c r="D39" s="169">
        <v>5913720.2307693008</v>
      </c>
      <c r="E39" s="169">
        <v>5924178.7111885883</v>
      </c>
      <c r="F39" s="169">
        <v>5961609.0621628808</v>
      </c>
      <c r="G39" s="169">
        <v>5972617.9889200255</v>
      </c>
      <c r="H39" s="170">
        <f t="shared" si="3"/>
        <v>5935297.7272133045</v>
      </c>
    </row>
  </sheetData>
  <mergeCells count="1">
    <mergeCell ref="B37:B39"/>
  </mergeCells>
  <phoneticPr fontId="4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50"/>
  <sheetViews>
    <sheetView showGridLines="0" zoomScale="115" zoomScaleNormal="115" workbookViewId="0">
      <selection activeCell="I16" sqref="I16"/>
    </sheetView>
  </sheetViews>
  <sheetFormatPr defaultColWidth="9.26953125" defaultRowHeight="10"/>
  <cols>
    <col min="1" max="1" width="5.453125" style="93" customWidth="1"/>
    <col min="2" max="2" width="20.453125" style="93" customWidth="1"/>
    <col min="3" max="7" width="13.54296875" style="93" customWidth="1"/>
    <col min="8" max="9" width="18" style="93" customWidth="1"/>
    <col min="10" max="10" width="3.26953125" style="93" customWidth="1"/>
    <col min="11" max="11" width="20.453125" style="93" customWidth="1"/>
    <col min="12" max="16" width="13.54296875" style="93" customWidth="1"/>
    <col min="17" max="18" width="18" style="93" customWidth="1"/>
    <col min="19" max="19" width="3" style="93" customWidth="1"/>
    <col min="20" max="16384" width="9.26953125" style="93"/>
  </cols>
  <sheetData>
    <row r="2" spans="2:20" ht="10.5">
      <c r="B2" s="69" t="s">
        <v>94</v>
      </c>
      <c r="C2" s="97"/>
      <c r="D2" s="97"/>
      <c r="E2" s="97"/>
      <c r="F2" s="97"/>
      <c r="G2" s="97"/>
      <c r="H2" s="97"/>
      <c r="I2" s="97"/>
      <c r="J2" s="69"/>
      <c r="K2" s="69"/>
      <c r="L2" s="97"/>
      <c r="M2" s="97"/>
      <c r="N2" s="97"/>
      <c r="O2" s="97"/>
      <c r="P2" s="97"/>
      <c r="Q2" s="97"/>
      <c r="R2" s="97"/>
      <c r="T2" s="98" t="s">
        <v>95</v>
      </c>
    </row>
    <row r="3" spans="2:20">
      <c r="T3" s="99"/>
    </row>
    <row r="4" spans="2:20" s="70" customFormat="1" ht="10.5">
      <c r="B4" s="100" t="s">
        <v>96</v>
      </c>
      <c r="C4" s="100"/>
      <c r="D4" s="100"/>
      <c r="E4" s="100"/>
      <c r="F4" s="100"/>
      <c r="G4" s="100"/>
      <c r="H4" s="100"/>
      <c r="I4" s="100"/>
      <c r="K4" s="100" t="s">
        <v>96</v>
      </c>
      <c r="L4" s="100"/>
      <c r="M4" s="100"/>
      <c r="N4" s="100"/>
      <c r="O4" s="100"/>
      <c r="P4" s="100"/>
      <c r="Q4" s="100"/>
      <c r="R4" s="100"/>
    </row>
    <row r="5" spans="2:20">
      <c r="T5" s="99"/>
    </row>
    <row r="6" spans="2:20" s="70" customFormat="1" ht="10.5">
      <c r="B6" s="101" t="s">
        <v>97</v>
      </c>
      <c r="C6" s="102"/>
      <c r="K6" s="101" t="s">
        <v>98</v>
      </c>
      <c r="L6" s="103"/>
      <c r="M6" s="87"/>
      <c r="N6" s="87"/>
      <c r="O6" s="87"/>
      <c r="P6" s="87"/>
      <c r="Q6" s="87"/>
      <c r="R6" s="87"/>
      <c r="T6" s="104"/>
    </row>
    <row r="7" spans="2:20" s="70" customFormat="1" ht="10.5">
      <c r="B7" s="105" t="s">
        <v>28</v>
      </c>
      <c r="C7" s="106" t="s">
        <v>55</v>
      </c>
      <c r="D7" s="106" t="s">
        <v>56</v>
      </c>
      <c r="E7" s="106" t="s">
        <v>57</v>
      </c>
      <c r="F7" s="106" t="s">
        <v>58</v>
      </c>
      <c r="G7" s="106" t="s">
        <v>59</v>
      </c>
      <c r="H7" s="106" t="s">
        <v>99</v>
      </c>
      <c r="I7" s="106" t="s">
        <v>100</v>
      </c>
      <c r="K7" s="108" t="s">
        <v>28</v>
      </c>
      <c r="L7" s="106" t="s">
        <v>55</v>
      </c>
      <c r="M7" s="106" t="s">
        <v>56</v>
      </c>
      <c r="N7" s="106" t="s">
        <v>57</v>
      </c>
      <c r="O7" s="106" t="s">
        <v>58</v>
      </c>
      <c r="P7" s="106" t="s">
        <v>59</v>
      </c>
      <c r="Q7" s="106" t="s">
        <v>99</v>
      </c>
      <c r="R7" s="106" t="s">
        <v>100</v>
      </c>
      <c r="T7" s="104"/>
    </row>
    <row r="8" spans="2:20" s="70" customFormat="1">
      <c r="B8" s="72" t="s">
        <v>21</v>
      </c>
      <c r="C8" s="163">
        <f>'Cap adjustment'!B9</f>
        <v>1.3134629957059864E-2</v>
      </c>
      <c r="D8" s="162">
        <f>'Cap adjustment'!C9</f>
        <v>7.5481129699999996E-2</v>
      </c>
      <c r="E8" s="162">
        <f>'Cap adjustment'!D9</f>
        <v>6.3735177899999995E-2</v>
      </c>
      <c r="F8" s="162">
        <f>'Cap adjustment'!E9</f>
        <v>4.6855734000000003E-3</v>
      </c>
      <c r="G8" s="162">
        <f>'Cap adjustment'!F9</f>
        <v>7.4092368486046003E-3</v>
      </c>
      <c r="H8" s="161">
        <f>AVERAGE(C8:F8)</f>
        <v>3.9259127739264967E-2</v>
      </c>
      <c r="I8" s="161">
        <f>AVERAGE($C8:$G8)</f>
        <v>3.288914956113289E-2</v>
      </c>
      <c r="K8" s="72" t="s">
        <v>21</v>
      </c>
      <c r="L8" s="163">
        <f>'Cap adjustment'!B4</f>
        <v>1.9681316830849205</v>
      </c>
      <c r="M8" s="162">
        <f>'Cap adjustment'!C4</f>
        <v>4.7950054153000004</v>
      </c>
      <c r="N8" s="162">
        <f>'Cap adjustment'!D4</f>
        <v>3.143416502</v>
      </c>
      <c r="O8" s="162">
        <f>'Cap adjustment'!E4</f>
        <v>1.4673612824</v>
      </c>
      <c r="P8" s="162">
        <f>'Cap adjustment'!F4</f>
        <v>0.83803408248934996</v>
      </c>
      <c r="Q8" s="161">
        <f>AVERAGE(L8:O8)</f>
        <v>2.8434787206962304</v>
      </c>
      <c r="R8" s="161">
        <f>AVERAGE($L8:P8)</f>
        <v>2.4423897930548542</v>
      </c>
      <c r="T8" s="110" t="s">
        <v>101</v>
      </c>
    </row>
    <row r="9" spans="2:20" s="70" customFormat="1">
      <c r="B9" s="72" t="s">
        <v>22</v>
      </c>
      <c r="C9" s="163">
        <f>'Cap adjustment'!B10</f>
        <v>0.51996151950200808</v>
      </c>
      <c r="D9" s="162">
        <f>'Cap adjustment'!C10</f>
        <v>0.54163831640000004</v>
      </c>
      <c r="E9" s="162">
        <f>'Cap adjustment'!D10</f>
        <v>0.5572910123</v>
      </c>
      <c r="F9" s="162">
        <f>'Cap adjustment'!E10</f>
        <v>0.51868329889999998</v>
      </c>
      <c r="G9" s="162">
        <f>'Cap adjustment'!F10</f>
        <v>0.57259902774869997</v>
      </c>
      <c r="H9" s="161">
        <f>AVERAGE(C9:F9)</f>
        <v>0.53439353677550205</v>
      </c>
      <c r="I9" s="161">
        <f t="shared" ref="I9:I11" si="0">AVERAGE($C9:$G9)</f>
        <v>0.5420346349701417</v>
      </c>
      <c r="K9" s="72" t="s">
        <v>22</v>
      </c>
      <c r="L9" s="163">
        <f>'Cap adjustment'!B5</f>
        <v>51.735688560171795</v>
      </c>
      <c r="M9" s="162">
        <f>'Cap adjustment'!C5</f>
        <v>49.744001861000001</v>
      </c>
      <c r="N9" s="162">
        <f>'Cap adjustment'!D5</f>
        <v>57.632940290000001</v>
      </c>
      <c r="O9" s="162">
        <f>'Cap adjustment'!E5</f>
        <v>54.165724590899998</v>
      </c>
      <c r="P9" s="162">
        <f>'Cap adjustment'!F5</f>
        <v>60.330570690449001</v>
      </c>
      <c r="Q9" s="161">
        <f>AVERAGE(L9:O9)</f>
        <v>53.319588825517947</v>
      </c>
      <c r="R9" s="161">
        <f>AVERAGE($L9:P9)</f>
        <v>54.721785198504151</v>
      </c>
      <c r="T9" s="110" t="s">
        <v>102</v>
      </c>
    </row>
    <row r="10" spans="2:20" s="70" customFormat="1">
      <c r="B10" s="72" t="s">
        <v>23</v>
      </c>
      <c r="C10" s="163">
        <f>'Cap adjustment'!B11</f>
        <v>1.1428424734600957</v>
      </c>
      <c r="D10" s="162">
        <f>'Cap adjustment'!C11</f>
        <v>1.166829396</v>
      </c>
      <c r="E10" s="162">
        <f>'Cap adjustment'!D11</f>
        <v>1.2616169883999999</v>
      </c>
      <c r="F10" s="162">
        <f>'Cap adjustment'!E11</f>
        <v>0.93586385689999996</v>
      </c>
      <c r="G10" s="162">
        <f>'Cap adjustment'!F11</f>
        <v>1.1879840640363</v>
      </c>
      <c r="H10" s="161">
        <f>AVERAGE(C10:F10)</f>
        <v>1.126788178690024</v>
      </c>
      <c r="I10" s="161">
        <f t="shared" si="0"/>
        <v>1.1390273557592792</v>
      </c>
      <c r="K10" s="72" t="s">
        <v>23</v>
      </c>
      <c r="L10" s="163">
        <f>'Cap adjustment'!B6</f>
        <v>122.65902739088638</v>
      </c>
      <c r="M10" s="162">
        <f>'Cap adjustment'!C6</f>
        <v>128.05968364040001</v>
      </c>
      <c r="N10" s="162">
        <f>'Cap adjustment'!D6</f>
        <v>152.60557636690001</v>
      </c>
      <c r="O10" s="162">
        <f>'Cap adjustment'!E6</f>
        <v>108.5229760401</v>
      </c>
      <c r="P10" s="162">
        <f>'Cap adjustment'!F6</f>
        <v>141.5023845465</v>
      </c>
      <c r="Q10" s="161">
        <f>AVERAGE(L10:O10)</f>
        <v>127.96181585957159</v>
      </c>
      <c r="R10" s="161">
        <f>AVERAGE($L10:P10)</f>
        <v>130.66992959695727</v>
      </c>
      <c r="T10" s="110" t="s">
        <v>102</v>
      </c>
    </row>
    <row r="11" spans="2:20" s="70" customFormat="1">
      <c r="B11" s="72" t="s">
        <v>103</v>
      </c>
      <c r="C11" s="85">
        <v>0.85400000000000009</v>
      </c>
      <c r="D11" s="85">
        <v>0.88570000000000004</v>
      </c>
      <c r="E11" s="85">
        <v>0.87759967437443065</v>
      </c>
      <c r="F11" s="85">
        <v>0.89700473569076178</v>
      </c>
      <c r="G11" s="85">
        <v>0.85360000000000003</v>
      </c>
      <c r="H11" s="161">
        <f>AVERAGE(C11:F11)</f>
        <v>0.87857610251629814</v>
      </c>
      <c r="I11" s="161">
        <f t="shared" si="0"/>
        <v>0.87358088201303852</v>
      </c>
      <c r="K11" s="72"/>
      <c r="L11" s="85"/>
      <c r="M11" s="85"/>
      <c r="N11" s="85"/>
      <c r="O11" s="85"/>
      <c r="P11" s="85"/>
      <c r="Q11" s="161"/>
      <c r="R11" s="161"/>
      <c r="T11" s="110" t="s">
        <v>104</v>
      </c>
    </row>
    <row r="12" spans="2:20" ht="10.5">
      <c r="B12" s="111"/>
      <c r="C12" s="112"/>
      <c r="D12" s="112"/>
      <c r="E12" s="112"/>
      <c r="F12" s="112"/>
      <c r="G12" s="112"/>
      <c r="H12" s="112"/>
      <c r="I12" s="159"/>
      <c r="K12" s="111"/>
      <c r="L12" s="112"/>
      <c r="M12" s="112"/>
      <c r="N12" s="112"/>
      <c r="O12" s="112"/>
      <c r="P12" s="112"/>
      <c r="Q12" s="112"/>
      <c r="R12" s="112"/>
      <c r="T12" s="113"/>
    </row>
    <row r="13" spans="2:20">
      <c r="C13" s="114" t="s">
        <v>68</v>
      </c>
      <c r="L13" s="114" t="s">
        <v>68</v>
      </c>
      <c r="T13" s="113"/>
    </row>
    <row r="14" spans="2:20">
      <c r="T14" s="113"/>
    </row>
    <row r="15" spans="2:20" s="70" customFormat="1" ht="10.5">
      <c r="B15" s="100" t="s">
        <v>105</v>
      </c>
      <c r="C15" s="100"/>
      <c r="D15" s="100"/>
      <c r="E15" s="100"/>
      <c r="F15" s="100"/>
      <c r="G15" s="100"/>
      <c r="H15" s="100"/>
      <c r="I15" s="160"/>
      <c r="K15" s="100" t="s">
        <v>105</v>
      </c>
      <c r="L15" s="100"/>
      <c r="M15" s="100"/>
      <c r="N15" s="100"/>
      <c r="O15" s="100"/>
      <c r="P15" s="100"/>
      <c r="Q15" s="100"/>
      <c r="R15" s="100"/>
    </row>
    <row r="16" spans="2:20">
      <c r="T16" s="113"/>
    </row>
    <row r="17" spans="2:20" s="70" customFormat="1" ht="10.5">
      <c r="B17" s="101" t="s">
        <v>97</v>
      </c>
      <c r="K17" s="101" t="s">
        <v>98</v>
      </c>
      <c r="L17" s="87"/>
      <c r="M17" s="87"/>
      <c r="N17" s="87"/>
      <c r="O17" s="87"/>
      <c r="P17" s="87"/>
      <c r="Q17" s="87"/>
      <c r="R17" s="87"/>
      <c r="T17" s="115"/>
    </row>
    <row r="18" spans="2:20" s="70" customFormat="1" ht="10.5">
      <c r="B18" s="105" t="s">
        <v>28</v>
      </c>
      <c r="C18" s="106" t="s">
        <v>55</v>
      </c>
      <c r="D18" s="106" t="s">
        <v>56</v>
      </c>
      <c r="E18" s="106" t="s">
        <v>57</v>
      </c>
      <c r="F18" s="106" t="s">
        <v>58</v>
      </c>
      <c r="G18" s="106" t="s">
        <v>59</v>
      </c>
      <c r="H18" s="106" t="s">
        <v>99</v>
      </c>
      <c r="I18" s="106" t="s">
        <v>100</v>
      </c>
      <c r="K18" s="108" t="s">
        <v>28</v>
      </c>
      <c r="L18" s="106" t="s">
        <v>55</v>
      </c>
      <c r="M18" s="106" t="s">
        <v>56</v>
      </c>
      <c r="N18" s="106" t="s">
        <v>57</v>
      </c>
      <c r="O18" s="106" t="s">
        <v>58</v>
      </c>
      <c r="P18" s="106" t="s">
        <v>59</v>
      </c>
      <c r="Q18" s="106" t="s">
        <v>99</v>
      </c>
      <c r="R18" s="106" t="s">
        <v>100</v>
      </c>
      <c r="T18" s="115"/>
    </row>
    <row r="19" spans="2:20" s="70" customFormat="1">
      <c r="B19" s="72" t="s">
        <v>21</v>
      </c>
      <c r="C19" s="163">
        <f>'Cap adjustment'!B9</f>
        <v>1.3134629957059864E-2</v>
      </c>
      <c r="D19" s="162">
        <f>'Cap adjustment'!C9</f>
        <v>7.5481129699999996E-2</v>
      </c>
      <c r="E19" s="162">
        <f>'Cap adjustment'!D9</f>
        <v>6.3735177899999995E-2</v>
      </c>
      <c r="F19" s="162">
        <f>'Cap adjustment'!E9</f>
        <v>4.6855734000000003E-3</v>
      </c>
      <c r="G19" s="162">
        <f>'Cap adjustment'!F9</f>
        <v>7.4092368486046003E-3</v>
      </c>
      <c r="H19" s="161">
        <f>AVERAGE(C19:F19)</f>
        <v>3.9259127739264967E-2</v>
      </c>
      <c r="I19" s="161">
        <f>AVERAGE($C19:$G19)</f>
        <v>3.288914956113289E-2</v>
      </c>
      <c r="K19" s="72" t="s">
        <v>21</v>
      </c>
      <c r="L19" s="163">
        <f>'Cap adjustment'!B4</f>
        <v>1.9681316830849205</v>
      </c>
      <c r="M19" s="162">
        <f>'Cap adjustment'!C4</f>
        <v>4.7950054153000004</v>
      </c>
      <c r="N19" s="162">
        <f>'Cap adjustment'!D4</f>
        <v>3.143416502</v>
      </c>
      <c r="O19" s="162">
        <f>'Cap adjustment'!E4</f>
        <v>1.4673612824</v>
      </c>
      <c r="P19" s="162">
        <f>'Cap adjustment'!F4</f>
        <v>0.83803408248934996</v>
      </c>
      <c r="Q19" s="161">
        <f>AVERAGE(L19:O19)</f>
        <v>2.8434787206962304</v>
      </c>
      <c r="R19" s="161">
        <f>AVERAGE($L19:P19)</f>
        <v>2.4423897930548542</v>
      </c>
      <c r="T19" s="110" t="s">
        <v>106</v>
      </c>
    </row>
    <row r="20" spans="2:20" s="70" customFormat="1">
      <c r="B20" s="72" t="s">
        <v>22</v>
      </c>
      <c r="C20" s="163">
        <f>'Cap adjustment'!B10</f>
        <v>0.51996151950200808</v>
      </c>
      <c r="D20" s="162">
        <f>'Cap adjustment'!C10</f>
        <v>0.54163831640000004</v>
      </c>
      <c r="E20" s="162">
        <f>'Cap adjustment'!D10</f>
        <v>0.5572910123</v>
      </c>
      <c r="F20" s="162">
        <f>'Cap adjustment'!E10</f>
        <v>0.51868329889999998</v>
      </c>
      <c r="G20" s="162">
        <f>'Cap adjustment'!F10</f>
        <v>0.57259902774869997</v>
      </c>
      <c r="H20" s="161">
        <f>AVERAGE(C20:F20)</f>
        <v>0.53439353677550205</v>
      </c>
      <c r="I20" s="161">
        <f>AVERAGE($C20:$G20)</f>
        <v>0.5420346349701417</v>
      </c>
      <c r="K20" s="72" t="s">
        <v>22</v>
      </c>
      <c r="L20" s="163">
        <f>'Cap adjustment'!B5</f>
        <v>51.735688560171795</v>
      </c>
      <c r="M20" s="162">
        <f>'Cap adjustment'!C5</f>
        <v>49.744001861000001</v>
      </c>
      <c r="N20" s="162">
        <f>'Cap adjustment'!D5</f>
        <v>57.632940290000001</v>
      </c>
      <c r="O20" s="162">
        <f>'Cap adjustment'!E5</f>
        <v>54.165724590899998</v>
      </c>
      <c r="P20" s="162">
        <f>'Cap adjustment'!F5</f>
        <v>60.330570690449001</v>
      </c>
      <c r="Q20" s="161">
        <f>AVERAGE(L20:O20)</f>
        <v>53.319588825517947</v>
      </c>
      <c r="R20" s="161">
        <f>AVERAGE($L20:P20)</f>
        <v>54.721785198504151</v>
      </c>
      <c r="T20" s="104"/>
    </row>
    <row r="21" spans="2:20" s="70" customFormat="1">
      <c r="B21" s="72" t="s">
        <v>23</v>
      </c>
      <c r="C21" s="163">
        <f>'Cap adjustment'!B11</f>
        <v>1.1428424734600957</v>
      </c>
      <c r="D21" s="162">
        <f>'Cap adjustment'!C11</f>
        <v>1.166829396</v>
      </c>
      <c r="E21" s="162">
        <f>'Cap adjustment'!D11</f>
        <v>1.2616169883999999</v>
      </c>
      <c r="F21" s="162">
        <f>'Cap adjustment'!E11</f>
        <v>0.93586385689999996</v>
      </c>
      <c r="G21" s="162">
        <f>'Cap adjustment'!F11</f>
        <v>1.1879840640363</v>
      </c>
      <c r="H21" s="161">
        <f>AVERAGE(C21:F21)</f>
        <v>1.126788178690024</v>
      </c>
      <c r="I21" s="161">
        <f>AVERAGE($C21:$G21)</f>
        <v>1.1390273557592792</v>
      </c>
      <c r="K21" s="72" t="s">
        <v>23</v>
      </c>
      <c r="L21" s="163">
        <f>'Cap adjustment'!B6</f>
        <v>122.65902739088638</v>
      </c>
      <c r="M21" s="162">
        <f>'Cap adjustment'!C6</f>
        <v>128.05968364040001</v>
      </c>
      <c r="N21" s="162">
        <f>'Cap adjustment'!D6</f>
        <v>152.60557636690001</v>
      </c>
      <c r="O21" s="162">
        <f>'Cap adjustment'!E6</f>
        <v>108.5229760401</v>
      </c>
      <c r="P21" s="162">
        <f>'Cap adjustment'!F6</f>
        <v>141.5023845465</v>
      </c>
      <c r="Q21" s="161">
        <f>AVERAGE(L21:O21)</f>
        <v>127.96181585957159</v>
      </c>
      <c r="R21" s="161">
        <f>AVERAGE($L21:P21)</f>
        <v>130.66992959695727</v>
      </c>
    </row>
    <row r="22" spans="2:20" s="70" customFormat="1" ht="10.5">
      <c r="B22" s="72"/>
      <c r="C22" s="85"/>
      <c r="D22" s="85"/>
      <c r="E22" s="85"/>
      <c r="F22" s="85"/>
      <c r="G22" s="85"/>
      <c r="H22" s="112"/>
      <c r="I22" s="112"/>
      <c r="K22" s="72"/>
      <c r="L22" s="164"/>
      <c r="M22" s="164"/>
      <c r="N22" s="164"/>
      <c r="O22" s="164"/>
      <c r="P22" s="164"/>
      <c r="Q22" s="161"/>
      <c r="R22" s="161"/>
    </row>
    <row r="23" spans="2:20" ht="10.5">
      <c r="B23" s="111"/>
      <c r="C23" s="112"/>
      <c r="D23" s="112"/>
      <c r="E23" s="112"/>
      <c r="F23" s="112"/>
      <c r="G23" s="112"/>
      <c r="H23" s="112"/>
      <c r="I23" s="112"/>
      <c r="K23" s="111"/>
      <c r="L23" s="112"/>
      <c r="M23" s="112"/>
      <c r="N23" s="112"/>
      <c r="O23" s="112"/>
      <c r="P23" s="112"/>
      <c r="Q23" s="112"/>
      <c r="R23" s="112"/>
    </row>
    <row r="24" spans="2:20">
      <c r="C24" s="114" t="s">
        <v>68</v>
      </c>
      <c r="L24" s="114" t="s">
        <v>68</v>
      </c>
    </row>
    <row r="26" spans="2:20" s="70" customFormat="1" ht="10.5">
      <c r="B26" s="100" t="s">
        <v>107</v>
      </c>
      <c r="C26" s="100"/>
      <c r="D26" s="100"/>
      <c r="E26" s="100"/>
      <c r="F26" s="100"/>
      <c r="G26" s="100"/>
      <c r="H26" s="100"/>
      <c r="I26" s="100"/>
      <c r="K26" s="100" t="s">
        <v>108</v>
      </c>
      <c r="L26" s="100"/>
      <c r="M26" s="100"/>
      <c r="N26" s="100"/>
      <c r="O26" s="100"/>
      <c r="P26" s="100"/>
      <c r="Q26" s="100"/>
      <c r="R26" s="100"/>
    </row>
    <row r="28" spans="2:20" s="70" customFormat="1" ht="10.5">
      <c r="B28" s="101" t="s">
        <v>97</v>
      </c>
      <c r="K28" s="101" t="s">
        <v>98</v>
      </c>
      <c r="L28" s="87"/>
      <c r="M28" s="87"/>
      <c r="N28" s="87"/>
      <c r="O28" s="87"/>
      <c r="P28" s="87"/>
      <c r="Q28" s="87"/>
      <c r="R28" s="87"/>
    </row>
    <row r="29" spans="2:20" s="70" customFormat="1" ht="10.5">
      <c r="B29" s="105" t="s">
        <v>28</v>
      </c>
      <c r="C29" s="106" t="s">
        <v>55</v>
      </c>
      <c r="D29" s="106" t="s">
        <v>56</v>
      </c>
      <c r="E29" s="106" t="s">
        <v>57</v>
      </c>
      <c r="F29" s="106" t="s">
        <v>58</v>
      </c>
      <c r="G29" s="106" t="s">
        <v>59</v>
      </c>
      <c r="H29" s="106" t="s">
        <v>99</v>
      </c>
      <c r="I29" s="106" t="s">
        <v>100</v>
      </c>
      <c r="K29" s="108" t="s">
        <v>28</v>
      </c>
      <c r="L29" s="106" t="s">
        <v>55</v>
      </c>
      <c r="M29" s="106" t="s">
        <v>56</v>
      </c>
      <c r="N29" s="106" t="s">
        <v>57</v>
      </c>
      <c r="O29" s="106" t="s">
        <v>58</v>
      </c>
      <c r="P29" s="106" t="s">
        <v>59</v>
      </c>
      <c r="Q29" s="106" t="s">
        <v>99</v>
      </c>
      <c r="R29" s="106" t="s">
        <v>100</v>
      </c>
    </row>
    <row r="30" spans="2:20" s="70" customFormat="1">
      <c r="B30" s="72" t="s">
        <v>21</v>
      </c>
      <c r="C30" s="85">
        <f>'Cap adjustment'!$C$31</f>
        <v>9.8166679083381524E-3</v>
      </c>
      <c r="D30" s="85">
        <f>'Cap adjustment'!$C$31</f>
        <v>9.8166679083381524E-3</v>
      </c>
      <c r="E30" s="85">
        <f>'Cap adjustment'!$C$31</f>
        <v>9.8166679083381524E-3</v>
      </c>
      <c r="F30" s="85">
        <f>'Cap adjustment'!$C$31</f>
        <v>9.8166679083381524E-3</v>
      </c>
      <c r="G30" s="85">
        <f>'Cap adjustment'!$C$31</f>
        <v>9.8166679083381524E-3</v>
      </c>
      <c r="H30" s="161">
        <f>AVERAGE(C30:F30)</f>
        <v>9.8166679083381524E-3</v>
      </c>
      <c r="I30" s="161">
        <f>AVERAGE(C30:G30)</f>
        <v>9.8166679083381524E-3</v>
      </c>
      <c r="K30" s="72" t="s">
        <v>21</v>
      </c>
      <c r="L30" s="85">
        <f>'Cap adjustment'!$C$30</f>
        <v>1.0657623996943513</v>
      </c>
      <c r="M30" s="85">
        <f>'Cap adjustment'!$C$30</f>
        <v>1.0657623996943513</v>
      </c>
      <c r="N30" s="85">
        <f>'Cap adjustment'!$C$30</f>
        <v>1.0657623996943513</v>
      </c>
      <c r="O30" s="85">
        <f>'Cap adjustment'!$C$30</f>
        <v>1.0657623996943513</v>
      </c>
      <c r="P30" s="85">
        <f>'Cap adjustment'!$C$30</f>
        <v>1.0657623996943513</v>
      </c>
      <c r="Q30" s="161">
        <f t="shared" ref="Q30:Q32" si="1">AVERAGE(L30:O30)</f>
        <v>1.0657623996943513</v>
      </c>
      <c r="R30" s="161">
        <f t="shared" ref="R30:R32" si="2">AVERAGE(L30:P30)</f>
        <v>1.0657623996943513</v>
      </c>
    </row>
    <row r="31" spans="2:20" s="70" customFormat="1">
      <c r="B31" s="72" t="s">
        <v>22</v>
      </c>
      <c r="C31" s="85">
        <f>'Cap adjustment'!$C$31</f>
        <v>9.8166679083381524E-3</v>
      </c>
      <c r="D31" s="85">
        <f>'Cap adjustment'!$C$31</f>
        <v>9.8166679083381524E-3</v>
      </c>
      <c r="E31" s="85">
        <f>'Cap adjustment'!$C$31</f>
        <v>9.8166679083381524E-3</v>
      </c>
      <c r="F31" s="85">
        <f>'Cap adjustment'!$C$31</f>
        <v>9.8166679083381524E-3</v>
      </c>
      <c r="G31" s="85">
        <f>'Cap adjustment'!$C$31</f>
        <v>9.8166679083381524E-3</v>
      </c>
      <c r="H31" s="161">
        <f>AVERAGE(C31:F31)</f>
        <v>9.8166679083381524E-3</v>
      </c>
      <c r="I31" s="161">
        <f>AVERAGE(C31:G31)</f>
        <v>9.8166679083381524E-3</v>
      </c>
      <c r="K31" s="72" t="s">
        <v>22</v>
      </c>
      <c r="L31" s="85">
        <f>'Cap adjustment'!$C$30</f>
        <v>1.0657623996943513</v>
      </c>
      <c r="M31" s="85">
        <f>'Cap adjustment'!$C$30</f>
        <v>1.0657623996943513</v>
      </c>
      <c r="N31" s="85">
        <f>'Cap adjustment'!$C$30</f>
        <v>1.0657623996943513</v>
      </c>
      <c r="O31" s="85">
        <f>'Cap adjustment'!$C$30</f>
        <v>1.0657623996943513</v>
      </c>
      <c r="P31" s="85">
        <f>'Cap adjustment'!$C$30</f>
        <v>1.0657623996943513</v>
      </c>
      <c r="Q31" s="161">
        <f t="shared" si="1"/>
        <v>1.0657623996943513</v>
      </c>
      <c r="R31" s="161">
        <f t="shared" si="2"/>
        <v>1.0657623996943513</v>
      </c>
    </row>
    <row r="32" spans="2:20" s="70" customFormat="1">
      <c r="B32" s="72" t="s">
        <v>23</v>
      </c>
      <c r="C32" s="85">
        <f>'Cap adjustment'!$C$31</f>
        <v>9.8166679083381524E-3</v>
      </c>
      <c r="D32" s="85">
        <f>'Cap adjustment'!$C$31</f>
        <v>9.8166679083381524E-3</v>
      </c>
      <c r="E32" s="85">
        <f>'Cap adjustment'!$C$31</f>
        <v>9.8166679083381524E-3</v>
      </c>
      <c r="F32" s="85">
        <f>'Cap adjustment'!$C$31</f>
        <v>9.8166679083381524E-3</v>
      </c>
      <c r="G32" s="85">
        <f>'Cap adjustment'!$C$31</f>
        <v>9.8166679083381524E-3</v>
      </c>
      <c r="H32" s="161">
        <f>AVERAGE(C32:F32)</f>
        <v>9.8166679083381524E-3</v>
      </c>
      <c r="I32" s="161">
        <f>AVERAGE(C32:G32)</f>
        <v>9.8166679083381524E-3</v>
      </c>
      <c r="K32" s="72" t="s">
        <v>23</v>
      </c>
      <c r="L32" s="85">
        <f>'Cap adjustment'!$C$30</f>
        <v>1.0657623996943513</v>
      </c>
      <c r="M32" s="85">
        <f>'Cap adjustment'!$C$30</f>
        <v>1.0657623996943513</v>
      </c>
      <c r="N32" s="85">
        <f>'Cap adjustment'!$C$30</f>
        <v>1.0657623996943513</v>
      </c>
      <c r="O32" s="85">
        <f>'Cap adjustment'!$C$30</f>
        <v>1.0657623996943513</v>
      </c>
      <c r="P32" s="85">
        <f>'Cap adjustment'!$C$30</f>
        <v>1.0657623996943513</v>
      </c>
      <c r="Q32" s="161">
        <f t="shared" si="1"/>
        <v>1.0657623996943513</v>
      </c>
      <c r="R32" s="161">
        <f t="shared" si="2"/>
        <v>1.0657623996943513</v>
      </c>
    </row>
    <row r="33" spans="2:18" s="70" customFormat="1" ht="10.5">
      <c r="B33" s="72"/>
      <c r="C33" s="116"/>
      <c r="D33" s="116"/>
      <c r="E33" s="116"/>
      <c r="F33" s="116"/>
      <c r="G33" s="116"/>
      <c r="H33" s="112"/>
      <c r="I33" s="112"/>
      <c r="K33" s="72"/>
      <c r="L33" s="72"/>
      <c r="M33" s="72"/>
      <c r="N33" s="72"/>
      <c r="O33" s="72"/>
      <c r="P33" s="72"/>
      <c r="Q33" s="161"/>
      <c r="R33" s="161"/>
    </row>
    <row r="34" spans="2:18" ht="10.5">
      <c r="B34" s="111"/>
      <c r="C34" s="112"/>
      <c r="D34" s="112"/>
      <c r="E34" s="112"/>
      <c r="F34" s="112"/>
      <c r="G34" s="112"/>
      <c r="H34" s="112"/>
      <c r="I34" s="112"/>
      <c r="K34" s="111"/>
      <c r="L34" s="112"/>
      <c r="M34" s="112"/>
      <c r="N34" s="112"/>
      <c r="O34" s="112"/>
      <c r="P34" s="112"/>
      <c r="Q34" s="112"/>
      <c r="R34" s="112"/>
    </row>
    <row r="37" spans="2:18" s="70" customFormat="1" ht="10.5">
      <c r="B37" s="100" t="s">
        <v>109</v>
      </c>
      <c r="C37" s="100"/>
      <c r="D37" s="100"/>
      <c r="E37" s="100"/>
      <c r="F37" s="100"/>
      <c r="G37" s="100"/>
      <c r="H37" s="100"/>
      <c r="I37" s="100"/>
      <c r="K37" s="100" t="s">
        <v>109</v>
      </c>
      <c r="L37" s="100"/>
      <c r="M37" s="100"/>
      <c r="N37" s="100"/>
      <c r="O37" s="100"/>
      <c r="P37" s="100"/>
      <c r="Q37" s="100"/>
      <c r="R37" s="100"/>
    </row>
    <row r="39" spans="2:18" s="70" customFormat="1" ht="10.5">
      <c r="B39" s="101" t="s">
        <v>97</v>
      </c>
      <c r="K39" s="101" t="s">
        <v>98</v>
      </c>
      <c r="L39" s="87"/>
      <c r="M39" s="87"/>
      <c r="N39" s="87"/>
      <c r="O39" s="87"/>
      <c r="P39" s="87"/>
      <c r="Q39" s="87"/>
      <c r="R39" s="87"/>
    </row>
    <row r="40" spans="2:18" s="70" customFormat="1" ht="10.5">
      <c r="B40" s="105" t="s">
        <v>28</v>
      </c>
      <c r="C40" s="106" t="s">
        <v>55</v>
      </c>
      <c r="D40" s="106" t="s">
        <v>56</v>
      </c>
      <c r="E40" s="106" t="s">
        <v>57</v>
      </c>
      <c r="F40" s="106" t="s">
        <v>58</v>
      </c>
      <c r="G40" s="106" t="s">
        <v>59</v>
      </c>
      <c r="H40" s="106" t="s">
        <v>99</v>
      </c>
      <c r="I40" s="106" t="s">
        <v>100</v>
      </c>
      <c r="K40" s="108" t="s">
        <v>28</v>
      </c>
      <c r="L40" s="106" t="s">
        <v>55</v>
      </c>
      <c r="M40" s="106" t="s">
        <v>56</v>
      </c>
      <c r="N40" s="106" t="s">
        <v>57</v>
      </c>
      <c r="O40" s="106" t="s">
        <v>58</v>
      </c>
      <c r="P40" s="106" t="s">
        <v>59</v>
      </c>
      <c r="Q40" s="106" t="s">
        <v>99</v>
      </c>
      <c r="R40" s="106" t="s">
        <v>100</v>
      </c>
    </row>
    <row r="41" spans="2:18" s="70" customFormat="1">
      <c r="B41" s="72" t="s">
        <v>21</v>
      </c>
      <c r="C41" s="85">
        <f>C8+C30</f>
        <v>2.2951297865398016E-2</v>
      </c>
      <c r="D41" s="85">
        <f t="shared" ref="D41:G41" si="3">D8+D30</f>
        <v>8.5297797608338152E-2</v>
      </c>
      <c r="E41" s="85">
        <f t="shared" si="3"/>
        <v>7.3551845808338151E-2</v>
      </c>
      <c r="F41" s="85">
        <f t="shared" si="3"/>
        <v>1.4502241308338153E-2</v>
      </c>
      <c r="G41" s="85">
        <f t="shared" si="3"/>
        <v>1.7225904756942752E-2</v>
      </c>
      <c r="H41" s="161">
        <f>AVERAGE(C41:F41)</f>
        <v>4.9075795647603115E-2</v>
      </c>
      <c r="I41" s="161">
        <f>AVERAGE($C41:$G41)</f>
        <v>4.2705817469471039E-2</v>
      </c>
      <c r="K41" s="72" t="s">
        <v>21</v>
      </c>
      <c r="L41" s="85">
        <f>L8+L30</f>
        <v>3.0338940827792715</v>
      </c>
      <c r="M41" s="85">
        <f t="shared" ref="M41:P41" si="4">M8+M30</f>
        <v>5.8607678149943521</v>
      </c>
      <c r="N41" s="85">
        <f t="shared" si="4"/>
        <v>4.2091789016943508</v>
      </c>
      <c r="O41" s="85">
        <f t="shared" si="4"/>
        <v>2.5331236820943515</v>
      </c>
      <c r="P41" s="85">
        <f t="shared" si="4"/>
        <v>1.9037964821837012</v>
      </c>
      <c r="Q41" s="161">
        <f>AVERAGE(L41:O41)</f>
        <v>3.9092411203905817</v>
      </c>
      <c r="R41" s="161">
        <f>AVERAGE($L41:P41)</f>
        <v>3.5081521927492054</v>
      </c>
    </row>
    <row r="42" spans="2:18" s="70" customFormat="1">
      <c r="B42" s="72" t="s">
        <v>22</v>
      </c>
      <c r="C42" s="85">
        <f t="shared" ref="C42:G44" si="5">C9+C31</f>
        <v>0.52977818741034621</v>
      </c>
      <c r="D42" s="85">
        <f t="shared" si="5"/>
        <v>0.55145498430833817</v>
      </c>
      <c r="E42" s="85">
        <f t="shared" si="5"/>
        <v>0.56710768020833813</v>
      </c>
      <c r="F42" s="85">
        <f t="shared" si="5"/>
        <v>0.52849996680833811</v>
      </c>
      <c r="G42" s="85">
        <f t="shared" si="5"/>
        <v>0.5824156956570381</v>
      </c>
      <c r="H42" s="161">
        <f t="shared" ref="H42:H44" si="6">AVERAGE(C42:F42)</f>
        <v>0.54421020468384018</v>
      </c>
      <c r="I42" s="161">
        <f t="shared" ref="I42:I44" si="7">AVERAGE($C42:$G42)</f>
        <v>0.55185130287847972</v>
      </c>
      <c r="K42" s="72" t="s">
        <v>22</v>
      </c>
      <c r="L42" s="85">
        <f t="shared" ref="L42:P43" si="8">L9+L31</f>
        <v>52.801450959866145</v>
      </c>
      <c r="M42" s="85">
        <f t="shared" si="8"/>
        <v>50.809764260694351</v>
      </c>
      <c r="N42" s="85">
        <f t="shared" si="8"/>
        <v>58.69870268969435</v>
      </c>
      <c r="O42" s="85">
        <f t="shared" si="8"/>
        <v>55.231486990594348</v>
      </c>
      <c r="P42" s="85">
        <f t="shared" si="8"/>
        <v>61.396333090143351</v>
      </c>
      <c r="Q42" s="161">
        <f t="shared" ref="Q42:Q43" si="9">AVERAGE(L42:O42)</f>
        <v>54.385351225212304</v>
      </c>
      <c r="R42" s="161">
        <f>AVERAGE($L42:P42)</f>
        <v>55.787547598198515</v>
      </c>
    </row>
    <row r="43" spans="2:18" s="70" customFormat="1">
      <c r="B43" s="72" t="s">
        <v>23</v>
      </c>
      <c r="C43" s="85">
        <f t="shared" si="5"/>
        <v>1.1526591413684339</v>
      </c>
      <c r="D43" s="85">
        <f t="shared" si="5"/>
        <v>1.1766460639083383</v>
      </c>
      <c r="E43" s="85">
        <f t="shared" si="5"/>
        <v>1.2714336563083382</v>
      </c>
      <c r="F43" s="85">
        <f t="shared" si="5"/>
        <v>0.94568052480833809</v>
      </c>
      <c r="G43" s="85">
        <f t="shared" si="5"/>
        <v>1.1978007319446382</v>
      </c>
      <c r="H43" s="161">
        <f t="shared" si="6"/>
        <v>1.1366048465983623</v>
      </c>
      <c r="I43" s="161">
        <f t="shared" si="7"/>
        <v>1.1488440236676174</v>
      </c>
      <c r="K43" s="72" t="s">
        <v>23</v>
      </c>
      <c r="L43" s="85">
        <f t="shared" si="8"/>
        <v>123.72478979058073</v>
      </c>
      <c r="M43" s="85">
        <f t="shared" si="8"/>
        <v>129.12544604009437</v>
      </c>
      <c r="N43" s="85">
        <f t="shared" si="8"/>
        <v>153.67133876659437</v>
      </c>
      <c r="O43" s="85">
        <f t="shared" si="8"/>
        <v>109.58873843979435</v>
      </c>
      <c r="P43" s="85">
        <f t="shared" si="8"/>
        <v>142.56814694619436</v>
      </c>
      <c r="Q43" s="161">
        <f t="shared" si="9"/>
        <v>129.02757825926597</v>
      </c>
      <c r="R43" s="161">
        <f>AVERAGE($L43:P43)</f>
        <v>131.73569199665164</v>
      </c>
    </row>
    <row r="44" spans="2:18" s="70" customFormat="1">
      <c r="B44" s="72" t="s">
        <v>103</v>
      </c>
      <c r="C44" s="85">
        <f t="shared" si="5"/>
        <v>0.85400000000000009</v>
      </c>
      <c r="D44" s="85">
        <f t="shared" si="5"/>
        <v>0.88570000000000004</v>
      </c>
      <c r="E44" s="85">
        <f t="shared" si="5"/>
        <v>0.87759967437443065</v>
      </c>
      <c r="F44" s="85">
        <f t="shared" si="5"/>
        <v>0.89700473569076178</v>
      </c>
      <c r="G44" s="85">
        <f t="shared" si="5"/>
        <v>0.85360000000000003</v>
      </c>
      <c r="H44" s="161">
        <f t="shared" si="6"/>
        <v>0.87857610251629814</v>
      </c>
      <c r="I44" s="161">
        <f t="shared" si="7"/>
        <v>0.87358088201303852</v>
      </c>
      <c r="K44" s="72"/>
      <c r="L44" s="85"/>
      <c r="M44" s="85"/>
      <c r="N44" s="85"/>
      <c r="O44" s="85"/>
      <c r="P44" s="85"/>
      <c r="Q44" s="161"/>
      <c r="R44" s="161"/>
    </row>
    <row r="45" spans="2:18" ht="10.5">
      <c r="B45" s="111"/>
      <c r="C45" s="112"/>
      <c r="D45" s="112"/>
      <c r="E45" s="112"/>
      <c r="F45" s="112"/>
      <c r="G45" s="112"/>
      <c r="H45" s="112"/>
      <c r="I45" s="112"/>
      <c r="K45" s="111"/>
      <c r="L45" s="112"/>
      <c r="M45" s="112"/>
      <c r="N45" s="112"/>
      <c r="O45" s="112"/>
      <c r="P45" s="112"/>
      <c r="Q45" s="112"/>
      <c r="R45" s="112"/>
    </row>
    <row r="47" spans="2:18">
      <c r="C47" s="144"/>
      <c r="D47" s="144"/>
      <c r="E47" s="144"/>
      <c r="F47" s="144"/>
      <c r="L47" s="144"/>
      <c r="M47" s="144"/>
      <c r="N47" s="144"/>
      <c r="O47" s="144"/>
    </row>
    <row r="48" spans="2:18">
      <c r="C48" s="144"/>
      <c r="D48" s="144"/>
      <c r="E48" s="144"/>
      <c r="F48" s="144"/>
      <c r="L48" s="144"/>
      <c r="M48" s="144"/>
      <c r="N48" s="144"/>
      <c r="O48" s="144"/>
    </row>
    <row r="49" spans="3:15">
      <c r="C49" s="144"/>
      <c r="D49" s="144"/>
      <c r="E49" s="144"/>
      <c r="F49" s="144"/>
      <c r="M49" s="144"/>
      <c r="N49" s="144"/>
      <c r="O49" s="144"/>
    </row>
    <row r="50" spans="3:15">
      <c r="M50" s="145"/>
      <c r="N50" s="145"/>
      <c r="O50" s="14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24"/>
  <sheetViews>
    <sheetView showGridLines="0" zoomScale="130" zoomScaleNormal="130" workbookViewId="0">
      <selection activeCell="E25" sqref="E25"/>
    </sheetView>
  </sheetViews>
  <sheetFormatPr defaultColWidth="9.26953125" defaultRowHeight="10"/>
  <cols>
    <col min="1" max="1" width="9.26953125" style="93"/>
    <col min="2" max="2" width="71.26953125" style="93" customWidth="1"/>
    <col min="3" max="3" width="13.26953125" style="121" customWidth="1"/>
    <col min="4" max="6" width="18.453125" style="93" customWidth="1"/>
    <col min="7" max="7" width="10.54296875" style="93" customWidth="1"/>
    <col min="8" max="16384" width="9.26953125" style="93"/>
  </cols>
  <sheetData>
    <row r="2" spans="2:6" ht="10.5">
      <c r="B2" s="69" t="s">
        <v>110</v>
      </c>
      <c r="C2" s="135"/>
      <c r="D2" s="136"/>
      <c r="E2" s="136"/>
      <c r="F2" s="136"/>
    </row>
    <row r="4" spans="2:6" ht="10.5">
      <c r="B4" s="105" t="s">
        <v>111</v>
      </c>
      <c r="C4" s="107"/>
      <c r="D4" s="107" t="s">
        <v>21</v>
      </c>
      <c r="E4" s="107" t="s">
        <v>22</v>
      </c>
      <c r="F4" s="107" t="s">
        <v>23</v>
      </c>
    </row>
    <row r="5" spans="2:6" s="70" customFormat="1" ht="13">
      <c r="B5" s="117" t="s">
        <v>112</v>
      </c>
      <c r="C5" s="119" t="s">
        <v>113</v>
      </c>
      <c r="D5" s="137">
        <f>'STPIS inputs'!D9</f>
        <v>44520</v>
      </c>
      <c r="E5" s="137">
        <f>'STPIS inputs'!E9</f>
        <v>40030</v>
      </c>
      <c r="F5" s="137">
        <f>'STPIS inputs'!F9</f>
        <v>40030</v>
      </c>
    </row>
    <row r="6" spans="2:6" s="70" customFormat="1" ht="13">
      <c r="B6" s="117" t="s">
        <v>114</v>
      </c>
      <c r="C6" s="119" t="s">
        <v>115</v>
      </c>
      <c r="D6" s="137">
        <f>'STPIS inputs'!D7</f>
        <v>637261.64322633052</v>
      </c>
      <c r="E6" s="137">
        <f>'STPIS inputs'!E7</f>
        <v>14992840.629560366</v>
      </c>
      <c r="F6" s="137">
        <f>'STPIS inputs'!F7</f>
        <v>5935297.7272133045</v>
      </c>
    </row>
    <row r="7" spans="2:6" s="70" customFormat="1">
      <c r="B7" s="117" t="s">
        <v>116</v>
      </c>
      <c r="C7" s="119" t="s">
        <v>117</v>
      </c>
      <c r="D7" s="133">
        <f>'STPIS inputs'!$C$4</f>
        <v>1630227055.3844104</v>
      </c>
      <c r="E7" s="133">
        <f>'STPIS inputs'!$C$4</f>
        <v>1630227055.3844104</v>
      </c>
      <c r="F7" s="133">
        <f>'STPIS inputs'!$C$4</f>
        <v>1630227055.3844104</v>
      </c>
    </row>
    <row r="8" spans="2:6" s="70" customFormat="1" ht="13">
      <c r="B8" s="117" t="s">
        <v>118</v>
      </c>
      <c r="C8" s="119" t="s">
        <v>119</v>
      </c>
      <c r="D8" s="138">
        <f>+'Annual performance and targets'!I41</f>
        <v>4.2705817469471039E-2</v>
      </c>
      <c r="E8" s="138">
        <f>+'Annual performance and targets'!I42</f>
        <v>0.55185130287847972</v>
      </c>
      <c r="F8" s="138">
        <f>+'Annual performance and targets'!I43</f>
        <v>1.1488440236676174</v>
      </c>
    </row>
    <row r="9" spans="2:6" s="70" customFormat="1" ht="13">
      <c r="B9" s="117" t="s">
        <v>120</v>
      </c>
      <c r="C9" s="119" t="s">
        <v>121</v>
      </c>
      <c r="D9" s="138">
        <f>+'Annual performance and targets'!R41</f>
        <v>3.5081521927492054</v>
      </c>
      <c r="E9" s="138">
        <f>+'Annual performance and targets'!R42</f>
        <v>55.787547598198515</v>
      </c>
      <c r="F9" s="138">
        <f>+'Annual performance and targets'!R43</f>
        <v>131.73569199665164</v>
      </c>
    </row>
    <row r="10" spans="2:6" s="70" customFormat="1" ht="13">
      <c r="B10" s="117" t="s">
        <v>122</v>
      </c>
      <c r="C10" s="119" t="s">
        <v>123</v>
      </c>
      <c r="D10" s="119">
        <v>1.5</v>
      </c>
      <c r="E10" s="119">
        <v>1.5</v>
      </c>
      <c r="F10" s="119">
        <v>1.5</v>
      </c>
    </row>
    <row r="11" spans="2:6" s="70" customFormat="1">
      <c r="B11" s="117" t="s">
        <v>124</v>
      </c>
      <c r="C11" s="119" t="s">
        <v>50</v>
      </c>
      <c r="D11" s="126">
        <f>'STPIS inputs'!$C$11</f>
        <v>0.25303292894280749</v>
      </c>
      <c r="E11" s="126">
        <f>'STPIS inputs'!$C$11</f>
        <v>0.25303292894280749</v>
      </c>
      <c r="F11" s="126">
        <f>'STPIS inputs'!$C$11</f>
        <v>0.25303292894280749</v>
      </c>
    </row>
    <row r="12" spans="2:6" s="70" customFormat="1">
      <c r="B12" s="117" t="s">
        <v>125</v>
      </c>
      <c r="C12" s="119"/>
      <c r="D12" s="173">
        <f t="shared" ref="D12:F12" si="0">((D5*(1+D11)*(1-(1/(1+D10)))*D6)/D7)/(365.25*24*60)*100</f>
        <v>2.4876304038097263E-3</v>
      </c>
      <c r="E12" s="173">
        <f t="shared" si="0"/>
        <v>5.2623827925702325E-2</v>
      </c>
      <c r="F12" s="173">
        <f t="shared" si="0"/>
        <v>2.0832482249485744E-2</v>
      </c>
    </row>
    <row r="13" spans="2:6" s="70" customFormat="1">
      <c r="B13" s="117" t="s">
        <v>126</v>
      </c>
      <c r="C13" s="119"/>
      <c r="D13" s="173">
        <f t="shared" ref="D13:F13" si="1">((((((D5*(1+D11))/(1+D10))*D6))/D7)/(365.25*24*60))*(D9/D8)*100</f>
        <v>0.13623414908461925</v>
      </c>
      <c r="E13" s="173">
        <f t="shared" si="1"/>
        <v>3.5465523531326983</v>
      </c>
      <c r="F13" s="173">
        <f t="shared" si="1"/>
        <v>1.5925465996580284</v>
      </c>
    </row>
    <row r="16" spans="2:6">
      <c r="C16" s="139"/>
    </row>
    <row r="17" spans="2:3">
      <c r="C17" s="139"/>
    </row>
    <row r="19" spans="2:3">
      <c r="B19" s="140"/>
    </row>
    <row r="20" spans="2:3">
      <c r="B20" s="140"/>
    </row>
    <row r="22" spans="2:3">
      <c r="B22" s="141"/>
    </row>
    <row r="23" spans="2:3">
      <c r="B23" s="140"/>
    </row>
    <row r="24" spans="2:3">
      <c r="B24" s="14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zoomScale="115" zoomScaleNormal="115" workbookViewId="0">
      <selection activeCell="J19" sqref="J19"/>
    </sheetView>
  </sheetViews>
  <sheetFormatPr defaultColWidth="9.26953125" defaultRowHeight="14"/>
  <cols>
    <col min="1" max="2" width="9.26953125" style="66"/>
    <col min="3" max="3" width="17" style="66" bestFit="1" customWidth="1"/>
    <col min="4" max="16384" width="9.26953125" style="66"/>
  </cols>
  <sheetData>
    <row r="1" spans="1:34" s="65" customFormat="1">
      <c r="A1" s="62"/>
      <c r="B1" s="29" t="s">
        <v>127</v>
      </c>
      <c r="C1" s="62"/>
      <c r="D1" s="62"/>
      <c r="E1" s="62"/>
      <c r="F1" s="62"/>
      <c r="G1" s="62"/>
      <c r="H1" s="62"/>
      <c r="I1" s="62"/>
      <c r="J1" s="30"/>
      <c r="K1" s="30"/>
      <c r="L1" s="30"/>
      <c r="M1" s="30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3"/>
      <c r="AC1" s="63"/>
      <c r="AD1" s="63"/>
      <c r="AE1" s="63"/>
      <c r="AF1" s="63"/>
      <c r="AG1" s="64"/>
      <c r="AH1" s="64"/>
    </row>
    <row r="2" spans="1:34" s="31" customFormat="1">
      <c r="B2" s="32"/>
      <c r="C2" s="33"/>
      <c r="D2" s="33"/>
      <c r="E2" s="33"/>
      <c r="F2" s="34"/>
      <c r="G2" s="35"/>
      <c r="H2" s="3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34" s="31" customFormat="1" ht="10.5">
      <c r="B3" s="37" t="s">
        <v>128</v>
      </c>
      <c r="C3" s="38" t="s">
        <v>129</v>
      </c>
      <c r="D3" s="38" t="s">
        <v>130</v>
      </c>
      <c r="E3" s="39"/>
      <c r="F3" s="40"/>
      <c r="G3" s="41"/>
      <c r="H3" s="36"/>
    </row>
    <row r="4" spans="1:34" s="31" customFormat="1" ht="10">
      <c r="B4" s="32"/>
      <c r="D4" s="31" t="s">
        <v>131</v>
      </c>
      <c r="E4" s="33"/>
      <c r="F4" s="34"/>
      <c r="G4" s="35"/>
      <c r="H4" s="36"/>
    </row>
    <row r="5" spans="1:34" s="31" customFormat="1" ht="10">
      <c r="B5" s="61">
        <v>45168</v>
      </c>
      <c r="C5" s="42" t="s">
        <v>132</v>
      </c>
      <c r="D5" s="31" t="s">
        <v>133</v>
      </c>
      <c r="E5" s="33"/>
      <c r="F5" s="34"/>
      <c r="G5" s="35"/>
      <c r="H5" s="36"/>
    </row>
    <row r="6" spans="1:34">
      <c r="B6" s="61">
        <v>45168</v>
      </c>
      <c r="C6" s="42" t="s">
        <v>134</v>
      </c>
      <c r="D6" s="31" t="s">
        <v>135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6314a3-02c5-49ae-9e9b-4170ca21d125" xsi:nil="true"/>
    <_ip_UnifiedCompliancePolicyUIAction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72E08-CC30-4362-88AA-B9EC68F20FF4}">
  <ds:schemaRefs>
    <ds:schemaRef ds:uri="http://schemas.microsoft.com/office/2006/metadata/properties"/>
    <ds:schemaRef ds:uri="http://schemas.microsoft.com/office/infopath/2007/PartnerControls"/>
    <ds:schemaRef ds:uri="2b6314a3-02c5-49ae-9e9b-4170ca21d125"/>
    <ds:schemaRef ds:uri="http://schemas.microsoft.com/sharepoint/v3"/>
    <ds:schemaRef ds:uri="db304e25-41f7-439f-a0b4-57d6fe7814bb"/>
  </ds:schemaRefs>
</ds:datastoreItem>
</file>

<file path=customXml/itemProps2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BDD0FD-9484-49DC-9888-D479CEC94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Output | Decision tables</vt:lpstr>
      <vt:lpstr>STPIS inputs</vt:lpstr>
      <vt:lpstr>Cap adjustment</vt:lpstr>
      <vt:lpstr>Annual performance and targets</vt:lpstr>
      <vt:lpstr>Incentive rates calc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2021-10-04T03:52:19Z</dcterms:created>
  <dcterms:modified xsi:type="dcterms:W3CDTF">2024-11-18T00:42:54Z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  <property fmtid="{D5CDD505-2E9C-101B-9397-08002B2CF9AE}" pid="20" name="MSIP_Label_d9d5a995-dfdf-4407-9a97-edbbc68c9f53_Enabled">
    <vt:lpwstr>true</vt:lpwstr>
  </property>
  <property fmtid="{D5CDD505-2E9C-101B-9397-08002B2CF9AE}" pid="21" name="MSIP_Label_d9d5a995-dfdf-4407-9a97-edbbc68c9f53_SetDate">
    <vt:lpwstr>2024-06-25T23:38:38Z</vt:lpwstr>
  </property>
  <property fmtid="{D5CDD505-2E9C-101B-9397-08002B2CF9AE}" pid="22" name="MSIP_Label_d9d5a995-dfdf-4407-9a97-edbbc68c9f53_Method">
    <vt:lpwstr>Privileged</vt:lpwstr>
  </property>
  <property fmtid="{D5CDD505-2E9C-101B-9397-08002B2CF9AE}" pid="23" name="MSIP_Label_d9d5a995-dfdf-4407-9a97-edbbc68c9f53_Name">
    <vt:lpwstr>OFFICIAL</vt:lpwstr>
  </property>
  <property fmtid="{D5CDD505-2E9C-101B-9397-08002B2CF9AE}" pid="24" name="MSIP_Label_d9d5a995-dfdf-4407-9a97-edbbc68c9f53_SiteId">
    <vt:lpwstr>b33e9e1a-e443-4edd-9789-24bed26d38d6</vt:lpwstr>
  </property>
  <property fmtid="{D5CDD505-2E9C-101B-9397-08002B2CF9AE}" pid="25" name="MSIP_Label_d9d5a995-dfdf-4407-9a97-edbbc68c9f53_ActionId">
    <vt:lpwstr>191e0bff-8823-4239-aab0-3c23069629cb</vt:lpwstr>
  </property>
  <property fmtid="{D5CDD505-2E9C-101B-9397-08002B2CF9AE}" pid="26" name="MSIP_Label_d9d5a995-dfdf-4407-9a97-edbbc68c9f53_ContentBits">
    <vt:lpwstr>0</vt:lpwstr>
  </property>
  <property fmtid="{D5CDD505-2E9C-101B-9397-08002B2CF9AE}" pid="27" name="MediaServiceImageTags">
    <vt:lpwstr/>
  </property>
</Properties>
</file>