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amscloud.sharepoint.com/sites/DirectlinkReset/Shared Documents/18. Revised Proposal/3. Final Revised Proposal Documents/Models/"/>
    </mc:Choice>
  </mc:AlternateContent>
  <xr:revisionPtr revIDLastSave="19" documentId="8_{F198845D-BF51-40B4-92A1-689741ED9F8C}" xr6:coauthVersionLast="47" xr6:coauthVersionMax="47" xr10:uidLastSave="{13ECA89B-3C35-4014-846B-47F89121FB47}"/>
  <bookViews>
    <workbookView xWindow="-120" yWindow="-120" windowWidth="29040" windowHeight="15840" firstSheet="3" activeTab="3" xr2:uid="{8E70250E-8DA7-4CAA-AC3F-193CD80CE500}"/>
  </bookViews>
  <sheets>
    <sheet name="Cover sheet" sheetId="13" r:id="rId1"/>
    <sheet name=" 1.0 Asset Data" sheetId="1" r:id="rId2"/>
    <sheet name="1.1 Other Data" sheetId="4" r:id="rId3"/>
    <sheet name="1.2 Sorting" sheetId="5" r:id="rId4"/>
    <sheet name="2.0 Stable Failure Rate" sheetId="2" r:id="rId5"/>
    <sheet name="3.1 Mean Time to failure Orig" sheetId="7" r:id="rId6"/>
    <sheet name="3.2 Mean Time to failure Repl" sheetId="9" r:id="rId7"/>
    <sheet name="3.0 Lead Time" sheetId="3" r:id="rId8"/>
    <sheet name="4.0 Summary" sheetId="12" r:id="rId9"/>
  </sheets>
  <definedNames>
    <definedName name="_xlnm._FilterDatabase" localSheetId="1" hidden="1">' 1.0 Asset Data'!$A$7:$P$76</definedName>
    <definedName name="AssetAge">'1.1 Other Data'!$B$31</definedName>
    <definedName name="BasslinkAge">'1.1 Other Data'!$B$31</definedName>
    <definedName name="CalcDate">'1.1 Other Data'!$B$30</definedName>
    <definedName name="CritMin">'1.1 Other Data'!$B$46</definedName>
    <definedName name="EndofLife">'3.1 Mean Time to failure Orig'!$AD$6</definedName>
    <definedName name="FailureThreshold">'1.1 Other Data'!$B$49</definedName>
    <definedName name="FromArray_1">_xlfn.ANCHORARRAY(' 1.0 Asset Data'!$D$34)</definedName>
    <definedName name="NominalWACC">'1.1 Other Data'!$B$12</definedName>
    <definedName name="OriginalDate">'3.1 Mean Time to failure Orig'!$F$4</definedName>
    <definedName name="Range">'1.1 Other Data'!$B$52</definedName>
    <definedName name="RemaingLife">'1.1 Other Data'!$B$39</definedName>
    <definedName name="Today">'3.1 Mean Time to failure Orig'!$W$6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5" l="1"/>
  <c r="B9" i="5" s="1"/>
  <c r="A10" i="5"/>
  <c r="B10" i="5" s="1"/>
  <c r="E10" i="5" s="1"/>
  <c r="A11" i="5"/>
  <c r="B11" i="5" s="1"/>
  <c r="F11" i="5"/>
  <c r="A12" i="5"/>
  <c r="B12" i="5"/>
  <c r="D12" i="5" s="1"/>
  <c r="C12" i="5"/>
  <c r="A13" i="5"/>
  <c r="B13" i="5"/>
  <c r="E13" i="5" s="1"/>
  <c r="C13" i="5"/>
  <c r="D13" i="5"/>
  <c r="A14" i="5"/>
  <c r="B14" i="5" s="1"/>
  <c r="A15" i="5"/>
  <c r="B15" i="5"/>
  <c r="F15" i="5"/>
  <c r="A16" i="5"/>
  <c r="B16" i="5" s="1"/>
  <c r="A17" i="5"/>
  <c r="B17" i="5"/>
  <c r="C17" i="5"/>
  <c r="D17" i="5"/>
  <c r="E17" i="5"/>
  <c r="F17" i="5"/>
  <c r="A18" i="5"/>
  <c r="B18" i="5"/>
  <c r="F18" i="5" s="1"/>
  <c r="C18" i="5"/>
  <c r="D18" i="5"/>
  <c r="E18" i="5"/>
  <c r="A19" i="5"/>
  <c r="B19" i="5"/>
  <c r="A20" i="5"/>
  <c r="B20" i="5"/>
  <c r="D20" i="5" s="1"/>
  <c r="C20" i="5"/>
  <c r="A21" i="5"/>
  <c r="B21" i="5"/>
  <c r="C21" i="5" s="1"/>
  <c r="A22" i="5"/>
  <c r="B22" i="5" s="1"/>
  <c r="A23" i="5"/>
  <c r="B23" i="5" s="1"/>
  <c r="F23" i="5"/>
  <c r="A24" i="5"/>
  <c r="B24" i="5"/>
  <c r="D24" i="5" s="1"/>
  <c r="C24" i="5"/>
  <c r="A25" i="5"/>
  <c r="B25" i="5"/>
  <c r="E25" i="5" s="1"/>
  <c r="C25" i="5"/>
  <c r="D25" i="5"/>
  <c r="A26" i="5"/>
  <c r="B26" i="5" s="1"/>
  <c r="A27" i="5"/>
  <c r="B27" i="5"/>
  <c r="F27" i="5"/>
  <c r="A28" i="5"/>
  <c r="B28" i="5" s="1"/>
  <c r="A29" i="5"/>
  <c r="B29" i="5"/>
  <c r="C29" i="5"/>
  <c r="D29" i="5"/>
  <c r="E29" i="5"/>
  <c r="F29" i="5"/>
  <c r="A30" i="5"/>
  <c r="B30" i="5"/>
  <c r="F30" i="5" s="1"/>
  <c r="C30" i="5"/>
  <c r="D30" i="5"/>
  <c r="E30" i="5"/>
  <c r="A31" i="5"/>
  <c r="B31" i="5"/>
  <c r="A32" i="5"/>
  <c r="B32" i="5"/>
  <c r="D32" i="5" s="1"/>
  <c r="C32" i="5"/>
  <c r="A33" i="5"/>
  <c r="B33" i="5"/>
  <c r="C33" i="5" s="1"/>
  <c r="A34" i="5"/>
  <c r="B34" i="5" s="1"/>
  <c r="E34" i="5" s="1"/>
  <c r="A35" i="5"/>
  <c r="B35" i="5" s="1"/>
  <c r="F35" i="5"/>
  <c r="A36" i="5"/>
  <c r="B36" i="5"/>
  <c r="D36" i="5" s="1"/>
  <c r="C36" i="5"/>
  <c r="A37" i="5"/>
  <c r="B37" i="5"/>
  <c r="E37" i="5" s="1"/>
  <c r="C37" i="5"/>
  <c r="D37" i="5"/>
  <c r="A38" i="5"/>
  <c r="B38" i="5" s="1"/>
  <c r="A39" i="5"/>
  <c r="B39" i="5"/>
  <c r="F39" i="5"/>
  <c r="A40" i="5"/>
  <c r="B40" i="5" s="1"/>
  <c r="A41" i="5"/>
  <c r="B41" i="5"/>
  <c r="C41" i="5"/>
  <c r="D41" i="5"/>
  <c r="E41" i="5"/>
  <c r="F41" i="5"/>
  <c r="A42" i="5"/>
  <c r="B42" i="5"/>
  <c r="F42" i="5" s="1"/>
  <c r="C42" i="5"/>
  <c r="D42" i="5"/>
  <c r="E42" i="5"/>
  <c r="A43" i="5"/>
  <c r="B43" i="5"/>
  <c r="A44" i="5"/>
  <c r="B44" i="5"/>
  <c r="D44" i="5" s="1"/>
  <c r="C44" i="5"/>
  <c r="A45" i="5"/>
  <c r="B45" i="5"/>
  <c r="C45" i="5" s="1"/>
  <c r="A46" i="5"/>
  <c r="B46" i="5" s="1"/>
  <c r="E46" i="5"/>
  <c r="A47" i="5"/>
  <c r="B47" i="5" s="1"/>
  <c r="F47" i="5"/>
  <c r="A48" i="5"/>
  <c r="B48" i="5"/>
  <c r="D48" i="5" s="1"/>
  <c r="C48" i="5"/>
  <c r="E48" i="5"/>
  <c r="A49" i="5"/>
  <c r="B49" i="5"/>
  <c r="E49" i="5" s="1"/>
  <c r="C49" i="5"/>
  <c r="D49" i="5"/>
  <c r="A50" i="5"/>
  <c r="B50" i="5" s="1"/>
  <c r="A51" i="5"/>
  <c r="B51" i="5"/>
  <c r="E51" i="5"/>
  <c r="F51" i="5"/>
  <c r="A52" i="5"/>
  <c r="B52" i="5" s="1"/>
  <c r="A53" i="5"/>
  <c r="B53" i="5"/>
  <c r="C53" i="5"/>
  <c r="D53" i="5"/>
  <c r="E53" i="5"/>
  <c r="F53" i="5"/>
  <c r="A54" i="5"/>
  <c r="B54" i="5"/>
  <c r="F54" i="5" s="1"/>
  <c r="C54" i="5"/>
  <c r="D54" i="5"/>
  <c r="E54" i="5"/>
  <c r="A55" i="5"/>
  <c r="B55" i="5"/>
  <c r="D55" i="5" s="1"/>
  <c r="A56" i="5"/>
  <c r="B56" i="5"/>
  <c r="D56" i="5" s="1"/>
  <c r="C56" i="5"/>
  <c r="F56" i="5"/>
  <c r="A57" i="5"/>
  <c r="B57" i="5"/>
  <c r="A58" i="5"/>
  <c r="B58" i="5" s="1"/>
  <c r="D58" i="5"/>
  <c r="E58" i="5"/>
  <c r="A59" i="5"/>
  <c r="B59" i="5" s="1"/>
  <c r="E59" i="5"/>
  <c r="F59" i="5"/>
  <c r="A60" i="5"/>
  <c r="B60" i="5"/>
  <c r="C60" i="5"/>
  <c r="E60" i="5"/>
  <c r="A61" i="5"/>
  <c r="B61" i="5"/>
  <c r="E61" i="5" s="1"/>
  <c r="C61" i="5"/>
  <c r="D61" i="5"/>
  <c r="A62" i="5"/>
  <c r="B62" i="5" s="1"/>
  <c r="C62" i="5"/>
  <c r="A63" i="5"/>
  <c r="B63" i="5"/>
  <c r="E63" i="5"/>
  <c r="F63" i="5"/>
  <c r="A64" i="5"/>
  <c r="B64" i="5" s="1"/>
  <c r="F64" i="5"/>
  <c r="A65" i="5"/>
  <c r="B65" i="5"/>
  <c r="C65" i="5"/>
  <c r="D65" i="5"/>
  <c r="E65" i="5"/>
  <c r="F65" i="5"/>
  <c r="A66" i="5"/>
  <c r="B66" i="5"/>
  <c r="F66" i="5" s="1"/>
  <c r="C66" i="5"/>
  <c r="D66" i="5"/>
  <c r="E66" i="5"/>
  <c r="A67" i="5"/>
  <c r="B67" i="5"/>
  <c r="D67" i="5"/>
  <c r="A68" i="5"/>
  <c r="B68" i="5"/>
  <c r="C68" i="5"/>
  <c r="F68" i="5"/>
  <c r="A69" i="5"/>
  <c r="B69" i="5"/>
  <c r="A70" i="5"/>
  <c r="B70" i="5" s="1"/>
  <c r="D70" i="5"/>
  <c r="E70" i="5"/>
  <c r="A71" i="5"/>
  <c r="B71" i="5" s="1"/>
  <c r="E71" i="5"/>
  <c r="F71" i="5"/>
  <c r="A72" i="5"/>
  <c r="B72" i="5"/>
  <c r="C72" i="5"/>
  <c r="E72" i="5"/>
  <c r="A73" i="5"/>
  <c r="B73" i="5"/>
  <c r="E73" i="5" s="1"/>
  <c r="C73" i="5"/>
  <c r="D73" i="5"/>
  <c r="A74" i="5"/>
  <c r="B74" i="5" s="1"/>
  <c r="C74" i="5"/>
  <c r="A75" i="5"/>
  <c r="B75" i="5"/>
  <c r="E75" i="5"/>
  <c r="F75" i="5"/>
  <c r="A76" i="5"/>
  <c r="B76" i="5" s="1"/>
  <c r="F76" i="5"/>
  <c r="A77" i="5"/>
  <c r="B77" i="5"/>
  <c r="C77" i="5"/>
  <c r="G77" i="5" s="1"/>
  <c r="D77" i="5"/>
  <c r="E77" i="5"/>
  <c r="F77" i="5"/>
  <c r="A78" i="5"/>
  <c r="B78" i="5"/>
  <c r="F78" i="5" s="1"/>
  <c r="C78" i="5"/>
  <c r="D78" i="5"/>
  <c r="E78" i="5"/>
  <c r="A79" i="5"/>
  <c r="B79" i="5"/>
  <c r="D79" i="5"/>
  <c r="A80" i="5"/>
  <c r="B80" i="5"/>
  <c r="C80" i="5"/>
  <c r="F80" i="5"/>
  <c r="A81" i="5"/>
  <c r="B81" i="5"/>
  <c r="A82" i="5"/>
  <c r="B82" i="5" s="1"/>
  <c r="D82" i="5"/>
  <c r="E82" i="5"/>
  <c r="A83" i="5"/>
  <c r="B83" i="5" s="1"/>
  <c r="E83" i="5" s="1"/>
  <c r="A84" i="5"/>
  <c r="B84" i="5"/>
  <c r="C84" i="5"/>
  <c r="E84" i="5"/>
  <c r="A85" i="5"/>
  <c r="B85" i="5"/>
  <c r="E85" i="5" s="1"/>
  <c r="C85" i="5"/>
  <c r="D85" i="5"/>
  <c r="A86" i="5"/>
  <c r="B86" i="5" s="1"/>
  <c r="C86" i="5" s="1"/>
  <c r="G86" i="5" l="1"/>
  <c r="G41" i="5"/>
  <c r="C79" i="5"/>
  <c r="E79" i="5"/>
  <c r="F79" i="5"/>
  <c r="G24" i="5"/>
  <c r="C57" i="5"/>
  <c r="D57" i="5"/>
  <c r="E57" i="5"/>
  <c r="F57" i="5"/>
  <c r="G60" i="5"/>
  <c r="C28" i="5"/>
  <c r="F28" i="5"/>
  <c r="D28" i="5"/>
  <c r="E28" i="5"/>
  <c r="C63" i="5"/>
  <c r="D63" i="5"/>
  <c r="D50" i="5"/>
  <c r="E50" i="5"/>
  <c r="F50" i="5"/>
  <c r="G17" i="5"/>
  <c r="C76" i="5"/>
  <c r="G76" i="5" s="1"/>
  <c r="D76" i="5"/>
  <c r="E76" i="5"/>
  <c r="G66" i="5"/>
  <c r="C81" i="5"/>
  <c r="D81" i="5"/>
  <c r="E81" i="5"/>
  <c r="F81" i="5"/>
  <c r="D72" i="5"/>
  <c r="F72" i="5"/>
  <c r="G72" i="5" s="1"/>
  <c r="C75" i="5"/>
  <c r="D75" i="5"/>
  <c r="F46" i="5"/>
  <c r="C46" i="5"/>
  <c r="D46" i="5"/>
  <c r="F22" i="5"/>
  <c r="C22" i="5"/>
  <c r="D22" i="5"/>
  <c r="G49" i="5"/>
  <c r="C38" i="5"/>
  <c r="D38" i="5"/>
  <c r="E38" i="5"/>
  <c r="F38" i="5"/>
  <c r="C26" i="5"/>
  <c r="D26" i="5"/>
  <c r="E26" i="5"/>
  <c r="F26" i="5"/>
  <c r="C14" i="5"/>
  <c r="D14" i="5"/>
  <c r="E14" i="5"/>
  <c r="F14" i="5"/>
  <c r="C9" i="5"/>
  <c r="D9" i="5"/>
  <c r="E9" i="5"/>
  <c r="F9" i="5"/>
  <c r="F83" i="5"/>
  <c r="D68" i="5"/>
  <c r="E68" i="5"/>
  <c r="D62" i="5"/>
  <c r="G62" i="5" s="1"/>
  <c r="E62" i="5"/>
  <c r="F62" i="5"/>
  <c r="C59" i="5"/>
  <c r="D59" i="5"/>
  <c r="G53" i="5"/>
  <c r="D80" i="5"/>
  <c r="G80" i="5" s="1"/>
  <c r="E80" i="5"/>
  <c r="D74" i="5"/>
  <c r="E74" i="5"/>
  <c r="G74" i="5" s="1"/>
  <c r="F74" i="5"/>
  <c r="D71" i="5"/>
  <c r="C71" i="5"/>
  <c r="G71" i="5" s="1"/>
  <c r="G65" i="5"/>
  <c r="G25" i="5"/>
  <c r="C52" i="5"/>
  <c r="D52" i="5"/>
  <c r="E52" i="5"/>
  <c r="F52" i="5"/>
  <c r="D83" i="5"/>
  <c r="C83" i="5"/>
  <c r="G83" i="5" s="1"/>
  <c r="F82" i="5"/>
  <c r="C82" i="5"/>
  <c r="G82" i="5" s="1"/>
  <c r="C51" i="5"/>
  <c r="G51" i="5" s="1"/>
  <c r="D51" i="5"/>
  <c r="G78" i="5"/>
  <c r="C47" i="5"/>
  <c r="D47" i="5"/>
  <c r="E47" i="5"/>
  <c r="D35" i="5"/>
  <c r="C35" i="5"/>
  <c r="E35" i="5"/>
  <c r="C23" i="5"/>
  <c r="D23" i="5"/>
  <c r="E23" i="5"/>
  <c r="C11" i="5"/>
  <c r="G11" i="5" s="1"/>
  <c r="D11" i="5"/>
  <c r="E11" i="5"/>
  <c r="C19" i="5"/>
  <c r="D19" i="5"/>
  <c r="E19" i="5"/>
  <c r="F19" i="5"/>
  <c r="G54" i="5"/>
  <c r="C16" i="5"/>
  <c r="D16" i="5"/>
  <c r="F16" i="5"/>
  <c r="E16" i="5"/>
  <c r="C50" i="5"/>
  <c r="G42" i="5"/>
  <c r="C39" i="5"/>
  <c r="D39" i="5"/>
  <c r="E39" i="5"/>
  <c r="G30" i="5"/>
  <c r="C27" i="5"/>
  <c r="D27" i="5"/>
  <c r="E27" i="5"/>
  <c r="E22" i="5"/>
  <c r="G18" i="5"/>
  <c r="C15" i="5"/>
  <c r="D15" i="5"/>
  <c r="E15" i="5"/>
  <c r="C55" i="5"/>
  <c r="E55" i="5"/>
  <c r="F55" i="5"/>
  <c r="G29" i="5"/>
  <c r="F58" i="5"/>
  <c r="C58" i="5"/>
  <c r="G58" i="5" s="1"/>
  <c r="C43" i="5"/>
  <c r="D43" i="5"/>
  <c r="E43" i="5"/>
  <c r="F43" i="5"/>
  <c r="D84" i="5"/>
  <c r="F84" i="5"/>
  <c r="G84" i="5" s="1"/>
  <c r="F10" i="5"/>
  <c r="C10" i="5"/>
  <c r="G10" i="5" s="1"/>
  <c r="D10" i="5"/>
  <c r="D86" i="5"/>
  <c r="E86" i="5"/>
  <c r="F86" i="5"/>
  <c r="C67" i="5"/>
  <c r="E67" i="5"/>
  <c r="F67" i="5"/>
  <c r="F70" i="5"/>
  <c r="C70" i="5"/>
  <c r="G70" i="5" s="1"/>
  <c r="C31" i="5"/>
  <c r="D31" i="5"/>
  <c r="E31" i="5"/>
  <c r="F31" i="5"/>
  <c r="C64" i="5"/>
  <c r="D64" i="5"/>
  <c r="E64" i="5"/>
  <c r="C69" i="5"/>
  <c r="D69" i="5"/>
  <c r="F69" i="5"/>
  <c r="E69" i="5"/>
  <c r="C40" i="5"/>
  <c r="E40" i="5"/>
  <c r="D40" i="5"/>
  <c r="F40" i="5"/>
  <c r="D60" i="5"/>
  <c r="F60" i="5"/>
  <c r="F34" i="5"/>
  <c r="C34" i="5"/>
  <c r="D34" i="5"/>
  <c r="F44" i="5"/>
  <c r="F32" i="5"/>
  <c r="F20" i="5"/>
  <c r="G20" i="5" s="1"/>
  <c r="F85" i="5"/>
  <c r="G85" i="5" s="1"/>
  <c r="F73" i="5"/>
  <c r="G73" i="5" s="1"/>
  <c r="F61" i="5"/>
  <c r="G61" i="5" s="1"/>
  <c r="E56" i="5"/>
  <c r="G56" i="5" s="1"/>
  <c r="F49" i="5"/>
  <c r="E44" i="5"/>
  <c r="G44" i="5" s="1"/>
  <c r="F37" i="5"/>
  <c r="G37" i="5" s="1"/>
  <c r="E32" i="5"/>
  <c r="G32" i="5" s="1"/>
  <c r="F25" i="5"/>
  <c r="E20" i="5"/>
  <c r="F13" i="5"/>
  <c r="G13" i="5" s="1"/>
  <c r="F45" i="5"/>
  <c r="F33" i="5"/>
  <c r="G33" i="5" s="1"/>
  <c r="F21" i="5"/>
  <c r="E33" i="5"/>
  <c r="E21" i="5"/>
  <c r="E45" i="5"/>
  <c r="D45" i="5"/>
  <c r="G45" i="5" s="1"/>
  <c r="D33" i="5"/>
  <c r="D21" i="5"/>
  <c r="G21" i="5" s="1"/>
  <c r="F48" i="5"/>
  <c r="G48" i="5" s="1"/>
  <c r="F36" i="5"/>
  <c r="F24" i="5"/>
  <c r="F12" i="5"/>
  <c r="G12" i="5" s="1"/>
  <c r="E36" i="5"/>
  <c r="G36" i="5" s="1"/>
  <c r="E24" i="5"/>
  <c r="E12" i="5"/>
  <c r="E20" i="1"/>
  <c r="A73" i="1"/>
  <c r="A72" i="1"/>
  <c r="A71" i="1"/>
  <c r="K71" i="1" s="1"/>
  <c r="A70" i="1"/>
  <c r="O70" i="1" s="1"/>
  <c r="A69" i="1"/>
  <c r="A68" i="1"/>
  <c r="A67" i="1"/>
  <c r="A66" i="1"/>
  <c r="O66" i="1" s="1"/>
  <c r="A65" i="1"/>
  <c r="O65" i="1" s="1"/>
  <c r="A64" i="1"/>
  <c r="O64" i="1" s="1"/>
  <c r="A63" i="1"/>
  <c r="K63" i="1" s="1"/>
  <c r="A62" i="1"/>
  <c r="K62" i="1" s="1"/>
  <c r="A61" i="1"/>
  <c r="A60" i="1"/>
  <c r="O60" i="1" s="1"/>
  <c r="A59" i="1"/>
  <c r="O59" i="1" s="1"/>
  <c r="A58" i="1"/>
  <c r="K58" i="1" s="1"/>
  <c r="A57" i="1"/>
  <c r="A56" i="1"/>
  <c r="A55" i="1"/>
  <c r="A54" i="1"/>
  <c r="O54" i="1" s="1"/>
  <c r="A53" i="1"/>
  <c r="O53" i="1" s="1"/>
  <c r="A52" i="1"/>
  <c r="K52" i="1" s="1"/>
  <c r="A51" i="1"/>
  <c r="O51" i="1" s="1"/>
  <c r="A50" i="1"/>
  <c r="O50" i="1" s="1"/>
  <c r="A49" i="1"/>
  <c r="A48" i="1"/>
  <c r="K48" i="1" s="1"/>
  <c r="A47" i="1"/>
  <c r="O47" i="1" s="1"/>
  <c r="A46" i="1"/>
  <c r="O46" i="1" s="1"/>
  <c r="A45" i="1"/>
  <c r="A44" i="1"/>
  <c r="A43" i="1"/>
  <c r="A42" i="1"/>
  <c r="O42" i="1" s="1"/>
  <c r="A41" i="1"/>
  <c r="O41" i="1" s="1"/>
  <c r="A40" i="1"/>
  <c r="O40" i="1" s="1"/>
  <c r="A39" i="1"/>
  <c r="K39" i="1" s="1"/>
  <c r="A38" i="1"/>
  <c r="O38" i="1" s="1"/>
  <c r="A37" i="1"/>
  <c r="A36" i="1"/>
  <c r="K36" i="1" s="1"/>
  <c r="A35" i="1"/>
  <c r="A34" i="1"/>
  <c r="K34" i="1" s="1"/>
  <c r="A33" i="1"/>
  <c r="A32" i="1"/>
  <c r="A31" i="1"/>
  <c r="A30" i="1"/>
  <c r="O30" i="1" s="1"/>
  <c r="A29" i="1"/>
  <c r="O29" i="1" s="1"/>
  <c r="A28" i="1"/>
  <c r="O28" i="1" s="1"/>
  <c r="A27" i="1"/>
  <c r="O27" i="1" s="1"/>
  <c r="A26" i="1"/>
  <c r="O26" i="1" s="1"/>
  <c r="A25" i="1"/>
  <c r="A24" i="1"/>
  <c r="A23" i="1"/>
  <c r="A22" i="1"/>
  <c r="A21" i="1"/>
  <c r="A20" i="1"/>
  <c r="A19" i="1"/>
  <c r="A18" i="1"/>
  <c r="A17" i="1"/>
  <c r="A16" i="1"/>
  <c r="A15" i="1"/>
  <c r="K15" i="1" s="1"/>
  <c r="A14" i="1"/>
  <c r="K14" i="1" s="1"/>
  <c r="A13" i="1"/>
  <c r="O13" i="1" s="1"/>
  <c r="A12" i="1"/>
  <c r="O12" i="1" s="1"/>
  <c r="A11" i="1"/>
  <c r="O11" i="1" s="1"/>
  <c r="A10" i="1"/>
  <c r="K10" i="1" s="1"/>
  <c r="A9" i="1"/>
  <c r="K9" i="1" s="1"/>
  <c r="A8" i="1"/>
  <c r="O8" i="1" s="1"/>
  <c r="O75" i="1"/>
  <c r="O74" i="1"/>
  <c r="O73" i="1"/>
  <c r="O72" i="1"/>
  <c r="O71" i="1"/>
  <c r="O69" i="1"/>
  <c r="O68" i="1"/>
  <c r="O67" i="1"/>
  <c r="O61" i="1"/>
  <c r="O57" i="1"/>
  <c r="O56" i="1"/>
  <c r="O55" i="1"/>
  <c r="O49" i="1"/>
  <c r="O48" i="1"/>
  <c r="O45" i="1"/>
  <c r="O44" i="1"/>
  <c r="O43" i="1"/>
  <c r="O37" i="1"/>
  <c r="O35" i="1"/>
  <c r="O33" i="1"/>
  <c r="O32" i="1"/>
  <c r="O31" i="1"/>
  <c r="O25" i="1"/>
  <c r="O24" i="1"/>
  <c r="O23" i="1"/>
  <c r="O22" i="1"/>
  <c r="O21" i="1"/>
  <c r="O20" i="1"/>
  <c r="O19" i="1"/>
  <c r="O18" i="1"/>
  <c r="O17" i="1"/>
  <c r="O16" i="1"/>
  <c r="O15" i="1"/>
  <c r="O14" i="1"/>
  <c r="K75" i="1"/>
  <c r="K74" i="1"/>
  <c r="L74" i="1" s="1"/>
  <c r="K73" i="1"/>
  <c r="K72" i="1"/>
  <c r="K69" i="1"/>
  <c r="K68" i="1"/>
  <c r="K67" i="1"/>
  <c r="K61" i="1"/>
  <c r="K60" i="1"/>
  <c r="K59" i="1"/>
  <c r="K57" i="1"/>
  <c r="K56" i="1"/>
  <c r="K55" i="1"/>
  <c r="K49" i="1"/>
  <c r="K45" i="1"/>
  <c r="K44" i="1"/>
  <c r="K43" i="1"/>
  <c r="K37" i="1"/>
  <c r="K35" i="1"/>
  <c r="K33" i="1"/>
  <c r="K32" i="1"/>
  <c r="K31" i="1"/>
  <c r="K25" i="1"/>
  <c r="K24" i="1"/>
  <c r="K23" i="1"/>
  <c r="K22" i="1"/>
  <c r="K21" i="1"/>
  <c r="K20" i="1"/>
  <c r="K19" i="1"/>
  <c r="K18" i="1"/>
  <c r="K17" i="1"/>
  <c r="K16" i="1"/>
  <c r="G31" i="5" l="1"/>
  <c r="G55" i="5"/>
  <c r="G39" i="5"/>
  <c r="G19" i="5"/>
  <c r="G52" i="5"/>
  <c r="G40" i="5"/>
  <c r="G47" i="5"/>
  <c r="G9" i="5"/>
  <c r="G75" i="5"/>
  <c r="G50" i="5"/>
  <c r="G59" i="5"/>
  <c r="G15" i="5"/>
  <c r="G38" i="5"/>
  <c r="G57" i="5"/>
  <c r="G43" i="5"/>
  <c r="G63" i="5"/>
  <c r="G16" i="5"/>
  <c r="G23" i="5"/>
  <c r="G81" i="5"/>
  <c r="G79" i="5"/>
  <c r="G35" i="5"/>
  <c r="G34" i="5"/>
  <c r="G69" i="5"/>
  <c r="G14" i="5"/>
  <c r="G67" i="5"/>
  <c r="G68" i="5"/>
  <c r="G22" i="5"/>
  <c r="G64" i="5"/>
  <c r="G27" i="5"/>
  <c r="G26" i="5"/>
  <c r="G46" i="5"/>
  <c r="G28" i="5"/>
  <c r="K46" i="1"/>
  <c r="K47" i="1"/>
  <c r="O36" i="1"/>
  <c r="O58" i="1"/>
  <c r="O34" i="1"/>
  <c r="K70" i="1"/>
  <c r="K38" i="1"/>
  <c r="O62" i="1"/>
  <c r="K27" i="1"/>
  <c r="O39" i="1"/>
  <c r="K26" i="1"/>
  <c r="K28" i="1"/>
  <c r="K51" i="1"/>
  <c r="O63" i="1"/>
  <c r="K40" i="1"/>
  <c r="K64" i="1"/>
  <c r="O52" i="1"/>
  <c r="K29" i="1"/>
  <c r="K41" i="1"/>
  <c r="K53" i="1"/>
  <c r="K65" i="1"/>
  <c r="K50" i="1"/>
  <c r="K30" i="1"/>
  <c r="K42" i="1"/>
  <c r="K54" i="1"/>
  <c r="K66" i="1"/>
  <c r="K11" i="1"/>
  <c r="K12" i="1"/>
  <c r="O9" i="1"/>
  <c r="O10" i="1"/>
  <c r="K13" i="1"/>
  <c r="K8" i="1"/>
  <c r="M74" i="1"/>
  <c r="E74" i="1" l="1"/>
  <c r="R7" i="9"/>
  <c r="Q7" i="9"/>
  <c r="Q75" i="1" l="1"/>
  <c r="E75" i="1"/>
  <c r="F199" i="5"/>
  <c r="N75" i="1" l="1"/>
  <c r="T7" i="9"/>
  <c r="B32" i="4"/>
  <c r="B53" i="4"/>
  <c r="L3" i="9"/>
  <c r="B37" i="4"/>
  <c r="P3" i="9"/>
  <c r="I7" i="3" l="1"/>
  <c r="B59" i="4" l="1"/>
  <c r="B60" i="4" s="1"/>
  <c r="A5" i="12" l="1" a="1"/>
  <c r="A5" i="12" s="1"/>
  <c r="F114" i="5"/>
  <c r="F115" i="5"/>
  <c r="BJ7" i="2"/>
  <c r="BI7" i="2"/>
  <c r="BH7" i="2"/>
  <c r="BA7" i="2"/>
  <c r="AZ7" i="2"/>
  <c r="AY7" i="2"/>
  <c r="AR7" i="2"/>
  <c r="AQ7" i="2"/>
  <c r="AI7" i="2"/>
  <c r="AH7" i="2"/>
  <c r="AG7" i="2"/>
  <c r="Y7" i="2"/>
  <c r="Z7" i="2"/>
  <c r="AP7" i="2" s="1"/>
  <c r="X7" i="2"/>
  <c r="P7" i="2"/>
  <c r="Q7" i="2"/>
  <c r="O7" i="2"/>
  <c r="B39" i="4"/>
  <c r="A5" i="1" a="1"/>
  <c r="A5" i="1" s="1"/>
  <c r="A5" i="4" a="1"/>
  <c r="A5" i="4" s="1"/>
  <c r="A5" i="5" a="1"/>
  <c r="A5" i="5" s="1"/>
  <c r="B31" i="4"/>
  <c r="A5" i="9" a="1"/>
  <c r="A5" i="9" s="1"/>
  <c r="O86" i="5" l="1"/>
  <c r="M3" i="9"/>
  <c r="M4" i="9" l="1"/>
  <c r="L4" i="9" s="1"/>
  <c r="A7" i="9"/>
  <c r="A5" i="3" l="1" a="1"/>
  <c r="A5" i="3" s="1"/>
  <c r="A5" i="7" a="1"/>
  <c r="A5" i="7" s="1"/>
  <c r="A5" i="2" a="1"/>
  <c r="A5" i="2" s="1"/>
  <c r="C21" i="4" l="1"/>
  <c r="C22" i="4"/>
  <c r="C20" i="4"/>
  <c r="E25" i="1" l="1"/>
  <c r="E40" i="1"/>
  <c r="E55" i="1"/>
  <c r="E31" i="1"/>
  <c r="E65" i="1"/>
  <c r="E53" i="1"/>
  <c r="E28" i="1"/>
  <c r="E67" i="1"/>
  <c r="E43" i="1"/>
  <c r="E66" i="1"/>
  <c r="E54" i="1"/>
  <c r="E42" i="1"/>
  <c r="E30" i="1"/>
  <c r="E19" i="1"/>
  <c r="E18" i="1"/>
  <c r="E39" i="1"/>
  <c r="E50" i="1"/>
  <c r="E38" i="1"/>
  <c r="E26" i="1"/>
  <c r="E15" i="1"/>
  <c r="E14" i="1"/>
  <c r="E17" i="1"/>
  <c r="E63" i="1"/>
  <c r="E73" i="1"/>
  <c r="E60" i="1"/>
  <c r="E48" i="1"/>
  <c r="E36" i="1"/>
  <c r="E24" i="1"/>
  <c r="E13" i="1"/>
  <c r="E51" i="1"/>
  <c r="E62" i="1"/>
  <c r="E72" i="1"/>
  <c r="E47" i="1"/>
  <c r="E35" i="1"/>
  <c r="E23" i="1"/>
  <c r="E12" i="1"/>
  <c r="E29" i="1"/>
  <c r="E16" i="1"/>
  <c r="E37" i="1"/>
  <c r="E70" i="1"/>
  <c r="E46" i="1"/>
  <c r="E34" i="1"/>
  <c r="E22" i="1"/>
  <c r="E11" i="1"/>
  <c r="E41" i="1"/>
  <c r="E64" i="1"/>
  <c r="E49" i="1"/>
  <c r="E71" i="1"/>
  <c r="E69" i="1"/>
  <c r="E45" i="1"/>
  <c r="E21" i="1"/>
  <c r="E10" i="1"/>
  <c r="E52" i="1"/>
  <c r="E27" i="1"/>
  <c r="E61" i="1"/>
  <c r="E59" i="1"/>
  <c r="E58" i="1"/>
  <c r="E57" i="1"/>
  <c r="E33" i="1"/>
  <c r="E68" i="1"/>
  <c r="E56" i="1"/>
  <c r="E44" i="1"/>
  <c r="E32" i="1"/>
  <c r="E9" i="1"/>
  <c r="D7" i="7"/>
  <c r="Q43" i="1" l="1"/>
  <c r="Q12" i="1"/>
  <c r="Q41" i="1"/>
  <c r="Q40" i="1"/>
  <c r="Q9" i="1"/>
  <c r="Q10" i="1"/>
  <c r="Q11" i="1"/>
  <c r="E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O83" i="5"/>
  <c r="O85" i="5"/>
  <c r="O82" i="5"/>
  <c r="O84" i="5"/>
  <c r="A8" i="5"/>
  <c r="O42" i="5" l="1"/>
  <c r="O12" i="5"/>
  <c r="O41" i="5"/>
  <c r="O10" i="5"/>
  <c r="O44" i="5"/>
  <c r="O11" i="5"/>
  <c r="O9" i="5"/>
  <c r="Q44" i="1"/>
  <c r="Q32" i="1"/>
  <c r="Q49" i="1"/>
  <c r="Q14" i="1"/>
  <c r="Q70" i="1"/>
  <c r="Q22" i="1"/>
  <c r="Q59" i="1"/>
  <c r="Q19" i="1"/>
  <c r="Q23" i="1"/>
  <c r="Q18" i="1"/>
  <c r="Q54" i="1"/>
  <c r="Q27" i="1"/>
  <c r="Q63" i="1"/>
  <c r="Q47" i="1"/>
  <c r="Q35" i="1"/>
  <c r="Q46" i="1"/>
  <c r="Q73" i="1"/>
  <c r="Q42" i="1"/>
  <c r="Q17" i="1"/>
  <c r="Q29" i="1"/>
  <c r="Q45" i="1"/>
  <c r="Q31" i="1"/>
  <c r="Q58" i="1"/>
  <c r="Q66" i="1"/>
  <c r="Q57" i="1"/>
  <c r="Q53" i="1"/>
  <c r="Q39" i="1"/>
  <c r="Q33" i="1"/>
  <c r="Q25" i="1"/>
  <c r="Q62" i="1"/>
  <c r="Q48" i="1"/>
  <c r="Q68" i="1"/>
  <c r="Q36" i="1"/>
  <c r="Q67" i="1"/>
  <c r="Q74" i="1"/>
  <c r="Q21" i="1"/>
  <c r="Q64" i="1"/>
  <c r="Q72" i="1"/>
  <c r="Q38" i="1"/>
  <c r="Q71" i="1"/>
  <c r="Q65" i="1"/>
  <c r="Q13" i="1"/>
  <c r="Q61" i="1"/>
  <c r="Q16" i="1"/>
  <c r="Q8" i="1"/>
  <c r="B8" i="5" s="1"/>
  <c r="Q69" i="1"/>
  <c r="Q34" i="1"/>
  <c r="Q20" i="1"/>
  <c r="Q30" i="1"/>
  <c r="Q24" i="1"/>
  <c r="Q15" i="1"/>
  <c r="Q56" i="1"/>
  <c r="Q55" i="1"/>
  <c r="Q26" i="1"/>
  <c r="Q60" i="1"/>
  <c r="Q28" i="1"/>
  <c r="Q52" i="1"/>
  <c r="Q50" i="1"/>
  <c r="Q51" i="1"/>
  <c r="Q37" i="1"/>
  <c r="N74" i="1"/>
  <c r="O79" i="5"/>
  <c r="O77" i="5"/>
  <c r="N8" i="1"/>
  <c r="O33" i="5" l="1"/>
  <c r="O24" i="5"/>
  <c r="O49" i="5"/>
  <c r="O29" i="5"/>
  <c r="O20" i="5"/>
  <c r="O14" i="5"/>
  <c r="O38" i="5"/>
  <c r="O62" i="5"/>
  <c r="O57" i="5"/>
  <c r="O21" i="5"/>
  <c r="O64" i="5"/>
  <c r="O65" i="5"/>
  <c r="O58" i="5"/>
  <c r="O27" i="5"/>
  <c r="O51" i="5"/>
  <c r="O56" i="5"/>
  <c r="O30" i="5"/>
  <c r="O18" i="5"/>
  <c r="O46" i="5"/>
  <c r="O22" i="5"/>
  <c r="O16" i="5"/>
  <c r="O34" i="5"/>
  <c r="O43" i="5"/>
  <c r="O55" i="5"/>
  <c r="O45" i="5"/>
  <c r="O40" i="5"/>
  <c r="O74" i="5"/>
  <c r="O19" i="5"/>
  <c r="O68" i="5"/>
  <c r="O54" i="5"/>
  <c r="O47" i="5"/>
  <c r="O73" i="5"/>
  <c r="O13" i="5"/>
  <c r="O37" i="5"/>
  <c r="O36" i="5"/>
  <c r="O60" i="5"/>
  <c r="F8" i="5"/>
  <c r="L8" i="5" s="1" a="1"/>
  <c r="L8" i="5" s="1"/>
  <c r="E8" i="5"/>
  <c r="O8" i="5"/>
  <c r="D8" i="5"/>
  <c r="C8" i="5"/>
  <c r="O31" i="5"/>
  <c r="O69" i="5"/>
  <c r="O48" i="5"/>
  <c r="O23" i="5"/>
  <c r="O50" i="5"/>
  <c r="O67" i="5"/>
  <c r="O71" i="5"/>
  <c r="O52" i="5"/>
  <c r="O61" i="5"/>
  <c r="O72" i="5"/>
  <c r="O59" i="5"/>
  <c r="O35" i="5"/>
  <c r="O39" i="5"/>
  <c r="O63" i="5"/>
  <c r="O32" i="5"/>
  <c r="O28" i="5"/>
  <c r="O76" i="5"/>
  <c r="O17" i="5"/>
  <c r="O66" i="5"/>
  <c r="O26" i="5"/>
  <c r="O53" i="5"/>
  <c r="O15" i="5"/>
  <c r="O25" i="5"/>
  <c r="O78" i="5"/>
  <c r="O80" i="5"/>
  <c r="O75" i="5"/>
  <c r="O81" i="5"/>
  <c r="L9" i="5" l="1" a="1"/>
  <c r="L9" i="5" s="1"/>
  <c r="L10" i="5" s="1" a="1"/>
  <c r="L10" i="5" s="1"/>
  <c r="L11" i="5" s="1" a="1"/>
  <c r="L11" i="5" s="1"/>
  <c r="A8" i="3"/>
  <c r="O70" i="5"/>
  <c r="G8" i="5"/>
  <c r="J8" i="5" a="1"/>
  <c r="J8" i="5" s="1"/>
  <c r="A8" i="7" s="1"/>
  <c r="I8" i="7" s="1" a="1"/>
  <c r="I8" i="7" s="1"/>
  <c r="Q8" i="5" a="1"/>
  <c r="Q8" i="5" s="1"/>
  <c r="Q9" i="5" s="1" a="1"/>
  <c r="Q9" i="5" s="1"/>
  <c r="K8" i="5" a="1"/>
  <c r="K8" i="5" s="1"/>
  <c r="A8" i="9" s="1"/>
  <c r="I8" i="5" a="1"/>
  <c r="I8" i="5" s="1"/>
  <c r="A8" i="2" s="1"/>
  <c r="I8" i="2" s="1" a="1"/>
  <c r="I8" i="2" s="1"/>
  <c r="Z8" i="9" l="1"/>
  <c r="B8" i="3" a="1"/>
  <c r="B8" i="3" s="1"/>
  <c r="AH8" i="3" s="1"/>
  <c r="E8" i="3" a="1"/>
  <c r="E8" i="3" s="1"/>
  <c r="M8" i="5" a="1"/>
  <c r="M8" i="5" s="1"/>
  <c r="M9" i="5" s="1" a="1"/>
  <c r="M9" i="5" s="1"/>
  <c r="M10" i="5" s="1" a="1"/>
  <c r="M10" i="5" s="1"/>
  <c r="J9" i="5" a="1"/>
  <c r="J9" i="5" s="1"/>
  <c r="J10" i="5" s="1" a="1"/>
  <c r="J10" i="5" s="1"/>
  <c r="J11" i="5" s="1" a="1"/>
  <c r="J11" i="5" s="1"/>
  <c r="A11" i="7" s="1"/>
  <c r="G8" i="7" a="1"/>
  <c r="G8" i="7" s="1"/>
  <c r="J8" i="7" a="1"/>
  <c r="J8" i="7" s="1"/>
  <c r="D8" i="7" a="1"/>
  <c r="D8" i="7" s="1"/>
  <c r="AG8" i="7" s="1"/>
  <c r="B8" i="7" a="1"/>
  <c r="B8" i="7" s="1"/>
  <c r="H8" i="7" a="1"/>
  <c r="H8" i="7" s="1"/>
  <c r="E8" i="7" a="1"/>
  <c r="E8" i="7" s="1"/>
  <c r="F8" i="7" a="1"/>
  <c r="F8" i="7" s="1"/>
  <c r="L8" i="7" s="1"/>
  <c r="C8" i="7" a="1"/>
  <c r="C8" i="7" s="1"/>
  <c r="AE8" i="7" s="1"/>
  <c r="B8" i="9" a="1"/>
  <c r="B8" i="9" s="1"/>
  <c r="K9" i="5" a="1"/>
  <c r="K9" i="5" s="1"/>
  <c r="A9" i="9" s="1"/>
  <c r="F8" i="9" a="1"/>
  <c r="F8" i="9" s="1"/>
  <c r="Q10" i="5" a="1"/>
  <c r="Q10" i="5" s="1"/>
  <c r="Q11" i="5" s="1" a="1"/>
  <c r="Q11" i="5" s="1"/>
  <c r="H8" i="2" a="1"/>
  <c r="H8" i="2" s="1"/>
  <c r="I9" i="5" a="1"/>
  <c r="I9" i="5" s="1"/>
  <c r="I10" i="5" s="1" a="1"/>
  <c r="I10" i="5" s="1"/>
  <c r="J8" i="2" a="1"/>
  <c r="J8" i="2" s="1"/>
  <c r="C8" i="3" a="1"/>
  <c r="C8" i="3" s="1"/>
  <c r="AB8" i="3" s="1"/>
  <c r="F8" i="3" a="1"/>
  <c r="F8" i="3" s="1"/>
  <c r="G8" i="3" a="1"/>
  <c r="G8" i="3" s="1"/>
  <c r="D8" i="3" a="1"/>
  <c r="D8" i="3" s="1"/>
  <c r="S8" i="3" s="1"/>
  <c r="I8" i="3" a="1"/>
  <c r="I8" i="3" s="1"/>
  <c r="H8" i="3" a="1"/>
  <c r="H8" i="3" s="1"/>
  <c r="L12" i="5" a="1"/>
  <c r="L12" i="5" s="1"/>
  <c r="A9" i="3"/>
  <c r="A10" i="3"/>
  <c r="D8" i="9" a="1"/>
  <c r="D8" i="9" s="1"/>
  <c r="V8" i="9" s="1"/>
  <c r="J8" i="9" a="1"/>
  <c r="J8" i="9" s="1"/>
  <c r="I8" i="9" a="1"/>
  <c r="I8" i="9" s="1"/>
  <c r="H8" i="9" a="1"/>
  <c r="H8" i="9" s="1"/>
  <c r="G8" i="9" a="1"/>
  <c r="G8" i="9" s="1"/>
  <c r="E8" i="9" a="1"/>
  <c r="E8" i="9" s="1"/>
  <c r="C8" i="9" a="1"/>
  <c r="C8" i="9" s="1"/>
  <c r="Z9" i="9" l="1"/>
  <c r="AD8" i="9"/>
  <c r="M8" i="7"/>
  <c r="N8" i="7" s="1"/>
  <c r="W8" i="7" s="1"/>
  <c r="Y8" i="7" s="1"/>
  <c r="Z8" i="7" s="1"/>
  <c r="A10" i="7"/>
  <c r="J12" i="5" a="1"/>
  <c r="J12" i="5" s="1"/>
  <c r="J13" i="5" s="1" a="1"/>
  <c r="J13" i="5" s="1"/>
  <c r="A9" i="7"/>
  <c r="E9" i="7" s="1" a="1"/>
  <c r="E9" i="7" s="1"/>
  <c r="M8" i="9"/>
  <c r="N8" i="9" s="1"/>
  <c r="O8" i="9" s="1"/>
  <c r="M11" i="5" a="1"/>
  <c r="M11" i="5" s="1"/>
  <c r="M12" i="5" s="1" a="1"/>
  <c r="M12" i="5" s="1"/>
  <c r="B9" i="9" a="1"/>
  <c r="B9" i="9" s="1"/>
  <c r="E9" i="9" a="1"/>
  <c r="E9" i="9" s="1"/>
  <c r="F9" i="9" a="1"/>
  <c r="F9" i="9" s="1"/>
  <c r="AD9" i="9" s="1"/>
  <c r="Q12" i="5" a="1"/>
  <c r="Q12" i="5" s="1"/>
  <c r="Q13" i="5" s="1" a="1"/>
  <c r="Q13" i="5" s="1"/>
  <c r="I9" i="9" a="1"/>
  <c r="I9" i="9" s="1"/>
  <c r="K10" i="5" a="1"/>
  <c r="K10" i="5" s="1"/>
  <c r="K11" i="5" s="1" a="1"/>
  <c r="K11" i="5" s="1"/>
  <c r="A11" i="9" s="1"/>
  <c r="H9" i="9" a="1"/>
  <c r="H9" i="9" s="1"/>
  <c r="C9" i="9" a="1"/>
  <c r="C9" i="9" s="1"/>
  <c r="G9" i="9" a="1"/>
  <c r="G9" i="9" s="1"/>
  <c r="D9" i="9" a="1"/>
  <c r="D9" i="9" s="1"/>
  <c r="V9" i="9" s="1"/>
  <c r="J9" i="9" a="1"/>
  <c r="J9" i="9" s="1"/>
  <c r="A9" i="2"/>
  <c r="G9" i="2" s="1" a="1"/>
  <c r="G9" i="2" s="1"/>
  <c r="O8" i="3"/>
  <c r="AK8" i="3"/>
  <c r="G10" i="3" a="1"/>
  <c r="G10" i="3" s="1"/>
  <c r="G9" i="3" a="1"/>
  <c r="G9" i="3" s="1"/>
  <c r="L8" i="3"/>
  <c r="X8" i="3"/>
  <c r="Z8" i="3" s="1"/>
  <c r="K8" i="3"/>
  <c r="M8" i="3" s="1"/>
  <c r="Y8" i="3"/>
  <c r="AG8" i="3"/>
  <c r="AI8" i="3" s="1"/>
  <c r="AJ8" i="3" s="1"/>
  <c r="T8" i="3"/>
  <c r="H9" i="3" a="1"/>
  <c r="H9" i="3" s="1"/>
  <c r="L13" i="5" a="1"/>
  <c r="L13" i="5" s="1"/>
  <c r="L14" i="5" s="1" a="1"/>
  <c r="L14" i="5" s="1"/>
  <c r="I9" i="3" a="1"/>
  <c r="I9" i="3" s="1"/>
  <c r="I10" i="3" a="1"/>
  <c r="I10" i="3" s="1"/>
  <c r="B10" i="7" a="1"/>
  <c r="B10" i="7" s="1"/>
  <c r="I10" i="7" a="1"/>
  <c r="I10" i="7" s="1"/>
  <c r="E10" i="7" a="1"/>
  <c r="E10" i="7" s="1"/>
  <c r="C10" i="7" a="1"/>
  <c r="C10" i="7" s="1"/>
  <c r="AE10" i="7" s="1"/>
  <c r="D10" i="7" a="1"/>
  <c r="D10" i="7" s="1"/>
  <c r="AG10" i="7" s="1"/>
  <c r="G10" i="7" a="1"/>
  <c r="G10" i="7" s="1"/>
  <c r="J10" i="7" a="1"/>
  <c r="J10" i="7" s="1"/>
  <c r="F10" i="7" a="1"/>
  <c r="F10" i="7" s="1"/>
  <c r="M10" i="7" s="1"/>
  <c r="N10" i="7" s="1"/>
  <c r="W10" i="7" s="1"/>
  <c r="H10" i="7" a="1"/>
  <c r="H10" i="7" s="1"/>
  <c r="A10" i="2"/>
  <c r="G9" i="7" a="1"/>
  <c r="G9" i="7" s="1"/>
  <c r="J9" i="7" a="1"/>
  <c r="J9" i="7" s="1"/>
  <c r="I11" i="5" a="1"/>
  <c r="I11" i="5" s="1"/>
  <c r="F9" i="3" a="1"/>
  <c r="F9" i="3" s="1"/>
  <c r="B9" i="3" a="1"/>
  <c r="B9" i="3" s="1"/>
  <c r="L9" i="3" s="1"/>
  <c r="D9" i="3" a="1"/>
  <c r="D9" i="3" s="1"/>
  <c r="S9" i="3" s="1"/>
  <c r="E9" i="3" a="1"/>
  <c r="E9" i="3" s="1"/>
  <c r="C9" i="3" a="1"/>
  <c r="C9" i="3" s="1"/>
  <c r="AB9" i="3" s="1"/>
  <c r="H10" i="3" a="1"/>
  <c r="H10" i="3" s="1"/>
  <c r="D10" i="3" a="1"/>
  <c r="D10" i="3" s="1"/>
  <c r="S10" i="3" s="1"/>
  <c r="F10" i="3" a="1"/>
  <c r="F10" i="3" s="1"/>
  <c r="E10" i="3" a="1"/>
  <c r="E10" i="3" s="1"/>
  <c r="B10" i="3" a="1"/>
  <c r="B10" i="3" s="1"/>
  <c r="L10" i="3" s="1"/>
  <c r="B11" i="7" a="1"/>
  <c r="B11" i="7" s="1"/>
  <c r="A11" i="3"/>
  <c r="C10" i="3" a="1"/>
  <c r="C10" i="3" s="1"/>
  <c r="L8" i="9"/>
  <c r="D11" i="7" a="1"/>
  <c r="D11" i="7" s="1"/>
  <c r="AG11" i="7" s="1"/>
  <c r="F11" i="7" a="1"/>
  <c r="F11" i="7" s="1"/>
  <c r="M11" i="7" s="1"/>
  <c r="I11" i="7" a="1"/>
  <c r="I11" i="7" s="1"/>
  <c r="C11" i="7" a="1"/>
  <c r="C11" i="7" s="1"/>
  <c r="AE11" i="7" s="1"/>
  <c r="H11" i="7" a="1"/>
  <c r="H11" i="7" s="1"/>
  <c r="G11" i="7" a="1"/>
  <c r="G11" i="7" s="1"/>
  <c r="E11" i="7" a="1"/>
  <c r="E11" i="7" s="1"/>
  <c r="J11" i="7" a="1"/>
  <c r="J11" i="7" s="1"/>
  <c r="O8" i="7" l="1"/>
  <c r="P8" i="7" s="1"/>
  <c r="I9" i="7" a="1"/>
  <c r="I9" i="7" s="1"/>
  <c r="C9" i="7" a="1"/>
  <c r="C9" i="7" s="1"/>
  <c r="AE9" i="7" s="1"/>
  <c r="D9" i="7" a="1"/>
  <c r="D9" i="7" s="1"/>
  <c r="AG9" i="7" s="1"/>
  <c r="F9" i="7" a="1"/>
  <c r="F9" i="7" s="1"/>
  <c r="M9" i="7" s="1"/>
  <c r="B9" i="7" a="1"/>
  <c r="B9" i="7" s="1"/>
  <c r="H9" i="7" a="1"/>
  <c r="H9" i="7" s="1"/>
  <c r="Z11" i="9"/>
  <c r="X8" i="7"/>
  <c r="I9" i="2" a="1"/>
  <c r="I9" i="2" s="1"/>
  <c r="Q8" i="7"/>
  <c r="R8" i="7" s="1"/>
  <c r="S8" i="7" s="1"/>
  <c r="M9" i="9"/>
  <c r="N9" i="9" s="1"/>
  <c r="O9" i="9" s="1"/>
  <c r="L9" i="9"/>
  <c r="J14" i="5" a="1"/>
  <c r="J14" i="5" s="1"/>
  <c r="J15" i="5" s="1" a="1"/>
  <c r="J15" i="5" s="1"/>
  <c r="A12" i="7"/>
  <c r="E12" i="7" s="1" a="1"/>
  <c r="E12" i="7" s="1"/>
  <c r="A10" i="9"/>
  <c r="Q14" i="5" a="1"/>
  <c r="Q14" i="5" s="1"/>
  <c r="Q15" i="5" s="1" a="1"/>
  <c r="Q15" i="5" s="1"/>
  <c r="B9" i="2" a="1"/>
  <c r="B9" i="2" s="1"/>
  <c r="AK9" i="2" s="1"/>
  <c r="J9" i="2" a="1"/>
  <c r="J9" i="2" s="1"/>
  <c r="H9" i="2" a="1"/>
  <c r="H9" i="2" s="1"/>
  <c r="C9" i="2" a="1"/>
  <c r="C9" i="2" s="1"/>
  <c r="D9" i="2" a="1"/>
  <c r="D9" i="2" s="1"/>
  <c r="AL8" i="3"/>
  <c r="AM8" i="3" s="1"/>
  <c r="G11" i="3" a="1"/>
  <c r="G11" i="3" s="1"/>
  <c r="AA8" i="3"/>
  <c r="AC8" i="3" s="1"/>
  <c r="AD8" i="3" s="1"/>
  <c r="N8" i="3"/>
  <c r="P8" i="3" s="1"/>
  <c r="R8" i="3" s="1"/>
  <c r="U8" i="3" s="1"/>
  <c r="V8" i="3" s="1"/>
  <c r="K12" i="5" a="1"/>
  <c r="K12" i="5" s="1"/>
  <c r="A12" i="9" s="1"/>
  <c r="D11" i="9" a="1"/>
  <c r="D11" i="9" s="1"/>
  <c r="V11" i="9" s="1"/>
  <c r="E11" i="9" a="1"/>
  <c r="E11" i="9" s="1"/>
  <c r="F11" i="9" a="1"/>
  <c r="F11" i="9" s="1"/>
  <c r="H11" i="9" a="1"/>
  <c r="H11" i="9" s="1"/>
  <c r="I11" i="9" a="1"/>
  <c r="I11" i="9" s="1"/>
  <c r="B11" i="9" a="1"/>
  <c r="B11" i="9" s="1"/>
  <c r="C11" i="9" a="1"/>
  <c r="C11" i="9" s="1"/>
  <c r="J11" i="9" a="1"/>
  <c r="J11" i="9" s="1"/>
  <c r="G11" i="9" a="1"/>
  <c r="G11" i="9" s="1"/>
  <c r="T10" i="3"/>
  <c r="X10" i="7"/>
  <c r="Y10" i="7"/>
  <c r="Z10" i="7" s="1"/>
  <c r="L10" i="7"/>
  <c r="AA8" i="7"/>
  <c r="AB8" i="7" s="1"/>
  <c r="AC8" i="7" s="1"/>
  <c r="AD8" i="7" s="1"/>
  <c r="L15" i="5" a="1"/>
  <c r="L15" i="5" s="1"/>
  <c r="L16" i="5" s="1" a="1"/>
  <c r="L16" i="5" s="1"/>
  <c r="L17" i="5" s="1" a="1"/>
  <c r="L17" i="5" s="1"/>
  <c r="L18" i="5" s="1" a="1"/>
  <c r="L18" i="5" s="1"/>
  <c r="L19" i="5" s="1" a="1"/>
  <c r="L19" i="5" s="1"/>
  <c r="T9" i="3"/>
  <c r="I11" i="3" a="1"/>
  <c r="I11" i="3" s="1"/>
  <c r="J10" i="2" a="1"/>
  <c r="J10" i="2" s="1"/>
  <c r="I10" i="2" a="1"/>
  <c r="I10" i="2" s="1"/>
  <c r="H10" i="2" a="1"/>
  <c r="H10" i="2" s="1"/>
  <c r="B10" i="2" a="1"/>
  <c r="B10" i="2" s="1"/>
  <c r="AK10" i="2" s="1"/>
  <c r="A11" i="2"/>
  <c r="G10" i="2" a="1"/>
  <c r="G10" i="2" s="1"/>
  <c r="D10" i="2" a="1"/>
  <c r="D10" i="2" s="1"/>
  <c r="C10" i="2" a="1"/>
  <c r="C10" i="2" s="1"/>
  <c r="N9" i="7"/>
  <c r="L9" i="7"/>
  <c r="I12" i="5" a="1"/>
  <c r="I12" i="5" s="1"/>
  <c r="O9" i="3"/>
  <c r="Y9" i="3"/>
  <c r="AK9" i="3"/>
  <c r="AG9" i="3"/>
  <c r="AI9" i="3" s="1"/>
  <c r="K9" i="3"/>
  <c r="M9" i="3" s="1"/>
  <c r="N9" i="3" s="1"/>
  <c r="X9" i="3"/>
  <c r="Z9" i="3" s="1"/>
  <c r="AH9" i="3"/>
  <c r="H11" i="3" a="1"/>
  <c r="H11" i="3" s="1"/>
  <c r="Y10" i="3"/>
  <c r="AH10" i="3"/>
  <c r="AB10" i="3"/>
  <c r="AK10" i="3"/>
  <c r="AG10" i="3"/>
  <c r="AI10" i="3" s="1"/>
  <c r="X10" i="3"/>
  <c r="Z10" i="3" s="1"/>
  <c r="K10" i="3"/>
  <c r="M10" i="3" s="1"/>
  <c r="N10" i="3" s="1"/>
  <c r="O10" i="3"/>
  <c r="D11" i="3" a="1"/>
  <c r="D11" i="3" s="1"/>
  <c r="S11" i="3" s="1"/>
  <c r="B11" i="3" a="1"/>
  <c r="B11" i="3" s="1"/>
  <c r="L11" i="3" s="1"/>
  <c r="M13" i="5" a="1"/>
  <c r="M13" i="5" s="1"/>
  <c r="M14" i="5" s="1" a="1"/>
  <c r="M14" i="5" s="1"/>
  <c r="M15" i="5" s="1" a="1"/>
  <c r="M15" i="5" s="1"/>
  <c r="E11" i="3" a="1"/>
  <c r="E11" i="3" s="1"/>
  <c r="C11" i="3" a="1"/>
  <c r="C11" i="3" s="1"/>
  <c r="F11" i="3" a="1"/>
  <c r="F11" i="3" s="1"/>
  <c r="A12" i="3"/>
  <c r="O10" i="7"/>
  <c r="P10" i="7" s="1"/>
  <c r="P8" i="9"/>
  <c r="L11" i="7"/>
  <c r="N11" i="7"/>
  <c r="A13" i="7"/>
  <c r="Z12" i="9" l="1"/>
  <c r="Z10" i="9"/>
  <c r="P9" i="9"/>
  <c r="Q9" i="9" s="1"/>
  <c r="R9" i="9" s="1"/>
  <c r="T9" i="9" s="1"/>
  <c r="U9" i="9" s="1"/>
  <c r="W9" i="9" s="1"/>
  <c r="X9" i="9" s="1"/>
  <c r="AA9" i="9" s="1"/>
  <c r="AB9" i="9" s="1"/>
  <c r="AC9" i="9" s="1"/>
  <c r="AE9" i="9" s="1"/>
  <c r="AF9" i="9" s="1"/>
  <c r="AG9" i="9" s="1"/>
  <c r="AH9" i="9" s="1"/>
  <c r="AI9" i="9" s="1"/>
  <c r="G12" i="7" a="1"/>
  <c r="G12" i="7" s="1"/>
  <c r="J12" i="7" a="1"/>
  <c r="J12" i="7" s="1"/>
  <c r="I12" i="7" a="1"/>
  <c r="I12" i="7" s="1"/>
  <c r="H12" i="7" a="1"/>
  <c r="H12" i="7" s="1"/>
  <c r="C12" i="7" a="1"/>
  <c r="C12" i="7" s="1"/>
  <c r="AE12" i="7" s="1"/>
  <c r="D12" i="7" a="1"/>
  <c r="D12" i="7" s="1"/>
  <c r="AG12" i="7" s="1"/>
  <c r="B12" i="7" a="1"/>
  <c r="B12" i="7" s="1"/>
  <c r="F12" i="7" a="1"/>
  <c r="F12" i="7" s="1"/>
  <c r="M12" i="7" s="1"/>
  <c r="N12" i="7" s="1"/>
  <c r="S9" i="2"/>
  <c r="D10" i="9" a="1"/>
  <c r="D10" i="9" s="1"/>
  <c r="V10" i="9" s="1"/>
  <c r="G10" i="9" a="1"/>
  <c r="G10" i="9" s="1"/>
  <c r="J10" i="9" a="1"/>
  <c r="J10" i="9" s="1"/>
  <c r="E10" i="9" a="1"/>
  <c r="E10" i="9" s="1"/>
  <c r="H10" i="9" a="1"/>
  <c r="H10" i="9" s="1"/>
  <c r="I10" i="9" a="1"/>
  <c r="I10" i="9" s="1"/>
  <c r="B10" i="9" a="1"/>
  <c r="B10" i="9" s="1"/>
  <c r="F10" i="9" a="1"/>
  <c r="F10" i="9" s="1"/>
  <c r="M10" i="9" s="1"/>
  <c r="N10" i="9" s="1"/>
  <c r="O10" i="9" s="1"/>
  <c r="J16" i="5" a="1"/>
  <c r="J16" i="5" s="1"/>
  <c r="J17" i="5" s="1" a="1"/>
  <c r="J17" i="5" s="1"/>
  <c r="J18" i="5" s="1" a="1"/>
  <c r="J18" i="5" s="1"/>
  <c r="J19" i="5" s="1" a="1"/>
  <c r="J19" i="5" s="1"/>
  <c r="J20" i="5" s="1" a="1"/>
  <c r="J20" i="5" s="1"/>
  <c r="J21" i="5" s="1" a="1"/>
  <c r="J21" i="5" s="1"/>
  <c r="J22" i="5" s="1" a="1"/>
  <c r="J22" i="5" s="1"/>
  <c r="J23" i="5" s="1" a="1"/>
  <c r="J23" i="5" s="1"/>
  <c r="J24" i="5" s="1" a="1"/>
  <c r="J24" i="5" s="1"/>
  <c r="J25" i="5" s="1" a="1"/>
  <c r="J25" i="5" s="1"/>
  <c r="J26" i="5" s="1" a="1"/>
  <c r="J26" i="5" s="1"/>
  <c r="J27" i="5" s="1" a="1"/>
  <c r="J27" i="5" s="1"/>
  <c r="J28" i="5" s="1" a="1"/>
  <c r="J28" i="5" s="1"/>
  <c r="J29" i="5" s="1" a="1"/>
  <c r="J29" i="5" s="1"/>
  <c r="J30" i="5" s="1" a="1"/>
  <c r="J30" i="5" s="1"/>
  <c r="J31" i="5" s="1" a="1"/>
  <c r="J31" i="5" s="1"/>
  <c r="J32" i="5" s="1" a="1"/>
  <c r="J32" i="5" s="1"/>
  <c r="J33" i="5" s="1" a="1"/>
  <c r="J33" i="5" s="1"/>
  <c r="J34" i="5" s="1" a="1"/>
  <c r="J34" i="5" s="1"/>
  <c r="J35" i="5" s="1" a="1"/>
  <c r="J35" i="5" s="1"/>
  <c r="J36" i="5" s="1" a="1"/>
  <c r="J36" i="5" s="1"/>
  <c r="J37" i="5" s="1" a="1"/>
  <c r="J37" i="5" s="1"/>
  <c r="J38" i="5" s="1" a="1"/>
  <c r="J38" i="5" s="1"/>
  <c r="J39" i="5" s="1" a="1"/>
  <c r="J39" i="5" s="1"/>
  <c r="J40" i="5" s="1" a="1"/>
  <c r="J40" i="5" s="1"/>
  <c r="J41" i="5" s="1" a="1"/>
  <c r="J41" i="5" s="1"/>
  <c r="J42" i="5" s="1" a="1"/>
  <c r="J42" i="5" s="1"/>
  <c r="J43" i="5" s="1" a="1"/>
  <c r="J43" i="5" s="1"/>
  <c r="J44" i="5" s="1" a="1"/>
  <c r="J44" i="5" s="1"/>
  <c r="J45" i="5" s="1" a="1"/>
  <c r="J45" i="5" s="1"/>
  <c r="J46" i="5" s="1" a="1"/>
  <c r="J46" i="5" s="1"/>
  <c r="J47" i="5" s="1" a="1"/>
  <c r="J47" i="5" s="1"/>
  <c r="J48" i="5" s="1" a="1"/>
  <c r="J48" i="5" s="1"/>
  <c r="J49" i="5" s="1" a="1"/>
  <c r="J49" i="5" s="1"/>
  <c r="J50" i="5" s="1" a="1"/>
  <c r="J50" i="5" s="1"/>
  <c r="J51" i="5" s="1" a="1"/>
  <c r="J51" i="5" s="1"/>
  <c r="J52" i="5" s="1" a="1"/>
  <c r="J52" i="5" s="1"/>
  <c r="J53" i="5" s="1" a="1"/>
  <c r="J53" i="5" s="1"/>
  <c r="J54" i="5" s="1" a="1"/>
  <c r="J54" i="5" s="1"/>
  <c r="J55" i="5" s="1" a="1"/>
  <c r="J55" i="5" s="1"/>
  <c r="J56" i="5" s="1" a="1"/>
  <c r="J56" i="5" s="1"/>
  <c r="J57" i="5" s="1" a="1"/>
  <c r="J57" i="5" s="1"/>
  <c r="J58" i="5" s="1" a="1"/>
  <c r="J58" i="5" s="1"/>
  <c r="J59" i="5" s="1" a="1"/>
  <c r="J59" i="5" s="1"/>
  <c r="J60" i="5" s="1" a="1"/>
  <c r="J60" i="5" s="1"/>
  <c r="J61" i="5" s="1" a="1"/>
  <c r="J61" i="5" s="1"/>
  <c r="J62" i="5" s="1" a="1"/>
  <c r="J62" i="5" s="1"/>
  <c r="J63" i="5" s="1" a="1"/>
  <c r="J63" i="5" s="1"/>
  <c r="J64" i="5" s="1" a="1"/>
  <c r="J64" i="5" s="1"/>
  <c r="J65" i="5" s="1" a="1"/>
  <c r="J65" i="5" s="1"/>
  <c r="J66" i="5" s="1" a="1"/>
  <c r="J66" i="5" s="1"/>
  <c r="J67" i="5" s="1" a="1"/>
  <c r="J67" i="5" s="1"/>
  <c r="J68" i="5" s="1" a="1"/>
  <c r="J68" i="5" s="1"/>
  <c r="J69" i="5" s="1" a="1"/>
  <c r="J69" i="5" s="1"/>
  <c r="J70" i="5" s="1" a="1"/>
  <c r="J70" i="5" s="1"/>
  <c r="J71" i="5" s="1" a="1"/>
  <c r="J71" i="5" s="1"/>
  <c r="J72" i="5" s="1" a="1"/>
  <c r="J72" i="5" s="1"/>
  <c r="J73" i="5" s="1" a="1"/>
  <c r="J73" i="5" s="1"/>
  <c r="J74" i="5" s="1" a="1"/>
  <c r="J74" i="5" s="1"/>
  <c r="J75" i="5" s="1" a="1"/>
  <c r="J75" i="5" s="1"/>
  <c r="J76" i="5" s="1" a="1"/>
  <c r="J76" i="5" s="1"/>
  <c r="J77" i="5" s="1" a="1"/>
  <c r="J77" i="5" s="1"/>
  <c r="J78" i="5" s="1" a="1"/>
  <c r="J78" i="5" s="1"/>
  <c r="J79" i="5" s="1" a="1"/>
  <c r="J79" i="5" s="1"/>
  <c r="J80" i="5" s="1" a="1"/>
  <c r="J80" i="5" s="1"/>
  <c r="J81" i="5" s="1" a="1"/>
  <c r="J81" i="5" s="1"/>
  <c r="J82" i="5" s="1" a="1"/>
  <c r="J82" i="5" s="1"/>
  <c r="J83" i="5" s="1" a="1"/>
  <c r="J83" i="5" s="1"/>
  <c r="J84" i="5" s="1" a="1"/>
  <c r="J84" i="5" s="1"/>
  <c r="J85" i="5" s="1" a="1"/>
  <c r="J85" i="5" s="1"/>
  <c r="Q16" i="5" a="1"/>
  <c r="Q16" i="5" s="1"/>
  <c r="Q17" i="5" s="1" a="1"/>
  <c r="Q17" i="5" s="1"/>
  <c r="Q18" i="5" s="1" a="1"/>
  <c r="Q18" i="5" s="1"/>
  <c r="Q19" i="5" s="1" a="1"/>
  <c r="Q19" i="5" s="1"/>
  <c r="Q20" i="5" s="1" a="1"/>
  <c r="Q20" i="5" s="1"/>
  <c r="Q21" i="5" s="1" a="1"/>
  <c r="Q21" i="5" s="1"/>
  <c r="Q22" i="5" s="1" a="1"/>
  <c r="Q22" i="5" s="1"/>
  <c r="Q23" i="5" s="1" a="1"/>
  <c r="Q23" i="5" s="1"/>
  <c r="Q24" i="5" s="1" a="1"/>
  <c r="Q24" i="5" s="1"/>
  <c r="Q25" i="5" s="1" a="1"/>
  <c r="Q25" i="5" s="1"/>
  <c r="Q26" i="5" s="1" a="1"/>
  <c r="Q26" i="5" s="1"/>
  <c r="Q27" i="5" s="1" a="1"/>
  <c r="Q27" i="5" s="1"/>
  <c r="Q28" i="5" s="1" a="1"/>
  <c r="Q28" i="5" s="1"/>
  <c r="Q29" i="5" s="1" a="1"/>
  <c r="Q29" i="5" s="1"/>
  <c r="Q30" i="5" s="1" a="1"/>
  <c r="Q30" i="5" s="1"/>
  <c r="Q31" i="5" s="1" a="1"/>
  <c r="Q31" i="5" s="1"/>
  <c r="Q32" i="5" s="1" a="1"/>
  <c r="Q32" i="5" s="1"/>
  <c r="Q33" i="5" s="1" a="1"/>
  <c r="Q33" i="5" s="1"/>
  <c r="Q34" i="5" s="1" a="1"/>
  <c r="Q34" i="5" s="1"/>
  <c r="Q35" i="5" s="1" a="1"/>
  <c r="Q35" i="5" s="1"/>
  <c r="Q36" i="5" s="1" a="1"/>
  <c r="Q36" i="5" s="1"/>
  <c r="Q37" i="5" s="1" a="1"/>
  <c r="Q37" i="5" s="1"/>
  <c r="Q38" i="5" s="1" a="1"/>
  <c r="Q38" i="5" s="1"/>
  <c r="Q39" i="5" s="1" a="1"/>
  <c r="Q39" i="5" s="1"/>
  <c r="Q40" i="5" s="1" a="1"/>
  <c r="Q40" i="5" s="1"/>
  <c r="Q41" i="5" s="1" a="1"/>
  <c r="Q41" i="5" s="1"/>
  <c r="Q42" i="5" s="1" a="1"/>
  <c r="Q42" i="5" s="1"/>
  <c r="Q43" i="5" s="1" a="1"/>
  <c r="Q43" i="5" s="1"/>
  <c r="Q44" i="5" s="1" a="1"/>
  <c r="Q44" i="5" s="1"/>
  <c r="Q45" i="5" s="1" a="1"/>
  <c r="Q45" i="5" s="1"/>
  <c r="Q46" i="5" s="1" a="1"/>
  <c r="Q46" i="5" s="1"/>
  <c r="Q47" i="5" s="1" a="1"/>
  <c r="Q47" i="5" s="1"/>
  <c r="Q48" i="5" s="1" a="1"/>
  <c r="Q48" i="5" s="1"/>
  <c r="Q49" i="5" s="1" a="1"/>
  <c r="Q49" i="5" s="1"/>
  <c r="Q50" i="5" s="1" a="1"/>
  <c r="Q50" i="5" s="1"/>
  <c r="Q51" i="5" s="1" a="1"/>
  <c r="Q51" i="5" s="1"/>
  <c r="Q52" i="5" s="1" a="1"/>
  <c r="Q52" i="5" s="1"/>
  <c r="Q53" i="5" s="1" a="1"/>
  <c r="Q53" i="5" s="1"/>
  <c r="Q54" i="5" s="1" a="1"/>
  <c r="Q54" i="5" s="1"/>
  <c r="Q55" i="5" s="1" a="1"/>
  <c r="Q55" i="5" s="1"/>
  <c r="Q56" i="5" s="1" a="1"/>
  <c r="Q56" i="5" s="1"/>
  <c r="Q57" i="5" s="1" a="1"/>
  <c r="Q57" i="5" s="1"/>
  <c r="Q58" i="5" s="1" a="1"/>
  <c r="Q58" i="5" s="1"/>
  <c r="Q59" i="5" s="1" a="1"/>
  <c r="Q59" i="5" s="1"/>
  <c r="Q60" i="5" s="1" a="1"/>
  <c r="Q60" i="5" s="1"/>
  <c r="Q61" i="5" s="1" a="1"/>
  <c r="Q61" i="5" s="1"/>
  <c r="Q62" i="5" s="1" a="1"/>
  <c r="Q62" i="5" s="1"/>
  <c r="Q63" i="5" s="1" a="1"/>
  <c r="Q63" i="5" s="1"/>
  <c r="Q64" i="5" s="1" a="1"/>
  <c r="Q64" i="5" s="1"/>
  <c r="Q65" i="5" s="1" a="1"/>
  <c r="Q65" i="5" s="1"/>
  <c r="Q66" i="5" s="1" a="1"/>
  <c r="Q66" i="5" s="1"/>
  <c r="Q67" i="5" s="1" a="1"/>
  <c r="Q67" i="5" s="1"/>
  <c r="Q68" i="5" s="1" a="1"/>
  <c r="Q68" i="5" s="1"/>
  <c r="Q69" i="5" s="1" a="1"/>
  <c r="Q69" i="5" s="1"/>
  <c r="Q70" i="5" s="1" a="1"/>
  <c r="Q70" i="5" s="1"/>
  <c r="Q71" i="5" s="1" a="1"/>
  <c r="Q71" i="5" s="1"/>
  <c r="Q72" i="5" s="1" a="1"/>
  <c r="Q72" i="5" s="1"/>
  <c r="Q73" i="5" s="1" a="1"/>
  <c r="Q73" i="5" s="1"/>
  <c r="Q74" i="5" s="1" a="1"/>
  <c r="Q74" i="5" s="1"/>
  <c r="Q75" i="5" s="1" a="1"/>
  <c r="Q75" i="5" s="1"/>
  <c r="Q76" i="5" s="1" a="1"/>
  <c r="Q76" i="5" s="1"/>
  <c r="Q77" i="5" s="1" a="1"/>
  <c r="Q77" i="5" s="1"/>
  <c r="Q78" i="5" s="1" a="1"/>
  <c r="Q78" i="5" s="1"/>
  <c r="Q79" i="5" s="1" a="1"/>
  <c r="Q79" i="5" s="1"/>
  <c r="Q80" i="5" s="1" a="1"/>
  <c r="Q80" i="5" s="1"/>
  <c r="Q81" i="5" s="1" a="1"/>
  <c r="Q81" i="5" s="1"/>
  <c r="Q82" i="5" s="1" a="1"/>
  <c r="Q82" i="5" s="1"/>
  <c r="Q83" i="5" s="1" a="1"/>
  <c r="Q83" i="5" s="1"/>
  <c r="Q84" i="5" s="1" a="1"/>
  <c r="Q84" i="5" s="1"/>
  <c r="Q85" i="5" s="1" a="1"/>
  <c r="Q85" i="5" s="1"/>
  <c r="Q86" i="5" s="1" a="1"/>
  <c r="Q86" i="5" s="1"/>
  <c r="C10" i="9" a="1"/>
  <c r="C10" i="9" s="1"/>
  <c r="BC9" i="2"/>
  <c r="AN8" i="3"/>
  <c r="AE8" i="3"/>
  <c r="G12" i="3" a="1"/>
  <c r="G12" i="3" s="1"/>
  <c r="AD11" i="9"/>
  <c r="M11" i="9"/>
  <c r="N11" i="9" s="1"/>
  <c r="O11" i="9" s="1"/>
  <c r="L11" i="9"/>
  <c r="K13" i="5" a="1"/>
  <c r="K13" i="5" s="1"/>
  <c r="A13" i="9" s="1"/>
  <c r="B12" i="9" a="1"/>
  <c r="B12" i="9" s="1"/>
  <c r="D12" i="9" a="1"/>
  <c r="D12" i="9" s="1"/>
  <c r="V12" i="9" s="1"/>
  <c r="E12" i="9" a="1"/>
  <c r="E12" i="9" s="1"/>
  <c r="F12" i="9" a="1"/>
  <c r="F12" i="9" s="1"/>
  <c r="G12" i="9" a="1"/>
  <c r="G12" i="9" s="1"/>
  <c r="I12" i="9" a="1"/>
  <c r="I12" i="9" s="1"/>
  <c r="J12" i="9" a="1"/>
  <c r="J12" i="9" s="1"/>
  <c r="C12" i="9" a="1"/>
  <c r="C12" i="9" s="1"/>
  <c r="H12" i="9" a="1"/>
  <c r="H12" i="9" s="1"/>
  <c r="P9" i="3"/>
  <c r="R9" i="3" s="1"/>
  <c r="U9" i="3" s="1"/>
  <c r="V9" i="3" s="1"/>
  <c r="P10" i="3"/>
  <c r="R10" i="3" s="1"/>
  <c r="U10" i="3" s="1"/>
  <c r="V10" i="3" s="1"/>
  <c r="U8" i="7"/>
  <c r="T8" i="7"/>
  <c r="W11" i="7"/>
  <c r="O11" i="7"/>
  <c r="T11" i="3"/>
  <c r="L20" i="5" a="1"/>
  <c r="L20" i="5" s="1"/>
  <c r="I11" i="2" a="1"/>
  <c r="I11" i="2" s="1"/>
  <c r="I12" i="3" a="1"/>
  <c r="I12" i="3" s="1"/>
  <c r="Q8" i="9"/>
  <c r="R8" i="9" s="1"/>
  <c r="T8" i="9" s="1"/>
  <c r="U8" i="9" s="1"/>
  <c r="W8" i="9" s="1"/>
  <c r="X8" i="9" s="1"/>
  <c r="AA8" i="9" s="1"/>
  <c r="AB8" i="9" s="1"/>
  <c r="AC8" i="9" s="1"/>
  <c r="AF8" i="7"/>
  <c r="AH8" i="7" s="1"/>
  <c r="AJ8" i="7" s="1"/>
  <c r="H11" i="2" a="1"/>
  <c r="H11" i="2" s="1"/>
  <c r="J11" i="2" a="1"/>
  <c r="J11" i="2" s="1"/>
  <c r="B11" i="2" a="1"/>
  <c r="B11" i="2" s="1"/>
  <c r="AK11" i="2" s="1"/>
  <c r="BC10" i="2"/>
  <c r="S10" i="2"/>
  <c r="I13" i="5" a="1"/>
  <c r="I13" i="5" s="1"/>
  <c r="I14" i="5" s="1" a="1"/>
  <c r="I14" i="5" s="1"/>
  <c r="A12" i="2"/>
  <c r="D11" i="2" a="1"/>
  <c r="D11" i="2" s="1"/>
  <c r="G11" i="2" a="1"/>
  <c r="G11" i="2" s="1"/>
  <c r="C11" i="2" a="1"/>
  <c r="C11" i="2" s="1"/>
  <c r="W9" i="7"/>
  <c r="O9" i="7"/>
  <c r="P9" i="7" s="1"/>
  <c r="AA9" i="3"/>
  <c r="AC9" i="3" s="1"/>
  <c r="AD9" i="3" s="1"/>
  <c r="AJ9" i="3"/>
  <c r="AL9" i="3" s="1"/>
  <c r="AM9" i="3" s="1"/>
  <c r="H12" i="3" a="1"/>
  <c r="H12" i="3" s="1"/>
  <c r="AJ10" i="3"/>
  <c r="AL10" i="3" s="1"/>
  <c r="AM10" i="3" s="1"/>
  <c r="AH11" i="3"/>
  <c r="Y11" i="3"/>
  <c r="X11" i="3"/>
  <c r="Z11" i="3" s="1"/>
  <c r="K11" i="3"/>
  <c r="M11" i="3" s="1"/>
  <c r="N11" i="3" s="1"/>
  <c r="AG11" i="3"/>
  <c r="AI11" i="3" s="1"/>
  <c r="AK11" i="3"/>
  <c r="AB11" i="3"/>
  <c r="AA10" i="3"/>
  <c r="AC10" i="3" s="1"/>
  <c r="AD10" i="3" s="1"/>
  <c r="O11" i="3"/>
  <c r="D12" i="3" a="1"/>
  <c r="D12" i="3" s="1"/>
  <c r="S12" i="3" s="1"/>
  <c r="E12" i="3" a="1"/>
  <c r="E12" i="3" s="1"/>
  <c r="M16" i="5" a="1"/>
  <c r="M16" i="5" s="1"/>
  <c r="M17" i="5" s="1" a="1"/>
  <c r="M17" i="5" s="1"/>
  <c r="M18" i="5" s="1" a="1"/>
  <c r="M18" i="5" s="1"/>
  <c r="M19" i="5" s="1" a="1"/>
  <c r="M19" i="5" s="1"/>
  <c r="M20" i="5" s="1" a="1"/>
  <c r="M20" i="5" s="1"/>
  <c r="M21" i="5" s="1" a="1"/>
  <c r="M21" i="5" s="1"/>
  <c r="F12" i="3" a="1"/>
  <c r="F12" i="3" s="1"/>
  <c r="AA10" i="7"/>
  <c r="AB10" i="7" s="1"/>
  <c r="AC10" i="7" s="1"/>
  <c r="AD10" i="7" s="1"/>
  <c r="AF10" i="7" s="1"/>
  <c r="AH10" i="7" s="1"/>
  <c r="C12" i="3" a="1"/>
  <c r="C12" i="3" s="1"/>
  <c r="B12" i="3" a="1"/>
  <c r="B12" i="3" s="1"/>
  <c r="L12" i="3" s="1"/>
  <c r="B13" i="7" a="1"/>
  <c r="B13" i="7" s="1"/>
  <c r="F13" i="7" a="1"/>
  <c r="F13" i="7" s="1"/>
  <c r="M13" i="7" s="1"/>
  <c r="Q10" i="7"/>
  <c r="R10" i="7" s="1"/>
  <c r="A14" i="7"/>
  <c r="D13" i="7" a="1"/>
  <c r="D13" i="7" s="1"/>
  <c r="AG13" i="7" s="1"/>
  <c r="E13" i="7" a="1"/>
  <c r="E13" i="7" s="1"/>
  <c r="I13" i="7" a="1"/>
  <c r="I13" i="7" s="1"/>
  <c r="J13" i="7" a="1"/>
  <c r="J13" i="7" s="1"/>
  <c r="H13" i="7" a="1"/>
  <c r="H13" i="7" s="1"/>
  <c r="G13" i="7" a="1"/>
  <c r="G13" i="7" s="1"/>
  <c r="C13" i="7" a="1"/>
  <c r="C13" i="7" s="1"/>
  <c r="AE13" i="7" s="1"/>
  <c r="A14" i="3"/>
  <c r="A13" i="3"/>
  <c r="Z13" i="9" l="1"/>
  <c r="L12" i="7"/>
  <c r="L10" i="9"/>
  <c r="P10" i="9" s="1"/>
  <c r="Q10" i="9" s="1"/>
  <c r="R10" i="9" s="1"/>
  <c r="T10" i="9" s="1"/>
  <c r="U10" i="9" s="1"/>
  <c r="W10" i="9" s="1"/>
  <c r="X10" i="9" s="1"/>
  <c r="AA10" i="9" s="1"/>
  <c r="AB10" i="9" s="1"/>
  <c r="AC10" i="9" s="1"/>
  <c r="AD10" i="9"/>
  <c r="AS12" i="2"/>
  <c r="AA12" i="2"/>
  <c r="AE10" i="3"/>
  <c r="AE9" i="3"/>
  <c r="AN10" i="3"/>
  <c r="AN9" i="3"/>
  <c r="G13" i="3" a="1"/>
  <c r="G13" i="3" s="1"/>
  <c r="G14" i="3" a="1"/>
  <c r="G14" i="3" s="1"/>
  <c r="K14" i="5" a="1"/>
  <c r="K14" i="5" s="1"/>
  <c r="A14" i="9" s="1"/>
  <c r="AE8" i="9"/>
  <c r="AF8" i="9" s="1"/>
  <c r="P11" i="3"/>
  <c r="R11" i="3" s="1"/>
  <c r="U11" i="3" s="1"/>
  <c r="V11" i="3" s="1"/>
  <c r="F13" i="9" a="1"/>
  <c r="F13" i="9" s="1"/>
  <c r="C13" i="9" a="1"/>
  <c r="C13" i="9" s="1"/>
  <c r="G13" i="9" a="1"/>
  <c r="G13" i="9" s="1"/>
  <c r="I13" i="9" a="1"/>
  <c r="I13" i="9" s="1"/>
  <c r="D13" i="9" a="1"/>
  <c r="D13" i="9" s="1"/>
  <c r="V13" i="9" s="1"/>
  <c r="J13" i="9" a="1"/>
  <c r="J13" i="9" s="1"/>
  <c r="E13" i="9" a="1"/>
  <c r="E13" i="9" s="1"/>
  <c r="B13" i="9" a="1"/>
  <c r="B13" i="9" s="1"/>
  <c r="H13" i="9" a="1"/>
  <c r="H13" i="9" s="1"/>
  <c r="P11" i="9"/>
  <c r="Q11" i="9" s="1"/>
  <c r="R11" i="9" s="1"/>
  <c r="T11" i="9" s="1"/>
  <c r="U11" i="9" s="1"/>
  <c r="W11" i="9" s="1"/>
  <c r="X11" i="9" s="1"/>
  <c r="AA11" i="9" s="1"/>
  <c r="AB11" i="9" s="1"/>
  <c r="AC11" i="9" s="1"/>
  <c r="AD12" i="9"/>
  <c r="M12" i="9"/>
  <c r="N12" i="9" s="1"/>
  <c r="O12" i="9" s="1"/>
  <c r="L12" i="9"/>
  <c r="AK8" i="7"/>
  <c r="AL8" i="7"/>
  <c r="W12" i="7"/>
  <c r="O12" i="7"/>
  <c r="P11" i="7"/>
  <c r="Q11" i="7" s="1"/>
  <c r="R11" i="7" s="1"/>
  <c r="X11" i="7"/>
  <c r="Y11" i="7"/>
  <c r="Z11" i="7" s="1"/>
  <c r="AA11" i="7" s="1"/>
  <c r="AB11" i="7" s="1"/>
  <c r="AC11" i="7" s="1"/>
  <c r="AD11" i="7" s="1"/>
  <c r="AF11" i="7" s="1"/>
  <c r="AH11" i="7" s="1"/>
  <c r="X9" i="7"/>
  <c r="Y9" i="7"/>
  <c r="C12" i="2" a="1"/>
  <c r="C12" i="2" s="1"/>
  <c r="T12" i="3"/>
  <c r="I14" i="3" a="1"/>
  <c r="I14" i="3" s="1"/>
  <c r="I13" i="3" a="1"/>
  <c r="I13" i="3" s="1"/>
  <c r="BC11" i="2"/>
  <c r="S11" i="2"/>
  <c r="A14" i="2"/>
  <c r="N11" i="2"/>
  <c r="AX11" i="2"/>
  <c r="AF11" i="2"/>
  <c r="D12" i="2" a="1"/>
  <c r="D12" i="2" s="1"/>
  <c r="G12" i="2" a="1"/>
  <c r="G12" i="2" s="1"/>
  <c r="A13" i="2"/>
  <c r="I12" i="2" a="1"/>
  <c r="I12" i="2" s="1"/>
  <c r="B12" i="2" a="1"/>
  <c r="B12" i="2" s="1"/>
  <c r="BC12" i="2" s="1"/>
  <c r="H12" i="2" a="1"/>
  <c r="H12" i="2" s="1"/>
  <c r="J12" i="2" a="1"/>
  <c r="J12" i="2" s="1"/>
  <c r="Q9" i="7"/>
  <c r="R9" i="7" s="1"/>
  <c r="I15" i="5" a="1"/>
  <c r="I15" i="5" s="1"/>
  <c r="H13" i="3" a="1"/>
  <c r="H13" i="3" s="1"/>
  <c r="H14" i="3" a="1"/>
  <c r="H14" i="3" s="1"/>
  <c r="AJ11" i="3"/>
  <c r="AL11" i="3" s="1"/>
  <c r="AM11" i="3" s="1"/>
  <c r="AH12" i="3"/>
  <c r="Y12" i="3"/>
  <c r="AB12" i="3"/>
  <c r="AK12" i="3"/>
  <c r="K12" i="3"/>
  <c r="M12" i="3" s="1"/>
  <c r="N12" i="3" s="1"/>
  <c r="X12" i="3"/>
  <c r="Z12" i="3" s="1"/>
  <c r="AG12" i="3"/>
  <c r="AI12" i="3" s="1"/>
  <c r="AA11" i="3"/>
  <c r="AC11" i="3" s="1"/>
  <c r="AD11" i="3" s="1"/>
  <c r="O12" i="3"/>
  <c r="D13" i="3" a="1"/>
  <c r="D13" i="3" s="1"/>
  <c r="D14" i="3" a="1"/>
  <c r="D14" i="3" s="1"/>
  <c r="S14" i="3" s="1"/>
  <c r="B14" i="3" a="1"/>
  <c r="B14" i="3" s="1"/>
  <c r="L14" i="3" s="1"/>
  <c r="B13" i="3" a="1"/>
  <c r="B13" i="3" s="1"/>
  <c r="L13" i="3" s="1"/>
  <c r="M22" i="5" a="1"/>
  <c r="M22" i="5" s="1"/>
  <c r="M23" i="5" s="1" a="1"/>
  <c r="M23" i="5" s="1"/>
  <c r="M24" i="5" s="1" a="1"/>
  <c r="M24" i="5" s="1"/>
  <c r="M25" i="5" s="1" a="1"/>
  <c r="M25" i="5" s="1"/>
  <c r="M26" i="5" s="1" a="1"/>
  <c r="M26" i="5" s="1"/>
  <c r="M27" i="5" s="1" a="1"/>
  <c r="M27" i="5" s="1"/>
  <c r="M28" i="5" s="1" a="1"/>
  <c r="M28" i="5" s="1"/>
  <c r="M29" i="5" s="1" a="1"/>
  <c r="M29" i="5" s="1"/>
  <c r="M30" i="5" s="1" a="1"/>
  <c r="M30" i="5" s="1"/>
  <c r="M31" i="5" s="1" a="1"/>
  <c r="M31" i="5" s="1"/>
  <c r="M32" i="5" s="1" a="1"/>
  <c r="M32" i="5" s="1"/>
  <c r="M33" i="5" s="1" a="1"/>
  <c r="M33" i="5" s="1"/>
  <c r="M34" i="5" s="1" a="1"/>
  <c r="M34" i="5" s="1"/>
  <c r="M35" i="5" s="1" a="1"/>
  <c r="M35" i="5" s="1"/>
  <c r="M36" i="5" s="1" a="1"/>
  <c r="M36" i="5" s="1"/>
  <c r="M37" i="5" s="1" a="1"/>
  <c r="M37" i="5" s="1"/>
  <c r="M38" i="5" s="1" a="1"/>
  <c r="M38" i="5" s="1"/>
  <c r="M39" i="5" s="1" a="1"/>
  <c r="M39" i="5" s="1"/>
  <c r="M40" i="5" s="1" a="1"/>
  <c r="M40" i="5" s="1"/>
  <c r="M41" i="5" s="1" a="1"/>
  <c r="M41" i="5" s="1"/>
  <c r="M42" i="5" s="1" a="1"/>
  <c r="M42" i="5" s="1"/>
  <c r="M43" i="5" s="1" a="1"/>
  <c r="M43" i="5" s="1"/>
  <c r="M44" i="5" s="1" a="1"/>
  <c r="M44" i="5" s="1"/>
  <c r="M45" i="5" s="1" a="1"/>
  <c r="M45" i="5" s="1"/>
  <c r="M46" i="5" s="1" a="1"/>
  <c r="M46" i="5" s="1"/>
  <c r="M47" i="5" s="1" a="1"/>
  <c r="M47" i="5" s="1"/>
  <c r="M48" i="5" s="1" a="1"/>
  <c r="M48" i="5" s="1"/>
  <c r="M49" i="5" s="1" a="1"/>
  <c r="M49" i="5" s="1"/>
  <c r="M50" i="5" s="1" a="1"/>
  <c r="M50" i="5" s="1"/>
  <c r="M51" i="5" s="1" a="1"/>
  <c r="M51" i="5" s="1"/>
  <c r="M52" i="5" s="1" a="1"/>
  <c r="M52" i="5" s="1"/>
  <c r="M53" i="5" s="1" a="1"/>
  <c r="M53" i="5" s="1"/>
  <c r="M54" i="5" s="1" a="1"/>
  <c r="M54" i="5" s="1"/>
  <c r="M55" i="5" s="1" a="1"/>
  <c r="M55" i="5" s="1"/>
  <c r="M56" i="5" s="1" a="1"/>
  <c r="M56" i="5" s="1"/>
  <c r="M57" i="5" s="1" a="1"/>
  <c r="M57" i="5" s="1"/>
  <c r="M58" i="5" s="1" a="1"/>
  <c r="M58" i="5" s="1"/>
  <c r="M59" i="5" s="1" a="1"/>
  <c r="M59" i="5" s="1"/>
  <c r="M60" i="5" s="1" a="1"/>
  <c r="M60" i="5" s="1"/>
  <c r="M61" i="5" s="1" a="1"/>
  <c r="M61" i="5" s="1"/>
  <c r="M62" i="5" s="1" a="1"/>
  <c r="M62" i="5" s="1"/>
  <c r="M63" i="5" s="1" a="1"/>
  <c r="M63" i="5" s="1"/>
  <c r="M64" i="5" s="1" a="1"/>
  <c r="M64" i="5" s="1"/>
  <c r="M65" i="5" s="1" a="1"/>
  <c r="M65" i="5" s="1"/>
  <c r="M66" i="5" s="1" a="1"/>
  <c r="M66" i="5" s="1"/>
  <c r="M67" i="5" s="1" a="1"/>
  <c r="M67" i="5" s="1"/>
  <c r="M68" i="5" s="1" a="1"/>
  <c r="M68" i="5" s="1"/>
  <c r="M69" i="5" s="1" a="1"/>
  <c r="M69" i="5" s="1"/>
  <c r="M70" i="5" s="1" a="1"/>
  <c r="M70" i="5" s="1"/>
  <c r="M71" i="5" s="1" a="1"/>
  <c r="M71" i="5" s="1"/>
  <c r="M72" i="5" s="1" a="1"/>
  <c r="M72" i="5" s="1"/>
  <c r="M73" i="5" s="1" a="1"/>
  <c r="M73" i="5" s="1"/>
  <c r="M74" i="5" s="1" a="1"/>
  <c r="M74" i="5" s="1"/>
  <c r="M75" i="5" s="1" a="1"/>
  <c r="M75" i="5" s="1"/>
  <c r="M76" i="5" s="1" a="1"/>
  <c r="M76" i="5" s="1"/>
  <c r="M77" i="5" s="1" a="1"/>
  <c r="M77" i="5" s="1"/>
  <c r="M78" i="5" s="1" a="1"/>
  <c r="M78" i="5" s="1"/>
  <c r="M79" i="5" s="1" a="1"/>
  <c r="M79" i="5" s="1"/>
  <c r="M80" i="5" s="1" a="1"/>
  <c r="M80" i="5" s="1"/>
  <c r="M81" i="5" s="1" a="1"/>
  <c r="M81" i="5" s="1"/>
  <c r="M82" i="5" s="1" a="1"/>
  <c r="M82" i="5" s="1"/>
  <c r="M83" i="5" s="1" a="1"/>
  <c r="M83" i="5" s="1"/>
  <c r="M84" i="5" s="1" a="1"/>
  <c r="M84" i="5" s="1"/>
  <c r="M85" i="5" s="1" a="1"/>
  <c r="M85" i="5" s="1"/>
  <c r="B14" i="7" a="1"/>
  <c r="B14" i="7" s="1"/>
  <c r="T10" i="7"/>
  <c r="AK10" i="7" s="1"/>
  <c r="U10" i="7"/>
  <c r="AL10" i="7" s="1"/>
  <c r="S10" i="7"/>
  <c r="AJ10" i="7" s="1"/>
  <c r="L13" i="7"/>
  <c r="N13" i="7"/>
  <c r="E14" i="7" a="1"/>
  <c r="E14" i="7" s="1"/>
  <c r="F14" i="7" a="1"/>
  <c r="F14" i="7" s="1"/>
  <c r="M14" i="7" s="1"/>
  <c r="I14" i="7" a="1"/>
  <c r="I14" i="7" s="1"/>
  <c r="G14" i="7" a="1"/>
  <c r="G14" i="7" s="1"/>
  <c r="D14" i="7" a="1"/>
  <c r="D14" i="7" s="1"/>
  <c r="AG14" i="7" s="1"/>
  <c r="H14" i="7" a="1"/>
  <c r="H14" i="7" s="1"/>
  <c r="C14" i="7" a="1"/>
  <c r="C14" i="7" s="1"/>
  <c r="AE14" i="7" s="1"/>
  <c r="J14" i="7" a="1"/>
  <c r="J14" i="7" s="1"/>
  <c r="A15" i="7"/>
  <c r="C13" i="3" a="1"/>
  <c r="C13" i="3" s="1"/>
  <c r="E13" i="3" a="1"/>
  <c r="E13" i="3" s="1"/>
  <c r="F13" i="3" a="1"/>
  <c r="F13" i="3" s="1"/>
  <c r="C14" i="3" a="1"/>
  <c r="C14" i="3" s="1"/>
  <c r="E14" i="3" a="1"/>
  <c r="E14" i="3" s="1"/>
  <c r="F14" i="3" a="1"/>
  <c r="F14" i="3" s="1"/>
  <c r="Z14" i="9" l="1"/>
  <c r="AE10" i="9"/>
  <c r="AF10" i="9" s="1"/>
  <c r="AG10" i="9" s="1"/>
  <c r="AH10" i="9" s="1"/>
  <c r="AI10" i="9" s="1"/>
  <c r="AA13" i="2"/>
  <c r="AS13" i="2"/>
  <c r="AA14" i="2"/>
  <c r="AS14" i="2"/>
  <c r="AN11" i="3"/>
  <c r="AE11" i="3"/>
  <c r="P12" i="3"/>
  <c r="R12" i="3" s="1"/>
  <c r="U12" i="3" s="1"/>
  <c r="V12" i="3" s="1"/>
  <c r="AE11" i="9"/>
  <c r="AF11" i="9" s="1"/>
  <c r="AG11" i="9" s="1"/>
  <c r="AH11" i="9" s="1"/>
  <c r="AI11" i="9" s="1"/>
  <c r="M13" i="9"/>
  <c r="N13" i="9" s="1"/>
  <c r="O13" i="9" s="1"/>
  <c r="AD13" i="9"/>
  <c r="L13" i="9"/>
  <c r="K15" i="5" a="1"/>
  <c r="K15" i="5" s="1"/>
  <c r="A15" i="9" s="1"/>
  <c r="P12" i="9"/>
  <c r="Q12" i="9" s="1"/>
  <c r="R12" i="9" s="1"/>
  <c r="T12" i="9" s="1"/>
  <c r="U12" i="9" s="1"/>
  <c r="W12" i="9" s="1"/>
  <c r="X12" i="9" s="1"/>
  <c r="G14" i="9" a="1"/>
  <c r="G14" i="9" s="1"/>
  <c r="D14" i="9" a="1"/>
  <c r="D14" i="9" s="1"/>
  <c r="V14" i="9" s="1"/>
  <c r="E14" i="9" a="1"/>
  <c r="E14" i="9" s="1"/>
  <c r="J14" i="9" a="1"/>
  <c r="J14" i="9" s="1"/>
  <c r="I14" i="9" a="1"/>
  <c r="I14" i="9" s="1"/>
  <c r="C14" i="9" a="1"/>
  <c r="C14" i="9" s="1"/>
  <c r="F14" i="9" a="1"/>
  <c r="F14" i="9" s="1"/>
  <c r="H14" i="9" a="1"/>
  <c r="H14" i="9" s="1"/>
  <c r="B14" i="9" a="1"/>
  <c r="B14" i="9" s="1"/>
  <c r="F159" i="5"/>
  <c r="AN8" i="7"/>
  <c r="AP8" i="7" s="1"/>
  <c r="S13" i="3"/>
  <c r="T13" i="3" s="1"/>
  <c r="W13" i="7"/>
  <c r="O13" i="7"/>
  <c r="P12" i="7"/>
  <c r="Q12" i="7" s="1"/>
  <c r="R12" i="7" s="1"/>
  <c r="X12" i="7"/>
  <c r="Y12" i="7"/>
  <c r="Z12" i="7" s="1"/>
  <c r="AA12" i="7" s="1"/>
  <c r="AB12" i="7" s="1"/>
  <c r="AC12" i="7" s="1"/>
  <c r="AD12" i="7" s="1"/>
  <c r="AF12" i="7" s="1"/>
  <c r="AH12" i="7" s="1"/>
  <c r="C13" i="2" a="1"/>
  <c r="C13" i="2" s="1"/>
  <c r="B14" i="2" a="1"/>
  <c r="B14" i="2" s="1"/>
  <c r="BC14" i="2" s="1"/>
  <c r="T14" i="3"/>
  <c r="Z9" i="7"/>
  <c r="AA9" i="7" s="1"/>
  <c r="AB9" i="7" s="1"/>
  <c r="AC9" i="7" s="1"/>
  <c r="AD9" i="7" s="1"/>
  <c r="AF9" i="7" s="1"/>
  <c r="AH9" i="7" s="1"/>
  <c r="H14" i="2" a="1"/>
  <c r="H14" i="2" s="1"/>
  <c r="I14" i="2" a="1"/>
  <c r="I14" i="2" s="1"/>
  <c r="J14" i="2" a="1"/>
  <c r="J14" i="2" s="1"/>
  <c r="G13" i="2" a="1"/>
  <c r="G13" i="2" s="1"/>
  <c r="D13" i="2" a="1"/>
  <c r="D13" i="2" s="1"/>
  <c r="H13" i="2" a="1"/>
  <c r="H13" i="2" s="1"/>
  <c r="I13" i="2" a="1"/>
  <c r="I13" i="2" s="1"/>
  <c r="B13" i="2" a="1"/>
  <c r="B13" i="2" s="1"/>
  <c r="J13" i="2" a="1"/>
  <c r="J13" i="2" s="1"/>
  <c r="AX12" i="2"/>
  <c r="AF12" i="2"/>
  <c r="N12" i="2"/>
  <c r="I16" i="5" a="1"/>
  <c r="I16" i="5" s="1"/>
  <c r="A16" i="2" s="1"/>
  <c r="A15" i="2"/>
  <c r="D14" i="2" a="1"/>
  <c r="D14" i="2" s="1"/>
  <c r="G14" i="2" a="1"/>
  <c r="G14" i="2" s="1"/>
  <c r="C14" i="2" a="1"/>
  <c r="C14" i="2" s="1"/>
  <c r="S12" i="2"/>
  <c r="AK12" i="2"/>
  <c r="T9" i="7"/>
  <c r="S9" i="7"/>
  <c r="U9" i="7"/>
  <c r="AH14" i="3"/>
  <c r="Y14" i="3"/>
  <c r="AB14" i="3"/>
  <c r="AK14" i="3"/>
  <c r="Y13" i="3"/>
  <c r="X14" i="3"/>
  <c r="Z14" i="3" s="1"/>
  <c r="AG14" i="3"/>
  <c r="AI14" i="3" s="1"/>
  <c r="K14" i="3"/>
  <c r="M14" i="3" s="1"/>
  <c r="N14" i="3" s="1"/>
  <c r="AH13" i="3"/>
  <c r="X13" i="3"/>
  <c r="Z13" i="3" s="1"/>
  <c r="AG13" i="3"/>
  <c r="AI13" i="3" s="1"/>
  <c r="K13" i="3"/>
  <c r="M13" i="3" s="1"/>
  <c r="N13" i="3" s="1"/>
  <c r="AA12" i="3"/>
  <c r="AC12" i="3" s="1"/>
  <c r="AD12" i="3" s="1"/>
  <c r="AK13" i="3"/>
  <c r="AB13" i="3"/>
  <c r="AJ12" i="3"/>
  <c r="AL12" i="3" s="1"/>
  <c r="AM12" i="3" s="1"/>
  <c r="O14" i="3"/>
  <c r="O13" i="3"/>
  <c r="B15" i="7" a="1"/>
  <c r="B15" i="7" s="1"/>
  <c r="S11" i="7"/>
  <c r="AJ11" i="7" s="1"/>
  <c r="T11" i="7"/>
  <c r="AK11" i="7" s="1"/>
  <c r="U11" i="7"/>
  <c r="AL11" i="7" s="1"/>
  <c r="AN10" i="7"/>
  <c r="AP10" i="7" s="1"/>
  <c r="L14" i="7"/>
  <c r="F15" i="7" a="1"/>
  <c r="F15" i="7" s="1"/>
  <c r="M15" i="7" s="1"/>
  <c r="N14" i="7"/>
  <c r="D15" i="7" a="1"/>
  <c r="D15" i="7" s="1"/>
  <c r="AG15" i="7" s="1"/>
  <c r="E15" i="7" a="1"/>
  <c r="E15" i="7" s="1"/>
  <c r="H15" i="7" a="1"/>
  <c r="H15" i="7" s="1"/>
  <c r="I15" i="7" a="1"/>
  <c r="I15" i="7" s="1"/>
  <c r="J15" i="7" a="1"/>
  <c r="J15" i="7" s="1"/>
  <c r="G15" i="7" a="1"/>
  <c r="G15" i="7" s="1"/>
  <c r="C15" i="7" a="1"/>
  <c r="C15" i="7" s="1"/>
  <c r="AE15" i="7" s="1"/>
  <c r="A16" i="7"/>
  <c r="A15" i="3"/>
  <c r="Z15" i="9" l="1"/>
  <c r="F117" i="5"/>
  <c r="AE12" i="3"/>
  <c r="AN12" i="3"/>
  <c r="AS15" i="2"/>
  <c r="AA15" i="2"/>
  <c r="AA16" i="2"/>
  <c r="AS16" i="2"/>
  <c r="G15" i="3" a="1"/>
  <c r="G15" i="3" s="1"/>
  <c r="L14" i="9"/>
  <c r="S14" i="2"/>
  <c r="P14" i="3"/>
  <c r="R14" i="3" s="1"/>
  <c r="U14" i="3" s="1"/>
  <c r="V14" i="3" s="1"/>
  <c r="P13" i="3"/>
  <c r="R13" i="3" s="1"/>
  <c r="U13" i="3" s="1"/>
  <c r="V13" i="3" s="1"/>
  <c r="AA12" i="9"/>
  <c r="AB12" i="9" s="1"/>
  <c r="AC12" i="9" s="1"/>
  <c r="AD14" i="9"/>
  <c r="M14" i="9"/>
  <c r="N14" i="9" s="1"/>
  <c r="O14" i="9" s="1"/>
  <c r="D15" i="9" a="1"/>
  <c r="D15" i="9" s="1"/>
  <c r="V15" i="9" s="1"/>
  <c r="G15" i="9" a="1"/>
  <c r="G15" i="9" s="1"/>
  <c r="H15" i="9" a="1"/>
  <c r="H15" i="9" s="1"/>
  <c r="B15" i="9" a="1"/>
  <c r="B15" i="9" s="1"/>
  <c r="C15" i="9" a="1"/>
  <c r="C15" i="9" s="1"/>
  <c r="E15" i="9" a="1"/>
  <c r="E15" i="9" s="1"/>
  <c r="F15" i="9" a="1"/>
  <c r="F15" i="9" s="1"/>
  <c r="J15" i="9" a="1"/>
  <c r="J15" i="9" s="1"/>
  <c r="I15" i="9" a="1"/>
  <c r="I15" i="9" s="1"/>
  <c r="P13" i="9"/>
  <c r="Q13" i="9" s="1"/>
  <c r="R13" i="9" s="1"/>
  <c r="T13" i="9" s="1"/>
  <c r="U13" i="9" s="1"/>
  <c r="W13" i="9" s="1"/>
  <c r="X13" i="9" s="1"/>
  <c r="K16" i="5" a="1"/>
  <c r="K16" i="5" s="1"/>
  <c r="A16" i="9" s="1"/>
  <c r="AK14" i="2"/>
  <c r="F161" i="5"/>
  <c r="W14" i="7"/>
  <c r="O14" i="7"/>
  <c r="P13" i="7"/>
  <c r="Q13" i="7" s="1"/>
  <c r="R13" i="7" s="1"/>
  <c r="X13" i="7"/>
  <c r="Y13" i="7"/>
  <c r="Z13" i="7" s="1"/>
  <c r="AA13" i="7" s="1"/>
  <c r="AB13" i="7" s="1"/>
  <c r="AC13" i="7" s="1"/>
  <c r="AD13" i="7" s="1"/>
  <c r="AF13" i="7" s="1"/>
  <c r="AH13" i="7" s="1"/>
  <c r="C15" i="2" a="1"/>
  <c r="C15" i="2" s="1"/>
  <c r="F119" i="5"/>
  <c r="AL9" i="7"/>
  <c r="AJ9" i="7"/>
  <c r="AK9" i="7"/>
  <c r="D16" i="2" a="1"/>
  <c r="D16" i="2" s="1"/>
  <c r="G16" i="2" a="1"/>
  <c r="G16" i="2" s="1"/>
  <c r="C16" i="2" a="1"/>
  <c r="C16" i="2" s="1"/>
  <c r="I17" i="5" a="1"/>
  <c r="I17" i="5" s="1"/>
  <c r="A17" i="2" s="1"/>
  <c r="D15" i="2" a="1"/>
  <c r="D15" i="2" s="1"/>
  <c r="G15" i="2" a="1"/>
  <c r="G15" i="2" s="1"/>
  <c r="S13" i="2"/>
  <c r="BC13" i="2"/>
  <c r="AK13" i="2"/>
  <c r="AF14" i="2"/>
  <c r="N14" i="2"/>
  <c r="AX14" i="2"/>
  <c r="AX13" i="2"/>
  <c r="N13" i="2"/>
  <c r="AF13" i="2"/>
  <c r="H15" i="2" a="1"/>
  <c r="H15" i="2" s="1"/>
  <c r="I15" i="2" a="1"/>
  <c r="I15" i="2" s="1"/>
  <c r="J15" i="2" a="1"/>
  <c r="J15" i="2" s="1"/>
  <c r="B15" i="2" a="1"/>
  <c r="B15" i="2" s="1"/>
  <c r="S15" i="2" s="1"/>
  <c r="D15" i="3" a="1"/>
  <c r="D15" i="3" s="1"/>
  <c r="S15" i="3" s="1"/>
  <c r="I15" i="3" a="1"/>
  <c r="I15" i="3" s="1"/>
  <c r="H15" i="3" a="1"/>
  <c r="H15" i="3" s="1"/>
  <c r="AA14" i="3"/>
  <c r="AC14" i="3" s="1"/>
  <c r="AD14" i="3" s="1"/>
  <c r="AJ14" i="3"/>
  <c r="AL14" i="3" s="1"/>
  <c r="AM14" i="3" s="1"/>
  <c r="AA13" i="3"/>
  <c r="AC13" i="3" s="1"/>
  <c r="AD13" i="3" s="1"/>
  <c r="AJ13" i="3"/>
  <c r="AL13" i="3" s="1"/>
  <c r="AM13" i="3" s="1"/>
  <c r="B15" i="3" a="1"/>
  <c r="B15" i="3" s="1"/>
  <c r="Y15" i="3" s="1"/>
  <c r="B16" i="2" a="1"/>
  <c r="B16" i="2" s="1"/>
  <c r="B16" i="7" a="1"/>
  <c r="B16" i="7" s="1"/>
  <c r="T12" i="7"/>
  <c r="AK12" i="7" s="1"/>
  <c r="S12" i="7"/>
  <c r="AJ12" i="7" s="1"/>
  <c r="U12" i="7"/>
  <c r="AL12" i="7" s="1"/>
  <c r="AN11" i="7"/>
  <c r="AP11" i="7" s="1"/>
  <c r="L15" i="7"/>
  <c r="N15" i="7"/>
  <c r="F16" i="7" a="1"/>
  <c r="F16" i="7" s="1"/>
  <c r="M16" i="7" s="1"/>
  <c r="D16" i="7" a="1"/>
  <c r="D16" i="7" s="1"/>
  <c r="AG16" i="7" s="1"/>
  <c r="E16" i="7" a="1"/>
  <c r="E16" i="7" s="1"/>
  <c r="H16" i="7" a="1"/>
  <c r="H16" i="7" s="1"/>
  <c r="G16" i="7" a="1"/>
  <c r="G16" i="7" s="1"/>
  <c r="I16" i="7" a="1"/>
  <c r="I16" i="7" s="1"/>
  <c r="J16" i="7" a="1"/>
  <c r="J16" i="7" s="1"/>
  <c r="C16" i="7" a="1"/>
  <c r="C16" i="7" s="1"/>
  <c r="AE16" i="7" s="1"/>
  <c r="A17" i="7"/>
  <c r="E15" i="3" a="1"/>
  <c r="E15" i="3" s="1"/>
  <c r="C15" i="3" a="1"/>
  <c r="C15" i="3" s="1"/>
  <c r="F15" i="3" a="1"/>
  <c r="F15" i="3" s="1"/>
  <c r="A16" i="3"/>
  <c r="Z16" i="9" l="1"/>
  <c r="AA17" i="2"/>
  <c r="AS17" i="2"/>
  <c r="AE14" i="3"/>
  <c r="AN14" i="3"/>
  <c r="G16" i="3" a="1"/>
  <c r="G16" i="3" s="1"/>
  <c r="AN13" i="3"/>
  <c r="AE13" i="3"/>
  <c r="P14" i="9"/>
  <c r="Q14" i="9" s="1"/>
  <c r="R14" i="9" s="1"/>
  <c r="T14" i="9" s="1"/>
  <c r="U14" i="9" s="1"/>
  <c r="W14" i="9" s="1"/>
  <c r="X14" i="9" s="1"/>
  <c r="AA14" i="9" s="1"/>
  <c r="AB14" i="9" s="1"/>
  <c r="AC14" i="9" s="1"/>
  <c r="AE14" i="9" s="1"/>
  <c r="AF14" i="9" s="1"/>
  <c r="AG14" i="9" s="1"/>
  <c r="AH14" i="9" s="1"/>
  <c r="AI14" i="9" s="1"/>
  <c r="L15" i="9"/>
  <c r="D16" i="9" a="1"/>
  <c r="D16" i="9" s="1"/>
  <c r="V16" i="9" s="1"/>
  <c r="J16" i="9" a="1"/>
  <c r="J16" i="9" s="1"/>
  <c r="G16" i="9" a="1"/>
  <c r="G16" i="9" s="1"/>
  <c r="F16" i="9" a="1"/>
  <c r="F16" i="9" s="1"/>
  <c r="E16" i="9" a="1"/>
  <c r="E16" i="9" s="1"/>
  <c r="B16" i="9" a="1"/>
  <c r="B16" i="9" s="1"/>
  <c r="H16" i="9" a="1"/>
  <c r="H16" i="9" s="1"/>
  <c r="C16" i="9" a="1"/>
  <c r="C16" i="9" s="1"/>
  <c r="I16" i="9" a="1"/>
  <c r="I16" i="9" s="1"/>
  <c r="AA13" i="9"/>
  <c r="AB13" i="9" s="1"/>
  <c r="AC13" i="9" s="1"/>
  <c r="AD15" i="9"/>
  <c r="M15" i="9"/>
  <c r="N15" i="9" s="1"/>
  <c r="O15" i="9" s="1"/>
  <c r="K17" i="5" a="1"/>
  <c r="K17" i="5" s="1"/>
  <c r="A17" i="9" s="1"/>
  <c r="AE12" i="9"/>
  <c r="AF12" i="9" s="1"/>
  <c r="AG12" i="9" s="1"/>
  <c r="AH12" i="9" s="1"/>
  <c r="AI12" i="9" s="1"/>
  <c r="F162" i="5" s="1"/>
  <c r="F160" i="5"/>
  <c r="W15" i="7"/>
  <c r="O15" i="7"/>
  <c r="P14" i="7"/>
  <c r="Q14" i="7" s="1"/>
  <c r="R14" i="7" s="1"/>
  <c r="X14" i="7"/>
  <c r="Y14" i="7"/>
  <c r="Z14" i="7" s="1"/>
  <c r="AA14" i="7" s="1"/>
  <c r="AB14" i="7" s="1"/>
  <c r="AC14" i="7" s="1"/>
  <c r="AD14" i="7" s="1"/>
  <c r="AF14" i="7" s="1"/>
  <c r="AH14" i="7" s="1"/>
  <c r="C17" i="2" a="1"/>
  <c r="C17" i="2" s="1"/>
  <c r="F120" i="5"/>
  <c r="I16" i="3" a="1"/>
  <c r="I16" i="3" s="1"/>
  <c r="AN9" i="7"/>
  <c r="AP9" i="7" s="1"/>
  <c r="I18" i="5" a="1"/>
  <c r="I18" i="5" s="1"/>
  <c r="A18" i="2" s="1"/>
  <c r="N15" i="2"/>
  <c r="AF15" i="2"/>
  <c r="AX15" i="2"/>
  <c r="G17" i="2" a="1"/>
  <c r="G17" i="2" s="1"/>
  <c r="D17" i="2" a="1"/>
  <c r="D17" i="2" s="1"/>
  <c r="AK15" i="2"/>
  <c r="BC15" i="2"/>
  <c r="T15" i="3"/>
  <c r="H16" i="3" a="1"/>
  <c r="H16" i="3" s="1"/>
  <c r="AK15" i="3"/>
  <c r="AB15" i="3"/>
  <c r="X15" i="3"/>
  <c r="Z15" i="3" s="1"/>
  <c r="AA15" i="3" s="1"/>
  <c r="AG15" i="3"/>
  <c r="AI15" i="3" s="1"/>
  <c r="K15" i="3"/>
  <c r="M15" i="3" s="1"/>
  <c r="AH15" i="3"/>
  <c r="O15" i="3"/>
  <c r="L15" i="3"/>
  <c r="D16" i="3" a="1"/>
  <c r="D16" i="3" s="1"/>
  <c r="S16" i="3" s="1"/>
  <c r="B16" i="3" a="1"/>
  <c r="B16" i="3" s="1"/>
  <c r="L16" i="3" s="1"/>
  <c r="S16" i="2"/>
  <c r="AK16" i="2"/>
  <c r="BC16" i="2"/>
  <c r="B17" i="2" a="1"/>
  <c r="B17" i="2" s="1"/>
  <c r="B17" i="7" a="1"/>
  <c r="B17" i="7" s="1"/>
  <c r="S13" i="7"/>
  <c r="AJ13" i="7" s="1"/>
  <c r="U13" i="7"/>
  <c r="AL13" i="7" s="1"/>
  <c r="T13" i="7"/>
  <c r="AK13" i="7" s="1"/>
  <c r="AN12" i="7"/>
  <c r="AP12" i="7" s="1"/>
  <c r="L16" i="7"/>
  <c r="N16" i="7"/>
  <c r="O16" i="7" s="1"/>
  <c r="F17" i="7" a="1"/>
  <c r="F17" i="7" s="1"/>
  <c r="M17" i="7" s="1"/>
  <c r="D17" i="7" a="1"/>
  <c r="D17" i="7" s="1"/>
  <c r="AG17" i="7" s="1"/>
  <c r="E17" i="7" a="1"/>
  <c r="E17" i="7" s="1"/>
  <c r="H17" i="7" a="1"/>
  <c r="H17" i="7" s="1"/>
  <c r="I17" i="7" a="1"/>
  <c r="I17" i="7" s="1"/>
  <c r="J17" i="7" a="1"/>
  <c r="J17" i="7" s="1"/>
  <c r="G17" i="7" a="1"/>
  <c r="G17" i="7" s="1"/>
  <c r="C17" i="7" a="1"/>
  <c r="C17" i="7" s="1"/>
  <c r="AE17" i="7" s="1"/>
  <c r="A18" i="7"/>
  <c r="A17" i="3"/>
  <c r="F16" i="3" a="1"/>
  <c r="F16" i="3" s="1"/>
  <c r="E16" i="3" a="1"/>
  <c r="E16" i="3" s="1"/>
  <c r="C16" i="3" a="1"/>
  <c r="C16" i="3" s="1"/>
  <c r="Z17" i="9" l="1"/>
  <c r="AA18" i="2"/>
  <c r="AS18" i="2"/>
  <c r="G17" i="3" a="1"/>
  <c r="G17" i="3" s="1"/>
  <c r="L16" i="9"/>
  <c r="P15" i="9"/>
  <c r="Q15" i="9" s="1"/>
  <c r="R15" i="9" s="1"/>
  <c r="T15" i="9" s="1"/>
  <c r="U15" i="9" s="1"/>
  <c r="W15" i="9" s="1"/>
  <c r="X15" i="9" s="1"/>
  <c r="AA15" i="9" s="1"/>
  <c r="AB15" i="9" s="1"/>
  <c r="AC15" i="9" s="1"/>
  <c r="D17" i="9" a="1"/>
  <c r="D17" i="9" s="1"/>
  <c r="V17" i="9" s="1"/>
  <c r="I17" i="9" a="1"/>
  <c r="I17" i="9" s="1"/>
  <c r="B17" i="9" a="1"/>
  <c r="B17" i="9" s="1"/>
  <c r="E17" i="9" a="1"/>
  <c r="E17" i="9" s="1"/>
  <c r="F17" i="9" a="1"/>
  <c r="F17" i="9" s="1"/>
  <c r="G17" i="9" a="1"/>
  <c r="G17" i="9" s="1"/>
  <c r="C17" i="9" a="1"/>
  <c r="C17" i="9" s="1"/>
  <c r="H17" i="9" a="1"/>
  <c r="H17" i="9" s="1"/>
  <c r="J17" i="9" a="1"/>
  <c r="J17" i="9" s="1"/>
  <c r="K18" i="5" a="1"/>
  <c r="K18" i="5" s="1"/>
  <c r="A18" i="9" s="1"/>
  <c r="M16" i="9"/>
  <c r="N16" i="9" s="1"/>
  <c r="O16" i="9" s="1"/>
  <c r="AD16" i="9"/>
  <c r="AE13" i="9"/>
  <c r="AF13" i="9" s="1"/>
  <c r="AG13" i="9" s="1"/>
  <c r="AH13" i="9" s="1"/>
  <c r="AI13" i="9" s="1"/>
  <c r="F163" i="5" s="1"/>
  <c r="P16" i="7"/>
  <c r="Q16" i="7" s="1"/>
  <c r="R16" i="7" s="1"/>
  <c r="P15" i="7"/>
  <c r="Q15" i="7" s="1"/>
  <c r="R15" i="7" s="1"/>
  <c r="X15" i="7"/>
  <c r="Y15" i="7"/>
  <c r="Z15" i="7" s="1"/>
  <c r="AA15" i="7" s="1"/>
  <c r="AB15" i="7" s="1"/>
  <c r="AC15" i="7" s="1"/>
  <c r="AD15" i="7" s="1"/>
  <c r="AF15" i="7" s="1"/>
  <c r="AH15" i="7" s="1"/>
  <c r="C18" i="2" a="1"/>
  <c r="C18" i="2" s="1"/>
  <c r="F121" i="5"/>
  <c r="F118" i="5"/>
  <c r="T16" i="3"/>
  <c r="I17" i="3" a="1"/>
  <c r="I17" i="3" s="1"/>
  <c r="I19" i="5" a="1"/>
  <c r="I19" i="5" s="1"/>
  <c r="A19" i="2" s="1"/>
  <c r="G18" i="2" a="1"/>
  <c r="G18" i="2" s="1"/>
  <c r="D18" i="2" a="1"/>
  <c r="D18" i="2" s="1"/>
  <c r="H17" i="3" a="1"/>
  <c r="H17" i="3" s="1"/>
  <c r="AC15" i="3"/>
  <c r="AD15" i="3" s="1"/>
  <c r="AB16" i="3"/>
  <c r="AK16" i="3"/>
  <c r="AH16" i="3"/>
  <c r="Y16" i="3"/>
  <c r="AJ15" i="3"/>
  <c r="AL15" i="3" s="1"/>
  <c r="AM15" i="3" s="1"/>
  <c r="AG16" i="3"/>
  <c r="AI16" i="3" s="1"/>
  <c r="K16" i="3"/>
  <c r="M16" i="3" s="1"/>
  <c r="N16" i="3" s="1"/>
  <c r="X16" i="3"/>
  <c r="Z16" i="3" s="1"/>
  <c r="N15" i="3"/>
  <c r="O16" i="3"/>
  <c r="D17" i="3" a="1"/>
  <c r="D17" i="3" s="1"/>
  <c r="S17" i="3" s="1"/>
  <c r="B17" i="3" a="1"/>
  <c r="B17" i="3" s="1"/>
  <c r="L17" i="3" s="1"/>
  <c r="S17" i="2"/>
  <c r="BC17" i="2"/>
  <c r="AK17" i="2"/>
  <c r="B18" i="2" a="1"/>
  <c r="B18" i="2" s="1"/>
  <c r="B18" i="7" a="1"/>
  <c r="B18" i="7" s="1"/>
  <c r="H18" i="2" a="1"/>
  <c r="H18" i="2" s="1"/>
  <c r="I18" i="2" a="1"/>
  <c r="I18" i="2" s="1"/>
  <c r="J18" i="2" a="1"/>
  <c r="J18" i="2" s="1"/>
  <c r="U14" i="7"/>
  <c r="AL14" i="7" s="1"/>
  <c r="T14" i="7"/>
  <c r="AK14" i="7" s="1"/>
  <c r="S14" i="7"/>
  <c r="AJ14" i="7" s="1"/>
  <c r="AN13" i="7"/>
  <c r="AP13" i="7" s="1"/>
  <c r="W16" i="7"/>
  <c r="L17" i="7"/>
  <c r="N17" i="7"/>
  <c r="O17" i="7" s="1"/>
  <c r="F18" i="7" a="1"/>
  <c r="F18" i="7" s="1"/>
  <c r="M18" i="7" s="1"/>
  <c r="D18" i="7" a="1"/>
  <c r="D18" i="7" s="1"/>
  <c r="AG18" i="7" s="1"/>
  <c r="E18" i="7" a="1"/>
  <c r="E18" i="7" s="1"/>
  <c r="G18" i="7" a="1"/>
  <c r="G18" i="7" s="1"/>
  <c r="I18" i="7" a="1"/>
  <c r="I18" i="7" s="1"/>
  <c r="H18" i="7" a="1"/>
  <c r="H18" i="7" s="1"/>
  <c r="J18" i="7" a="1"/>
  <c r="J18" i="7" s="1"/>
  <c r="C18" i="7" a="1"/>
  <c r="C18" i="7" s="1"/>
  <c r="AE18" i="7" s="1"/>
  <c r="A19" i="7"/>
  <c r="B8" i="2" a="1"/>
  <c r="B8" i="2" s="1"/>
  <c r="C17" i="3" a="1"/>
  <c r="C17" i="3" s="1"/>
  <c r="F17" i="3" a="1"/>
  <c r="F17" i="3" s="1"/>
  <c r="E17" i="3" a="1"/>
  <c r="E17" i="3" s="1"/>
  <c r="A18" i="3"/>
  <c r="Z18" i="9" l="1"/>
  <c r="AA19" i="2"/>
  <c r="AS19" i="2"/>
  <c r="P16" i="9"/>
  <c r="Q16" i="9" s="1"/>
  <c r="R16" i="9" s="1"/>
  <c r="T16" i="9" s="1"/>
  <c r="U16" i="9" s="1"/>
  <c r="W16" i="9" s="1"/>
  <c r="X16" i="9" s="1"/>
  <c r="AA16" i="9" s="1"/>
  <c r="AB16" i="9" s="1"/>
  <c r="AC16" i="9" s="1"/>
  <c r="G18" i="3" a="1"/>
  <c r="G18" i="3" s="1"/>
  <c r="P16" i="3"/>
  <c r="R16" i="3" s="1"/>
  <c r="U16" i="3" s="1"/>
  <c r="V16" i="3" s="1"/>
  <c r="AD17" i="9"/>
  <c r="M17" i="9"/>
  <c r="N17" i="9" s="1"/>
  <c r="O17" i="9" s="1"/>
  <c r="L17" i="9"/>
  <c r="H18" i="9" a="1"/>
  <c r="H18" i="9" s="1"/>
  <c r="I18" i="9" a="1"/>
  <c r="I18" i="9" s="1"/>
  <c r="B18" i="9" a="1"/>
  <c r="B18" i="9" s="1"/>
  <c r="J18" i="9" a="1"/>
  <c r="J18" i="9" s="1"/>
  <c r="C18" i="9" a="1"/>
  <c r="C18" i="9" s="1"/>
  <c r="E18" i="9" a="1"/>
  <c r="E18" i="9" s="1"/>
  <c r="F18" i="9" a="1"/>
  <c r="F18" i="9" s="1"/>
  <c r="G18" i="9" a="1"/>
  <c r="G18" i="9" s="1"/>
  <c r="D18" i="9" a="1"/>
  <c r="D18" i="9" s="1"/>
  <c r="V18" i="9" s="1"/>
  <c r="K19" i="5" a="1"/>
  <c r="K19" i="5" s="1"/>
  <c r="A19" i="9" s="1"/>
  <c r="P15" i="3"/>
  <c r="R15" i="3" s="1"/>
  <c r="U15" i="3" s="1"/>
  <c r="V15" i="3" s="1"/>
  <c r="AE15" i="9"/>
  <c r="AF15" i="9" s="1"/>
  <c r="AG15" i="9" s="1"/>
  <c r="AH15" i="9" s="1"/>
  <c r="AI15" i="9" s="1"/>
  <c r="P17" i="7"/>
  <c r="Q17" i="7" s="1"/>
  <c r="X16" i="7"/>
  <c r="Y16" i="7"/>
  <c r="Z16" i="7" s="1"/>
  <c r="AA16" i="7" s="1"/>
  <c r="AB16" i="7" s="1"/>
  <c r="AC16" i="7" s="1"/>
  <c r="AD16" i="7" s="1"/>
  <c r="AF16" i="7" s="1"/>
  <c r="AH16" i="7" s="1"/>
  <c r="F164" i="5"/>
  <c r="F122" i="5"/>
  <c r="T17" i="3"/>
  <c r="I18" i="3" a="1"/>
  <c r="I18" i="3" s="1"/>
  <c r="C19" i="2" a="1"/>
  <c r="C19" i="2" s="1"/>
  <c r="G19" i="2" a="1"/>
  <c r="G19" i="2" s="1"/>
  <c r="D19" i="2" a="1"/>
  <c r="D19" i="2" s="1"/>
  <c r="I20" i="5" a="1"/>
  <c r="I20" i="5" s="1"/>
  <c r="A20" i="2" s="1"/>
  <c r="AF18" i="2"/>
  <c r="AX18" i="2"/>
  <c r="N18" i="2"/>
  <c r="H18" i="3" a="1"/>
  <c r="H18" i="3" s="1"/>
  <c r="AJ16" i="3"/>
  <c r="AL16" i="3" s="1"/>
  <c r="AM16" i="3" s="1"/>
  <c r="AH17" i="3"/>
  <c r="AB17" i="3"/>
  <c r="AK17" i="3"/>
  <c r="AA16" i="3"/>
  <c r="AC16" i="3" s="1"/>
  <c r="AD16" i="3" s="1"/>
  <c r="Y17" i="3"/>
  <c r="AG17" i="3"/>
  <c r="AI17" i="3" s="1"/>
  <c r="K17" i="3"/>
  <c r="M17" i="3" s="1"/>
  <c r="N17" i="3" s="1"/>
  <c r="X17" i="3"/>
  <c r="Z17" i="3" s="1"/>
  <c r="D18" i="3" a="1"/>
  <c r="D18" i="3" s="1"/>
  <c r="O17" i="3"/>
  <c r="B18" i="3" a="1"/>
  <c r="B18" i="3" s="1"/>
  <c r="Y18" i="3" s="1"/>
  <c r="S18" i="2"/>
  <c r="BC18" i="2"/>
  <c r="AK18" i="2"/>
  <c r="S8" i="2"/>
  <c r="AK8" i="2"/>
  <c r="BC8" i="2"/>
  <c r="B19" i="2" a="1"/>
  <c r="B19" i="2" s="1"/>
  <c r="B19" i="7" a="1"/>
  <c r="B19" i="7" s="1"/>
  <c r="I19" i="2" a="1"/>
  <c r="I19" i="2" s="1"/>
  <c r="J19" i="2" a="1"/>
  <c r="J19" i="2" s="1"/>
  <c r="H19" i="2" a="1"/>
  <c r="H19" i="2" s="1"/>
  <c r="U15" i="7"/>
  <c r="AL15" i="7" s="1"/>
  <c r="T15" i="7"/>
  <c r="AK15" i="7" s="1"/>
  <c r="S15" i="7"/>
  <c r="AJ15" i="7" s="1"/>
  <c r="T16" i="7"/>
  <c r="U16" i="7"/>
  <c r="S16" i="7"/>
  <c r="AN14" i="7"/>
  <c r="AP14" i="7" s="1"/>
  <c r="W17" i="7"/>
  <c r="L18" i="7"/>
  <c r="N18" i="7"/>
  <c r="F19" i="7" a="1"/>
  <c r="F19" i="7" s="1"/>
  <c r="M19" i="7" s="1"/>
  <c r="D19" i="7" a="1"/>
  <c r="D19" i="7" s="1"/>
  <c r="AG19" i="7" s="1"/>
  <c r="E19" i="7" a="1"/>
  <c r="E19" i="7" s="1"/>
  <c r="I19" i="7" a="1"/>
  <c r="I19" i="7" s="1"/>
  <c r="J19" i="7" a="1"/>
  <c r="J19" i="7" s="1"/>
  <c r="G19" i="7" a="1"/>
  <c r="G19" i="7" s="1"/>
  <c r="H19" i="7" a="1"/>
  <c r="H19" i="7" s="1"/>
  <c r="C19" i="7" a="1"/>
  <c r="C19" i="7" s="1"/>
  <c r="AE19" i="7" s="1"/>
  <c r="A20" i="7"/>
  <c r="D8" i="2" a="1"/>
  <c r="D8" i="2" s="1"/>
  <c r="C8" i="2" a="1"/>
  <c r="C8" i="2" s="1"/>
  <c r="G8" i="2" a="1"/>
  <c r="G8" i="2" s="1"/>
  <c r="E8" i="2" a="1"/>
  <c r="E8" i="2" s="1"/>
  <c r="F8" i="2" s="1"/>
  <c r="A19" i="3"/>
  <c r="C18" i="3" a="1"/>
  <c r="C18" i="3" s="1"/>
  <c r="E18" i="3" a="1"/>
  <c r="E18" i="3" s="1"/>
  <c r="F18" i="3" a="1"/>
  <c r="F18" i="3" s="1"/>
  <c r="Z19" i="9" l="1"/>
  <c r="AE15" i="3"/>
  <c r="AE16" i="3"/>
  <c r="AA20" i="2"/>
  <c r="AS20" i="2"/>
  <c r="AN15" i="3"/>
  <c r="AN16" i="3"/>
  <c r="G19" i="3" a="1"/>
  <c r="G19" i="3" s="1"/>
  <c r="L18" i="9"/>
  <c r="B19" i="9" a="1"/>
  <c r="B19" i="9" s="1"/>
  <c r="J19" i="9" a="1"/>
  <c r="J19" i="9" s="1"/>
  <c r="D19" i="9" a="1"/>
  <c r="D19" i="9" s="1"/>
  <c r="V19" i="9" s="1"/>
  <c r="F19" i="9" a="1"/>
  <c r="F19" i="9" s="1"/>
  <c r="G19" i="9" a="1"/>
  <c r="G19" i="9" s="1"/>
  <c r="C19" i="9" a="1"/>
  <c r="C19" i="9" s="1"/>
  <c r="I19" i="9" a="1"/>
  <c r="I19" i="9" s="1"/>
  <c r="H19" i="9" a="1"/>
  <c r="H19" i="9" s="1"/>
  <c r="E19" i="9" a="1"/>
  <c r="E19" i="9" s="1"/>
  <c r="P17" i="9"/>
  <c r="Q17" i="9" s="1"/>
  <c r="R17" i="9" s="1"/>
  <c r="T17" i="9" s="1"/>
  <c r="U17" i="9" s="1"/>
  <c r="W17" i="9" s="1"/>
  <c r="X17" i="9" s="1"/>
  <c r="AA17" i="9" s="1"/>
  <c r="AB17" i="9" s="1"/>
  <c r="AC17" i="9" s="1"/>
  <c r="AD18" i="9"/>
  <c r="M18" i="9"/>
  <c r="N18" i="9" s="1"/>
  <c r="O18" i="9" s="1"/>
  <c r="K20" i="5" a="1"/>
  <c r="K20" i="5" s="1"/>
  <c r="A20" i="9" s="1"/>
  <c r="P17" i="3"/>
  <c r="R17" i="3" s="1"/>
  <c r="U17" i="3" s="1"/>
  <c r="V17" i="3" s="1"/>
  <c r="AE16" i="9"/>
  <c r="AF16" i="9" s="1"/>
  <c r="AG16" i="9" s="1"/>
  <c r="AH16" i="9" s="1"/>
  <c r="AI16" i="9" s="1"/>
  <c r="S18" i="3"/>
  <c r="T18" i="3" s="1"/>
  <c r="AK16" i="7"/>
  <c r="AL16" i="7"/>
  <c r="AJ16" i="7"/>
  <c r="W18" i="7"/>
  <c r="O18" i="7"/>
  <c r="X17" i="7"/>
  <c r="Y17" i="7"/>
  <c r="Z17" i="7" s="1"/>
  <c r="AA17" i="7" s="1"/>
  <c r="AB17" i="7" s="1"/>
  <c r="AC17" i="7" s="1"/>
  <c r="AD17" i="7" s="1"/>
  <c r="AF17" i="7" s="1"/>
  <c r="AH17" i="7" s="1"/>
  <c r="F165" i="5"/>
  <c r="R17" i="7"/>
  <c r="U17" i="7" s="1"/>
  <c r="H20" i="2" a="1"/>
  <c r="H20" i="2" s="1"/>
  <c r="F123" i="5"/>
  <c r="I19" i="3" a="1"/>
  <c r="I19" i="3" s="1"/>
  <c r="B20" i="2" a="1"/>
  <c r="B20" i="2" s="1"/>
  <c r="S20" i="2" s="1"/>
  <c r="J20" i="2" a="1"/>
  <c r="J20" i="2" s="1"/>
  <c r="I20" i="2" a="1"/>
  <c r="I20" i="2" s="1"/>
  <c r="C20" i="2" a="1"/>
  <c r="C20" i="2" s="1"/>
  <c r="D20" i="2" a="1"/>
  <c r="D20" i="2" s="1"/>
  <c r="G20" i="2" a="1"/>
  <c r="G20" i="2" s="1"/>
  <c r="AF19" i="2"/>
  <c r="N19" i="2"/>
  <c r="AX19" i="2"/>
  <c r="I21" i="5" a="1"/>
  <c r="I21" i="5" s="1"/>
  <c r="I22" i="5" s="1" a="1"/>
  <c r="I22" i="5" s="1"/>
  <c r="A22" i="2" s="1"/>
  <c r="H19" i="3" a="1"/>
  <c r="H19" i="3" s="1"/>
  <c r="AA17" i="3"/>
  <c r="AC17" i="3" s="1"/>
  <c r="AD17" i="3" s="1"/>
  <c r="K18" i="3"/>
  <c r="M18" i="3" s="1"/>
  <c r="X18" i="3"/>
  <c r="Z18" i="3" s="1"/>
  <c r="AA18" i="3" s="1"/>
  <c r="AG18" i="3"/>
  <c r="AI18" i="3" s="1"/>
  <c r="AJ17" i="3"/>
  <c r="AL17" i="3" s="1"/>
  <c r="AM17" i="3" s="1"/>
  <c r="AH18" i="3"/>
  <c r="AB18" i="3"/>
  <c r="AK18" i="3"/>
  <c r="L18" i="3"/>
  <c r="D19" i="3" a="1"/>
  <c r="D19" i="3" s="1"/>
  <c r="S19" i="3" s="1"/>
  <c r="O18" i="3"/>
  <c r="B19" i="3" a="1"/>
  <c r="B19" i="3" s="1"/>
  <c r="Y19" i="3" s="1"/>
  <c r="AD8" i="2"/>
  <c r="AJ8" i="2" s="1"/>
  <c r="AL8" i="2" s="1"/>
  <c r="AO8" i="2" s="1"/>
  <c r="AV8" i="2"/>
  <c r="BB8" i="2" s="1"/>
  <c r="BD8" i="2" s="1"/>
  <c r="BG8" i="2" s="1"/>
  <c r="N8" i="2"/>
  <c r="AX8" i="2"/>
  <c r="AF8" i="2"/>
  <c r="S19" i="2"/>
  <c r="BC19" i="2"/>
  <c r="AK19" i="2"/>
  <c r="L8" i="2"/>
  <c r="R8" i="2" s="1"/>
  <c r="T8" i="2" s="1"/>
  <c r="W8" i="2" s="1"/>
  <c r="B20" i="7" a="1"/>
  <c r="B20" i="7" s="1"/>
  <c r="AN15" i="7"/>
  <c r="AP15" i="7" s="1"/>
  <c r="L19" i="7"/>
  <c r="N19" i="7"/>
  <c r="F20" i="7" a="1"/>
  <c r="F20" i="7" s="1"/>
  <c r="M20" i="7" s="1"/>
  <c r="D20" i="7" a="1"/>
  <c r="D20" i="7" s="1"/>
  <c r="AG20" i="7" s="1"/>
  <c r="E20" i="7" a="1"/>
  <c r="E20" i="7" s="1"/>
  <c r="G20" i="7" a="1"/>
  <c r="G20" i="7" s="1"/>
  <c r="I20" i="7" a="1"/>
  <c r="I20" i="7" s="1"/>
  <c r="H20" i="7" a="1"/>
  <c r="H20" i="7" s="1"/>
  <c r="J20" i="7" a="1"/>
  <c r="J20" i="7" s="1"/>
  <c r="C20" i="7" a="1"/>
  <c r="C20" i="7" s="1"/>
  <c r="AE20" i="7" s="1"/>
  <c r="A21" i="7"/>
  <c r="E9" i="2" a="1"/>
  <c r="E9" i="2" s="1"/>
  <c r="F19" i="3" a="1"/>
  <c r="F19" i="3" s="1"/>
  <c r="E19" i="3" a="1"/>
  <c r="E19" i="3" s="1"/>
  <c r="C19" i="3" a="1"/>
  <c r="C19" i="3" s="1"/>
  <c r="A20" i="3"/>
  <c r="Z20" i="9" l="1"/>
  <c r="AS22" i="2"/>
  <c r="AA22" i="2"/>
  <c r="AN17" i="3"/>
  <c r="G20" i="3" a="1"/>
  <c r="G20" i="3" s="1"/>
  <c r="AE17" i="3"/>
  <c r="L19" i="9"/>
  <c r="P18" i="9"/>
  <c r="Q18" i="9" s="1"/>
  <c r="R18" i="9" s="1"/>
  <c r="T18" i="9" s="1"/>
  <c r="U18" i="9" s="1"/>
  <c r="W18" i="9" s="1"/>
  <c r="X18" i="9" s="1"/>
  <c r="AA18" i="9" s="1"/>
  <c r="AB18" i="9" s="1"/>
  <c r="AC18" i="9" s="1"/>
  <c r="AE18" i="9" s="1"/>
  <c r="AF18" i="9" s="1"/>
  <c r="AG18" i="9" s="1"/>
  <c r="AH18" i="9" s="1"/>
  <c r="AI18" i="9" s="1"/>
  <c r="D20" i="9" a="1"/>
  <c r="D20" i="9" s="1"/>
  <c r="V20" i="9" s="1"/>
  <c r="F20" i="9" a="1"/>
  <c r="F20" i="9" s="1"/>
  <c r="C20" i="9" a="1"/>
  <c r="C20" i="9" s="1"/>
  <c r="G20" i="9" a="1"/>
  <c r="G20" i="9" s="1"/>
  <c r="I20" i="9" a="1"/>
  <c r="I20" i="9" s="1"/>
  <c r="H20" i="9" a="1"/>
  <c r="H20" i="9" s="1"/>
  <c r="J20" i="9" a="1"/>
  <c r="J20" i="9" s="1"/>
  <c r="E20" i="9" a="1"/>
  <c r="E20" i="9" s="1"/>
  <c r="B20" i="9" a="1"/>
  <c r="B20" i="9" s="1"/>
  <c r="AD19" i="9"/>
  <c r="M19" i="9"/>
  <c r="N19" i="9" s="1"/>
  <c r="O19" i="9" s="1"/>
  <c r="AE17" i="9"/>
  <c r="AF17" i="9" s="1"/>
  <c r="AG17" i="9" s="1"/>
  <c r="AH17" i="9" s="1"/>
  <c r="AI17" i="9" s="1"/>
  <c r="K21" i="5" a="1"/>
  <c r="K21" i="5" s="1"/>
  <c r="A21" i="9" s="1"/>
  <c r="AN16" i="7"/>
  <c r="AP16" i="7" s="1"/>
  <c r="S17" i="7"/>
  <c r="AJ17" i="7" s="1"/>
  <c r="T17" i="7"/>
  <c r="AK17" i="7" s="1"/>
  <c r="AL17" i="7"/>
  <c r="F166" i="5"/>
  <c r="W19" i="7"/>
  <c r="O19" i="7"/>
  <c r="P18" i="7"/>
  <c r="Q18" i="7" s="1"/>
  <c r="R18" i="7" s="1"/>
  <c r="S18" i="7" s="1"/>
  <c r="X18" i="7"/>
  <c r="Y18" i="7"/>
  <c r="Z18" i="7" s="1"/>
  <c r="AA18" i="7" s="1"/>
  <c r="AB18" i="7" s="1"/>
  <c r="AC18" i="7" s="1"/>
  <c r="AD18" i="7" s="1"/>
  <c r="AF18" i="7" s="1"/>
  <c r="AH18" i="7" s="1"/>
  <c r="F124" i="5"/>
  <c r="T19" i="3"/>
  <c r="I20" i="3" a="1"/>
  <c r="I20" i="3" s="1"/>
  <c r="D20" i="3" a="1"/>
  <c r="D20" i="3" s="1"/>
  <c r="S20" i="3" s="1"/>
  <c r="BC20" i="2"/>
  <c r="AK20" i="2"/>
  <c r="C22" i="2" a="1"/>
  <c r="C22" i="2" s="1"/>
  <c r="D22" i="2" a="1"/>
  <c r="D22" i="2" s="1"/>
  <c r="G22" i="2" a="1"/>
  <c r="G22" i="2" s="1"/>
  <c r="I23" i="5" a="1"/>
  <c r="I23" i="5" s="1"/>
  <c r="A23" i="2" s="1"/>
  <c r="AF20" i="2"/>
  <c r="AX20" i="2"/>
  <c r="N20" i="2"/>
  <c r="A21" i="2"/>
  <c r="H20" i="3" a="1"/>
  <c r="H20" i="3" s="1"/>
  <c r="AH19" i="3"/>
  <c r="AJ18" i="3"/>
  <c r="AL18" i="3" s="1"/>
  <c r="AM18" i="3" s="1"/>
  <c r="AK19" i="3"/>
  <c r="AB19" i="3"/>
  <c r="X19" i="3"/>
  <c r="Z19" i="3" s="1"/>
  <c r="AA19" i="3" s="1"/>
  <c r="AG19" i="3"/>
  <c r="AI19" i="3" s="1"/>
  <c r="K19" i="3"/>
  <c r="M19" i="3" s="1"/>
  <c r="AC18" i="3"/>
  <c r="AD18" i="3" s="1"/>
  <c r="N18" i="3"/>
  <c r="L19" i="3"/>
  <c r="O19" i="3"/>
  <c r="B20" i="3" a="1"/>
  <c r="B20" i="3" s="1"/>
  <c r="L20" i="3" s="1"/>
  <c r="AE8" i="2"/>
  <c r="AW8" i="2"/>
  <c r="M8" i="2"/>
  <c r="AV9" i="2"/>
  <c r="AD9" i="2"/>
  <c r="BE8" i="2"/>
  <c r="BF8" i="2" s="1"/>
  <c r="AX9" i="2"/>
  <c r="N9" i="2"/>
  <c r="AF9" i="2"/>
  <c r="AM8" i="2"/>
  <c r="AN8" i="2" s="1"/>
  <c r="F9" i="2"/>
  <c r="L9" i="2"/>
  <c r="B22" i="2" a="1"/>
  <c r="B22" i="2" s="1"/>
  <c r="B21" i="7" a="1"/>
  <c r="B21" i="7" s="1"/>
  <c r="H22" i="2" a="1"/>
  <c r="H22" i="2" s="1"/>
  <c r="I22" i="2" a="1"/>
  <c r="I22" i="2" s="1"/>
  <c r="J22" i="2" a="1"/>
  <c r="J22" i="2" s="1"/>
  <c r="L20" i="7"/>
  <c r="N20" i="7"/>
  <c r="F21" i="7" a="1"/>
  <c r="F21" i="7" s="1"/>
  <c r="M21" i="7" s="1"/>
  <c r="D21" i="7" a="1"/>
  <c r="D21" i="7" s="1"/>
  <c r="AG21" i="7" s="1"/>
  <c r="E21" i="7" a="1"/>
  <c r="E21" i="7" s="1"/>
  <c r="G21" i="7" a="1"/>
  <c r="G21" i="7" s="1"/>
  <c r="H21" i="7" a="1"/>
  <c r="H21" i="7" s="1"/>
  <c r="I21" i="7" a="1"/>
  <c r="I21" i="7" s="1"/>
  <c r="J21" i="7" a="1"/>
  <c r="J21" i="7" s="1"/>
  <c r="C21" i="7" a="1"/>
  <c r="C21" i="7" s="1"/>
  <c r="AE21" i="7" s="1"/>
  <c r="A22" i="7"/>
  <c r="E10" i="2" a="1"/>
  <c r="E10" i="2" s="1"/>
  <c r="C20" i="3" a="1"/>
  <c r="C20" i="3" s="1"/>
  <c r="F20" i="3" a="1"/>
  <c r="F20" i="3" s="1"/>
  <c r="E20" i="3" a="1"/>
  <c r="E20" i="3" s="1"/>
  <c r="Z21" i="9" l="1"/>
  <c r="F125" i="5"/>
  <c r="AA23" i="2"/>
  <c r="AS23" i="2"/>
  <c r="AA21" i="2"/>
  <c r="AS21" i="2"/>
  <c r="P19" i="9"/>
  <c r="Q19" i="9" s="1"/>
  <c r="R19" i="9" s="1"/>
  <c r="T19" i="9" s="1"/>
  <c r="U19" i="9" s="1"/>
  <c r="W19" i="9" s="1"/>
  <c r="X19" i="9" s="1"/>
  <c r="AA19" i="9" s="1"/>
  <c r="AB19" i="9" s="1"/>
  <c r="AC19" i="9" s="1"/>
  <c r="AE19" i="9" s="1"/>
  <c r="AF19" i="9" s="1"/>
  <c r="AG19" i="9" s="1"/>
  <c r="AH19" i="9" s="1"/>
  <c r="AI19" i="9" s="1"/>
  <c r="M20" i="9"/>
  <c r="N20" i="9" s="1"/>
  <c r="O20" i="9" s="1"/>
  <c r="AD20" i="9"/>
  <c r="L20" i="9"/>
  <c r="K22" i="5" a="1"/>
  <c r="K22" i="5" s="1"/>
  <c r="A22" i="9" s="1"/>
  <c r="D21" i="9" a="1"/>
  <c r="D21" i="9" s="1"/>
  <c r="V21" i="9" s="1"/>
  <c r="J21" i="9" a="1"/>
  <c r="J21" i="9" s="1"/>
  <c r="G21" i="9" a="1"/>
  <c r="G21" i="9" s="1"/>
  <c r="B21" i="9" a="1"/>
  <c r="B21" i="9" s="1"/>
  <c r="C21" i="9" a="1"/>
  <c r="C21" i="9" s="1"/>
  <c r="I21" i="9" a="1"/>
  <c r="I21" i="9" s="1"/>
  <c r="H21" i="9" a="1"/>
  <c r="H21" i="9" s="1"/>
  <c r="F21" i="9" a="1"/>
  <c r="F21" i="9" s="1"/>
  <c r="E21" i="9" a="1"/>
  <c r="E21" i="9" s="1"/>
  <c r="P18" i="3"/>
  <c r="R18" i="3" s="1"/>
  <c r="U18" i="3" s="1"/>
  <c r="V18" i="3" s="1"/>
  <c r="AN17" i="7"/>
  <c r="AP17" i="7" s="1"/>
  <c r="T18" i="7"/>
  <c r="AK18" i="7" s="1"/>
  <c r="U18" i="7"/>
  <c r="AL18" i="7" s="1"/>
  <c r="AJ18" i="7"/>
  <c r="W20" i="7"/>
  <c r="O20" i="7"/>
  <c r="F167" i="5"/>
  <c r="P19" i="7"/>
  <c r="Q19" i="7" s="1"/>
  <c r="R19" i="7" s="1"/>
  <c r="X19" i="7"/>
  <c r="Y19" i="7"/>
  <c r="Z19" i="7" s="1"/>
  <c r="AA19" i="7" s="1"/>
  <c r="AB19" i="7" s="1"/>
  <c r="AC19" i="7" s="1"/>
  <c r="AD19" i="7" s="1"/>
  <c r="AF19" i="7" s="1"/>
  <c r="AH19" i="7" s="1"/>
  <c r="T20" i="3"/>
  <c r="K20" i="3"/>
  <c r="M20" i="3" s="1"/>
  <c r="N20" i="3" s="1"/>
  <c r="B21" i="2" a="1"/>
  <c r="B21" i="2" s="1"/>
  <c r="BC21" i="2" s="1"/>
  <c r="H21" i="2" a="1"/>
  <c r="H21" i="2" s="1"/>
  <c r="J21" i="2" a="1"/>
  <c r="J21" i="2" s="1"/>
  <c r="I21" i="2" a="1"/>
  <c r="I21" i="2" s="1"/>
  <c r="C23" i="2" a="1"/>
  <c r="C23" i="2" s="1"/>
  <c r="D23" i="2" a="1"/>
  <c r="D23" i="2" s="1"/>
  <c r="G23" i="2" a="1"/>
  <c r="G23" i="2" s="1"/>
  <c r="C21" i="2" a="1"/>
  <c r="C21" i="2" s="1"/>
  <c r="G21" i="2" a="1"/>
  <c r="G21" i="2" s="1"/>
  <c r="D21" i="2" a="1"/>
  <c r="D21" i="2" s="1"/>
  <c r="I24" i="5" a="1"/>
  <c r="I24" i="5" s="1"/>
  <c r="A24" i="2" s="1"/>
  <c r="N22" i="2"/>
  <c r="AF22" i="2"/>
  <c r="AX22" i="2"/>
  <c r="AJ19" i="3"/>
  <c r="AL19" i="3" s="1"/>
  <c r="AM19" i="3" s="1"/>
  <c r="P8" i="2"/>
  <c r="Y8" i="2" s="1"/>
  <c r="Q8" i="2"/>
  <c r="O8" i="2"/>
  <c r="X8" i="2" s="1"/>
  <c r="AY8" i="2"/>
  <c r="BH8" i="2" s="1"/>
  <c r="BA8" i="2"/>
  <c r="AZ8" i="2"/>
  <c r="AG8" i="2"/>
  <c r="AP8" i="2" s="1"/>
  <c r="AC19" i="3"/>
  <c r="AD19" i="3" s="1"/>
  <c r="N19" i="3"/>
  <c r="AH20" i="3"/>
  <c r="Y20" i="3"/>
  <c r="AG20" i="3"/>
  <c r="AI20" i="3" s="1"/>
  <c r="X20" i="3"/>
  <c r="Z20" i="3" s="1"/>
  <c r="AK20" i="3"/>
  <c r="AB20" i="3"/>
  <c r="O20" i="3"/>
  <c r="S22" i="2"/>
  <c r="BC22" i="2"/>
  <c r="AK22" i="2"/>
  <c r="AJ9" i="2"/>
  <c r="AL9" i="2" s="1"/>
  <c r="AE9" i="2"/>
  <c r="AG9" i="2" s="1"/>
  <c r="BB9" i="2"/>
  <c r="BD9" i="2" s="1"/>
  <c r="AW9" i="2"/>
  <c r="AV10" i="2"/>
  <c r="AD10" i="2"/>
  <c r="M9" i="2"/>
  <c r="R9" i="2"/>
  <c r="T9" i="2" s="1"/>
  <c r="N10" i="2"/>
  <c r="AX10" i="2"/>
  <c r="AF10" i="2"/>
  <c r="F10" i="2"/>
  <c r="L10" i="2"/>
  <c r="B23" i="2" a="1"/>
  <c r="B23" i="2" s="1"/>
  <c r="U8" i="2"/>
  <c r="V8" i="2" s="1"/>
  <c r="B22" i="7" a="1"/>
  <c r="B22" i="7" s="1"/>
  <c r="I23" i="2" a="1"/>
  <c r="I23" i="2" s="1"/>
  <c r="J23" i="2" a="1"/>
  <c r="J23" i="2" s="1"/>
  <c r="H23" i="2" a="1"/>
  <c r="H23" i="2" s="1"/>
  <c r="L21" i="7"/>
  <c r="F22" i="7" a="1"/>
  <c r="F22" i="7" s="1"/>
  <c r="M22" i="7" s="1"/>
  <c r="N21" i="7"/>
  <c r="D22" i="7" a="1"/>
  <c r="D22" i="7" s="1"/>
  <c r="AG22" i="7" s="1"/>
  <c r="E22" i="7" a="1"/>
  <c r="E22" i="7" s="1"/>
  <c r="G22" i="7" a="1"/>
  <c r="G22" i="7" s="1"/>
  <c r="H22" i="7" a="1"/>
  <c r="H22" i="7" s="1"/>
  <c r="J22" i="7" a="1"/>
  <c r="J22" i="7" s="1"/>
  <c r="I22" i="7" a="1"/>
  <c r="I22" i="7" s="1"/>
  <c r="C22" i="7" a="1"/>
  <c r="C22" i="7" s="1"/>
  <c r="AE22" i="7" s="1"/>
  <c r="A23" i="7"/>
  <c r="Z22" i="9" l="1"/>
  <c r="AN18" i="3"/>
  <c r="F126" i="5"/>
  <c r="AA24" i="2"/>
  <c r="AS24" i="2"/>
  <c r="AE18" i="3"/>
  <c r="P20" i="3"/>
  <c r="R20" i="3" s="1"/>
  <c r="U20" i="3" s="1"/>
  <c r="V20" i="3" s="1"/>
  <c r="L21" i="9"/>
  <c r="P19" i="3"/>
  <c r="R19" i="3" s="1"/>
  <c r="U19" i="3" s="1"/>
  <c r="V19" i="3" s="1"/>
  <c r="M21" i="9"/>
  <c r="N21" i="9" s="1"/>
  <c r="O21" i="9" s="1"/>
  <c r="AD21" i="9"/>
  <c r="B22" i="9" a="1"/>
  <c r="B22" i="9" s="1"/>
  <c r="H22" i="9" a="1"/>
  <c r="H22" i="9" s="1"/>
  <c r="G22" i="9" a="1"/>
  <c r="G22" i="9" s="1"/>
  <c r="F22" i="9" a="1"/>
  <c r="F22" i="9" s="1"/>
  <c r="D22" i="9" a="1"/>
  <c r="D22" i="9" s="1"/>
  <c r="V22" i="9" s="1"/>
  <c r="E22" i="9" a="1"/>
  <c r="E22" i="9" s="1"/>
  <c r="J22" i="9" a="1"/>
  <c r="J22" i="9" s="1"/>
  <c r="I22" i="9" a="1"/>
  <c r="I22" i="9" s="1"/>
  <c r="C22" i="9" a="1"/>
  <c r="C22" i="9" s="1"/>
  <c r="P20" i="9"/>
  <c r="Q20" i="9" s="1"/>
  <c r="R20" i="9" s="1"/>
  <c r="T20" i="9" s="1"/>
  <c r="U20" i="9" s="1"/>
  <c r="W20" i="9" s="1"/>
  <c r="X20" i="9" s="1"/>
  <c r="AA20" i="9" s="1"/>
  <c r="AB20" i="9" s="1"/>
  <c r="AC20" i="9" s="1"/>
  <c r="K23" i="5" a="1"/>
  <c r="K23" i="5" s="1"/>
  <c r="A23" i="9" s="1"/>
  <c r="AN18" i="7"/>
  <c r="AP18" i="7" s="1"/>
  <c r="W21" i="7"/>
  <c r="O21" i="7"/>
  <c r="F168" i="5"/>
  <c r="P20" i="7"/>
  <c r="Q20" i="7" s="1"/>
  <c r="R20" i="7" s="1"/>
  <c r="X20" i="7"/>
  <c r="Y20" i="7"/>
  <c r="Z20" i="7" s="1"/>
  <c r="AA20" i="7" s="1"/>
  <c r="AB20" i="7" s="1"/>
  <c r="AC20" i="7" s="1"/>
  <c r="AD20" i="7" s="1"/>
  <c r="AF20" i="7" s="1"/>
  <c r="AH20" i="7" s="1"/>
  <c r="S21" i="2"/>
  <c r="AK21" i="2"/>
  <c r="C24" i="2" a="1"/>
  <c r="C24" i="2" s="1"/>
  <c r="D24" i="2" a="1"/>
  <c r="D24" i="2" s="1"/>
  <c r="G24" i="2" a="1"/>
  <c r="G24" i="2" s="1"/>
  <c r="I25" i="5" a="1"/>
  <c r="I25" i="5" s="1"/>
  <c r="A25" i="2" s="1"/>
  <c r="AX23" i="2"/>
  <c r="N23" i="2"/>
  <c r="AF23" i="2"/>
  <c r="BA9" i="2"/>
  <c r="AZ9" i="2"/>
  <c r="AY9" i="2"/>
  <c r="AA20" i="3"/>
  <c r="AC20" i="3" s="1"/>
  <c r="AD20" i="3" s="1"/>
  <c r="AJ20" i="3"/>
  <c r="AL20" i="3" s="1"/>
  <c r="AM20" i="3" s="1"/>
  <c r="Q9" i="2"/>
  <c r="P9" i="2"/>
  <c r="O9" i="2"/>
  <c r="BA24" i="2"/>
  <c r="Q24" i="2"/>
  <c r="AG24" i="2"/>
  <c r="O24" i="2"/>
  <c r="P24" i="2"/>
  <c r="AY24" i="2"/>
  <c r="AZ24" i="2"/>
  <c r="AI9" i="2"/>
  <c r="AH8" i="2"/>
  <c r="AQ8" i="2" s="1"/>
  <c r="AH9" i="2"/>
  <c r="Z8" i="2"/>
  <c r="AA8" i="2" s="1"/>
  <c r="AI8" i="2"/>
  <c r="AE10" i="2"/>
  <c r="AG10" i="2" s="1"/>
  <c r="AJ10" i="2"/>
  <c r="AL10" i="2" s="1"/>
  <c r="M10" i="2"/>
  <c r="R10" i="2"/>
  <c r="T10" i="2" s="1"/>
  <c r="AO9" i="2"/>
  <c r="AM9" i="2"/>
  <c r="AN9" i="2" s="1"/>
  <c r="AW10" i="2"/>
  <c r="BB10" i="2"/>
  <c r="BD10" i="2" s="1"/>
  <c r="S23" i="2"/>
  <c r="AK23" i="2"/>
  <c r="BC23" i="2"/>
  <c r="W9" i="2"/>
  <c r="U9" i="2"/>
  <c r="V9" i="2" s="1"/>
  <c r="R24" i="2"/>
  <c r="T24" i="2" s="1"/>
  <c r="AW24" i="2"/>
  <c r="BB24" i="2"/>
  <c r="BD24" i="2" s="1"/>
  <c r="AE24" i="2"/>
  <c r="AJ24" i="2"/>
  <c r="AL24" i="2" s="1"/>
  <c r="BG9" i="2"/>
  <c r="BE9" i="2"/>
  <c r="BF9" i="2" s="1"/>
  <c r="B24" i="2" a="1"/>
  <c r="B24" i="2" s="1"/>
  <c r="M24" i="2"/>
  <c r="B23" i="7" a="1"/>
  <c r="B23" i="7" s="1"/>
  <c r="H24" i="2" a="1"/>
  <c r="H24" i="2" s="1"/>
  <c r="I24" i="2" a="1"/>
  <c r="I24" i="2" s="1"/>
  <c r="J24" i="2" a="1"/>
  <c r="J24" i="2" s="1"/>
  <c r="U19" i="7"/>
  <c r="AL19" i="7" s="1"/>
  <c r="T19" i="7"/>
  <c r="AK19" i="7" s="1"/>
  <c r="S19" i="7"/>
  <c r="AJ19" i="7" s="1"/>
  <c r="L22" i="7"/>
  <c r="N22" i="7"/>
  <c r="O22" i="7" s="1"/>
  <c r="F23" i="7" a="1"/>
  <c r="F23" i="7" s="1"/>
  <c r="M23" i="7" s="1"/>
  <c r="D23" i="7" a="1"/>
  <c r="D23" i="7" s="1"/>
  <c r="AG23" i="7" s="1"/>
  <c r="E23" i="7" a="1"/>
  <c r="E23" i="7" s="1"/>
  <c r="H23" i="7" a="1"/>
  <c r="H23" i="7" s="1"/>
  <c r="I23" i="7" a="1"/>
  <c r="I23" i="7" s="1"/>
  <c r="J23" i="7" a="1"/>
  <c r="J23" i="7" s="1"/>
  <c r="G23" i="7" a="1"/>
  <c r="G23" i="7" s="1"/>
  <c r="C23" i="7" a="1"/>
  <c r="C23" i="7" s="1"/>
  <c r="AE23" i="7" s="1"/>
  <c r="A24" i="7"/>
  <c r="Z23" i="9" l="1"/>
  <c r="AN19" i="3"/>
  <c r="F127" i="5"/>
  <c r="AS25" i="2"/>
  <c r="AA25" i="2"/>
  <c r="AE20" i="3"/>
  <c r="AN20" i="3"/>
  <c r="AE19" i="3"/>
  <c r="P21" i="9"/>
  <c r="Q21" i="9" s="1"/>
  <c r="R21" i="9" s="1"/>
  <c r="T21" i="9" s="1"/>
  <c r="U21" i="9" s="1"/>
  <c r="W21" i="9" s="1"/>
  <c r="X21" i="9" s="1"/>
  <c r="AA21" i="9" s="1"/>
  <c r="AB21" i="9" s="1"/>
  <c r="AC21" i="9" s="1"/>
  <c r="AE21" i="9" s="1"/>
  <c r="AF21" i="9" s="1"/>
  <c r="AG21" i="9" s="1"/>
  <c r="AH21" i="9" s="1"/>
  <c r="AI21" i="9" s="1"/>
  <c r="L22" i="9"/>
  <c r="B23" i="9" a="1"/>
  <c r="B23" i="9" s="1"/>
  <c r="E23" i="9" a="1"/>
  <c r="E23" i="9" s="1"/>
  <c r="C23" i="9" a="1"/>
  <c r="C23" i="9" s="1"/>
  <c r="F23" i="9" a="1"/>
  <c r="F23" i="9" s="1"/>
  <c r="I23" i="9" a="1"/>
  <c r="I23" i="9" s="1"/>
  <c r="H23" i="9" a="1"/>
  <c r="H23" i="9" s="1"/>
  <c r="J23" i="9" a="1"/>
  <c r="J23" i="9" s="1"/>
  <c r="D23" i="9" a="1"/>
  <c r="D23" i="9" s="1"/>
  <c r="V23" i="9" s="1"/>
  <c r="G23" i="9" a="1"/>
  <c r="G23" i="9" s="1"/>
  <c r="AE20" i="9"/>
  <c r="AF20" i="9" s="1"/>
  <c r="AG20" i="9" s="1"/>
  <c r="AH20" i="9" s="1"/>
  <c r="AI20" i="9" s="1"/>
  <c r="K24" i="5" a="1"/>
  <c r="K24" i="5" s="1"/>
  <c r="A24" i="9" s="1"/>
  <c r="AD22" i="9"/>
  <c r="M22" i="9"/>
  <c r="N22" i="9" s="1"/>
  <c r="O22" i="9" s="1"/>
  <c r="P22" i="7"/>
  <c r="Q22" i="7" s="1"/>
  <c r="F169" i="5"/>
  <c r="P21" i="7"/>
  <c r="Q21" i="7" s="1"/>
  <c r="R21" i="7" s="1"/>
  <c r="T21" i="7" s="1"/>
  <c r="X21" i="7"/>
  <c r="Y21" i="7"/>
  <c r="Z21" i="7" s="1"/>
  <c r="AA21" i="7" s="1"/>
  <c r="AB21" i="7" s="1"/>
  <c r="AC21" i="7" s="1"/>
  <c r="AD21" i="7" s="1"/>
  <c r="AF21" i="7" s="1"/>
  <c r="AH21" i="7" s="1"/>
  <c r="O25" i="2"/>
  <c r="P25" i="2"/>
  <c r="AJ25" i="2"/>
  <c r="AL25" i="2" s="1"/>
  <c r="BB25" i="2"/>
  <c r="BD25" i="2" s="1"/>
  <c r="AY25" i="2"/>
  <c r="M25" i="2"/>
  <c r="AG25" i="2"/>
  <c r="E25" i="2" a="1"/>
  <c r="E25" i="2" s="1"/>
  <c r="F25" i="2" s="1"/>
  <c r="AE25" i="2"/>
  <c r="BA25" i="2"/>
  <c r="R25" i="2"/>
  <c r="T25" i="2" s="1"/>
  <c r="I26" i="5" a="1"/>
  <c r="I26" i="5" s="1"/>
  <c r="A26" i="2" s="1"/>
  <c r="J25" i="2" a="1"/>
  <c r="J25" i="2" s="1"/>
  <c r="B25" i="2" a="1"/>
  <c r="B25" i="2" s="1"/>
  <c r="S25" i="2" s="1"/>
  <c r="AW25" i="2"/>
  <c r="C25" i="2" a="1"/>
  <c r="C25" i="2" s="1"/>
  <c r="G25" i="2" a="1"/>
  <c r="G25" i="2" s="1"/>
  <c r="D25" i="2" a="1"/>
  <c r="D25" i="2" s="1"/>
  <c r="AF24" i="2"/>
  <c r="N24" i="2"/>
  <c r="AX24" i="2"/>
  <c r="Q25" i="2"/>
  <c r="I25" i="2" a="1"/>
  <c r="I25" i="2" s="1"/>
  <c r="AZ25" i="2"/>
  <c r="H25" i="2" a="1"/>
  <c r="H25" i="2" s="1"/>
  <c r="AI24" i="2"/>
  <c r="AH24" i="2"/>
  <c r="BH9" i="2"/>
  <c r="Q10" i="2"/>
  <c r="P10" i="2"/>
  <c r="O10" i="2"/>
  <c r="BA10" i="2"/>
  <c r="AZ10" i="2"/>
  <c r="AY10" i="2"/>
  <c r="AI10" i="2"/>
  <c r="AH10" i="2"/>
  <c r="AQ9" i="2"/>
  <c r="AR8" i="2"/>
  <c r="Y9" i="2"/>
  <c r="BJ8" i="2"/>
  <c r="BI8" i="2"/>
  <c r="BI9" i="2"/>
  <c r="X9" i="2"/>
  <c r="AR9" i="2"/>
  <c r="Z9" i="2"/>
  <c r="BJ9" i="2"/>
  <c r="AP9" i="2"/>
  <c r="W10" i="2"/>
  <c r="U10" i="2"/>
  <c r="V10" i="2" s="1"/>
  <c r="S24" i="2"/>
  <c r="U24" i="2" s="1"/>
  <c r="BC24" i="2"/>
  <c r="BE24" i="2" s="1"/>
  <c r="AK24" i="2"/>
  <c r="AM24" i="2" s="1"/>
  <c r="BG10" i="2"/>
  <c r="BE10" i="2"/>
  <c r="BF10" i="2" s="1"/>
  <c r="AO10" i="2"/>
  <c r="AM10" i="2"/>
  <c r="AN10" i="2" s="1"/>
  <c r="B24" i="7" a="1"/>
  <c r="B24" i="7" s="1"/>
  <c r="W22" i="7"/>
  <c r="S20" i="7"/>
  <c r="AJ20" i="7" s="1"/>
  <c r="T20" i="7"/>
  <c r="AK20" i="7" s="1"/>
  <c r="U20" i="7"/>
  <c r="AL20" i="7" s="1"/>
  <c r="AN19" i="7"/>
  <c r="AP19" i="7" s="1"/>
  <c r="L23" i="7"/>
  <c r="N23" i="7"/>
  <c r="F24" i="7" a="1"/>
  <c r="F24" i="7" s="1"/>
  <c r="M24" i="7" s="1"/>
  <c r="D24" i="7" a="1"/>
  <c r="D24" i="7" s="1"/>
  <c r="AG24" i="7" s="1"/>
  <c r="E24" i="7" a="1"/>
  <c r="E24" i="7" s="1"/>
  <c r="I24" i="7" a="1"/>
  <c r="I24" i="7" s="1"/>
  <c r="J24" i="7" a="1"/>
  <c r="J24" i="7" s="1"/>
  <c r="G24" i="7" a="1"/>
  <c r="G24" i="7" s="1"/>
  <c r="H24" i="7" a="1"/>
  <c r="H24" i="7" s="1"/>
  <c r="C24" i="7" a="1"/>
  <c r="C24" i="7" s="1"/>
  <c r="AE24" i="7" s="1"/>
  <c r="A25" i="7"/>
  <c r="Z24" i="9" l="1"/>
  <c r="AA9" i="2"/>
  <c r="AS9" i="2"/>
  <c r="AT9" i="2" s="1"/>
  <c r="AA26" i="2"/>
  <c r="AS26" i="2"/>
  <c r="AS8" i="2"/>
  <c r="AT8" i="2" s="1"/>
  <c r="L23" i="9"/>
  <c r="P22" i="9"/>
  <c r="Q22" i="9" s="1"/>
  <c r="R22" i="9" s="1"/>
  <c r="T22" i="9" s="1"/>
  <c r="U22" i="9" s="1"/>
  <c r="W22" i="9" s="1"/>
  <c r="X22" i="9" s="1"/>
  <c r="AA22" i="9" s="1"/>
  <c r="AB22" i="9" s="1"/>
  <c r="AC22" i="9" s="1"/>
  <c r="AE22" i="9" s="1"/>
  <c r="AF22" i="9" s="1"/>
  <c r="AG22" i="9" s="1"/>
  <c r="AH22" i="9" s="1"/>
  <c r="AI22" i="9" s="1"/>
  <c r="B24" i="9" a="1"/>
  <c r="B24" i="9" s="1"/>
  <c r="D24" i="9" a="1"/>
  <c r="D24" i="9" s="1"/>
  <c r="V24" i="9" s="1"/>
  <c r="E24" i="9" a="1"/>
  <c r="E24" i="9" s="1"/>
  <c r="F24" i="9" a="1"/>
  <c r="F24" i="9" s="1"/>
  <c r="G24" i="9" a="1"/>
  <c r="G24" i="9" s="1"/>
  <c r="I24" i="9" a="1"/>
  <c r="I24" i="9" s="1"/>
  <c r="C24" i="9" a="1"/>
  <c r="C24" i="9" s="1"/>
  <c r="J24" i="9" a="1"/>
  <c r="J24" i="9" s="1"/>
  <c r="H24" i="9" a="1"/>
  <c r="H24" i="9" s="1"/>
  <c r="AD23" i="9"/>
  <c r="M23" i="9"/>
  <c r="N23" i="9" s="1"/>
  <c r="O23" i="9" s="1"/>
  <c r="K25" i="5" a="1"/>
  <c r="K25" i="5" s="1"/>
  <c r="A25" i="9" s="1"/>
  <c r="S21" i="7"/>
  <c r="AJ21" i="7" s="1"/>
  <c r="U21" i="7"/>
  <c r="AL21" i="7" s="1"/>
  <c r="AK21" i="7"/>
  <c r="F170" i="5"/>
  <c r="W23" i="7"/>
  <c r="O23" i="7"/>
  <c r="X22" i="7"/>
  <c r="Y22" i="7"/>
  <c r="Z22" i="7" s="1"/>
  <c r="AA22" i="7" s="1"/>
  <c r="AB22" i="7" s="1"/>
  <c r="AC22" i="7" s="1"/>
  <c r="AD22" i="7" s="1"/>
  <c r="AF22" i="7" s="1"/>
  <c r="AH22" i="7" s="1"/>
  <c r="M26" i="2"/>
  <c r="R22" i="7"/>
  <c r="T22" i="7" s="1"/>
  <c r="F128" i="5"/>
  <c r="AO25" i="2"/>
  <c r="AP25" i="2" s="1"/>
  <c r="AD25" i="2"/>
  <c r="AI25" i="2"/>
  <c r="BC25" i="2"/>
  <c r="BE25" i="2" s="1"/>
  <c r="AK25" i="2"/>
  <c r="AM25" i="2" s="1"/>
  <c r="AN25" i="2" s="1"/>
  <c r="AV25" i="2"/>
  <c r="L25" i="2"/>
  <c r="U25" i="2"/>
  <c r="V25" i="2" s="1"/>
  <c r="AH25" i="2"/>
  <c r="W25" i="2"/>
  <c r="Z25" i="2" s="1"/>
  <c r="BA26" i="2"/>
  <c r="Q26" i="2"/>
  <c r="BB26" i="2"/>
  <c r="BD26" i="2" s="1"/>
  <c r="H26" i="2" a="1"/>
  <c r="H26" i="2" s="1"/>
  <c r="I26" i="2" a="1"/>
  <c r="I26" i="2" s="1"/>
  <c r="R26" i="2"/>
  <c r="T26" i="2" s="1"/>
  <c r="AZ26" i="2"/>
  <c r="AE26" i="2"/>
  <c r="B26" i="2" a="1"/>
  <c r="B26" i="2" s="1"/>
  <c r="BC26" i="2" s="1"/>
  <c r="AY26" i="2"/>
  <c r="N25" i="2"/>
  <c r="AF25" i="2"/>
  <c r="AX25" i="2"/>
  <c r="I27" i="5" a="1"/>
  <c r="I27" i="5" s="1"/>
  <c r="A27" i="2" s="1"/>
  <c r="BG25" i="2"/>
  <c r="BI25" i="2" s="1"/>
  <c r="AJ26" i="2"/>
  <c r="AL26" i="2" s="1"/>
  <c r="AG26" i="2"/>
  <c r="J26" i="2" a="1"/>
  <c r="J26" i="2" s="1"/>
  <c r="E26" i="2" a="1"/>
  <c r="E26" i="2" s="1"/>
  <c r="AV26" i="2" s="1"/>
  <c r="P26" i="2"/>
  <c r="AW26" i="2"/>
  <c r="O26" i="2"/>
  <c r="C26" i="2" a="1"/>
  <c r="C26" i="2" s="1"/>
  <c r="D26" i="2" a="1"/>
  <c r="D26" i="2" s="1"/>
  <c r="G26" i="2" a="1"/>
  <c r="G26" i="2" s="1"/>
  <c r="BK8" i="2"/>
  <c r="BL8" i="2" s="1"/>
  <c r="BI10" i="2"/>
  <c r="BH10" i="2"/>
  <c r="AP10" i="2"/>
  <c r="AR10" i="2"/>
  <c r="BK9" i="2"/>
  <c r="BL9" i="2" s="1"/>
  <c r="BF24" i="2"/>
  <c r="BJ10" i="2"/>
  <c r="AQ10" i="2"/>
  <c r="Z10" i="2"/>
  <c r="X10" i="2"/>
  <c r="AN24" i="2"/>
  <c r="Y10" i="2"/>
  <c r="B25" i="7" a="1"/>
  <c r="B25" i="7" s="1"/>
  <c r="AB8" i="2"/>
  <c r="F91" i="5"/>
  <c r="L21" i="5" s="1" a="1"/>
  <c r="L21" i="5" s="1"/>
  <c r="AN20" i="7"/>
  <c r="AP20" i="7" s="1"/>
  <c r="L24" i="7"/>
  <c r="N24" i="7"/>
  <c r="F25" i="7" a="1"/>
  <c r="F25" i="7" s="1"/>
  <c r="D25" i="7" a="1"/>
  <c r="D25" i="7" s="1"/>
  <c r="AG25" i="7" s="1"/>
  <c r="E25" i="7" a="1"/>
  <c r="E25" i="7" s="1"/>
  <c r="H25" i="7" a="1"/>
  <c r="H25" i="7" s="1"/>
  <c r="G25" i="7" a="1"/>
  <c r="G25" i="7" s="1"/>
  <c r="I25" i="7" a="1"/>
  <c r="I25" i="7" s="1"/>
  <c r="J25" i="7" a="1"/>
  <c r="J25" i="7" s="1"/>
  <c r="C25" i="7" a="1"/>
  <c r="C25" i="7" s="1"/>
  <c r="AE25" i="7" s="1"/>
  <c r="A26" i="7"/>
  <c r="Z25" i="9" l="1"/>
  <c r="AB9" i="2"/>
  <c r="AS10" i="2"/>
  <c r="AT10" i="2" s="1"/>
  <c r="AA10" i="2"/>
  <c r="AS27" i="2"/>
  <c r="AA27" i="2"/>
  <c r="P23" i="9"/>
  <c r="Q23" i="9" s="1"/>
  <c r="R23" i="9" s="1"/>
  <c r="T23" i="9" s="1"/>
  <c r="U23" i="9" s="1"/>
  <c r="W23" i="9" s="1"/>
  <c r="X23" i="9" s="1"/>
  <c r="AA23" i="9" s="1"/>
  <c r="AB23" i="9" s="1"/>
  <c r="AC23" i="9" s="1"/>
  <c r="L24" i="9"/>
  <c r="D25" i="9" a="1"/>
  <c r="D25" i="9" s="1"/>
  <c r="V25" i="9" s="1"/>
  <c r="I25" i="9" a="1"/>
  <c r="I25" i="9" s="1"/>
  <c r="C25" i="9" a="1"/>
  <c r="C25" i="9" s="1"/>
  <c r="B25" i="9" a="1"/>
  <c r="B25" i="9" s="1"/>
  <c r="J25" i="9" a="1"/>
  <c r="J25" i="9" s="1"/>
  <c r="E25" i="9" a="1"/>
  <c r="E25" i="9" s="1"/>
  <c r="H25" i="9" a="1"/>
  <c r="H25" i="9" s="1"/>
  <c r="G25" i="9" a="1"/>
  <c r="G25" i="9" s="1"/>
  <c r="F25" i="9" a="1"/>
  <c r="F25" i="9" s="1"/>
  <c r="AD24" i="9"/>
  <c r="M24" i="9"/>
  <c r="N24" i="9" s="1"/>
  <c r="O24" i="9" s="1"/>
  <c r="K26" i="5" a="1"/>
  <c r="K26" i="5" s="1"/>
  <c r="A26" i="9" s="1"/>
  <c r="AN21" i="7"/>
  <c r="AP21" i="7" s="1"/>
  <c r="U22" i="7"/>
  <c r="AL22" i="7" s="1"/>
  <c r="S22" i="7"/>
  <c r="AJ22" i="7" s="1"/>
  <c r="AK22" i="7"/>
  <c r="AQ25" i="2"/>
  <c r="W24" i="7"/>
  <c r="O24" i="7"/>
  <c r="F171" i="5"/>
  <c r="P23" i="7"/>
  <c r="Q23" i="7" s="1"/>
  <c r="R23" i="7" s="1"/>
  <c r="X23" i="7"/>
  <c r="Y23" i="7"/>
  <c r="Z23" i="7" s="1"/>
  <c r="AA23" i="7" s="1"/>
  <c r="AB23" i="7" s="1"/>
  <c r="AC23" i="7" s="1"/>
  <c r="AD23" i="7" s="1"/>
  <c r="AF23" i="7" s="1"/>
  <c r="AH23" i="7" s="1"/>
  <c r="F129" i="5"/>
  <c r="AE27" i="2"/>
  <c r="M25" i="7"/>
  <c r="N25" i="7" s="1"/>
  <c r="F26" i="2"/>
  <c r="AR25" i="2"/>
  <c r="BF25" i="2"/>
  <c r="BH25" i="2"/>
  <c r="AK26" i="2"/>
  <c r="AM26" i="2" s="1"/>
  <c r="W26" i="2"/>
  <c r="Y26" i="2" s="1"/>
  <c r="AH26" i="2"/>
  <c r="AI26" i="2"/>
  <c r="Y25" i="2"/>
  <c r="X25" i="2"/>
  <c r="AO26" i="2"/>
  <c r="AP26" i="2" s="1"/>
  <c r="BG26" i="2"/>
  <c r="BH26" i="2" s="1"/>
  <c r="BE26" i="2"/>
  <c r="S26" i="2"/>
  <c r="U26" i="2" s="1"/>
  <c r="V26" i="2" s="1"/>
  <c r="BJ25" i="2"/>
  <c r="AD26" i="2"/>
  <c r="L26" i="2"/>
  <c r="AF26" i="2"/>
  <c r="AX26" i="2"/>
  <c r="N26" i="2"/>
  <c r="AZ27" i="2"/>
  <c r="Q27" i="2"/>
  <c r="I28" i="5" a="1"/>
  <c r="I28" i="5" s="1"/>
  <c r="A28" i="2" s="1"/>
  <c r="AY27" i="2"/>
  <c r="J27" i="2" a="1"/>
  <c r="J27" i="2" s="1"/>
  <c r="M27" i="2"/>
  <c r="AW27" i="2"/>
  <c r="I27" i="2" a="1"/>
  <c r="I27" i="2" s="1"/>
  <c r="AJ27" i="2"/>
  <c r="AL27" i="2" s="1"/>
  <c r="H27" i="2" a="1"/>
  <c r="H27" i="2" s="1"/>
  <c r="AG27" i="2"/>
  <c r="BB27" i="2"/>
  <c r="BD27" i="2" s="1"/>
  <c r="E27" i="2" a="1"/>
  <c r="E27" i="2" s="1"/>
  <c r="AV27" i="2" s="1"/>
  <c r="P27" i="2"/>
  <c r="C27" i="2" a="1"/>
  <c r="C27" i="2" s="1"/>
  <c r="D27" i="2" a="1"/>
  <c r="D27" i="2" s="1"/>
  <c r="G27" i="2" a="1"/>
  <c r="G27" i="2" s="1"/>
  <c r="BA27" i="2"/>
  <c r="B27" i="2" a="1"/>
  <c r="B27" i="2" s="1"/>
  <c r="AK27" i="2" s="1"/>
  <c r="O27" i="2"/>
  <c r="R27" i="2"/>
  <c r="T27" i="2" s="1"/>
  <c r="BK10" i="2"/>
  <c r="BL10" i="2" s="1"/>
  <c r="F92" i="5"/>
  <c r="L22" i="5" s="1" a="1"/>
  <c r="L22" i="5" s="1"/>
  <c r="B26" i="7" a="1"/>
  <c r="B26" i="7" s="1"/>
  <c r="L25" i="7"/>
  <c r="F26" i="7" a="1"/>
  <c r="F26" i="7" s="1"/>
  <c r="M26" i="7" s="1"/>
  <c r="D26" i="7" a="1"/>
  <c r="D26" i="7" s="1"/>
  <c r="AG26" i="7" s="1"/>
  <c r="E26" i="7" a="1"/>
  <c r="E26" i="7" s="1"/>
  <c r="H26" i="7" a="1"/>
  <c r="H26" i="7" s="1"/>
  <c r="G26" i="7" a="1"/>
  <c r="G26" i="7" s="1"/>
  <c r="I26" i="7" a="1"/>
  <c r="I26" i="7" s="1"/>
  <c r="J26" i="7" a="1"/>
  <c r="J26" i="7" s="1"/>
  <c r="C26" i="7" a="1"/>
  <c r="C26" i="7" s="1"/>
  <c r="AE26" i="7" s="1"/>
  <c r="A27" i="7"/>
  <c r="E11" i="2" a="1"/>
  <c r="E11" i="2" s="1"/>
  <c r="Z26" i="9" l="1"/>
  <c r="F130" i="5"/>
  <c r="AA28" i="2"/>
  <c r="AS28" i="2"/>
  <c r="P24" i="9"/>
  <c r="Q24" i="9" s="1"/>
  <c r="R24" i="9" s="1"/>
  <c r="T24" i="9" s="1"/>
  <c r="U24" i="9" s="1"/>
  <c r="W24" i="9" s="1"/>
  <c r="X24" i="9" s="1"/>
  <c r="AA24" i="9" s="1"/>
  <c r="AB24" i="9" s="1"/>
  <c r="AC24" i="9" s="1"/>
  <c r="AE24" i="9" s="1"/>
  <c r="AF24" i="9" s="1"/>
  <c r="AG24" i="9" s="1"/>
  <c r="AH24" i="9" s="1"/>
  <c r="AI24" i="9" s="1"/>
  <c r="L25" i="9"/>
  <c r="D26" i="9" a="1"/>
  <c r="D26" i="9" s="1"/>
  <c r="V26" i="9" s="1"/>
  <c r="B26" i="9" a="1"/>
  <c r="B26" i="9" s="1"/>
  <c r="J26" i="9" a="1"/>
  <c r="J26" i="9" s="1"/>
  <c r="C26" i="9" a="1"/>
  <c r="C26" i="9" s="1"/>
  <c r="I26" i="9" a="1"/>
  <c r="I26" i="9" s="1"/>
  <c r="F26" i="9" a="1"/>
  <c r="F26" i="9" s="1"/>
  <c r="E26" i="9" a="1"/>
  <c r="E26" i="9" s="1"/>
  <c r="H26" i="9" a="1"/>
  <c r="H26" i="9" s="1"/>
  <c r="G26" i="9" a="1"/>
  <c r="G26" i="9" s="1"/>
  <c r="AE23" i="9"/>
  <c r="AF23" i="9" s="1"/>
  <c r="AG23" i="9" s="1"/>
  <c r="AH23" i="9" s="1"/>
  <c r="AI23" i="9" s="1"/>
  <c r="K27" i="5" a="1"/>
  <c r="K27" i="5" s="1"/>
  <c r="A27" i="9" s="1"/>
  <c r="M25" i="9"/>
  <c r="N25" i="9" s="1"/>
  <c r="O25" i="9" s="1"/>
  <c r="AD25" i="9"/>
  <c r="AT25" i="2"/>
  <c r="AN22" i="7"/>
  <c r="AP22" i="7" s="1"/>
  <c r="AH27" i="2"/>
  <c r="AI27" i="2"/>
  <c r="W25" i="7"/>
  <c r="O25" i="7"/>
  <c r="F172" i="5"/>
  <c r="P24" i="7"/>
  <c r="Q24" i="7" s="1"/>
  <c r="R24" i="7" s="1"/>
  <c r="X24" i="7"/>
  <c r="Y24" i="7"/>
  <c r="Z24" i="7" s="1"/>
  <c r="AA24" i="7" s="1"/>
  <c r="AB24" i="7" s="1"/>
  <c r="AC24" i="7" s="1"/>
  <c r="AD24" i="7" s="1"/>
  <c r="AF24" i="7" s="1"/>
  <c r="AH24" i="7" s="1"/>
  <c r="AW28" i="2"/>
  <c r="AQ26" i="2"/>
  <c r="AR26" i="2"/>
  <c r="X26" i="2"/>
  <c r="BI26" i="2"/>
  <c r="BJ26" i="2"/>
  <c r="Z26" i="2"/>
  <c r="BK25" i="2"/>
  <c r="BL25" i="2" s="1"/>
  <c r="L27" i="2"/>
  <c r="BF26" i="2"/>
  <c r="AO27" i="2"/>
  <c r="AP27" i="2" s="1"/>
  <c r="F108" i="5"/>
  <c r="AD27" i="2"/>
  <c r="S27" i="2"/>
  <c r="U27" i="2" s="1"/>
  <c r="V27" i="2" s="1"/>
  <c r="W27" i="2"/>
  <c r="Y27" i="2" s="1"/>
  <c r="AN26" i="2"/>
  <c r="F27" i="2"/>
  <c r="BG27" i="2"/>
  <c r="BJ27" i="2" s="1"/>
  <c r="AM27" i="2"/>
  <c r="AJ28" i="2"/>
  <c r="AL28" i="2" s="1"/>
  <c r="AE28" i="2"/>
  <c r="AG28" i="2"/>
  <c r="O28" i="2"/>
  <c r="E28" i="2" a="1"/>
  <c r="E28" i="2" s="1"/>
  <c r="AD28" i="2" s="1"/>
  <c r="P28" i="2"/>
  <c r="H28" i="2" a="1"/>
  <c r="H28" i="2" s="1"/>
  <c r="N27" i="2"/>
  <c r="AX27" i="2"/>
  <c r="AF27" i="2"/>
  <c r="I28" i="2" a="1"/>
  <c r="I28" i="2" s="1"/>
  <c r="C28" i="2" a="1"/>
  <c r="C28" i="2" s="1"/>
  <c r="D28" i="2" a="1"/>
  <c r="D28" i="2" s="1"/>
  <c r="G28" i="2" a="1"/>
  <c r="G28" i="2" s="1"/>
  <c r="B28" i="2" a="1"/>
  <c r="B28" i="2" s="1"/>
  <c r="BC28" i="2" s="1"/>
  <c r="BC27" i="2"/>
  <c r="BE27" i="2" s="1"/>
  <c r="BF27" i="2" s="1"/>
  <c r="AZ28" i="2"/>
  <c r="BA28" i="2"/>
  <c r="I29" i="5" a="1"/>
  <c r="I29" i="5" s="1"/>
  <c r="A29" i="2" s="1"/>
  <c r="M28" i="2"/>
  <c r="Q28" i="2"/>
  <c r="AY28" i="2"/>
  <c r="J28" i="2" a="1"/>
  <c r="J28" i="2" s="1"/>
  <c r="R28" i="2"/>
  <c r="T28" i="2" s="1"/>
  <c r="BB28" i="2"/>
  <c r="BD28" i="2" s="1"/>
  <c r="AD11" i="2"/>
  <c r="AJ11" i="2" s="1"/>
  <c r="AL11" i="2" s="1"/>
  <c r="AV11" i="2"/>
  <c r="BB11" i="2" s="1"/>
  <c r="BD11" i="2" s="1"/>
  <c r="F11" i="2"/>
  <c r="L11" i="2"/>
  <c r="R11" i="2" s="1"/>
  <c r="T11" i="2" s="1"/>
  <c r="B27" i="7" a="1"/>
  <c r="B27" i="7" s="1"/>
  <c r="AB10" i="2"/>
  <c r="F93" i="5"/>
  <c r="L23" i="5" s="1" a="1"/>
  <c r="L23" i="5" s="1"/>
  <c r="S23" i="7"/>
  <c r="AJ23" i="7" s="1"/>
  <c r="U23" i="7"/>
  <c r="AL23" i="7" s="1"/>
  <c r="T23" i="7"/>
  <c r="AK23" i="7" s="1"/>
  <c r="L26" i="7"/>
  <c r="N26" i="7"/>
  <c r="F27" i="7" a="1"/>
  <c r="F27" i="7" s="1"/>
  <c r="M27" i="7" s="1"/>
  <c r="D27" i="7" a="1"/>
  <c r="D27" i="7" s="1"/>
  <c r="AG27" i="7" s="1"/>
  <c r="E27" i="7" a="1"/>
  <c r="E27" i="7" s="1"/>
  <c r="H27" i="7" a="1"/>
  <c r="H27" i="7" s="1"/>
  <c r="I27" i="7" a="1"/>
  <c r="I27" i="7" s="1"/>
  <c r="J27" i="7" a="1"/>
  <c r="J27" i="7" s="1"/>
  <c r="G27" i="7" a="1"/>
  <c r="G27" i="7" s="1"/>
  <c r="C27" i="7" a="1"/>
  <c r="C27" i="7" s="1"/>
  <c r="AE27" i="7" s="1"/>
  <c r="A28" i="7"/>
  <c r="E12" i="2" a="1"/>
  <c r="E12" i="2" s="1"/>
  <c r="Z27" i="9" l="1"/>
  <c r="AA29" i="2"/>
  <c r="AS29" i="2"/>
  <c r="P25" i="9"/>
  <c r="Q25" i="9" s="1"/>
  <c r="R25" i="9" s="1"/>
  <c r="T25" i="9" s="1"/>
  <c r="U25" i="9" s="1"/>
  <c r="W25" i="9" s="1"/>
  <c r="X25" i="9" s="1"/>
  <c r="AA25" i="9" s="1"/>
  <c r="AB25" i="9" s="1"/>
  <c r="AC25" i="9" s="1"/>
  <c r="F27" i="9" a="1"/>
  <c r="F27" i="9" s="1"/>
  <c r="C27" i="9" a="1"/>
  <c r="C27" i="9" s="1"/>
  <c r="I27" i="9" a="1"/>
  <c r="I27" i="9" s="1"/>
  <c r="G27" i="9" a="1"/>
  <c r="G27" i="9" s="1"/>
  <c r="D27" i="9" a="1"/>
  <c r="D27" i="9" s="1"/>
  <c r="V27" i="9" s="1"/>
  <c r="E27" i="9" a="1"/>
  <c r="E27" i="9" s="1"/>
  <c r="H27" i="9" a="1"/>
  <c r="H27" i="9" s="1"/>
  <c r="J27" i="9" a="1"/>
  <c r="J27" i="9" s="1"/>
  <c r="B27" i="9" a="1"/>
  <c r="B27" i="9" s="1"/>
  <c r="K28" i="5" a="1"/>
  <c r="K28" i="5" s="1"/>
  <c r="A28" i="9" s="1"/>
  <c r="L26" i="9"/>
  <c r="M26" i="9"/>
  <c r="N26" i="9" s="1"/>
  <c r="O26" i="9" s="1"/>
  <c r="AD26" i="9"/>
  <c r="F131" i="5"/>
  <c r="W26" i="7"/>
  <c r="O26" i="7"/>
  <c r="F173" i="5"/>
  <c r="P25" i="7"/>
  <c r="Q25" i="7" s="1"/>
  <c r="R25" i="7" s="1"/>
  <c r="S25" i="7" s="1"/>
  <c r="X25" i="7"/>
  <c r="Y25" i="7"/>
  <c r="Z25" i="7" s="1"/>
  <c r="AA25" i="7" s="1"/>
  <c r="AB25" i="7" s="1"/>
  <c r="AC25" i="7" s="1"/>
  <c r="AD25" i="7" s="1"/>
  <c r="AF25" i="7" s="1"/>
  <c r="AH25" i="7" s="1"/>
  <c r="AZ29" i="2"/>
  <c r="AT26" i="2"/>
  <c r="BG28" i="2"/>
  <c r="BJ28" i="2" s="1"/>
  <c r="AB25" i="2"/>
  <c r="AR27" i="2"/>
  <c r="BK26" i="2"/>
  <c r="BL26" i="2" s="1"/>
  <c r="Z27" i="2"/>
  <c r="X27" i="2"/>
  <c r="BH27" i="2"/>
  <c r="AB26" i="2"/>
  <c r="AQ27" i="2"/>
  <c r="AI28" i="2"/>
  <c r="AH28" i="2"/>
  <c r="BI27" i="2"/>
  <c r="W28" i="2"/>
  <c r="X28" i="2" s="1"/>
  <c r="AN27" i="2"/>
  <c r="AO28" i="2"/>
  <c r="AP28" i="2" s="1"/>
  <c r="BE28" i="2"/>
  <c r="AK28" i="2"/>
  <c r="AM28" i="2" s="1"/>
  <c r="F28" i="2"/>
  <c r="AV28" i="2"/>
  <c r="L28" i="2"/>
  <c r="S28" i="2"/>
  <c r="U28" i="2" s="1"/>
  <c r="V28" i="2" s="1"/>
  <c r="I30" i="5" a="1"/>
  <c r="I30" i="5" s="1"/>
  <c r="A30" i="2" s="1"/>
  <c r="M29" i="2"/>
  <c r="C29" i="2" a="1"/>
  <c r="C29" i="2" s="1"/>
  <c r="D29" i="2" a="1"/>
  <c r="D29" i="2" s="1"/>
  <c r="G29" i="2" a="1"/>
  <c r="G29" i="2" s="1"/>
  <c r="AY29" i="2"/>
  <c r="J29" i="2" a="1"/>
  <c r="J29" i="2" s="1"/>
  <c r="AW29" i="2"/>
  <c r="E29" i="2" a="1"/>
  <c r="E29" i="2" s="1"/>
  <c r="AD29" i="2" s="1"/>
  <c r="H29" i="2" a="1"/>
  <c r="H29" i="2" s="1"/>
  <c r="AJ29" i="2"/>
  <c r="AL29" i="2" s="1"/>
  <c r="AE29" i="2"/>
  <c r="AG29" i="2"/>
  <c r="N28" i="2"/>
  <c r="AF28" i="2"/>
  <c r="AX28" i="2"/>
  <c r="R29" i="2"/>
  <c r="T29" i="2" s="1"/>
  <c r="P29" i="2"/>
  <c r="B29" i="2" a="1"/>
  <c r="B29" i="2" s="1"/>
  <c r="S29" i="2" s="1"/>
  <c r="O29" i="2"/>
  <c r="I29" i="2" a="1"/>
  <c r="I29" i="2" s="1"/>
  <c r="BB29" i="2"/>
  <c r="BD29" i="2" s="1"/>
  <c r="Q29" i="2"/>
  <c r="BA29" i="2"/>
  <c r="M11" i="2"/>
  <c r="W11" i="2"/>
  <c r="U11" i="2"/>
  <c r="BG11" i="2"/>
  <c r="BE11" i="2"/>
  <c r="BF11" i="2" s="1"/>
  <c r="AV12" i="2"/>
  <c r="AD12" i="2"/>
  <c r="AO11" i="2"/>
  <c r="AM11" i="2"/>
  <c r="AN11" i="2" s="1"/>
  <c r="AW11" i="2"/>
  <c r="AE11" i="2"/>
  <c r="F12" i="2"/>
  <c r="L12" i="2"/>
  <c r="B28" i="7" a="1"/>
  <c r="B28" i="7" s="1"/>
  <c r="S24" i="7"/>
  <c r="AJ24" i="7" s="1"/>
  <c r="U24" i="7"/>
  <c r="AL24" i="7" s="1"/>
  <c r="T24" i="7"/>
  <c r="AK24" i="7" s="1"/>
  <c r="AN23" i="7"/>
  <c r="AP23" i="7" s="1"/>
  <c r="L27" i="7"/>
  <c r="N27" i="7"/>
  <c r="F28" i="7" a="1"/>
  <c r="F28" i="7" s="1"/>
  <c r="M28" i="7" s="1"/>
  <c r="D28" i="7" a="1"/>
  <c r="D28" i="7" s="1"/>
  <c r="AG28" i="7" s="1"/>
  <c r="E28" i="7" a="1"/>
  <c r="E28" i="7" s="1"/>
  <c r="H28" i="7" a="1"/>
  <c r="H28" i="7" s="1"/>
  <c r="G28" i="7" a="1"/>
  <c r="G28" i="7" s="1"/>
  <c r="I28" i="7" a="1"/>
  <c r="I28" i="7" s="1"/>
  <c r="J28" i="7" a="1"/>
  <c r="J28" i="7" s="1"/>
  <c r="C28" i="7" a="1"/>
  <c r="C28" i="7" s="1"/>
  <c r="AE28" i="7" s="1"/>
  <c r="A29" i="7"/>
  <c r="E13" i="2" a="1"/>
  <c r="E13" i="2" s="1"/>
  <c r="Z28" i="9" l="1"/>
  <c r="AS30" i="2"/>
  <c r="AA30" i="2"/>
  <c r="K29" i="5" a="1"/>
  <c r="K29" i="5" s="1"/>
  <c r="A29" i="9" s="1"/>
  <c r="M27" i="9"/>
  <c r="N27" i="9" s="1"/>
  <c r="O27" i="9" s="1"/>
  <c r="AD27" i="9"/>
  <c r="P26" i="9"/>
  <c r="Q26" i="9" s="1"/>
  <c r="R26" i="9" s="1"/>
  <c r="T26" i="9" s="1"/>
  <c r="U26" i="9" s="1"/>
  <c r="W26" i="9" s="1"/>
  <c r="C28" i="9" a="1"/>
  <c r="C28" i="9" s="1"/>
  <c r="D28" i="9" a="1"/>
  <c r="D28" i="9" s="1"/>
  <c r="V28" i="9" s="1"/>
  <c r="J28" i="9" a="1"/>
  <c r="J28" i="9" s="1"/>
  <c r="F28" i="9" a="1"/>
  <c r="F28" i="9" s="1"/>
  <c r="G28" i="9" a="1"/>
  <c r="G28" i="9" s="1"/>
  <c r="B28" i="9" a="1"/>
  <c r="B28" i="9" s="1"/>
  <c r="I28" i="9" a="1"/>
  <c r="I28" i="9" s="1"/>
  <c r="H28" i="9" a="1"/>
  <c r="H28" i="9" s="1"/>
  <c r="E28" i="9" a="1"/>
  <c r="E28" i="9" s="1"/>
  <c r="AE25" i="9"/>
  <c r="AF25" i="9" s="1"/>
  <c r="AG25" i="9" s="1"/>
  <c r="AH25" i="9" s="1"/>
  <c r="AI25" i="9" s="1"/>
  <c r="L27" i="9"/>
  <c r="AJ25" i="7"/>
  <c r="F174" i="5"/>
  <c r="W27" i="7"/>
  <c r="O27" i="7"/>
  <c r="P26" i="7"/>
  <c r="Q26" i="7" s="1"/>
  <c r="R26" i="7" s="1"/>
  <c r="S26" i="7" s="1"/>
  <c r="X26" i="7"/>
  <c r="Y26" i="7"/>
  <c r="Z26" i="7" s="1"/>
  <c r="AA26" i="7" s="1"/>
  <c r="AB26" i="7" s="1"/>
  <c r="AC26" i="7" s="1"/>
  <c r="AD26" i="7" s="1"/>
  <c r="AF26" i="7" s="1"/>
  <c r="AH26" i="7" s="1"/>
  <c r="U25" i="7"/>
  <c r="AL25" i="7" s="1"/>
  <c r="T25" i="7"/>
  <c r="AK25" i="7" s="1"/>
  <c r="F132" i="5"/>
  <c r="J30" i="2" a="1"/>
  <c r="J30" i="2" s="1"/>
  <c r="BH28" i="2"/>
  <c r="BI28" i="2"/>
  <c r="AV29" i="2"/>
  <c r="AT27" i="2"/>
  <c r="BK27" i="2"/>
  <c r="BL27" i="2" s="1"/>
  <c r="Y28" i="2"/>
  <c r="AN28" i="2"/>
  <c r="F110" i="5"/>
  <c r="W29" i="2"/>
  <c r="Z29" i="2" s="1"/>
  <c r="F29" i="2"/>
  <c r="Z28" i="2"/>
  <c r="L29" i="2"/>
  <c r="AK29" i="2"/>
  <c r="AM29" i="2" s="1"/>
  <c r="AN29" i="2" s="1"/>
  <c r="BC29" i="2"/>
  <c r="BE29" i="2" s="1"/>
  <c r="F109" i="5"/>
  <c r="BF28" i="2"/>
  <c r="AR28" i="2"/>
  <c r="AQ28" i="2"/>
  <c r="AH29" i="2"/>
  <c r="U29" i="2"/>
  <c r="V29" i="2" s="1"/>
  <c r="AI29" i="2"/>
  <c r="BG29" i="2"/>
  <c r="BI29" i="2" s="1"/>
  <c r="AO29" i="2"/>
  <c r="AP29" i="2" s="1"/>
  <c r="B30" i="2" a="1"/>
  <c r="B30" i="2" s="1"/>
  <c r="S30" i="2" s="1"/>
  <c r="M30" i="2"/>
  <c r="O30" i="2"/>
  <c r="D30" i="2" a="1"/>
  <c r="D30" i="2" s="1"/>
  <c r="I30" i="2" a="1"/>
  <c r="I30" i="2" s="1"/>
  <c r="AZ30" i="2"/>
  <c r="I31" i="5" a="1"/>
  <c r="I31" i="5" s="1"/>
  <c r="I32" i="5" s="1" a="1"/>
  <c r="I32" i="5" s="1"/>
  <c r="AG30" i="2"/>
  <c r="AY30" i="2"/>
  <c r="AJ30" i="2"/>
  <c r="AL30" i="2" s="1"/>
  <c r="AE30" i="2"/>
  <c r="R30" i="2"/>
  <c r="T30" i="2" s="1"/>
  <c r="BA30" i="2"/>
  <c r="BB30" i="2"/>
  <c r="BD30" i="2" s="1"/>
  <c r="H30" i="2" a="1"/>
  <c r="H30" i="2" s="1"/>
  <c r="P30" i="2"/>
  <c r="AX29" i="2"/>
  <c r="N29" i="2"/>
  <c r="AF29" i="2"/>
  <c r="E30" i="2" a="1"/>
  <c r="E30" i="2" s="1"/>
  <c r="L30" i="2" s="1"/>
  <c r="Q30" i="2"/>
  <c r="AW30" i="2"/>
  <c r="C30" i="2" a="1"/>
  <c r="C30" i="2" s="1"/>
  <c r="G30" i="2" a="1"/>
  <c r="G30" i="2" s="1"/>
  <c r="BA11" i="2"/>
  <c r="BJ11" i="2" s="1"/>
  <c r="AY11" i="2"/>
  <c r="BH11" i="2" s="1"/>
  <c r="AZ11" i="2"/>
  <c r="BI11" i="2" s="1"/>
  <c r="Q11" i="2"/>
  <c r="Z11" i="2" s="1"/>
  <c r="O11" i="2"/>
  <c r="X11" i="2" s="1"/>
  <c r="P11" i="2"/>
  <c r="Y11" i="2" s="1"/>
  <c r="AG11" i="2"/>
  <c r="AP11" i="2" s="1"/>
  <c r="AH11" i="2"/>
  <c r="AQ11" i="2" s="1"/>
  <c r="AI11" i="2"/>
  <c r="AR11" i="2" s="1"/>
  <c r="AJ12" i="2"/>
  <c r="AL12" i="2" s="1"/>
  <c r="AE12" i="2"/>
  <c r="AW12" i="2"/>
  <c r="BB12" i="2"/>
  <c r="BD12" i="2" s="1"/>
  <c r="M12" i="2"/>
  <c r="R12" i="2"/>
  <c r="T12" i="2" s="1"/>
  <c r="AD13" i="2"/>
  <c r="AJ13" i="2" s="1"/>
  <c r="AL13" i="2" s="1"/>
  <c r="AV13" i="2"/>
  <c r="BB13" i="2" s="1"/>
  <c r="BD13" i="2" s="1"/>
  <c r="F13" i="2"/>
  <c r="L13" i="2"/>
  <c r="R13" i="2" s="1"/>
  <c r="T13" i="2" s="1"/>
  <c r="B29" i="7" a="1"/>
  <c r="B29" i="7" s="1"/>
  <c r="AN24" i="7"/>
  <c r="AP24" i="7" s="1"/>
  <c r="L28" i="7"/>
  <c r="N28" i="7"/>
  <c r="F29" i="7" a="1"/>
  <c r="F29" i="7" s="1"/>
  <c r="M29" i="7" s="1"/>
  <c r="D29" i="7" a="1"/>
  <c r="D29" i="7" s="1"/>
  <c r="AG29" i="7" s="1"/>
  <c r="E29" i="7" a="1"/>
  <c r="E29" i="7" s="1"/>
  <c r="I29" i="7" a="1"/>
  <c r="I29" i="7" s="1"/>
  <c r="J29" i="7" a="1"/>
  <c r="J29" i="7" s="1"/>
  <c r="G29" i="7" a="1"/>
  <c r="G29" i="7" s="1"/>
  <c r="H29" i="7" a="1"/>
  <c r="H29" i="7" s="1"/>
  <c r="C29" i="7" a="1"/>
  <c r="C29" i="7" s="1"/>
  <c r="AE29" i="7" s="1"/>
  <c r="A30" i="7"/>
  <c r="E14" i="2" a="1"/>
  <c r="E14" i="2" s="1"/>
  <c r="AA11" i="2" l="1"/>
  <c r="AA4" i="2" s="1"/>
  <c r="C8" i="12" s="1"/>
  <c r="AS11" i="2"/>
  <c r="AT11" i="2" s="1"/>
  <c r="F29" i="9" a="1"/>
  <c r="F29" i="9" s="1"/>
  <c r="Z29" i="9"/>
  <c r="U26" i="7"/>
  <c r="AL26" i="7" s="1"/>
  <c r="T26" i="7"/>
  <c r="AK26" i="7" s="1"/>
  <c r="L28" i="9"/>
  <c r="K30" i="5" a="1"/>
  <c r="K30" i="5" s="1"/>
  <c r="A30" i="9" s="1"/>
  <c r="P27" i="9"/>
  <c r="Q27" i="9" s="1"/>
  <c r="R27" i="9" s="1"/>
  <c r="T27" i="9" s="1"/>
  <c r="U27" i="9" s="1"/>
  <c r="W27" i="9" s="1"/>
  <c r="X26" i="9"/>
  <c r="AA26" i="9" s="1"/>
  <c r="AB26" i="9" s="1"/>
  <c r="AC26" i="9" s="1"/>
  <c r="AD28" i="9"/>
  <c r="M28" i="9"/>
  <c r="N28" i="9" s="1"/>
  <c r="O28" i="9" s="1"/>
  <c r="G29" i="9" a="1"/>
  <c r="G29" i="9" s="1"/>
  <c r="B29" i="9" a="1"/>
  <c r="B29" i="9" s="1"/>
  <c r="C29" i="9" a="1"/>
  <c r="C29" i="9" s="1"/>
  <c r="E29" i="9" a="1"/>
  <c r="E29" i="9" s="1"/>
  <c r="I29" i="9" a="1"/>
  <c r="I29" i="9" s="1"/>
  <c r="H29" i="9" a="1"/>
  <c r="H29" i="9" s="1"/>
  <c r="J29" i="9" a="1"/>
  <c r="J29" i="9" s="1"/>
  <c r="D29" i="9" a="1"/>
  <c r="D29" i="9" s="1"/>
  <c r="V29" i="9" s="1"/>
  <c r="F175" i="5"/>
  <c r="AJ26" i="7"/>
  <c r="AI30" i="2"/>
  <c r="AN25" i="7"/>
  <c r="AP25" i="7" s="1"/>
  <c r="W28" i="7"/>
  <c r="O28" i="7"/>
  <c r="P27" i="7"/>
  <c r="Q27" i="7" s="1"/>
  <c r="R27" i="7" s="1"/>
  <c r="X27" i="7"/>
  <c r="Y27" i="7"/>
  <c r="Z27" i="7" s="1"/>
  <c r="AA27" i="7" s="1"/>
  <c r="AB27" i="7" s="1"/>
  <c r="AC27" i="7" s="1"/>
  <c r="AD27" i="7" s="1"/>
  <c r="AF27" i="7" s="1"/>
  <c r="AH27" i="7" s="1"/>
  <c r="F133" i="5"/>
  <c r="BK28" i="2"/>
  <c r="BL28" i="2" s="1"/>
  <c r="X29" i="2"/>
  <c r="AB27" i="2"/>
  <c r="AR29" i="2"/>
  <c r="AB28" i="2"/>
  <c r="BC30" i="2"/>
  <c r="BE30" i="2" s="1"/>
  <c r="Y29" i="2"/>
  <c r="U30" i="2"/>
  <c r="V30" i="2" s="1"/>
  <c r="AT28" i="2"/>
  <c r="BF29" i="2"/>
  <c r="AK30" i="2"/>
  <c r="AM30" i="2" s="1"/>
  <c r="AN30" i="2" s="1"/>
  <c r="AQ29" i="2"/>
  <c r="BH29" i="2"/>
  <c r="BJ29" i="2"/>
  <c r="AH30" i="2"/>
  <c r="BG30" i="2"/>
  <c r="BI30" i="2" s="1"/>
  <c r="AO30" i="2"/>
  <c r="AP30" i="2" s="1"/>
  <c r="W30" i="2"/>
  <c r="X30" i="2" s="1"/>
  <c r="AV30" i="2"/>
  <c r="F30" i="2"/>
  <c r="AD30" i="2"/>
  <c r="N30" i="2"/>
  <c r="AX30" i="2"/>
  <c r="AF30" i="2"/>
  <c r="AE13" i="2"/>
  <c r="AG13" i="2" s="1"/>
  <c r="Q12" i="2"/>
  <c r="P12" i="2"/>
  <c r="O12" i="2"/>
  <c r="AZ12" i="2"/>
  <c r="BA12" i="2"/>
  <c r="AY12" i="2"/>
  <c r="AG12" i="2"/>
  <c r="AH12" i="2"/>
  <c r="AI12" i="2"/>
  <c r="AW13" i="2"/>
  <c r="W12" i="2"/>
  <c r="U12" i="2"/>
  <c r="V12" i="2" s="1"/>
  <c r="BG12" i="2"/>
  <c r="BE12" i="2"/>
  <c r="BF12" i="2" s="1"/>
  <c r="AV14" i="2"/>
  <c r="BB14" i="2" s="1"/>
  <c r="BD14" i="2" s="1"/>
  <c r="AD14" i="2"/>
  <c r="AJ14" i="2" s="1"/>
  <c r="AL14" i="2" s="1"/>
  <c r="AO12" i="2"/>
  <c r="AM12" i="2"/>
  <c r="AN12" i="2" s="1"/>
  <c r="M13" i="2"/>
  <c r="BG13" i="2"/>
  <c r="BE13" i="2"/>
  <c r="BF13" i="2" s="1"/>
  <c r="W13" i="2"/>
  <c r="U13" i="2"/>
  <c r="AO13" i="2"/>
  <c r="AM13" i="2"/>
  <c r="AN13" i="2" s="1"/>
  <c r="BK11" i="2"/>
  <c r="BL11" i="2" s="1"/>
  <c r="F14" i="2"/>
  <c r="L14" i="2"/>
  <c r="V11" i="2"/>
  <c r="B30" i="7" a="1"/>
  <c r="B30" i="7" s="1"/>
  <c r="L29" i="7"/>
  <c r="N29" i="7"/>
  <c r="F30" i="7" a="1"/>
  <c r="F30" i="7" s="1"/>
  <c r="M30" i="7" s="1"/>
  <c r="D30" i="7" a="1"/>
  <c r="D30" i="7" s="1"/>
  <c r="AG30" i="7" s="1"/>
  <c r="E30" i="7" a="1"/>
  <c r="E30" i="7" s="1"/>
  <c r="G30" i="7" a="1"/>
  <c r="G30" i="7" s="1"/>
  <c r="H30" i="7" a="1"/>
  <c r="H30" i="7" s="1"/>
  <c r="I30" i="7" a="1"/>
  <c r="I30" i="7" s="1"/>
  <c r="J30" i="7" a="1"/>
  <c r="J30" i="7" s="1"/>
  <c r="C30" i="7" a="1"/>
  <c r="C30" i="7" s="1"/>
  <c r="AE30" i="7" s="1"/>
  <c r="A31" i="7"/>
  <c r="I33" i="5" a="1"/>
  <c r="I33" i="5" s="1"/>
  <c r="Z30" i="9" l="1"/>
  <c r="P28" i="9"/>
  <c r="Q28" i="9" s="1"/>
  <c r="R28" i="9" s="1"/>
  <c r="T28" i="9" s="1"/>
  <c r="U28" i="9" s="1"/>
  <c r="W28" i="9" s="1"/>
  <c r="X28" i="9" s="1"/>
  <c r="AA28" i="9" s="1"/>
  <c r="AB28" i="9" s="1"/>
  <c r="AC28" i="9" s="1"/>
  <c r="K31" i="5" a="1"/>
  <c r="K31" i="5" s="1"/>
  <c r="A31" i="9" s="1"/>
  <c r="L29" i="9"/>
  <c r="AE26" i="9"/>
  <c r="AF26" i="9" s="1"/>
  <c r="AG26" i="9" s="1"/>
  <c r="AH26" i="9" s="1"/>
  <c r="AI26" i="9" s="1"/>
  <c r="F176" i="5" s="1"/>
  <c r="M29" i="9"/>
  <c r="N29" i="9" s="1"/>
  <c r="O29" i="9" s="1"/>
  <c r="AA29" i="9" s="1"/>
  <c r="AD29" i="9"/>
  <c r="AN26" i="7"/>
  <c r="AP26" i="7" s="1"/>
  <c r="X27" i="9"/>
  <c r="AA27" i="9" s="1"/>
  <c r="AB27" i="9" s="1"/>
  <c r="AC27" i="9" s="1"/>
  <c r="B30" i="9" a="1"/>
  <c r="B30" i="9" s="1"/>
  <c r="C30" i="9" a="1"/>
  <c r="C30" i="9" s="1"/>
  <c r="D30" i="9" a="1"/>
  <c r="D30" i="9" s="1"/>
  <c r="V30" i="9" s="1"/>
  <c r="E30" i="9" a="1"/>
  <c r="E30" i="9" s="1"/>
  <c r="G30" i="9" a="1"/>
  <c r="G30" i="9" s="1"/>
  <c r="I30" i="9" a="1"/>
  <c r="I30" i="9" s="1"/>
  <c r="H30" i="9" a="1"/>
  <c r="H30" i="9" s="1"/>
  <c r="F30" i="9" a="1"/>
  <c r="F30" i="9" s="1"/>
  <c r="J30" i="9" a="1"/>
  <c r="J30" i="9" s="1"/>
  <c r="F134" i="5"/>
  <c r="W29" i="7"/>
  <c r="O29" i="7"/>
  <c r="P28" i="7"/>
  <c r="Q28" i="7" s="1"/>
  <c r="R28" i="7" s="1"/>
  <c r="S28" i="7" s="1"/>
  <c r="X28" i="7"/>
  <c r="Y28" i="7"/>
  <c r="Z28" i="7" s="1"/>
  <c r="AA28" i="7" s="1"/>
  <c r="AB28" i="7" s="1"/>
  <c r="AC28" i="7" s="1"/>
  <c r="AD28" i="7" s="1"/>
  <c r="AF28" i="7" s="1"/>
  <c r="AH28" i="7" s="1"/>
  <c r="AB29" i="2"/>
  <c r="AT29" i="2"/>
  <c r="F111" i="5"/>
  <c r="Y30" i="2"/>
  <c r="Z30" i="2"/>
  <c r="BF30" i="2"/>
  <c r="AR30" i="2"/>
  <c r="AQ30" i="2"/>
  <c r="BK29" i="2"/>
  <c r="BL29" i="2" s="1"/>
  <c r="BH30" i="2"/>
  <c r="BJ30" i="2"/>
  <c r="AI13" i="2"/>
  <c r="AR13" i="2" s="1"/>
  <c r="AH13" i="2"/>
  <c r="AQ13" i="2" s="1"/>
  <c r="Q13" i="2"/>
  <c r="Z13" i="2" s="1"/>
  <c r="P13" i="2"/>
  <c r="Y13" i="2" s="1"/>
  <c r="O13" i="2"/>
  <c r="X13" i="2" s="1"/>
  <c r="AW14" i="2"/>
  <c r="BA13" i="2"/>
  <c r="BJ13" i="2" s="1"/>
  <c r="AZ13" i="2"/>
  <c r="BI13" i="2" s="1"/>
  <c r="AY13" i="2"/>
  <c r="BH13" i="2" s="1"/>
  <c r="BI12" i="2"/>
  <c r="AQ12" i="2"/>
  <c r="AR12" i="2"/>
  <c r="AP12" i="2"/>
  <c r="Z12" i="2"/>
  <c r="X12" i="2"/>
  <c r="BG14" i="2"/>
  <c r="BE14" i="2"/>
  <c r="BF14" i="2" s="1"/>
  <c r="AE14" i="2"/>
  <c r="AO14" i="2"/>
  <c r="AM14" i="2"/>
  <c r="AN14" i="2" s="1"/>
  <c r="BJ12" i="2"/>
  <c r="M14" i="2"/>
  <c r="R14" i="2"/>
  <c r="T14" i="2" s="1"/>
  <c r="AP13" i="2"/>
  <c r="BH12" i="2"/>
  <c r="Y12" i="2"/>
  <c r="B31" i="7" a="1"/>
  <c r="B31" i="7" s="1"/>
  <c r="S27" i="7"/>
  <c r="AJ27" i="7" s="1"/>
  <c r="T27" i="7"/>
  <c r="AK27" i="7" s="1"/>
  <c r="U27" i="7"/>
  <c r="AL27" i="7" s="1"/>
  <c r="L30" i="7"/>
  <c r="N30" i="7"/>
  <c r="F31" i="7" a="1"/>
  <c r="F31" i="7" s="1"/>
  <c r="M31" i="7" s="1"/>
  <c r="D31" i="7" a="1"/>
  <c r="D31" i="7" s="1"/>
  <c r="AG31" i="7" s="1"/>
  <c r="E31" i="7" a="1"/>
  <c r="E31" i="7" s="1"/>
  <c r="G31" i="7" a="1"/>
  <c r="G31" i="7" s="1"/>
  <c r="H31" i="7" a="1"/>
  <c r="H31" i="7" s="1"/>
  <c r="I31" i="7" a="1"/>
  <c r="I31" i="7" s="1"/>
  <c r="J31" i="7" a="1"/>
  <c r="J31" i="7" s="1"/>
  <c r="C31" i="7" a="1"/>
  <c r="C31" i="7" s="1"/>
  <c r="AE31" i="7" s="1"/>
  <c r="A32" i="7"/>
  <c r="I34" i="5" a="1"/>
  <c r="I34" i="5" s="1"/>
  <c r="Z31" i="9" l="1"/>
  <c r="F135" i="5"/>
  <c r="L30" i="9"/>
  <c r="T28" i="7"/>
  <c r="AK28" i="7" s="1"/>
  <c r="U28" i="7"/>
  <c r="AL28" i="7" s="1"/>
  <c r="K32" i="5" a="1"/>
  <c r="K32" i="5" s="1"/>
  <c r="A32" i="9" s="1"/>
  <c r="AE28" i="9"/>
  <c r="AF28" i="9" s="1"/>
  <c r="AG28" i="9" s="1"/>
  <c r="AH28" i="9" s="1"/>
  <c r="AI28" i="9" s="1"/>
  <c r="AE27" i="9"/>
  <c r="AF27" i="9" s="1"/>
  <c r="AG27" i="9" s="1"/>
  <c r="AH27" i="9" s="1"/>
  <c r="AI27" i="9" s="1"/>
  <c r="F177" i="5" s="1"/>
  <c r="M30" i="9"/>
  <c r="N30" i="9" s="1"/>
  <c r="O30" i="9" s="1"/>
  <c r="AD30" i="9"/>
  <c r="P29" i="9"/>
  <c r="Q29" i="9" s="1"/>
  <c r="R29" i="9" s="1"/>
  <c r="T29" i="9" s="1"/>
  <c r="U29" i="9" s="1"/>
  <c r="W29" i="9" s="1"/>
  <c r="B31" i="9" a="1"/>
  <c r="B31" i="9" s="1"/>
  <c r="AF31" i="9"/>
  <c r="X31" i="9"/>
  <c r="AA31" i="9" s="1"/>
  <c r="C31" i="9" a="1"/>
  <c r="C31" i="9" s="1"/>
  <c r="AB31" i="9"/>
  <c r="AC31" i="9" s="1"/>
  <c r="AE31" i="9"/>
  <c r="D31" i="9" a="1"/>
  <c r="D31" i="9" s="1"/>
  <c r="V31" i="9" s="1"/>
  <c r="I31" i="9" a="1"/>
  <c r="I31" i="9" s="1"/>
  <c r="Q31" i="9"/>
  <c r="R31" i="9" s="1"/>
  <c r="G31" i="9" a="1"/>
  <c r="G31" i="9" s="1"/>
  <c r="H31" i="9" a="1"/>
  <c r="H31" i="9" s="1"/>
  <c r="E31" i="9" a="1"/>
  <c r="E31" i="9" s="1"/>
  <c r="F31" i="9" a="1"/>
  <c r="F31" i="9" s="1"/>
  <c r="J31" i="9" a="1"/>
  <c r="J31" i="9" s="1"/>
  <c r="AJ28" i="7"/>
  <c r="F112" i="5"/>
  <c r="W30" i="7"/>
  <c r="O30" i="7"/>
  <c r="P29" i="7"/>
  <c r="Q29" i="7" s="1"/>
  <c r="R29" i="7" s="1"/>
  <c r="S29" i="7" s="1"/>
  <c r="X29" i="7"/>
  <c r="Y29" i="7"/>
  <c r="Z29" i="7" s="1"/>
  <c r="AA29" i="7" s="1"/>
  <c r="AB29" i="7" s="1"/>
  <c r="AC29" i="7" s="1"/>
  <c r="AD29" i="7" s="1"/>
  <c r="AF29" i="7" s="1"/>
  <c r="AH29" i="7" s="1"/>
  <c r="AB30" i="2"/>
  <c r="AT30" i="2"/>
  <c r="BK30" i="2"/>
  <c r="BL30" i="2" s="1"/>
  <c r="AG14" i="2"/>
  <c r="AP14" i="2" s="1"/>
  <c r="AH14" i="2"/>
  <c r="AQ14" i="2" s="1"/>
  <c r="AI14" i="2"/>
  <c r="AR14" i="2" s="1"/>
  <c r="Q14" i="2"/>
  <c r="O14" i="2"/>
  <c r="P14" i="2"/>
  <c r="BA14" i="2"/>
  <c r="BJ14" i="2" s="1"/>
  <c r="AZ14" i="2"/>
  <c r="BI14" i="2" s="1"/>
  <c r="AY14" i="2"/>
  <c r="BH14" i="2" s="1"/>
  <c r="AT12" i="2"/>
  <c r="F95" i="5"/>
  <c r="BK12" i="2"/>
  <c r="BL12" i="2" s="1"/>
  <c r="BK13" i="2"/>
  <c r="BL13" i="2" s="1"/>
  <c r="W14" i="2"/>
  <c r="U14" i="2"/>
  <c r="V14" i="2" s="1"/>
  <c r="AT13" i="2"/>
  <c r="V13" i="2"/>
  <c r="B32" i="7" a="1"/>
  <c r="B32" i="7" s="1"/>
  <c r="AB11" i="2"/>
  <c r="F94" i="5"/>
  <c r="AN27" i="7"/>
  <c r="AP27" i="7" s="1"/>
  <c r="L31" i="7"/>
  <c r="N31" i="7"/>
  <c r="F32" i="7" a="1"/>
  <c r="F32" i="7" s="1"/>
  <c r="M32" i="7" s="1"/>
  <c r="D32" i="7" a="1"/>
  <c r="D32" i="7" s="1"/>
  <c r="AG32" i="7" s="1"/>
  <c r="E32" i="7" a="1"/>
  <c r="E32" i="7" s="1"/>
  <c r="H32" i="7" a="1"/>
  <c r="H32" i="7" s="1"/>
  <c r="G32" i="7" a="1"/>
  <c r="G32" i="7" s="1"/>
  <c r="I32" i="7" a="1"/>
  <c r="I32" i="7" s="1"/>
  <c r="J32" i="7" a="1"/>
  <c r="J32" i="7" s="1"/>
  <c r="C32" i="7" a="1"/>
  <c r="C32" i="7" s="1"/>
  <c r="AE32" i="7" s="1"/>
  <c r="A33" i="7"/>
  <c r="E15" i="2" a="1"/>
  <c r="E15" i="2" s="1"/>
  <c r="I35" i="5" a="1"/>
  <c r="I35" i="5" s="1"/>
  <c r="Z32" i="9" l="1"/>
  <c r="P30" i="9"/>
  <c r="Q30" i="9" s="1"/>
  <c r="R30" i="9" s="1"/>
  <c r="T30" i="9" s="1"/>
  <c r="U30" i="9" s="1"/>
  <c r="W30" i="9" s="1"/>
  <c r="L31" i="9"/>
  <c r="AG31" i="9"/>
  <c r="AH31" i="9" s="1"/>
  <c r="AI31" i="9" s="1"/>
  <c r="X30" i="9"/>
  <c r="AA30" i="9" s="1"/>
  <c r="AB30" i="9" s="1"/>
  <c r="AC30" i="9" s="1"/>
  <c r="X29" i="9"/>
  <c r="AB29" i="9" s="1"/>
  <c r="AC29" i="9" s="1"/>
  <c r="AD31" i="9"/>
  <c r="M31" i="9"/>
  <c r="N31" i="9" s="1"/>
  <c r="O31" i="9" s="1"/>
  <c r="T31" i="9"/>
  <c r="U31" i="9" s="1"/>
  <c r="W31" i="9" s="1"/>
  <c r="K33" i="5" a="1"/>
  <c r="K33" i="5" s="1"/>
  <c r="A33" i="9" s="1"/>
  <c r="X32" i="9"/>
  <c r="AA32" i="9" s="1"/>
  <c r="AE32" i="9"/>
  <c r="AB32" i="9"/>
  <c r="AC32" i="9" s="1"/>
  <c r="AF32" i="9"/>
  <c r="B32" i="9" a="1"/>
  <c r="B32" i="9" s="1"/>
  <c r="I32" i="9" a="1"/>
  <c r="I32" i="9" s="1"/>
  <c r="E32" i="9" a="1"/>
  <c r="E32" i="9" s="1"/>
  <c r="Q32" i="9"/>
  <c r="R32" i="9" s="1"/>
  <c r="D32" i="9" a="1"/>
  <c r="D32" i="9" s="1"/>
  <c r="V32" i="9" s="1"/>
  <c r="G32" i="9" a="1"/>
  <c r="G32" i="9" s="1"/>
  <c r="J32" i="9" a="1"/>
  <c r="J32" i="9" s="1"/>
  <c r="H32" i="9" a="1"/>
  <c r="H32" i="9" s="1"/>
  <c r="C32" i="9" a="1"/>
  <c r="C32" i="9" s="1"/>
  <c r="F32" i="9" a="1"/>
  <c r="F32" i="9" s="1"/>
  <c r="AN28" i="7"/>
  <c r="AP28" i="7" s="1"/>
  <c r="F113" i="5"/>
  <c r="AJ29" i="7"/>
  <c r="T29" i="7"/>
  <c r="AK29" i="7" s="1"/>
  <c r="U29" i="7"/>
  <c r="AL29" i="7" s="1"/>
  <c r="W31" i="7"/>
  <c r="O31" i="7"/>
  <c r="F178" i="5"/>
  <c r="P30" i="7"/>
  <c r="Q30" i="7" s="1"/>
  <c r="R30" i="7" s="1"/>
  <c r="S30" i="7" s="1"/>
  <c r="X30" i="7"/>
  <c r="Y30" i="7"/>
  <c r="Z30" i="7" s="1"/>
  <c r="AA30" i="7" s="1"/>
  <c r="AB30" i="7" s="1"/>
  <c r="AC30" i="7" s="1"/>
  <c r="AD30" i="7" s="1"/>
  <c r="AF30" i="7" s="1"/>
  <c r="AH30" i="7" s="1"/>
  <c r="L24" i="5" a="1"/>
  <c r="L24" i="5" s="1"/>
  <c r="F136" i="5"/>
  <c r="AB12" i="2"/>
  <c r="Z14" i="2"/>
  <c r="X14" i="2"/>
  <c r="Y14" i="2"/>
  <c r="BK14" i="2"/>
  <c r="BL14" i="2" s="1"/>
  <c r="AF16" i="2"/>
  <c r="AX16" i="2"/>
  <c r="N16" i="2"/>
  <c r="AT14" i="2"/>
  <c r="AD15" i="2"/>
  <c r="AJ15" i="2" s="1"/>
  <c r="AL15" i="2" s="1"/>
  <c r="AV15" i="2"/>
  <c r="BB15" i="2" s="1"/>
  <c r="BD15" i="2" s="1"/>
  <c r="F15" i="2"/>
  <c r="L15" i="2"/>
  <c r="R15" i="2" s="1"/>
  <c r="T15" i="2" s="1"/>
  <c r="B33" i="7" a="1"/>
  <c r="B33" i="7" s="1"/>
  <c r="L32" i="7"/>
  <c r="N32" i="7"/>
  <c r="F33" i="7" a="1"/>
  <c r="F33" i="7" s="1"/>
  <c r="M33" i="7" s="1"/>
  <c r="D33" i="7" a="1"/>
  <c r="D33" i="7" s="1"/>
  <c r="AG33" i="7" s="1"/>
  <c r="E33" i="7" a="1"/>
  <c r="E33" i="7" s="1"/>
  <c r="G33" i="7" a="1"/>
  <c r="G33" i="7" s="1"/>
  <c r="H33" i="7" a="1"/>
  <c r="H33" i="7" s="1"/>
  <c r="I33" i="7" a="1"/>
  <c r="I33" i="7" s="1"/>
  <c r="J33" i="7" a="1"/>
  <c r="J33" i="7" s="1"/>
  <c r="C33" i="7" a="1"/>
  <c r="C33" i="7" s="1"/>
  <c r="AE33" i="7" s="1"/>
  <c r="A34" i="7"/>
  <c r="J16" i="2" a="1"/>
  <c r="J16" i="2" s="1"/>
  <c r="I16" i="2" a="1"/>
  <c r="I16" i="2" s="1"/>
  <c r="H16" i="2" a="1"/>
  <c r="H16" i="2" s="1"/>
  <c r="E16" i="2" a="1"/>
  <c r="E16" i="2" s="1"/>
  <c r="I36" i="5" a="1"/>
  <c r="I36" i="5" s="1"/>
  <c r="Z33" i="9" l="1"/>
  <c r="F137" i="5"/>
  <c r="P31" i="9"/>
  <c r="T32" i="9"/>
  <c r="U32" i="9" s="1"/>
  <c r="W32" i="9" s="1"/>
  <c r="L32" i="9"/>
  <c r="F33" i="9" a="1"/>
  <c r="F33" i="9" s="1"/>
  <c r="AB33" i="9"/>
  <c r="AC33" i="9" s="1"/>
  <c r="B33" i="9" a="1"/>
  <c r="B33" i="9" s="1"/>
  <c r="Q33" i="9"/>
  <c r="R33" i="9" s="1"/>
  <c r="C33" i="9" a="1"/>
  <c r="C33" i="9" s="1"/>
  <c r="AE33" i="9"/>
  <c r="D33" i="9" a="1"/>
  <c r="D33" i="9" s="1"/>
  <c r="V33" i="9" s="1"/>
  <c r="I33" i="9" a="1"/>
  <c r="I33" i="9" s="1"/>
  <c r="AF33" i="9"/>
  <c r="X33" i="9"/>
  <c r="AA33" i="9" s="1"/>
  <c r="G33" i="9" a="1"/>
  <c r="G33" i="9" s="1"/>
  <c r="H33" i="9" a="1"/>
  <c r="H33" i="9" s="1"/>
  <c r="J33" i="9" a="1"/>
  <c r="J33" i="9" s="1"/>
  <c r="E33" i="9" a="1"/>
  <c r="E33" i="9" s="1"/>
  <c r="AE29" i="9"/>
  <c r="K34" i="5" a="1"/>
  <c r="K34" i="5" s="1"/>
  <c r="A34" i="9" s="1"/>
  <c r="AG32" i="9"/>
  <c r="AH32" i="9" s="1"/>
  <c r="AI32" i="9" s="1"/>
  <c r="AE30" i="9"/>
  <c r="AF30" i="9" s="1"/>
  <c r="AG30" i="9" s="1"/>
  <c r="AD32" i="9"/>
  <c r="M32" i="9"/>
  <c r="N32" i="9" s="1"/>
  <c r="O32" i="9" s="1"/>
  <c r="AH30" i="9"/>
  <c r="AI30" i="9" s="1"/>
  <c r="AJ30" i="7"/>
  <c r="AN29" i="7"/>
  <c r="AP29" i="7" s="1"/>
  <c r="T30" i="7"/>
  <c r="AK30" i="7" s="1"/>
  <c r="U30" i="7"/>
  <c r="AL30" i="7" s="1"/>
  <c r="W32" i="7"/>
  <c r="O32" i="7"/>
  <c r="P31" i="7"/>
  <c r="Q31" i="7" s="1"/>
  <c r="R31" i="7" s="1"/>
  <c r="X31" i="7"/>
  <c r="Y31" i="7"/>
  <c r="Z31" i="7" s="1"/>
  <c r="AA31" i="7" s="1"/>
  <c r="AB31" i="7" s="1"/>
  <c r="AC31" i="7" s="1"/>
  <c r="AD31" i="7" s="1"/>
  <c r="AF31" i="7" s="1"/>
  <c r="AH31" i="7" s="1"/>
  <c r="P34" i="7"/>
  <c r="Y34" i="7"/>
  <c r="Z34" i="7" s="1"/>
  <c r="M15" i="2"/>
  <c r="AW15" i="2"/>
  <c r="AE15" i="2"/>
  <c r="W15" i="2"/>
  <c r="U15" i="2"/>
  <c r="N17" i="2"/>
  <c r="AX17" i="2"/>
  <c r="AF17" i="2"/>
  <c r="AV16" i="2"/>
  <c r="BB16" i="2" s="1"/>
  <c r="BD16" i="2" s="1"/>
  <c r="AD16" i="2"/>
  <c r="AJ16" i="2" s="1"/>
  <c r="AL16" i="2" s="1"/>
  <c r="BG15" i="2"/>
  <c r="BE15" i="2"/>
  <c r="BF15" i="2" s="1"/>
  <c r="AO15" i="2"/>
  <c r="AM15" i="2"/>
  <c r="AN15" i="2" s="1"/>
  <c r="F16" i="2"/>
  <c r="L16" i="2"/>
  <c r="B34" i="7" a="1"/>
  <c r="B34" i="7" s="1"/>
  <c r="AB13" i="2"/>
  <c r="F96" i="5"/>
  <c r="L33" i="7"/>
  <c r="N33" i="7"/>
  <c r="F34" i="7" a="1"/>
  <c r="F34" i="7" s="1"/>
  <c r="M34" i="7" s="1"/>
  <c r="O34" i="7"/>
  <c r="D34" i="7" a="1"/>
  <c r="D34" i="7" s="1"/>
  <c r="AG34" i="7" s="1"/>
  <c r="E34" i="7" a="1"/>
  <c r="E34" i="7" s="1"/>
  <c r="I34" i="7" a="1"/>
  <c r="I34" i="7" s="1"/>
  <c r="J34" i="7" a="1"/>
  <c r="J34" i="7" s="1"/>
  <c r="G34" i="7" a="1"/>
  <c r="G34" i="7" s="1"/>
  <c r="H34" i="7" a="1"/>
  <c r="H34" i="7" s="1"/>
  <c r="C34" i="7" a="1"/>
  <c r="C34" i="7" s="1"/>
  <c r="AE34" i="7" s="1"/>
  <c r="A35" i="7"/>
  <c r="E17" i="2" a="1"/>
  <c r="E17" i="2" s="1"/>
  <c r="I37" i="5" a="1"/>
  <c r="I37" i="5" s="1"/>
  <c r="J17" i="2" a="1"/>
  <c r="J17" i="2" s="1"/>
  <c r="I17" i="2" a="1"/>
  <c r="I17" i="2" s="1"/>
  <c r="H17" i="2" a="1"/>
  <c r="H17" i="2" s="1"/>
  <c r="Z34" i="9" l="1"/>
  <c r="F138" i="5"/>
  <c r="AF29" i="9"/>
  <c r="AG29" i="9" s="1"/>
  <c r="AH29" i="9" s="1"/>
  <c r="AI29" i="9" s="1"/>
  <c r="F179" i="5" s="1"/>
  <c r="P32" i="9"/>
  <c r="L33" i="9"/>
  <c r="AG33" i="9"/>
  <c r="AH33" i="9" s="1"/>
  <c r="AI33" i="9" s="1"/>
  <c r="T33" i="9"/>
  <c r="U33" i="9" s="1"/>
  <c r="W33" i="9" s="1"/>
  <c r="AN30" i="7"/>
  <c r="AP30" i="7" s="1"/>
  <c r="C34" i="9" a="1"/>
  <c r="C34" i="9" s="1"/>
  <c r="AB34" i="9"/>
  <c r="AC34" i="9" s="1"/>
  <c r="AE34" i="9"/>
  <c r="B34" i="9" a="1"/>
  <c r="B34" i="9" s="1"/>
  <c r="X34" i="9"/>
  <c r="AA34" i="9" s="1"/>
  <c r="AF34" i="9"/>
  <c r="D34" i="9" a="1"/>
  <c r="D34" i="9" s="1"/>
  <c r="V34" i="9" s="1"/>
  <c r="G34" i="9" a="1"/>
  <c r="G34" i="9" s="1"/>
  <c r="Q34" i="9"/>
  <c r="R34" i="9" s="1"/>
  <c r="J34" i="9" a="1"/>
  <c r="J34" i="9" s="1"/>
  <c r="F34" i="9" a="1"/>
  <c r="F34" i="9" s="1"/>
  <c r="H34" i="9" a="1"/>
  <c r="H34" i="9" s="1"/>
  <c r="I34" i="9" a="1"/>
  <c r="I34" i="9" s="1"/>
  <c r="E34" i="9" a="1"/>
  <c r="E34" i="9" s="1"/>
  <c r="K35" i="5" a="1"/>
  <c r="K35" i="5" s="1"/>
  <c r="A35" i="9" s="1"/>
  <c r="M33" i="9"/>
  <c r="N33" i="9" s="1"/>
  <c r="O33" i="9" s="1"/>
  <c r="AD33" i="9"/>
  <c r="W33" i="7"/>
  <c r="O33" i="7"/>
  <c r="F180" i="5"/>
  <c r="P32" i="7"/>
  <c r="Q32" i="7" s="1"/>
  <c r="R32" i="7" s="1"/>
  <c r="X32" i="7"/>
  <c r="Y32" i="7"/>
  <c r="Z32" i="7" s="1"/>
  <c r="AA32" i="7" s="1"/>
  <c r="AB32" i="7" s="1"/>
  <c r="AC32" i="7" s="1"/>
  <c r="AD32" i="7" s="1"/>
  <c r="AF32" i="7" s="1"/>
  <c r="AH32" i="7" s="1"/>
  <c r="P35" i="7"/>
  <c r="Y35" i="7"/>
  <c r="Z35" i="7" s="1"/>
  <c r="AG15" i="2"/>
  <c r="AP15" i="2" s="1"/>
  <c r="AI15" i="2"/>
  <c r="AR15" i="2" s="1"/>
  <c r="AH15" i="2"/>
  <c r="AQ15" i="2" s="1"/>
  <c r="BA15" i="2"/>
  <c r="BJ15" i="2" s="1"/>
  <c r="AZ15" i="2"/>
  <c r="BI15" i="2" s="1"/>
  <c r="AY15" i="2"/>
  <c r="BH15" i="2" s="1"/>
  <c r="O15" i="2"/>
  <c r="X15" i="2" s="1"/>
  <c r="Q15" i="2"/>
  <c r="Z15" i="2" s="1"/>
  <c r="P15" i="2"/>
  <c r="Y15" i="2" s="1"/>
  <c r="AO16" i="2"/>
  <c r="AM16" i="2"/>
  <c r="AN16" i="2" s="1"/>
  <c r="M16" i="2"/>
  <c r="R16" i="2"/>
  <c r="T16" i="2" s="1"/>
  <c r="BG16" i="2"/>
  <c r="BE16" i="2"/>
  <c r="BF16" i="2" s="1"/>
  <c r="AD17" i="2"/>
  <c r="AJ17" i="2" s="1"/>
  <c r="AL17" i="2" s="1"/>
  <c r="AV17" i="2"/>
  <c r="BB17" i="2" s="1"/>
  <c r="BD17" i="2" s="1"/>
  <c r="AW16" i="2"/>
  <c r="AE16" i="2"/>
  <c r="F17" i="2"/>
  <c r="L17" i="2"/>
  <c r="V15" i="2"/>
  <c r="B35" i="7" a="1"/>
  <c r="B35" i="7" s="1"/>
  <c r="AB14" i="2"/>
  <c r="F97" i="5"/>
  <c r="AA34" i="7"/>
  <c r="AB34" i="7" s="1"/>
  <c r="AC34" i="7" s="1"/>
  <c r="AD34" i="7" s="1"/>
  <c r="AF34" i="7" s="1"/>
  <c r="AH34" i="7" s="1"/>
  <c r="S31" i="7"/>
  <c r="AJ31" i="7" s="1"/>
  <c r="U31" i="7"/>
  <c r="AL31" i="7" s="1"/>
  <c r="T31" i="7"/>
  <c r="AK31" i="7" s="1"/>
  <c r="L34" i="7"/>
  <c r="N34" i="7"/>
  <c r="W34" i="7" s="1"/>
  <c r="X34" i="7" s="1"/>
  <c r="F35" i="7" a="1"/>
  <c r="F35" i="7" s="1"/>
  <c r="M35" i="7" s="1"/>
  <c r="O35" i="7"/>
  <c r="D35" i="7" a="1"/>
  <c r="D35" i="7" s="1"/>
  <c r="AG35" i="7" s="1"/>
  <c r="E35" i="7" a="1"/>
  <c r="E35" i="7" s="1"/>
  <c r="I35" i="7" a="1"/>
  <c r="I35" i="7" s="1"/>
  <c r="J35" i="7" a="1"/>
  <c r="J35" i="7" s="1"/>
  <c r="G35" i="7" a="1"/>
  <c r="G35" i="7" s="1"/>
  <c r="H35" i="7" a="1"/>
  <c r="H35" i="7" s="1"/>
  <c r="C35" i="7" a="1"/>
  <c r="C35" i="7" s="1"/>
  <c r="AE35" i="7" s="1"/>
  <c r="A36" i="7"/>
  <c r="I38" i="5" a="1"/>
  <c r="I38" i="5" s="1"/>
  <c r="Z35" i="9" l="1"/>
  <c r="F139" i="5"/>
  <c r="P33" i="9"/>
  <c r="L34" i="9"/>
  <c r="AG34" i="9"/>
  <c r="AH34" i="9" s="1"/>
  <c r="AI34" i="9" s="1"/>
  <c r="K36" i="5" a="1"/>
  <c r="K36" i="5" s="1"/>
  <c r="A36" i="9" s="1"/>
  <c r="AE35" i="9"/>
  <c r="AF35" i="9"/>
  <c r="X35" i="9"/>
  <c r="AA35" i="9" s="1"/>
  <c r="AB35" i="9"/>
  <c r="AC35" i="9" s="1"/>
  <c r="C35" i="9" a="1"/>
  <c r="C35" i="9" s="1"/>
  <c r="G35" i="9" a="1"/>
  <c r="G35" i="9" s="1"/>
  <c r="J35" i="9" a="1"/>
  <c r="J35" i="9" s="1"/>
  <c r="H35" i="9" a="1"/>
  <c r="H35" i="9" s="1"/>
  <c r="E35" i="9" a="1"/>
  <c r="E35" i="9" s="1"/>
  <c r="Q35" i="9"/>
  <c r="R35" i="9" s="1"/>
  <c r="B35" i="9" a="1"/>
  <c r="B35" i="9" s="1"/>
  <c r="D35" i="9" a="1"/>
  <c r="D35" i="9" s="1"/>
  <c r="V35" i="9" s="1"/>
  <c r="F35" i="9" a="1"/>
  <c r="F35" i="9" s="1"/>
  <c r="I35" i="9" a="1"/>
  <c r="I35" i="9" s="1"/>
  <c r="T34" i="9"/>
  <c r="U34" i="9" s="1"/>
  <c r="W34" i="9" s="1"/>
  <c r="M34" i="9"/>
  <c r="N34" i="9" s="1"/>
  <c r="O34" i="9" s="1"/>
  <c r="AD34" i="9"/>
  <c r="F181" i="5"/>
  <c r="P33" i="7"/>
  <c r="Q33" i="7" s="1"/>
  <c r="R33" i="7" s="1"/>
  <c r="X33" i="7"/>
  <c r="Y33" i="7"/>
  <c r="Z33" i="7" s="1"/>
  <c r="AA33" i="7" s="1"/>
  <c r="AB33" i="7" s="1"/>
  <c r="AC33" i="7" s="1"/>
  <c r="AD33" i="7" s="1"/>
  <c r="AF33" i="7" s="1"/>
  <c r="AH33" i="7" s="1"/>
  <c r="P36" i="7"/>
  <c r="Y36" i="7"/>
  <c r="Z36" i="7" s="1"/>
  <c r="F182" i="5"/>
  <c r="Q16" i="2"/>
  <c r="O16" i="2"/>
  <c r="P16" i="2"/>
  <c r="AI16" i="2"/>
  <c r="AR16" i="2" s="1"/>
  <c r="AG16" i="2"/>
  <c r="AP16" i="2" s="1"/>
  <c r="AH16" i="2"/>
  <c r="AQ16" i="2" s="1"/>
  <c r="BA16" i="2"/>
  <c r="BJ16" i="2" s="1"/>
  <c r="AY16" i="2"/>
  <c r="BH16" i="2" s="1"/>
  <c r="AZ16" i="2"/>
  <c r="BI16" i="2" s="1"/>
  <c r="AT15" i="2"/>
  <c r="BK15" i="2"/>
  <c r="BL15" i="2" s="1"/>
  <c r="BG17" i="2"/>
  <c r="BE17" i="2"/>
  <c r="BF17" i="2" s="1"/>
  <c r="AO17" i="2"/>
  <c r="AM17" i="2"/>
  <c r="AN17" i="2" s="1"/>
  <c r="W16" i="2"/>
  <c r="U16" i="2"/>
  <c r="V16" i="2" s="1"/>
  <c r="M17" i="2"/>
  <c r="R17" i="2"/>
  <c r="T17" i="2" s="1"/>
  <c r="AW17" i="2"/>
  <c r="AE17" i="2"/>
  <c r="B36" i="7" a="1"/>
  <c r="B36" i="7" s="1"/>
  <c r="AA35" i="7"/>
  <c r="AB35" i="7" s="1"/>
  <c r="AC35" i="7" s="1"/>
  <c r="AD35" i="7" s="1"/>
  <c r="AF35" i="7" s="1"/>
  <c r="AH35" i="7" s="1"/>
  <c r="U32" i="7"/>
  <c r="AL32" i="7" s="1"/>
  <c r="T32" i="7"/>
  <c r="AK32" i="7" s="1"/>
  <c r="S32" i="7"/>
  <c r="AJ32" i="7" s="1"/>
  <c r="AN31" i="7"/>
  <c r="AP31" i="7" s="1"/>
  <c r="Q34" i="7"/>
  <c r="R34" i="7" s="1"/>
  <c r="L35" i="7"/>
  <c r="N35" i="7"/>
  <c r="W35" i="7" s="1"/>
  <c r="X35" i="7" s="1"/>
  <c r="F36" i="7" a="1"/>
  <c r="F36" i="7" s="1"/>
  <c r="M36" i="7" s="1"/>
  <c r="O36" i="7"/>
  <c r="D36" i="7" a="1"/>
  <c r="D36" i="7" s="1"/>
  <c r="AG36" i="7" s="1"/>
  <c r="E36" i="7" a="1"/>
  <c r="E36" i="7" s="1"/>
  <c r="J36" i="7" a="1"/>
  <c r="J36" i="7" s="1"/>
  <c r="G36" i="7" a="1"/>
  <c r="G36" i="7" s="1"/>
  <c r="H36" i="7" a="1"/>
  <c r="H36" i="7" s="1"/>
  <c r="I36" i="7" a="1"/>
  <c r="I36" i="7" s="1"/>
  <c r="C36" i="7" a="1"/>
  <c r="C36" i="7" s="1"/>
  <c r="AE36" i="7" s="1"/>
  <c r="A37" i="7"/>
  <c r="I39" i="5" a="1"/>
  <c r="I39" i="5" s="1"/>
  <c r="E18" i="2" a="1"/>
  <c r="E18" i="2" s="1"/>
  <c r="Z36" i="9" l="1"/>
  <c r="P34" i="9"/>
  <c r="T35" i="9"/>
  <c r="U35" i="9" s="1"/>
  <c r="W35" i="9" s="1"/>
  <c r="L35" i="9"/>
  <c r="K37" i="5" a="1"/>
  <c r="K37" i="5" s="1"/>
  <c r="A37" i="9" s="1"/>
  <c r="AG35" i="9"/>
  <c r="AH35" i="9" s="1"/>
  <c r="AI35" i="9" s="1"/>
  <c r="AD35" i="9"/>
  <c r="M35" i="9"/>
  <c r="N35" i="9" s="1"/>
  <c r="O35" i="9" s="1"/>
  <c r="G36" i="9" a="1"/>
  <c r="G36" i="9" s="1"/>
  <c r="AE36" i="9"/>
  <c r="E36" i="9" a="1"/>
  <c r="E36" i="9" s="1"/>
  <c r="J36" i="9" a="1"/>
  <c r="J36" i="9" s="1"/>
  <c r="F36" i="9" a="1"/>
  <c r="F36" i="9" s="1"/>
  <c r="I36" i="9" a="1"/>
  <c r="I36" i="9" s="1"/>
  <c r="Q36" i="9"/>
  <c r="R36" i="9" s="1"/>
  <c r="X36" i="9"/>
  <c r="AA36" i="9" s="1"/>
  <c r="B36" i="9" a="1"/>
  <c r="B36" i="9" s="1"/>
  <c r="AB36" i="9"/>
  <c r="AC36" i="9" s="1"/>
  <c r="C36" i="9" a="1"/>
  <c r="C36" i="9" s="1"/>
  <c r="AF36" i="9"/>
  <c r="H36" i="9" a="1"/>
  <c r="H36" i="9" s="1"/>
  <c r="D36" i="9" a="1"/>
  <c r="D36" i="9" s="1"/>
  <c r="V36" i="9" s="1"/>
  <c r="F140" i="5"/>
  <c r="Y37" i="7"/>
  <c r="Z37" i="7" s="1"/>
  <c r="P37" i="7"/>
  <c r="F183" i="5"/>
  <c r="AY17" i="2"/>
  <c r="BH17" i="2" s="1"/>
  <c r="AZ17" i="2"/>
  <c r="BI17" i="2" s="1"/>
  <c r="BA17" i="2"/>
  <c r="BJ17" i="2" s="1"/>
  <c r="O17" i="2"/>
  <c r="P17" i="2"/>
  <c r="Q17" i="2"/>
  <c r="AG17" i="2"/>
  <c r="AP17" i="2" s="1"/>
  <c r="AH17" i="2"/>
  <c r="AQ17" i="2" s="1"/>
  <c r="AI17" i="2"/>
  <c r="AR17" i="2" s="1"/>
  <c r="Z16" i="2"/>
  <c r="Y16" i="2"/>
  <c r="BK16" i="2"/>
  <c r="BL16" i="2" s="1"/>
  <c r="W17" i="2"/>
  <c r="U17" i="2"/>
  <c r="V17" i="2" s="1"/>
  <c r="X16" i="2"/>
  <c r="AT16" i="2"/>
  <c r="AV18" i="2"/>
  <c r="AD18" i="2"/>
  <c r="AA36" i="7"/>
  <c r="AB36" i="7" s="1"/>
  <c r="AC36" i="7" s="1"/>
  <c r="AD36" i="7" s="1"/>
  <c r="F18" i="2"/>
  <c r="L18" i="2"/>
  <c r="B37" i="7" a="1"/>
  <c r="B37" i="7" s="1"/>
  <c r="T33" i="7"/>
  <c r="AK33" i="7" s="1"/>
  <c r="S33" i="7"/>
  <c r="AJ33" i="7" s="1"/>
  <c r="U33" i="7"/>
  <c r="AL33" i="7" s="1"/>
  <c r="T34" i="7"/>
  <c r="AK34" i="7" s="1"/>
  <c r="S34" i="7"/>
  <c r="AJ34" i="7" s="1"/>
  <c r="U34" i="7"/>
  <c r="AL34" i="7" s="1"/>
  <c r="AN32" i="7"/>
  <c r="AP32" i="7" s="1"/>
  <c r="L36" i="7"/>
  <c r="Q35" i="7"/>
  <c r="R35" i="7" s="1"/>
  <c r="F37" i="7" a="1"/>
  <c r="F37" i="7" s="1"/>
  <c r="M37" i="7" s="1"/>
  <c r="O37" i="7"/>
  <c r="N36" i="7"/>
  <c r="W36" i="7" s="1"/>
  <c r="X36" i="7" s="1"/>
  <c r="D37" i="7" a="1"/>
  <c r="D37" i="7" s="1"/>
  <c r="AG37" i="7" s="1"/>
  <c r="E37" i="7" a="1"/>
  <c r="E37" i="7" s="1"/>
  <c r="J37" i="7" a="1"/>
  <c r="J37" i="7" s="1"/>
  <c r="H37" i="7" a="1"/>
  <c r="H37" i="7" s="1"/>
  <c r="G37" i="7" a="1"/>
  <c r="G37" i="7" s="1"/>
  <c r="I37" i="7" a="1"/>
  <c r="I37" i="7" s="1"/>
  <c r="C37" i="7" a="1"/>
  <c r="C37" i="7" s="1"/>
  <c r="AE37" i="7" s="1"/>
  <c r="A38" i="7"/>
  <c r="I40" i="5" a="1"/>
  <c r="I40" i="5" s="1"/>
  <c r="E19" i="2" a="1"/>
  <c r="E19" i="2" s="1"/>
  <c r="Z37" i="9" l="1"/>
  <c r="T36" i="9"/>
  <c r="U36" i="9" s="1"/>
  <c r="W36" i="9" s="1"/>
  <c r="AD36" i="9"/>
  <c r="M36" i="9"/>
  <c r="N36" i="9" s="1"/>
  <c r="O36" i="9" s="1"/>
  <c r="L36" i="9"/>
  <c r="K38" i="5" a="1"/>
  <c r="K38" i="5" s="1"/>
  <c r="A38" i="9" s="1"/>
  <c r="AG36" i="9"/>
  <c r="AH36" i="9" s="1"/>
  <c r="AI36" i="9" s="1"/>
  <c r="G37" i="9" a="1"/>
  <c r="G37" i="9" s="1"/>
  <c r="J37" i="9" a="1"/>
  <c r="J37" i="9" s="1"/>
  <c r="Q37" i="9"/>
  <c r="R37" i="9" s="1"/>
  <c r="AF37" i="9"/>
  <c r="D37" i="9" a="1"/>
  <c r="D37" i="9" s="1"/>
  <c r="V37" i="9" s="1"/>
  <c r="AB37" i="9"/>
  <c r="AC37" i="9" s="1"/>
  <c r="F37" i="9" a="1"/>
  <c r="F37" i="9" s="1"/>
  <c r="C37" i="9" a="1"/>
  <c r="C37" i="9" s="1"/>
  <c r="AE37" i="9"/>
  <c r="H37" i="9" a="1"/>
  <c r="H37" i="9" s="1"/>
  <c r="X37" i="9"/>
  <c r="I37" i="9" a="1"/>
  <c r="I37" i="9" s="1"/>
  <c r="B37" i="9" a="1"/>
  <c r="B37" i="9" s="1"/>
  <c r="E37" i="9" a="1"/>
  <c r="E37" i="9" s="1"/>
  <c r="P35" i="9"/>
  <c r="Y38" i="7"/>
  <c r="Z38" i="7" s="1"/>
  <c r="P38" i="7"/>
  <c r="F141" i="5"/>
  <c r="F184" i="5"/>
  <c r="AF36" i="7"/>
  <c r="AH36" i="7" s="1"/>
  <c r="Z17" i="2"/>
  <c r="Y17" i="2"/>
  <c r="M18" i="2"/>
  <c r="R18" i="2"/>
  <c r="T18" i="2" s="1"/>
  <c r="AT17" i="2"/>
  <c r="AJ18" i="2"/>
  <c r="AL18" i="2" s="1"/>
  <c r="AE18" i="2"/>
  <c r="X17" i="2"/>
  <c r="BB18" i="2"/>
  <c r="BD18" i="2" s="1"/>
  <c r="AW18" i="2"/>
  <c r="BK17" i="2"/>
  <c r="BL17" i="2" s="1"/>
  <c r="AD19" i="2"/>
  <c r="AV19" i="2"/>
  <c r="F19" i="2"/>
  <c r="L19" i="2"/>
  <c r="B38" i="7" a="1"/>
  <c r="B38" i="7" s="1"/>
  <c r="AB15" i="2"/>
  <c r="F98" i="5"/>
  <c r="AN34" i="7"/>
  <c r="AP34" i="7" s="1"/>
  <c r="AN33" i="7"/>
  <c r="AP33" i="7" s="1"/>
  <c r="AA37" i="7"/>
  <c r="AB37" i="7" s="1"/>
  <c r="AC37" i="7" s="1"/>
  <c r="AD37" i="7" s="1"/>
  <c r="AF37" i="7" s="1"/>
  <c r="AH37" i="7" s="1"/>
  <c r="L37" i="7"/>
  <c r="Q36" i="7"/>
  <c r="R36" i="7" s="1"/>
  <c r="N37" i="7"/>
  <c r="W37" i="7" s="1"/>
  <c r="X37" i="7" s="1"/>
  <c r="F38" i="7" a="1"/>
  <c r="F38" i="7" s="1"/>
  <c r="M38" i="7" s="1"/>
  <c r="O38" i="7"/>
  <c r="D38" i="7" a="1"/>
  <c r="D38" i="7" s="1"/>
  <c r="AG38" i="7" s="1"/>
  <c r="E38" i="7" a="1"/>
  <c r="E38" i="7" s="1"/>
  <c r="G38" i="7" a="1"/>
  <c r="G38" i="7" s="1"/>
  <c r="H38" i="7" a="1"/>
  <c r="H38" i="7" s="1"/>
  <c r="I38" i="7" a="1"/>
  <c r="I38" i="7" s="1"/>
  <c r="J38" i="7" a="1"/>
  <c r="J38" i="7" s="1"/>
  <c r="C38" i="7" a="1"/>
  <c r="C38" i="7" s="1"/>
  <c r="AE38" i="7" s="1"/>
  <c r="A39" i="7"/>
  <c r="I41" i="5" a="1"/>
  <c r="I41" i="5" s="1"/>
  <c r="Z38" i="9" l="1"/>
  <c r="P36" i="9"/>
  <c r="AG37" i="9"/>
  <c r="L37" i="9"/>
  <c r="T37" i="9"/>
  <c r="U37" i="9" s="1"/>
  <c r="W37" i="9" s="1"/>
  <c r="AA37" i="9"/>
  <c r="AH37" i="9"/>
  <c r="AI37" i="9" s="1"/>
  <c r="C38" i="9" a="1"/>
  <c r="C38" i="9" s="1"/>
  <c r="D38" i="9" a="1"/>
  <c r="D38" i="9" s="1"/>
  <c r="V38" i="9" s="1"/>
  <c r="AF38" i="9"/>
  <c r="E38" i="9" a="1"/>
  <c r="E38" i="9" s="1"/>
  <c r="X38" i="9"/>
  <c r="AA38" i="9" s="1"/>
  <c r="AB38" i="9"/>
  <c r="AC38" i="9" s="1"/>
  <c r="I38" i="9" a="1"/>
  <c r="I38" i="9" s="1"/>
  <c r="Q38" i="9"/>
  <c r="R38" i="9" s="1"/>
  <c r="AE38" i="9"/>
  <c r="G38" i="9" a="1"/>
  <c r="G38" i="9" s="1"/>
  <c r="J38" i="9" a="1"/>
  <c r="J38" i="9" s="1"/>
  <c r="B38" i="9" a="1"/>
  <c r="B38" i="9" s="1"/>
  <c r="H38" i="9" a="1"/>
  <c r="H38" i="9" s="1"/>
  <c r="F38" i="9" a="1"/>
  <c r="F38" i="9" s="1"/>
  <c r="K39" i="5" a="1"/>
  <c r="K39" i="5" s="1"/>
  <c r="A39" i="9" s="1"/>
  <c r="M37" i="9"/>
  <c r="N37" i="9" s="1"/>
  <c r="O37" i="9" s="1"/>
  <c r="AD37" i="9"/>
  <c r="Y39" i="7"/>
  <c r="Z39" i="7" s="1"/>
  <c r="P39" i="7"/>
  <c r="F143" i="5"/>
  <c r="F142" i="5"/>
  <c r="BA18" i="2"/>
  <c r="AZ18" i="2"/>
  <c r="AY18" i="2"/>
  <c r="AG18" i="2"/>
  <c r="AH18" i="2"/>
  <c r="AI18" i="2"/>
  <c r="Q18" i="2"/>
  <c r="O18" i="2"/>
  <c r="P18" i="2"/>
  <c r="F100" i="5"/>
  <c r="AW19" i="2"/>
  <c r="BB19" i="2"/>
  <c r="BD19" i="2" s="1"/>
  <c r="BG18" i="2"/>
  <c r="BE18" i="2"/>
  <c r="BF18" i="2" s="1"/>
  <c r="AE19" i="2"/>
  <c r="AJ19" i="2"/>
  <c r="AL19" i="2" s="1"/>
  <c r="AO18" i="2"/>
  <c r="AM18" i="2"/>
  <c r="AN18" i="2" s="1"/>
  <c r="M19" i="2"/>
  <c r="R19" i="2"/>
  <c r="T19" i="2" s="1"/>
  <c r="W18" i="2"/>
  <c r="U18" i="2"/>
  <c r="AB16" i="2"/>
  <c r="F99" i="5"/>
  <c r="B39" i="7" a="1"/>
  <c r="B39" i="7" s="1"/>
  <c r="S35" i="7"/>
  <c r="AJ35" i="7" s="1"/>
  <c r="T35" i="7"/>
  <c r="AK35" i="7" s="1"/>
  <c r="U35" i="7"/>
  <c r="AL35" i="7" s="1"/>
  <c r="AA38" i="7"/>
  <c r="AB38" i="7" s="1"/>
  <c r="AC38" i="7" s="1"/>
  <c r="AD38" i="7" s="1"/>
  <c r="AF38" i="7" s="1"/>
  <c r="AH38" i="7" s="1"/>
  <c r="L38" i="7"/>
  <c r="Q37" i="7"/>
  <c r="R37" i="7" s="1"/>
  <c r="N38" i="7"/>
  <c r="W38" i="7" s="1"/>
  <c r="X38" i="7" s="1"/>
  <c r="F39" i="7" a="1"/>
  <c r="F39" i="7" s="1"/>
  <c r="M39" i="7" s="1"/>
  <c r="O39" i="7"/>
  <c r="D39" i="7" a="1"/>
  <c r="D39" i="7" s="1"/>
  <c r="AG39" i="7" s="1"/>
  <c r="E39" i="7" a="1"/>
  <c r="E39" i="7" s="1"/>
  <c r="H39" i="7" a="1"/>
  <c r="H39" i="7" s="1"/>
  <c r="I39" i="7" a="1"/>
  <c r="I39" i="7" s="1"/>
  <c r="J39" i="7" a="1"/>
  <c r="J39" i="7" s="1"/>
  <c r="G39" i="7" a="1"/>
  <c r="G39" i="7" s="1"/>
  <c r="C39" i="7" a="1"/>
  <c r="C39" i="7" s="1"/>
  <c r="AE39" i="7" s="1"/>
  <c r="A40" i="7"/>
  <c r="I42" i="5" a="1"/>
  <c r="I42" i="5" s="1"/>
  <c r="Z39" i="9" l="1"/>
  <c r="T38" i="9"/>
  <c r="U38" i="9" s="1"/>
  <c r="W38" i="9" s="1"/>
  <c r="AG38" i="9"/>
  <c r="L38" i="9"/>
  <c r="C39" i="9" a="1"/>
  <c r="C39" i="9" s="1"/>
  <c r="E39" i="9" a="1"/>
  <c r="E39" i="9" s="1"/>
  <c r="AF39" i="9"/>
  <c r="Q39" i="9"/>
  <c r="R39" i="9" s="1"/>
  <c r="F39" i="9" a="1"/>
  <c r="F39" i="9" s="1"/>
  <c r="I39" i="9" a="1"/>
  <c r="I39" i="9" s="1"/>
  <c r="X39" i="9"/>
  <c r="AA39" i="9" s="1"/>
  <c r="AE39" i="9"/>
  <c r="AB39" i="9"/>
  <c r="AC39" i="9" s="1"/>
  <c r="D39" i="9" a="1"/>
  <c r="D39" i="9" s="1"/>
  <c r="V39" i="9" s="1"/>
  <c r="J39" i="9" a="1"/>
  <c r="J39" i="9" s="1"/>
  <c r="G39" i="9" a="1"/>
  <c r="G39" i="9" s="1"/>
  <c r="B39" i="9" a="1"/>
  <c r="B39" i="9" s="1"/>
  <c r="H39" i="9" a="1"/>
  <c r="H39" i="9" s="1"/>
  <c r="AH38" i="9"/>
  <c r="AI38" i="9" s="1"/>
  <c r="M38" i="9"/>
  <c r="N38" i="9" s="1"/>
  <c r="O38" i="9" s="1"/>
  <c r="AD38" i="9"/>
  <c r="K40" i="5" a="1"/>
  <c r="K40" i="5" s="1"/>
  <c r="A40" i="9" s="1"/>
  <c r="P37" i="9"/>
  <c r="F185" i="5"/>
  <c r="P40" i="7"/>
  <c r="Y40" i="7"/>
  <c r="Z40" i="7" s="1"/>
  <c r="F186" i="5"/>
  <c r="AB17" i="2"/>
  <c r="BA19" i="2"/>
  <c r="AY19" i="2"/>
  <c r="AZ19" i="2"/>
  <c r="AG19" i="2"/>
  <c r="AI19" i="2"/>
  <c r="AH19" i="2"/>
  <c r="Q19" i="2"/>
  <c r="O19" i="2"/>
  <c r="P19" i="2"/>
  <c r="Y18" i="2"/>
  <c r="BI18" i="2"/>
  <c r="X18" i="2"/>
  <c r="AP18" i="2"/>
  <c r="AR18" i="2"/>
  <c r="AO19" i="2"/>
  <c r="AM19" i="2"/>
  <c r="AN19" i="2" s="1"/>
  <c r="Z18" i="2"/>
  <c r="BJ18" i="2"/>
  <c r="W19" i="2"/>
  <c r="U19" i="2"/>
  <c r="BH18" i="2"/>
  <c r="AQ18" i="2"/>
  <c r="BG19" i="2"/>
  <c r="BE19" i="2"/>
  <c r="BF19" i="2" s="1"/>
  <c r="V18" i="2"/>
  <c r="B40" i="7" a="1"/>
  <c r="B40" i="7" s="1"/>
  <c r="T36" i="7"/>
  <c r="AK36" i="7" s="1"/>
  <c r="S36" i="7"/>
  <c r="AJ36" i="7" s="1"/>
  <c r="U36" i="7"/>
  <c r="AL36" i="7" s="1"/>
  <c r="S37" i="7"/>
  <c r="AJ37" i="7" s="1"/>
  <c r="T37" i="7"/>
  <c r="AK37" i="7" s="1"/>
  <c r="U37" i="7"/>
  <c r="AL37" i="7" s="1"/>
  <c r="AN35" i="7"/>
  <c r="AP35" i="7" s="1"/>
  <c r="AA39" i="7"/>
  <c r="AB39" i="7" s="1"/>
  <c r="AC39" i="7" s="1"/>
  <c r="AD39" i="7" s="1"/>
  <c r="AF39" i="7" s="1"/>
  <c r="AH39" i="7" s="1"/>
  <c r="L39" i="7"/>
  <c r="N39" i="7"/>
  <c r="W39" i="7" s="1"/>
  <c r="X39" i="7" s="1"/>
  <c r="Q38" i="7"/>
  <c r="R38" i="7" s="1"/>
  <c r="F40" i="7" a="1"/>
  <c r="F40" i="7" s="1"/>
  <c r="M40" i="7" s="1"/>
  <c r="O40" i="7"/>
  <c r="D40" i="7" a="1"/>
  <c r="D40" i="7" s="1"/>
  <c r="AG40" i="7" s="1"/>
  <c r="E40" i="7" a="1"/>
  <c r="E40" i="7" s="1"/>
  <c r="G40" i="7" a="1"/>
  <c r="G40" i="7" s="1"/>
  <c r="H40" i="7" a="1"/>
  <c r="H40" i="7" s="1"/>
  <c r="J40" i="7" a="1"/>
  <c r="J40" i="7" s="1"/>
  <c r="I40" i="7" a="1"/>
  <c r="I40" i="7" s="1"/>
  <c r="C40" i="7" a="1"/>
  <c r="C40" i="7" s="1"/>
  <c r="AE40" i="7" s="1"/>
  <c r="A41" i="7"/>
  <c r="I43" i="5" a="1"/>
  <c r="I43" i="5" s="1"/>
  <c r="Z40" i="9" l="1"/>
  <c r="P38" i="9"/>
  <c r="L39" i="9"/>
  <c r="X40" i="9"/>
  <c r="Q40" i="9"/>
  <c r="R40" i="9" s="1"/>
  <c r="AF40" i="9"/>
  <c r="AB40" i="9"/>
  <c r="AC40" i="9" s="1"/>
  <c r="AE40" i="9"/>
  <c r="G40" i="9" a="1"/>
  <c r="G40" i="9" s="1"/>
  <c r="B40" i="9" a="1"/>
  <c r="B40" i="9" s="1"/>
  <c r="F40" i="9" a="1"/>
  <c r="F40" i="9" s="1"/>
  <c r="J40" i="9" a="1"/>
  <c r="J40" i="9" s="1"/>
  <c r="E40" i="9" a="1"/>
  <c r="E40" i="9" s="1"/>
  <c r="D40" i="9" a="1"/>
  <c r="D40" i="9" s="1"/>
  <c r="V40" i="9" s="1"/>
  <c r="H40" i="9" a="1"/>
  <c r="H40" i="9" s="1"/>
  <c r="I40" i="9" a="1"/>
  <c r="I40" i="9" s="1"/>
  <c r="C40" i="9" a="1"/>
  <c r="C40" i="9" s="1"/>
  <c r="T39" i="9"/>
  <c r="U39" i="9" s="1"/>
  <c r="W39" i="9" s="1"/>
  <c r="AD39" i="9"/>
  <c r="M39" i="9"/>
  <c r="N39" i="9" s="1"/>
  <c r="O39" i="9" s="1"/>
  <c r="AG39" i="9"/>
  <c r="AH39" i="9" s="1"/>
  <c r="AI39" i="9" s="1"/>
  <c r="K41" i="5" a="1"/>
  <c r="K41" i="5" s="1"/>
  <c r="A41" i="9" s="1"/>
  <c r="Y41" i="7"/>
  <c r="Z41" i="7" s="1"/>
  <c r="P41" i="7"/>
  <c r="F144" i="5"/>
  <c r="F187" i="5"/>
  <c r="BH19" i="2"/>
  <c r="BJ19" i="2"/>
  <c r="BI19" i="2"/>
  <c r="AQ19" i="2"/>
  <c r="AR19" i="2"/>
  <c r="AA40" i="7"/>
  <c r="AB40" i="7" s="1"/>
  <c r="AC40" i="7" s="1"/>
  <c r="AD40" i="7" s="1"/>
  <c r="AF40" i="7" s="1"/>
  <c r="AH40" i="7" s="1"/>
  <c r="BK18" i="2"/>
  <c r="BL18" i="2" s="1"/>
  <c r="Z19" i="2"/>
  <c r="Y19" i="2"/>
  <c r="AP19" i="2"/>
  <c r="X19" i="2"/>
  <c r="AT18" i="2"/>
  <c r="V19" i="2"/>
  <c r="B41" i="7" a="1"/>
  <c r="B41" i="7" s="1"/>
  <c r="AN36" i="7"/>
  <c r="AP36" i="7" s="1"/>
  <c r="AN37" i="7"/>
  <c r="AP37" i="7" s="1"/>
  <c r="L40" i="7"/>
  <c r="Q39" i="7"/>
  <c r="R39" i="7" s="1"/>
  <c r="N40" i="7"/>
  <c r="W40" i="7" s="1"/>
  <c r="X40" i="7" s="1"/>
  <c r="F41" i="7" a="1"/>
  <c r="F41" i="7" s="1"/>
  <c r="M41" i="7" s="1"/>
  <c r="O41" i="7"/>
  <c r="D41" i="7" a="1"/>
  <c r="D41" i="7" s="1"/>
  <c r="AG41" i="7" s="1"/>
  <c r="E41" i="7" a="1"/>
  <c r="E41" i="7" s="1"/>
  <c r="G41" i="7" a="1"/>
  <c r="G41" i="7" s="1"/>
  <c r="H41" i="7" a="1"/>
  <c r="H41" i="7" s="1"/>
  <c r="I41" i="7" a="1"/>
  <c r="I41" i="7" s="1"/>
  <c r="J41" i="7" a="1"/>
  <c r="J41" i="7" s="1"/>
  <c r="C41" i="7" a="1"/>
  <c r="C41" i="7" s="1"/>
  <c r="AE41" i="7" s="1"/>
  <c r="A42" i="7"/>
  <c r="I44" i="5" a="1"/>
  <c r="I44" i="5" s="1"/>
  <c r="E20" i="2" a="1"/>
  <c r="E20" i="2" s="1"/>
  <c r="Z41" i="9" l="1"/>
  <c r="P39" i="9"/>
  <c r="T40" i="9"/>
  <c r="U40" i="9" s="1"/>
  <c r="W40" i="9" s="1"/>
  <c r="AG40" i="9"/>
  <c r="L40" i="9"/>
  <c r="AF41" i="9"/>
  <c r="X41" i="9"/>
  <c r="AA41" i="9" s="1"/>
  <c r="H41" i="9" a="1"/>
  <c r="H41" i="9" s="1"/>
  <c r="AB41" i="9"/>
  <c r="AC41" i="9" s="1"/>
  <c r="AE41" i="9"/>
  <c r="Q41" i="9"/>
  <c r="R41" i="9" s="1"/>
  <c r="G41" i="9" a="1"/>
  <c r="G41" i="9" s="1"/>
  <c r="B41" i="9" a="1"/>
  <c r="B41" i="9" s="1"/>
  <c r="J41" i="9" a="1"/>
  <c r="J41" i="9" s="1"/>
  <c r="I41" i="9" a="1"/>
  <c r="I41" i="9" s="1"/>
  <c r="C41" i="9" a="1"/>
  <c r="C41" i="9" s="1"/>
  <c r="D41" i="9" a="1"/>
  <c r="D41" i="9" s="1"/>
  <c r="V41" i="9" s="1"/>
  <c r="E41" i="9" a="1"/>
  <c r="E41" i="9" s="1"/>
  <c r="F41" i="9" a="1"/>
  <c r="F41" i="9" s="1"/>
  <c r="M40" i="9"/>
  <c r="N40" i="9" s="1"/>
  <c r="O40" i="9" s="1"/>
  <c r="AD40" i="9"/>
  <c r="K42" i="5" a="1"/>
  <c r="K42" i="5" s="1"/>
  <c r="A42" i="9" s="1"/>
  <c r="AA40" i="9"/>
  <c r="AH40" i="9"/>
  <c r="AI40" i="9" s="1"/>
  <c r="Y42" i="7"/>
  <c r="Z42" i="7" s="1"/>
  <c r="P42" i="7"/>
  <c r="F146" i="5"/>
  <c r="F145" i="5"/>
  <c r="BK19" i="2"/>
  <c r="BL19" i="2" s="1"/>
  <c r="AT19" i="2"/>
  <c r="AV20" i="2"/>
  <c r="AD20" i="2"/>
  <c r="F20" i="2"/>
  <c r="L20" i="2"/>
  <c r="AB18" i="2"/>
  <c r="F101" i="5"/>
  <c r="B42" i="7" a="1"/>
  <c r="B42" i="7" s="1"/>
  <c r="AA41" i="7"/>
  <c r="AB41" i="7" s="1"/>
  <c r="AC41" i="7" s="1"/>
  <c r="AD41" i="7" s="1"/>
  <c r="T38" i="7"/>
  <c r="AK38" i="7" s="1"/>
  <c r="S38" i="7"/>
  <c r="AJ38" i="7" s="1"/>
  <c r="U38" i="7"/>
  <c r="AL38" i="7" s="1"/>
  <c r="L41" i="7"/>
  <c r="Q40" i="7"/>
  <c r="R40" i="7" s="1"/>
  <c r="N41" i="7"/>
  <c r="W41" i="7" s="1"/>
  <c r="X41" i="7" s="1"/>
  <c r="F42" i="7" a="1"/>
  <c r="F42" i="7" s="1"/>
  <c r="M42" i="7" s="1"/>
  <c r="O42" i="7"/>
  <c r="D42" i="7" a="1"/>
  <c r="D42" i="7" s="1"/>
  <c r="AG42" i="7" s="1"/>
  <c r="E42" i="7" a="1"/>
  <c r="E42" i="7" s="1"/>
  <c r="G42" i="7" a="1"/>
  <c r="G42" i="7" s="1"/>
  <c r="J42" i="7" a="1"/>
  <c r="J42" i="7" s="1"/>
  <c r="H42" i="7" a="1"/>
  <c r="H42" i="7" s="1"/>
  <c r="I42" i="7" a="1"/>
  <c r="I42" i="7" s="1"/>
  <c r="C42" i="7" a="1"/>
  <c r="C42" i="7" s="1"/>
  <c r="AE42" i="7" s="1"/>
  <c r="A43" i="7"/>
  <c r="I45" i="5" a="1"/>
  <c r="I45" i="5" s="1"/>
  <c r="E21" i="2" a="1"/>
  <c r="E21" i="2" s="1"/>
  <c r="Z42" i="9" l="1"/>
  <c r="P40" i="9"/>
  <c r="T41" i="9"/>
  <c r="U41" i="9" s="1"/>
  <c r="W41" i="9" s="1"/>
  <c r="L41" i="9"/>
  <c r="H42" i="9" a="1"/>
  <c r="H42" i="9" s="1"/>
  <c r="AF42" i="9"/>
  <c r="X42" i="9"/>
  <c r="AA42" i="9" s="1"/>
  <c r="AB42" i="9"/>
  <c r="AC42" i="9" s="1"/>
  <c r="AE42" i="9"/>
  <c r="I42" i="9" a="1"/>
  <c r="I42" i="9" s="1"/>
  <c r="B42" i="9" a="1"/>
  <c r="B42" i="9" s="1"/>
  <c r="Q42" i="9"/>
  <c r="R42" i="9" s="1"/>
  <c r="G42" i="9" a="1"/>
  <c r="G42" i="9" s="1"/>
  <c r="F42" i="9" a="1"/>
  <c r="F42" i="9" s="1"/>
  <c r="C42" i="9" a="1"/>
  <c r="C42" i="9" s="1"/>
  <c r="J42" i="9" a="1"/>
  <c r="J42" i="9" s="1"/>
  <c r="E42" i="9" a="1"/>
  <c r="E42" i="9" s="1"/>
  <c r="D42" i="9" a="1"/>
  <c r="D42" i="9" s="1"/>
  <c r="V42" i="9" s="1"/>
  <c r="K43" i="5" a="1"/>
  <c r="K43" i="5" s="1"/>
  <c r="A43" i="9" s="1"/>
  <c r="AD41" i="9"/>
  <c r="M41" i="9"/>
  <c r="N41" i="9" s="1"/>
  <c r="O41" i="9" s="1"/>
  <c r="AG41" i="9"/>
  <c r="AH41" i="9" s="1"/>
  <c r="AI41" i="9" s="1"/>
  <c r="F188" i="5"/>
  <c r="Y43" i="7"/>
  <c r="Z43" i="7" s="1"/>
  <c r="P43" i="7"/>
  <c r="F189" i="5"/>
  <c r="AF41" i="7"/>
  <c r="AH41" i="7" s="1"/>
  <c r="M20" i="2"/>
  <c r="R20" i="2"/>
  <c r="T20" i="2" s="1"/>
  <c r="AD21" i="2"/>
  <c r="AJ21" i="2" s="1"/>
  <c r="AL21" i="2" s="1"/>
  <c r="AV21" i="2"/>
  <c r="BB21" i="2" s="1"/>
  <c r="BD21" i="2" s="1"/>
  <c r="AF21" i="2"/>
  <c r="N21" i="2"/>
  <c r="AX21" i="2"/>
  <c r="AJ20" i="2"/>
  <c r="AL20" i="2" s="1"/>
  <c r="AE20" i="2"/>
  <c r="BB20" i="2"/>
  <c r="BD20" i="2" s="1"/>
  <c r="AW20" i="2"/>
  <c r="F21" i="2"/>
  <c r="L21" i="2"/>
  <c r="AA42" i="7"/>
  <c r="AB42" i="7" s="1"/>
  <c r="AC42" i="7" s="1"/>
  <c r="AD42" i="7" s="1"/>
  <c r="AF42" i="7" s="1"/>
  <c r="AH42" i="7" s="1"/>
  <c r="B43" i="7" a="1"/>
  <c r="B43" i="7" s="1"/>
  <c r="AN38" i="7"/>
  <c r="AP38" i="7" s="1"/>
  <c r="T39" i="7"/>
  <c r="AK39" i="7" s="1"/>
  <c r="U39" i="7"/>
  <c r="AL39" i="7" s="1"/>
  <c r="S39" i="7"/>
  <c r="AJ39" i="7" s="1"/>
  <c r="L42" i="7"/>
  <c r="Q41" i="7"/>
  <c r="R41" i="7" s="1"/>
  <c r="N42" i="7"/>
  <c r="W42" i="7" s="1"/>
  <c r="X42" i="7" s="1"/>
  <c r="F43" i="7" a="1"/>
  <c r="F43" i="7" s="1"/>
  <c r="M43" i="7" s="1"/>
  <c r="O43" i="7"/>
  <c r="D43" i="7" a="1"/>
  <c r="D43" i="7" s="1"/>
  <c r="AG43" i="7" s="1"/>
  <c r="E43" i="7" a="1"/>
  <c r="E43" i="7" s="1"/>
  <c r="G43" i="7" a="1"/>
  <c r="G43" i="7" s="1"/>
  <c r="H43" i="7" a="1"/>
  <c r="H43" i="7" s="1"/>
  <c r="I43" i="7" a="1"/>
  <c r="I43" i="7" s="1"/>
  <c r="J43" i="7" a="1"/>
  <c r="J43" i="7" s="1"/>
  <c r="C43" i="7" a="1"/>
  <c r="C43" i="7" s="1"/>
  <c r="AE43" i="7" s="1"/>
  <c r="A44" i="7"/>
  <c r="I46" i="5" a="1"/>
  <c r="I46" i="5" s="1"/>
  <c r="E22" i="2" a="1"/>
  <c r="E22" i="2" s="1"/>
  <c r="Z43" i="9" l="1"/>
  <c r="P41" i="9"/>
  <c r="L42" i="9"/>
  <c r="AD42" i="9"/>
  <c r="M42" i="9"/>
  <c r="N42" i="9" s="1"/>
  <c r="O42" i="9" s="1"/>
  <c r="T42" i="9"/>
  <c r="U42" i="9" s="1"/>
  <c r="W42" i="9" s="1"/>
  <c r="D43" i="9" a="1"/>
  <c r="D43" i="9" s="1"/>
  <c r="V43" i="9" s="1"/>
  <c r="AF43" i="9"/>
  <c r="C43" i="9" a="1"/>
  <c r="C43" i="9" s="1"/>
  <c r="F43" i="9" a="1"/>
  <c r="F43" i="9" s="1"/>
  <c r="X43" i="9"/>
  <c r="E43" i="9" a="1"/>
  <c r="E43" i="9" s="1"/>
  <c r="AB43" i="9"/>
  <c r="AC43" i="9" s="1"/>
  <c r="G43" i="9" a="1"/>
  <c r="G43" i="9" s="1"/>
  <c r="AE43" i="9"/>
  <c r="J43" i="9" a="1"/>
  <c r="J43" i="9" s="1"/>
  <c r="H43" i="9" a="1"/>
  <c r="H43" i="9" s="1"/>
  <c r="I43" i="9" a="1"/>
  <c r="I43" i="9" s="1"/>
  <c r="B43" i="9" a="1"/>
  <c r="B43" i="9" s="1"/>
  <c r="Q43" i="9"/>
  <c r="R43" i="9" s="1"/>
  <c r="K44" i="5" a="1"/>
  <c r="K44" i="5" s="1"/>
  <c r="A44" i="9" s="1"/>
  <c r="AG42" i="9"/>
  <c r="AH42" i="9" s="1"/>
  <c r="AI42" i="9" s="1"/>
  <c r="Y44" i="7"/>
  <c r="Z44" i="7" s="1"/>
  <c r="P44" i="7"/>
  <c r="F147" i="5"/>
  <c r="F190" i="5"/>
  <c r="Q20" i="2"/>
  <c r="O20" i="2"/>
  <c r="P20" i="2"/>
  <c r="BA20" i="2"/>
  <c r="AY20" i="2"/>
  <c r="AZ20" i="2"/>
  <c r="AE21" i="2"/>
  <c r="AG20" i="2"/>
  <c r="AI20" i="2"/>
  <c r="AH20" i="2"/>
  <c r="AW21" i="2"/>
  <c r="AO20" i="2"/>
  <c r="AM20" i="2"/>
  <c r="AN20" i="2" s="1"/>
  <c r="BG20" i="2"/>
  <c r="BE20" i="2"/>
  <c r="BF20" i="2" s="1"/>
  <c r="BG21" i="2"/>
  <c r="BE21" i="2"/>
  <c r="BF21" i="2" s="1"/>
  <c r="AO21" i="2"/>
  <c r="AM21" i="2"/>
  <c r="AN21" i="2" s="1"/>
  <c r="AD22" i="2"/>
  <c r="AV22" i="2"/>
  <c r="W20" i="2"/>
  <c r="U20" i="2"/>
  <c r="V20" i="2" s="1"/>
  <c r="M21" i="2"/>
  <c r="R21" i="2"/>
  <c r="T21" i="2" s="1"/>
  <c r="F22" i="2"/>
  <c r="L22" i="2"/>
  <c r="AB19" i="2"/>
  <c r="F102" i="5"/>
  <c r="B44" i="7" a="1"/>
  <c r="B44" i="7" s="1"/>
  <c r="AN39" i="7"/>
  <c r="AP39" i="7" s="1"/>
  <c r="S40" i="7"/>
  <c r="AJ40" i="7" s="1"/>
  <c r="T40" i="7"/>
  <c r="AK40" i="7" s="1"/>
  <c r="U40" i="7"/>
  <c r="AL40" i="7" s="1"/>
  <c r="AA43" i="7"/>
  <c r="AB43" i="7" s="1"/>
  <c r="AC43" i="7" s="1"/>
  <c r="AD43" i="7" s="1"/>
  <c r="AF43" i="7" s="1"/>
  <c r="AH43" i="7" s="1"/>
  <c r="L43" i="7"/>
  <c r="Q42" i="7"/>
  <c r="R42" i="7" s="1"/>
  <c r="F44" i="7" a="1"/>
  <c r="F44" i="7" s="1"/>
  <c r="M44" i="7" s="1"/>
  <c r="O44" i="7"/>
  <c r="N43" i="7"/>
  <c r="D44" i="7" a="1"/>
  <c r="D44" i="7" s="1"/>
  <c r="AG44" i="7" s="1"/>
  <c r="E44" i="7" a="1"/>
  <c r="E44" i="7" s="1"/>
  <c r="I44" i="7" a="1"/>
  <c r="I44" i="7" s="1"/>
  <c r="J44" i="7" a="1"/>
  <c r="J44" i="7" s="1"/>
  <c r="H44" i="7" a="1"/>
  <c r="H44" i="7" s="1"/>
  <c r="G44" i="7" a="1"/>
  <c r="G44" i="7" s="1"/>
  <c r="C44" i="7" a="1"/>
  <c r="C44" i="7" s="1"/>
  <c r="AE44" i="7" s="1"/>
  <c r="A45" i="7"/>
  <c r="I47" i="5" a="1"/>
  <c r="I47" i="5" s="1"/>
  <c r="Z44" i="9" l="1"/>
  <c r="P42" i="9"/>
  <c r="L43" i="9"/>
  <c r="AA43" i="9"/>
  <c r="AH43" i="9"/>
  <c r="AI43" i="9" s="1"/>
  <c r="M43" i="9"/>
  <c r="N43" i="9" s="1"/>
  <c r="O43" i="9" s="1"/>
  <c r="AD43" i="9"/>
  <c r="AG43" i="9"/>
  <c r="T43" i="9"/>
  <c r="U43" i="9" s="1"/>
  <c r="W43" i="9" s="1"/>
  <c r="E44" i="9" a="1"/>
  <c r="E44" i="9" s="1"/>
  <c r="X44" i="9"/>
  <c r="AA44" i="9" s="1"/>
  <c r="B44" i="9" a="1"/>
  <c r="B44" i="9" s="1"/>
  <c r="I44" i="9" a="1"/>
  <c r="I44" i="9" s="1"/>
  <c r="J44" i="9" a="1"/>
  <c r="J44" i="9" s="1"/>
  <c r="AB44" i="9"/>
  <c r="AC44" i="9" s="1"/>
  <c r="AE44" i="9"/>
  <c r="C44" i="9" a="1"/>
  <c r="C44" i="9" s="1"/>
  <c r="Q44" i="9"/>
  <c r="R44" i="9" s="1"/>
  <c r="F44" i="9" a="1"/>
  <c r="F44" i="9" s="1"/>
  <c r="G44" i="9" a="1"/>
  <c r="G44" i="9" s="1"/>
  <c r="D44" i="9" a="1"/>
  <c r="D44" i="9" s="1"/>
  <c r="V44" i="9" s="1"/>
  <c r="AF44" i="9"/>
  <c r="H44" i="9" a="1"/>
  <c r="H44" i="9" s="1"/>
  <c r="K45" i="5" a="1"/>
  <c r="K45" i="5" s="1"/>
  <c r="A45" i="9" s="1"/>
  <c r="Y45" i="7"/>
  <c r="Z45" i="7" s="1"/>
  <c r="P45" i="7"/>
  <c r="F148" i="5"/>
  <c r="BJ20" i="2"/>
  <c r="Q21" i="2"/>
  <c r="O21" i="2"/>
  <c r="P21" i="2"/>
  <c r="BA21" i="2"/>
  <c r="BJ21" i="2" s="1"/>
  <c r="AY21" i="2"/>
  <c r="BH21" i="2" s="1"/>
  <c r="AZ21" i="2"/>
  <c r="BI21" i="2" s="1"/>
  <c r="AG21" i="2"/>
  <c r="AP21" i="2" s="1"/>
  <c r="AH21" i="2"/>
  <c r="AQ21" i="2" s="1"/>
  <c r="AI21" i="2"/>
  <c r="AR21" i="2" s="1"/>
  <c r="AR20" i="2"/>
  <c r="AP20" i="2"/>
  <c r="AQ20" i="2"/>
  <c r="Y20" i="2"/>
  <c r="Z20" i="2"/>
  <c r="X20" i="2"/>
  <c r="BH20" i="2"/>
  <c r="W21" i="2"/>
  <c r="U21" i="2"/>
  <c r="M22" i="2"/>
  <c r="R22" i="2"/>
  <c r="T22" i="2" s="1"/>
  <c r="AW22" i="2"/>
  <c r="BB22" i="2"/>
  <c r="BD22" i="2" s="1"/>
  <c r="BI20" i="2"/>
  <c r="AE22" i="2"/>
  <c r="AJ22" i="2"/>
  <c r="AL22" i="2" s="1"/>
  <c r="B45" i="7" a="1"/>
  <c r="B45" i="7" s="1"/>
  <c r="AA44" i="7"/>
  <c r="AB44" i="7" s="1"/>
  <c r="AC44" i="7" s="1"/>
  <c r="AD44" i="7" s="1"/>
  <c r="AF44" i="7" s="1"/>
  <c r="AH44" i="7" s="1"/>
  <c r="U41" i="7"/>
  <c r="AL41" i="7" s="1"/>
  <c r="T41" i="7"/>
  <c r="AK41" i="7" s="1"/>
  <c r="S41" i="7"/>
  <c r="AJ41" i="7" s="1"/>
  <c r="Q43" i="7"/>
  <c r="R43" i="7" s="1"/>
  <c r="U42" i="7"/>
  <c r="AL42" i="7" s="1"/>
  <c r="T42" i="7"/>
  <c r="AK42" i="7" s="1"/>
  <c r="S42" i="7"/>
  <c r="AJ42" i="7" s="1"/>
  <c r="AN40" i="7"/>
  <c r="AP40" i="7" s="1"/>
  <c r="L44" i="7"/>
  <c r="W43" i="7"/>
  <c r="X43" i="7" s="1"/>
  <c r="F45" i="7" a="1"/>
  <c r="F45" i="7" s="1"/>
  <c r="M45" i="7" s="1"/>
  <c r="O45" i="7"/>
  <c r="N44" i="7"/>
  <c r="W44" i="7" s="1"/>
  <c r="X44" i="7" s="1"/>
  <c r="D45" i="7" a="1"/>
  <c r="D45" i="7" s="1"/>
  <c r="AG45" i="7" s="1"/>
  <c r="E45" i="7" a="1"/>
  <c r="E45" i="7" s="1"/>
  <c r="J45" i="7" a="1"/>
  <c r="J45" i="7" s="1"/>
  <c r="I45" i="7" a="1"/>
  <c r="I45" i="7" s="1"/>
  <c r="H45" i="7" a="1"/>
  <c r="H45" i="7" s="1"/>
  <c r="G45" i="7" a="1"/>
  <c r="G45" i="7" s="1"/>
  <c r="C45" i="7" a="1"/>
  <c r="C45" i="7" s="1"/>
  <c r="AE45" i="7" s="1"/>
  <c r="A46" i="7"/>
  <c r="I48" i="5" a="1"/>
  <c r="I48" i="5" s="1"/>
  <c r="Z45" i="9" l="1"/>
  <c r="AG44" i="9"/>
  <c r="L44" i="9"/>
  <c r="AH44" i="9"/>
  <c r="AI44" i="9" s="1"/>
  <c r="AD44" i="9"/>
  <c r="M44" i="9"/>
  <c r="N44" i="9" s="1"/>
  <c r="O44" i="9" s="1"/>
  <c r="K46" i="5" a="1"/>
  <c r="K46" i="5" s="1"/>
  <c r="A46" i="9" s="1"/>
  <c r="J45" i="9" a="1"/>
  <c r="J45" i="9" s="1"/>
  <c r="G45" i="9" a="1"/>
  <c r="G45" i="9" s="1"/>
  <c r="AB45" i="9"/>
  <c r="AC45" i="9" s="1"/>
  <c r="Q45" i="9"/>
  <c r="R45" i="9" s="1"/>
  <c r="AE45" i="9"/>
  <c r="AF45" i="9"/>
  <c r="D45" i="9" a="1"/>
  <c r="D45" i="9" s="1"/>
  <c r="V45" i="9" s="1"/>
  <c r="X45" i="9"/>
  <c r="AA45" i="9" s="1"/>
  <c r="B45" i="9" a="1"/>
  <c r="B45" i="9" s="1"/>
  <c r="H45" i="9" a="1"/>
  <c r="H45" i="9" s="1"/>
  <c r="C45" i="9" a="1"/>
  <c r="C45" i="9" s="1"/>
  <c r="I45" i="9" a="1"/>
  <c r="I45" i="9" s="1"/>
  <c r="F45" i="9" a="1"/>
  <c r="F45" i="9" s="1"/>
  <c r="E45" i="9" a="1"/>
  <c r="E45" i="9" s="1"/>
  <c r="T44" i="9"/>
  <c r="U44" i="9" s="1"/>
  <c r="W44" i="9" s="1"/>
  <c r="P43" i="9"/>
  <c r="F191" i="5"/>
  <c r="F149" i="5"/>
  <c r="P46" i="7"/>
  <c r="Y46" i="7"/>
  <c r="Z46" i="7" s="1"/>
  <c r="F192" i="5"/>
  <c r="AT20" i="2"/>
  <c r="AG22" i="2"/>
  <c r="AH22" i="2"/>
  <c r="AI22" i="2"/>
  <c r="AT21" i="2"/>
  <c r="BA22" i="2"/>
  <c r="AY22" i="2"/>
  <c r="AZ22" i="2"/>
  <c r="O22" i="2"/>
  <c r="Q22" i="2"/>
  <c r="P22" i="2"/>
  <c r="AB20" i="2"/>
  <c r="BK20" i="2"/>
  <c r="BL20" i="2" s="1"/>
  <c r="Y21" i="2"/>
  <c r="X21" i="2"/>
  <c r="BK21" i="2"/>
  <c r="BL21" i="2" s="1"/>
  <c r="W22" i="2"/>
  <c r="U22" i="2"/>
  <c r="V22" i="2" s="1"/>
  <c r="AO22" i="2"/>
  <c r="AM22" i="2"/>
  <c r="AN22" i="2" s="1"/>
  <c r="BG22" i="2"/>
  <c r="BE22" i="2"/>
  <c r="BF22" i="2" s="1"/>
  <c r="Z21" i="2"/>
  <c r="V21" i="2"/>
  <c r="B46" i="7" a="1"/>
  <c r="B46" i="7" s="1"/>
  <c r="S43" i="7"/>
  <c r="AJ43" i="7" s="1"/>
  <c r="T43" i="7"/>
  <c r="AK43" i="7" s="1"/>
  <c r="U43" i="7"/>
  <c r="AL43" i="7" s="1"/>
  <c r="AN42" i="7"/>
  <c r="AP42" i="7" s="1"/>
  <c r="AN41" i="7"/>
  <c r="AP41" i="7" s="1"/>
  <c r="AA45" i="7"/>
  <c r="AB45" i="7" s="1"/>
  <c r="AC45" i="7" s="1"/>
  <c r="AD45" i="7" s="1"/>
  <c r="AF45" i="7" s="1"/>
  <c r="AH45" i="7" s="1"/>
  <c r="L45" i="7"/>
  <c r="N45" i="7"/>
  <c r="W45" i="7" s="1"/>
  <c r="X45" i="7" s="1"/>
  <c r="F46" i="7" a="1"/>
  <c r="F46" i="7" s="1"/>
  <c r="M46" i="7" s="1"/>
  <c r="O46" i="7"/>
  <c r="D46" i="7" a="1"/>
  <c r="D46" i="7" s="1"/>
  <c r="AG46" i="7" s="1"/>
  <c r="Q44" i="7"/>
  <c r="R44" i="7" s="1"/>
  <c r="E46" i="7" a="1"/>
  <c r="E46" i="7" s="1"/>
  <c r="J46" i="7" a="1"/>
  <c r="J46" i="7" s="1"/>
  <c r="G46" i="7" a="1"/>
  <c r="G46" i="7" s="1"/>
  <c r="H46" i="7" a="1"/>
  <c r="H46" i="7" s="1"/>
  <c r="I46" i="7" a="1"/>
  <c r="I46" i="7" s="1"/>
  <c r="C46" i="7" a="1"/>
  <c r="C46" i="7" s="1"/>
  <c r="AE46" i="7" s="1"/>
  <c r="A47" i="7"/>
  <c r="I49" i="5" a="1"/>
  <c r="I49" i="5" s="1"/>
  <c r="Z46" i="9" l="1"/>
  <c r="P44" i="9"/>
  <c r="L45" i="9"/>
  <c r="K47" i="5" a="1"/>
  <c r="K47" i="5" s="1"/>
  <c r="A47" i="9" s="1"/>
  <c r="AG45" i="9"/>
  <c r="AH45" i="9" s="1"/>
  <c r="AI45" i="9" s="1"/>
  <c r="M45" i="9"/>
  <c r="N45" i="9" s="1"/>
  <c r="O45" i="9" s="1"/>
  <c r="AD45" i="9"/>
  <c r="T45" i="9"/>
  <c r="U45" i="9" s="1"/>
  <c r="W45" i="9" s="1"/>
  <c r="E46" i="9" a="1"/>
  <c r="E46" i="9" s="1"/>
  <c r="AB46" i="9"/>
  <c r="AC46" i="9" s="1"/>
  <c r="AE46" i="9"/>
  <c r="D46" i="9" a="1"/>
  <c r="D46" i="9" s="1"/>
  <c r="V46" i="9" s="1"/>
  <c r="AF46" i="9"/>
  <c r="X46" i="9"/>
  <c r="AA46" i="9" s="1"/>
  <c r="G46" i="9" a="1"/>
  <c r="G46" i="9" s="1"/>
  <c r="J46" i="9" a="1"/>
  <c r="J46" i="9" s="1"/>
  <c r="B46" i="9" a="1"/>
  <c r="B46" i="9" s="1"/>
  <c r="H46" i="9" a="1"/>
  <c r="H46" i="9" s="1"/>
  <c r="I46" i="9" a="1"/>
  <c r="I46" i="9" s="1"/>
  <c r="F46" i="9" a="1"/>
  <c r="F46" i="9" s="1"/>
  <c r="C46" i="9" a="1"/>
  <c r="C46" i="9" s="1"/>
  <c r="Q46" i="9"/>
  <c r="R46" i="9" s="1"/>
  <c r="F150" i="5"/>
  <c r="P47" i="7"/>
  <c r="Y47" i="7"/>
  <c r="Z47" i="7" s="1"/>
  <c r="F151" i="5"/>
  <c r="F193" i="5"/>
  <c r="F103" i="5"/>
  <c r="BH22" i="2"/>
  <c r="BI22" i="2"/>
  <c r="BJ22" i="2"/>
  <c r="X22" i="2"/>
  <c r="Z22" i="2"/>
  <c r="Y22" i="2"/>
  <c r="AR22" i="2"/>
  <c r="AQ22" i="2"/>
  <c r="AP22" i="2"/>
  <c r="B47" i="7" a="1"/>
  <c r="B47" i="7" s="1"/>
  <c r="Q45" i="7"/>
  <c r="R45" i="7" s="1"/>
  <c r="AN43" i="7"/>
  <c r="AP43" i="7" s="1"/>
  <c r="AA46" i="7"/>
  <c r="AB46" i="7" s="1"/>
  <c r="AC46" i="7" s="1"/>
  <c r="AD46" i="7" s="1"/>
  <c r="S44" i="7"/>
  <c r="AJ44" i="7" s="1"/>
  <c r="T44" i="7"/>
  <c r="AK44" i="7" s="1"/>
  <c r="U44" i="7"/>
  <c r="AL44" i="7" s="1"/>
  <c r="L46" i="7"/>
  <c r="N46" i="7"/>
  <c r="W46" i="7" s="1"/>
  <c r="X46" i="7" s="1"/>
  <c r="F47" i="7" a="1"/>
  <c r="F47" i="7" s="1"/>
  <c r="M47" i="7" s="1"/>
  <c r="O47" i="7"/>
  <c r="D47" i="7" a="1"/>
  <c r="D47" i="7" s="1"/>
  <c r="AG47" i="7" s="1"/>
  <c r="E47" i="7" a="1"/>
  <c r="E47" i="7" s="1"/>
  <c r="H47" i="7" a="1"/>
  <c r="H47" i="7" s="1"/>
  <c r="I47" i="7" a="1"/>
  <c r="I47" i="7" s="1"/>
  <c r="J47" i="7" a="1"/>
  <c r="J47" i="7" s="1"/>
  <c r="G47" i="7" a="1"/>
  <c r="G47" i="7" s="1"/>
  <c r="C47" i="7" a="1"/>
  <c r="C47" i="7" s="1"/>
  <c r="AE47" i="7" s="1"/>
  <c r="A48" i="7"/>
  <c r="I50" i="5" a="1"/>
  <c r="I50" i="5" s="1"/>
  <c r="Z47" i="9" l="1"/>
  <c r="P45" i="9"/>
  <c r="AD46" i="9"/>
  <c r="M46" i="9"/>
  <c r="N46" i="9" s="1"/>
  <c r="O46" i="9" s="1"/>
  <c r="T46" i="9"/>
  <c r="U46" i="9" s="1"/>
  <c r="W46" i="9" s="1"/>
  <c r="L46" i="9"/>
  <c r="K48" i="5" a="1"/>
  <c r="K48" i="5" s="1"/>
  <c r="AG46" i="9"/>
  <c r="AH46" i="9" s="1"/>
  <c r="AI46" i="9" s="1"/>
  <c r="B47" i="9" a="1"/>
  <c r="B47" i="9" s="1"/>
  <c r="AE47" i="9"/>
  <c r="AF47" i="9"/>
  <c r="X47" i="9"/>
  <c r="AA47" i="9" s="1"/>
  <c r="AB47" i="9"/>
  <c r="AC47" i="9" s="1"/>
  <c r="F47" i="9" a="1"/>
  <c r="F47" i="9" s="1"/>
  <c r="Q47" i="9"/>
  <c r="R47" i="9" s="1"/>
  <c r="H47" i="9" a="1"/>
  <c r="H47" i="9" s="1"/>
  <c r="G47" i="9" a="1"/>
  <c r="G47" i="9" s="1"/>
  <c r="C47" i="9" a="1"/>
  <c r="C47" i="9" s="1"/>
  <c r="I47" i="9" a="1"/>
  <c r="I47" i="9" s="1"/>
  <c r="D47" i="9" a="1"/>
  <c r="D47" i="9" s="1"/>
  <c r="V47" i="9" s="1"/>
  <c r="J47" i="9" a="1"/>
  <c r="J47" i="9" s="1"/>
  <c r="E47" i="9" a="1"/>
  <c r="E47" i="9" s="1"/>
  <c r="F152" i="5"/>
  <c r="P48" i="7"/>
  <c r="Y48" i="7"/>
  <c r="Z48" i="7" s="1"/>
  <c r="F194" i="5"/>
  <c r="AF46" i="7"/>
  <c r="AH46" i="7" s="1"/>
  <c r="BK22" i="2"/>
  <c r="BL22" i="2" s="1"/>
  <c r="AB22" i="2"/>
  <c r="AT22" i="2"/>
  <c r="Q46" i="7"/>
  <c r="U45" i="7"/>
  <c r="AL45" i="7" s="1"/>
  <c r="B48" i="7" a="1"/>
  <c r="B48" i="7" s="1"/>
  <c r="T45" i="7"/>
  <c r="AK45" i="7" s="1"/>
  <c r="S45" i="7"/>
  <c r="AJ45" i="7" s="1"/>
  <c r="AN44" i="7"/>
  <c r="AP44" i="7" s="1"/>
  <c r="AA47" i="7"/>
  <c r="AB47" i="7" s="1"/>
  <c r="AC47" i="7" s="1"/>
  <c r="AD47" i="7" s="1"/>
  <c r="L47" i="7"/>
  <c r="N47" i="7"/>
  <c r="W47" i="7" s="1"/>
  <c r="X47" i="7" s="1"/>
  <c r="F48" i="7" a="1"/>
  <c r="F48" i="7" s="1"/>
  <c r="M48" i="7" s="1"/>
  <c r="O48" i="7"/>
  <c r="D48" i="7" a="1"/>
  <c r="D48" i="7" s="1"/>
  <c r="AG48" i="7" s="1"/>
  <c r="E48" i="7" a="1"/>
  <c r="E48" i="7" s="1"/>
  <c r="G48" i="7" a="1"/>
  <c r="G48" i="7" s="1"/>
  <c r="H48" i="7" a="1"/>
  <c r="H48" i="7" s="1"/>
  <c r="I48" i="7" a="1"/>
  <c r="I48" i="7" s="1"/>
  <c r="J48" i="7" a="1"/>
  <c r="J48" i="7" s="1"/>
  <c r="C48" i="7" a="1"/>
  <c r="C48" i="7" s="1"/>
  <c r="AE48" i="7" s="1"/>
  <c r="A49" i="7"/>
  <c r="I51" i="5" a="1"/>
  <c r="I51" i="5" s="1"/>
  <c r="T47" i="9" l="1"/>
  <c r="U47" i="9" s="1"/>
  <c r="W47" i="9" s="1"/>
  <c r="AG47" i="9"/>
  <c r="AH47" i="9"/>
  <c r="AI47" i="9" s="1"/>
  <c r="L47" i="9"/>
  <c r="K49" i="5" a="1"/>
  <c r="K49" i="5" s="1"/>
  <c r="K50" i="5" s="1" a="1"/>
  <c r="K50" i="5" s="1"/>
  <c r="K51" i="5" s="1" a="1"/>
  <c r="K51" i="5" s="1"/>
  <c r="K52" i="5" s="1" a="1"/>
  <c r="K52" i="5" s="1"/>
  <c r="K53" i="5" s="1" a="1"/>
  <c r="K53" i="5" s="1"/>
  <c r="K54" i="5" s="1" a="1"/>
  <c r="K54" i="5" s="1"/>
  <c r="K55" i="5" s="1" a="1"/>
  <c r="K55" i="5" s="1"/>
  <c r="K56" i="5" s="1" a="1"/>
  <c r="K56" i="5" s="1"/>
  <c r="K57" i="5" s="1" a="1"/>
  <c r="K57" i="5" s="1"/>
  <c r="K58" i="5" s="1" a="1"/>
  <c r="K58" i="5" s="1"/>
  <c r="K59" i="5" s="1" a="1"/>
  <c r="K59" i="5" s="1"/>
  <c r="K60" i="5" s="1" a="1"/>
  <c r="K60" i="5" s="1"/>
  <c r="K61" i="5" s="1" a="1"/>
  <c r="K61" i="5" s="1"/>
  <c r="K62" i="5" s="1" a="1"/>
  <c r="K62" i="5" s="1"/>
  <c r="K63" i="5" s="1" a="1"/>
  <c r="K63" i="5" s="1"/>
  <c r="K64" i="5" s="1" a="1"/>
  <c r="K64" i="5" s="1"/>
  <c r="K65" i="5" s="1" a="1"/>
  <c r="K65" i="5" s="1"/>
  <c r="K66" i="5" s="1" a="1"/>
  <c r="K66" i="5" s="1"/>
  <c r="K67" i="5" s="1" a="1"/>
  <c r="K67" i="5" s="1"/>
  <c r="K68" i="5" s="1" a="1"/>
  <c r="K68" i="5" s="1"/>
  <c r="K69" i="5" s="1" a="1"/>
  <c r="K69" i="5" s="1"/>
  <c r="K70" i="5" s="1" a="1"/>
  <c r="K70" i="5" s="1"/>
  <c r="K71" i="5" s="1" a="1"/>
  <c r="K71" i="5" s="1"/>
  <c r="K72" i="5" s="1" a="1"/>
  <c r="K72" i="5" s="1"/>
  <c r="K73" i="5" s="1" a="1"/>
  <c r="K73" i="5" s="1"/>
  <c r="K74" i="5" s="1" a="1"/>
  <c r="K74" i="5" s="1"/>
  <c r="K75" i="5" s="1" a="1"/>
  <c r="K75" i="5" s="1"/>
  <c r="K76" i="5" s="1" a="1"/>
  <c r="K76" i="5" s="1"/>
  <c r="K77" i="5" s="1" a="1"/>
  <c r="K77" i="5" s="1"/>
  <c r="K78" i="5" s="1" a="1"/>
  <c r="K78" i="5" s="1"/>
  <c r="K79" i="5" s="1" a="1"/>
  <c r="K79" i="5" s="1"/>
  <c r="K80" i="5" s="1" a="1"/>
  <c r="K80" i="5" s="1"/>
  <c r="K81" i="5" s="1" a="1"/>
  <c r="K81" i="5" s="1"/>
  <c r="K82" i="5" s="1" a="1"/>
  <c r="K82" i="5" s="1"/>
  <c r="K83" i="5" s="1" a="1"/>
  <c r="K83" i="5" s="1"/>
  <c r="K84" i="5" s="1" a="1"/>
  <c r="K84" i="5" s="1"/>
  <c r="K85" i="5" s="1" a="1"/>
  <c r="K85" i="5" s="1"/>
  <c r="A48" i="9"/>
  <c r="P46" i="9"/>
  <c r="M47" i="9"/>
  <c r="N47" i="9" s="1"/>
  <c r="O47" i="9" s="1"/>
  <c r="AD47" i="9"/>
  <c r="Y49" i="7"/>
  <c r="Z49" i="7" s="1"/>
  <c r="P49" i="7"/>
  <c r="F153" i="5"/>
  <c r="R46" i="7"/>
  <c r="S46" i="7" s="1"/>
  <c r="AJ46" i="7" s="1"/>
  <c r="F195" i="5"/>
  <c r="AF47" i="7"/>
  <c r="AH47" i="7" s="1"/>
  <c r="F105" i="5"/>
  <c r="AN45" i="7"/>
  <c r="AP45" i="7" s="1"/>
  <c r="B49" i="7" a="1"/>
  <c r="B49" i="7" s="1"/>
  <c r="AB21" i="2"/>
  <c r="F104" i="5"/>
  <c r="AA48" i="7"/>
  <c r="AB48" i="7" s="1"/>
  <c r="AC48" i="7" s="1"/>
  <c r="AD48" i="7" s="1"/>
  <c r="L48" i="7"/>
  <c r="N48" i="7"/>
  <c r="W48" i="7" s="1"/>
  <c r="X48" i="7" s="1"/>
  <c r="F49" i="7" a="1"/>
  <c r="F49" i="7" s="1"/>
  <c r="M49" i="7" s="1"/>
  <c r="O49" i="7"/>
  <c r="D49" i="7" a="1"/>
  <c r="D49" i="7" s="1"/>
  <c r="AG49" i="7" s="1"/>
  <c r="Q47" i="7"/>
  <c r="R47" i="7" s="1"/>
  <c r="E49" i="7" a="1"/>
  <c r="E49" i="7" s="1"/>
  <c r="H49" i="7" a="1"/>
  <c r="H49" i="7" s="1"/>
  <c r="I49" i="7" a="1"/>
  <c r="I49" i="7" s="1"/>
  <c r="J49" i="7" a="1"/>
  <c r="J49" i="7" s="1"/>
  <c r="G49" i="7" a="1"/>
  <c r="G49" i="7" s="1"/>
  <c r="C49" i="7" a="1"/>
  <c r="C49" i="7" s="1"/>
  <c r="AE49" i="7" s="1"/>
  <c r="A50" i="7"/>
  <c r="I52" i="5" a="1"/>
  <c r="I52" i="5" s="1"/>
  <c r="Z48" i="9" l="1"/>
  <c r="P47" i="9"/>
  <c r="B48" i="9" a="1"/>
  <c r="B48" i="9" s="1"/>
  <c r="AE48" i="9"/>
  <c r="X48" i="9"/>
  <c r="F48" i="9" a="1"/>
  <c r="F48" i="9" s="1"/>
  <c r="AB48" i="9"/>
  <c r="AC48" i="9" s="1"/>
  <c r="AF48" i="9"/>
  <c r="E48" i="9" a="1"/>
  <c r="E48" i="9" s="1"/>
  <c r="G48" i="9" a="1"/>
  <c r="G48" i="9" s="1"/>
  <c r="H48" i="9" a="1"/>
  <c r="H48" i="9" s="1"/>
  <c r="Q48" i="9"/>
  <c r="R48" i="9" s="1"/>
  <c r="I48" i="9" a="1"/>
  <c r="I48" i="9" s="1"/>
  <c r="C48" i="9" a="1"/>
  <c r="C48" i="9" s="1"/>
  <c r="J48" i="9" a="1"/>
  <c r="J48" i="9" s="1"/>
  <c r="D48" i="9" a="1"/>
  <c r="D48" i="9" s="1"/>
  <c r="V48" i="9" s="1"/>
  <c r="U46" i="7"/>
  <c r="AL46" i="7" s="1"/>
  <c r="T46" i="7"/>
  <c r="AK46" i="7" s="1"/>
  <c r="F154" i="5"/>
  <c r="Y50" i="7"/>
  <c r="Z50" i="7" s="1"/>
  <c r="P50" i="7"/>
  <c r="F196" i="5"/>
  <c r="AF48" i="7"/>
  <c r="AH48" i="7" s="1"/>
  <c r="B50" i="7" a="1"/>
  <c r="B50" i="7" s="1"/>
  <c r="AA49" i="7"/>
  <c r="AB49" i="7" s="1"/>
  <c r="AC49" i="7" s="1"/>
  <c r="AD49" i="7" s="1"/>
  <c r="S47" i="7"/>
  <c r="AJ47" i="7" s="1"/>
  <c r="U47" i="7"/>
  <c r="AL47" i="7" s="1"/>
  <c r="T47" i="7"/>
  <c r="AK47" i="7" s="1"/>
  <c r="L49" i="7"/>
  <c r="Q48" i="7"/>
  <c r="R48" i="7" s="1"/>
  <c r="N49" i="7"/>
  <c r="W49" i="7" s="1"/>
  <c r="X49" i="7" s="1"/>
  <c r="F50" i="7" a="1"/>
  <c r="F50" i="7" s="1"/>
  <c r="M50" i="7" s="1"/>
  <c r="O50" i="7"/>
  <c r="D50" i="7" a="1"/>
  <c r="D50" i="7" s="1"/>
  <c r="AG50" i="7" s="1"/>
  <c r="E50" i="7" a="1"/>
  <c r="E50" i="7" s="1"/>
  <c r="H50" i="7" a="1"/>
  <c r="H50" i="7" s="1"/>
  <c r="I50" i="7" a="1"/>
  <c r="I50" i="7" s="1"/>
  <c r="G50" i="7" a="1"/>
  <c r="G50" i="7" s="1"/>
  <c r="J50" i="7" a="1"/>
  <c r="J50" i="7" s="1"/>
  <c r="C50" i="7" a="1"/>
  <c r="C50" i="7" s="1"/>
  <c r="AE50" i="7" s="1"/>
  <c r="I53" i="5" a="1"/>
  <c r="I53" i="5" s="1"/>
  <c r="L48" i="9" l="1"/>
  <c r="T48" i="9"/>
  <c r="U48" i="9" s="1"/>
  <c r="W48" i="9" s="1"/>
  <c r="AG48" i="9"/>
  <c r="M48" i="9"/>
  <c r="N48" i="9" s="1"/>
  <c r="O48" i="9" s="1"/>
  <c r="AD48" i="9"/>
  <c r="AA48" i="9"/>
  <c r="AH48" i="9"/>
  <c r="AI48" i="9" s="1"/>
  <c r="F198" i="5" s="1"/>
  <c r="AN46" i="7"/>
  <c r="AP46" i="7" s="1"/>
  <c r="F197" i="5"/>
  <c r="AF49" i="7"/>
  <c r="AH49" i="7" s="1"/>
  <c r="AN47" i="7"/>
  <c r="AP47" i="7" s="1"/>
  <c r="L50" i="7"/>
  <c r="AA50" i="7"/>
  <c r="AB50" i="7" s="1"/>
  <c r="AC50" i="7" s="1"/>
  <c r="AD50" i="7" s="1"/>
  <c r="N50" i="7"/>
  <c r="W50" i="7" s="1"/>
  <c r="X50" i="7" s="1"/>
  <c r="Q49" i="7"/>
  <c r="R49" i="7" s="1"/>
  <c r="I54" i="5" a="1"/>
  <c r="I54" i="5" s="1"/>
  <c r="F155" i="5" l="1"/>
  <c r="P48" i="9"/>
  <c r="F156" i="5"/>
  <c r="AF50" i="7"/>
  <c r="AH50" i="7" s="1"/>
  <c r="U49" i="7"/>
  <c r="AL49" i="7" s="1"/>
  <c r="T49" i="7"/>
  <c r="AK49" i="7" s="1"/>
  <c r="S49" i="7"/>
  <c r="AJ49" i="7" s="1"/>
  <c r="U48" i="7"/>
  <c r="AL48" i="7" s="1"/>
  <c r="T48" i="7"/>
  <c r="AK48" i="7" s="1"/>
  <c r="S48" i="7"/>
  <c r="AJ48" i="7" s="1"/>
  <c r="Q50" i="7"/>
  <c r="R50" i="7" s="1"/>
  <c r="I55" i="5" a="1"/>
  <c r="I55" i="5" s="1"/>
  <c r="AN48" i="7" l="1"/>
  <c r="AP48" i="7" s="1"/>
  <c r="AN49" i="7"/>
  <c r="AP49" i="7" s="1"/>
  <c r="I56" i="5" a="1"/>
  <c r="I56" i="5" s="1"/>
  <c r="S50" i="7" l="1"/>
  <c r="AJ50" i="7" s="1"/>
  <c r="U50" i="7"/>
  <c r="AL50" i="7" s="1"/>
  <c r="T50" i="7"/>
  <c r="AK50" i="7" s="1"/>
  <c r="I57" i="5" a="1"/>
  <c r="I57" i="5" s="1"/>
  <c r="I58" i="5" s="1" a="1"/>
  <c r="I58" i="5" s="1"/>
  <c r="AN50" i="7" l="1"/>
  <c r="AP50" i="7" s="1"/>
  <c r="E23" i="2" a="1"/>
  <c r="E23" i="2" s="1"/>
  <c r="I59" i="5" a="1"/>
  <c r="I59" i="5" s="1"/>
  <c r="AP6" i="7" l="1"/>
  <c r="AN6" i="7"/>
  <c r="AV23" i="2"/>
  <c r="AD23" i="2"/>
  <c r="F23" i="2"/>
  <c r="L23" i="2"/>
  <c r="E24" i="2" a="1"/>
  <c r="E24" i="2" s="1"/>
  <c r="I60" i="5" a="1"/>
  <c r="I60" i="5" s="1"/>
  <c r="W24" i="2" l="1"/>
  <c r="BG24" i="2"/>
  <c r="AO24" i="2"/>
  <c r="M23" i="2"/>
  <c r="R23" i="2"/>
  <c r="T23" i="2" s="1"/>
  <c r="AJ23" i="2"/>
  <c r="AL23" i="2" s="1"/>
  <c r="AE23" i="2"/>
  <c r="AD24" i="2"/>
  <c r="AV24" i="2"/>
  <c r="BB23" i="2"/>
  <c r="BD23" i="2" s="1"/>
  <c r="AW23" i="2"/>
  <c r="L24" i="2"/>
  <c r="V24" i="2"/>
  <c r="F24" i="2"/>
  <c r="I61" i="5" a="1"/>
  <c r="I61" i="5" s="1"/>
  <c r="BA23" i="2" l="1"/>
  <c r="AZ23" i="2"/>
  <c r="AY23" i="2"/>
  <c r="AG23" i="2"/>
  <c r="AH23" i="2"/>
  <c r="AI23" i="2"/>
  <c r="P23" i="2"/>
  <c r="Q23" i="2"/>
  <c r="O23" i="2"/>
  <c r="AO23" i="2"/>
  <c r="AM23" i="2"/>
  <c r="AN23" i="2" s="1"/>
  <c r="AP24" i="2"/>
  <c r="AR24" i="2"/>
  <c r="AQ24" i="2"/>
  <c r="BG23" i="2"/>
  <c r="BE23" i="2"/>
  <c r="BF23" i="2" s="1"/>
  <c r="BI24" i="2"/>
  <c r="BH24" i="2"/>
  <c r="BJ24" i="2"/>
  <c r="W23" i="2"/>
  <c r="U23" i="2"/>
  <c r="Y24" i="2"/>
  <c r="X24" i="2"/>
  <c r="Z24" i="2"/>
  <c r="I62" i="5" a="1"/>
  <c r="I62" i="5" s="1"/>
  <c r="BJ23" i="2" l="1"/>
  <c r="AR23" i="2"/>
  <c r="AQ23" i="2"/>
  <c r="AP23" i="2"/>
  <c r="BI23" i="2"/>
  <c r="Y23" i="2"/>
  <c r="Z23" i="2"/>
  <c r="X23" i="2"/>
  <c r="BK24" i="2"/>
  <c r="BL24" i="2" s="1"/>
  <c r="BH23" i="2"/>
  <c r="AT24" i="2"/>
  <c r="V23" i="2"/>
  <c r="I63" i="5" a="1"/>
  <c r="I63" i="5" s="1"/>
  <c r="AT23" i="2" l="1"/>
  <c r="AT4" i="2" s="1"/>
  <c r="BK23" i="2"/>
  <c r="BL23" i="2" s="1"/>
  <c r="I64" i="5" a="1"/>
  <c r="I64" i="5" s="1"/>
  <c r="BL4" i="2" l="1"/>
  <c r="AB23" i="2"/>
  <c r="F106" i="5"/>
  <c r="AB24" i="2"/>
  <c r="F107" i="5"/>
  <c r="I65" i="5" a="1"/>
  <c r="I65" i="5" s="1"/>
  <c r="L25" i="5" l="1" a="1"/>
  <c r="L25" i="5" s="1"/>
  <c r="L26" i="5" s="1" a="1"/>
  <c r="L26" i="5" s="1"/>
  <c r="L27" i="5" s="1" a="1"/>
  <c r="L27" i="5" s="1"/>
  <c r="L28" i="5" s="1" a="1"/>
  <c r="L28" i="5" s="1"/>
  <c r="L29" i="5" s="1" a="1"/>
  <c r="L29" i="5" s="1"/>
  <c r="L30" i="5" s="1" a="1"/>
  <c r="L30" i="5" s="1"/>
  <c r="L31" i="5" s="1" a="1"/>
  <c r="L31" i="5" s="1"/>
  <c r="L32" i="5" s="1" a="1"/>
  <c r="L32" i="5" s="1"/>
  <c r="L33" i="5" s="1" a="1"/>
  <c r="L33" i="5" s="1"/>
  <c r="A21" i="3"/>
  <c r="A22" i="3"/>
  <c r="AB4" i="2"/>
  <c r="B8" i="12" s="1"/>
  <c r="I66" i="5" a="1"/>
  <c r="I66" i="5" s="1"/>
  <c r="G22" i="3" l="1" a="1"/>
  <c r="G22" i="3" s="1"/>
  <c r="G21" i="3" a="1"/>
  <c r="G21" i="3" s="1"/>
  <c r="A23" i="3"/>
  <c r="I22" i="3" a="1"/>
  <c r="I22" i="3" s="1"/>
  <c r="F22" i="3" a="1"/>
  <c r="F22" i="3" s="1"/>
  <c r="C22" i="3" a="1"/>
  <c r="C22" i="3" s="1"/>
  <c r="B22" i="3" a="1"/>
  <c r="B22" i="3" s="1"/>
  <c r="L22" i="3" s="1"/>
  <c r="E22" i="3" a="1"/>
  <c r="E22" i="3" s="1"/>
  <c r="H22" i="3" a="1"/>
  <c r="H22" i="3" s="1"/>
  <c r="D22" i="3" a="1"/>
  <c r="D22" i="3" s="1"/>
  <c r="S22" i="3" s="1"/>
  <c r="D21" i="3" a="1"/>
  <c r="D21" i="3" s="1"/>
  <c r="S21" i="3" s="1"/>
  <c r="C21" i="3" a="1"/>
  <c r="C21" i="3" s="1"/>
  <c r="I21" i="3" a="1"/>
  <c r="I21" i="3" s="1"/>
  <c r="B21" i="3" a="1"/>
  <c r="B21" i="3" s="1"/>
  <c r="Y21" i="3" s="1"/>
  <c r="E21" i="3" a="1"/>
  <c r="E21" i="3" s="1"/>
  <c r="H21" i="3" a="1"/>
  <c r="H21" i="3" s="1"/>
  <c r="F21" i="3" a="1"/>
  <c r="F21" i="3" s="1"/>
  <c r="I67" i="5" a="1"/>
  <c r="I67" i="5" s="1"/>
  <c r="G23" i="3" l="1" a="1"/>
  <c r="G23" i="3" s="1"/>
  <c r="AH21" i="3"/>
  <c r="L21" i="3"/>
  <c r="X21" i="3"/>
  <c r="Z21" i="3" s="1"/>
  <c r="AA21" i="3" s="1"/>
  <c r="AG21" i="3"/>
  <c r="AI21" i="3" s="1"/>
  <c r="T21" i="3"/>
  <c r="AH22" i="3"/>
  <c r="Y22" i="3"/>
  <c r="X22" i="3"/>
  <c r="Z22" i="3" s="1"/>
  <c r="T22" i="3"/>
  <c r="AG22" i="3"/>
  <c r="AI22" i="3" s="1"/>
  <c r="K22" i="3"/>
  <c r="M22" i="3" s="1"/>
  <c r="N22" i="3" s="1"/>
  <c r="AK21" i="3"/>
  <c r="AB21" i="3"/>
  <c r="O21" i="3"/>
  <c r="K21" i="3"/>
  <c r="M21" i="3" s="1"/>
  <c r="AK22" i="3"/>
  <c r="AB22" i="3"/>
  <c r="O22" i="3"/>
  <c r="I23" i="3" a="1"/>
  <c r="I23" i="3" s="1"/>
  <c r="B23" i="3" a="1"/>
  <c r="B23" i="3" s="1"/>
  <c r="L23" i="3" s="1"/>
  <c r="H23" i="3" a="1"/>
  <c r="H23" i="3" s="1"/>
  <c r="D23" i="3" a="1"/>
  <c r="D23" i="3" s="1"/>
  <c r="S23" i="3" s="1"/>
  <c r="F23" i="3" a="1"/>
  <c r="F23" i="3" s="1"/>
  <c r="C23" i="3" a="1"/>
  <c r="C23" i="3" s="1"/>
  <c r="E23" i="3" a="1"/>
  <c r="E23" i="3" s="1"/>
  <c r="A24" i="3"/>
  <c r="I68" i="5" a="1"/>
  <c r="I68" i="5" s="1"/>
  <c r="G24" i="3" l="1" a="1"/>
  <c r="G24" i="3" s="1"/>
  <c r="P22" i="3"/>
  <c r="R22" i="3" s="1"/>
  <c r="U22" i="3" s="1"/>
  <c r="V22" i="3" s="1"/>
  <c r="AJ21" i="3"/>
  <c r="AL21" i="3" s="1"/>
  <c r="AM21" i="3" s="1"/>
  <c r="N21" i="3"/>
  <c r="AC21" i="3"/>
  <c r="AD21" i="3" s="1"/>
  <c r="K23" i="3"/>
  <c r="M23" i="3" s="1"/>
  <c r="N23" i="3" s="1"/>
  <c r="AG23" i="3"/>
  <c r="AI23" i="3" s="1"/>
  <c r="T23" i="3"/>
  <c r="X23" i="3"/>
  <c r="Z23" i="3" s="1"/>
  <c r="A25" i="3"/>
  <c r="D24" i="3" a="1"/>
  <c r="D24" i="3" s="1"/>
  <c r="S24" i="3" s="1"/>
  <c r="I24" i="3" a="1"/>
  <c r="I24" i="3" s="1"/>
  <c r="C24" i="3" a="1"/>
  <c r="C24" i="3" s="1"/>
  <c r="H24" i="3" a="1"/>
  <c r="H24" i="3" s="1"/>
  <c r="B24" i="3" a="1"/>
  <c r="B24" i="3" s="1"/>
  <c r="L24" i="3" s="1"/>
  <c r="F24" i="3" a="1"/>
  <c r="F24" i="3" s="1"/>
  <c r="E24" i="3" a="1"/>
  <c r="E24" i="3" s="1"/>
  <c r="AA22" i="3"/>
  <c r="AC22" i="3" s="1"/>
  <c r="AD22" i="3" s="1"/>
  <c r="Y23" i="3"/>
  <c r="AH23" i="3"/>
  <c r="AJ22" i="3"/>
  <c r="AL22" i="3" s="1"/>
  <c r="AM22" i="3" s="1"/>
  <c r="AB23" i="3"/>
  <c r="O23" i="3"/>
  <c r="AK23" i="3"/>
  <c r="I69" i="5" a="1"/>
  <c r="I69" i="5" s="1"/>
  <c r="AE22" i="3" l="1"/>
  <c r="G25" i="3" a="1"/>
  <c r="G25" i="3" s="1"/>
  <c r="AN22" i="3"/>
  <c r="P23" i="3"/>
  <c r="R23" i="3" s="1"/>
  <c r="U23" i="3" s="1"/>
  <c r="V23" i="3" s="1"/>
  <c r="P21" i="3"/>
  <c r="R21" i="3" s="1"/>
  <c r="U21" i="3" s="1"/>
  <c r="V21" i="3" s="1"/>
  <c r="AA23" i="3"/>
  <c r="AC23" i="3" s="1"/>
  <c r="AD23" i="3" s="1"/>
  <c r="AJ23" i="3"/>
  <c r="AL23" i="3" s="1"/>
  <c r="AM23" i="3" s="1"/>
  <c r="K24" i="3"/>
  <c r="M24" i="3" s="1"/>
  <c r="N24" i="3" s="1"/>
  <c r="AG24" i="3"/>
  <c r="AI24" i="3" s="1"/>
  <c r="X24" i="3"/>
  <c r="Z24" i="3" s="1"/>
  <c r="T24" i="3"/>
  <c r="AB24" i="3"/>
  <c r="AK24" i="3"/>
  <c r="O24" i="3"/>
  <c r="I25" i="3" a="1"/>
  <c r="I25" i="3" s="1"/>
  <c r="C25" i="3" a="1"/>
  <c r="C25" i="3" s="1"/>
  <c r="H25" i="3" a="1"/>
  <c r="H25" i="3" s="1"/>
  <c r="B25" i="3" a="1"/>
  <c r="B25" i="3" s="1"/>
  <c r="AH25" i="3" s="1"/>
  <c r="F25" i="3" a="1"/>
  <c r="F25" i="3" s="1"/>
  <c r="D25" i="3" a="1"/>
  <c r="D25" i="3" s="1"/>
  <c r="S25" i="3" s="1"/>
  <c r="E25" i="3" a="1"/>
  <c r="E25" i="3" s="1"/>
  <c r="AH24" i="3"/>
  <c r="A26" i="3"/>
  <c r="Y24" i="3"/>
  <c r="I70" i="5" a="1"/>
  <c r="I70" i="5" s="1"/>
  <c r="AE21" i="3" l="1"/>
  <c r="AN23" i="3"/>
  <c r="AE23" i="3"/>
  <c r="AN21" i="3"/>
  <c r="G26" i="3" a="1"/>
  <c r="G26" i="3" s="1"/>
  <c r="P24" i="3"/>
  <c r="R24" i="3" s="1"/>
  <c r="U24" i="3" s="1"/>
  <c r="V24" i="3" s="1"/>
  <c r="AA24" i="3"/>
  <c r="AC24" i="3" s="1"/>
  <c r="AD24" i="3" s="1"/>
  <c r="AJ24" i="3"/>
  <c r="AL24" i="3" s="1"/>
  <c r="AM24" i="3" s="1"/>
  <c r="AB25" i="3"/>
  <c r="AK25" i="3"/>
  <c r="O25" i="3"/>
  <c r="I26" i="3" a="1"/>
  <c r="I26" i="3" s="1"/>
  <c r="F26" i="3" a="1"/>
  <c r="F26" i="3" s="1"/>
  <c r="E26" i="3" a="1"/>
  <c r="E26" i="3" s="1"/>
  <c r="D26" i="3" a="1"/>
  <c r="D26" i="3" s="1"/>
  <c r="S26" i="3" s="1"/>
  <c r="B26" i="3" a="1"/>
  <c r="B26" i="3" s="1"/>
  <c r="AH26" i="3" s="1"/>
  <c r="C26" i="3" a="1"/>
  <c r="C26" i="3" s="1"/>
  <c r="H26" i="3" a="1"/>
  <c r="H26" i="3" s="1"/>
  <c r="Y25" i="3"/>
  <c r="L25" i="3"/>
  <c r="T25" i="3"/>
  <c r="X25" i="3"/>
  <c r="Z25" i="3" s="1"/>
  <c r="AG25" i="3"/>
  <c r="AI25" i="3" s="1"/>
  <c r="AJ25" i="3" s="1"/>
  <c r="K25" i="3"/>
  <c r="M25" i="3" s="1"/>
  <c r="A27" i="3"/>
  <c r="I71" i="5" a="1"/>
  <c r="I71" i="5" s="1"/>
  <c r="AN24" i="3" l="1"/>
  <c r="AE24" i="3"/>
  <c r="G27" i="3" a="1"/>
  <c r="G27" i="3" s="1"/>
  <c r="AL25" i="3"/>
  <c r="AM25" i="3" s="1"/>
  <c r="I27" i="3" a="1"/>
  <c r="I27" i="3" s="1"/>
  <c r="C27" i="3" a="1"/>
  <c r="C27" i="3" s="1"/>
  <c r="F27" i="3" a="1"/>
  <c r="F27" i="3" s="1"/>
  <c r="H27" i="3" a="1"/>
  <c r="H27" i="3" s="1"/>
  <c r="B27" i="3" a="1"/>
  <c r="B27" i="3" s="1"/>
  <c r="AH27" i="3" s="1"/>
  <c r="E27" i="3" a="1"/>
  <c r="E27" i="3" s="1"/>
  <c r="D27" i="3" a="1"/>
  <c r="D27" i="3" s="1"/>
  <c r="S27" i="3" s="1"/>
  <c r="AB26" i="3"/>
  <c r="AK26" i="3"/>
  <c r="O26" i="3"/>
  <c r="L26" i="3"/>
  <c r="T26" i="3"/>
  <c r="X26" i="3"/>
  <c r="Z26" i="3" s="1"/>
  <c r="K26" i="3"/>
  <c r="M26" i="3" s="1"/>
  <c r="AG26" i="3"/>
  <c r="AI26" i="3" s="1"/>
  <c r="AJ26" i="3" s="1"/>
  <c r="A28" i="3"/>
  <c r="AA25" i="3"/>
  <c r="AC25" i="3" s="1"/>
  <c r="AD25" i="3" s="1"/>
  <c r="N25" i="3"/>
  <c r="Y26" i="3"/>
  <c r="I72" i="5" a="1"/>
  <c r="I72" i="5" s="1"/>
  <c r="G28" i="3" l="1" a="1"/>
  <c r="G28" i="3" s="1"/>
  <c r="P25" i="3"/>
  <c r="R25" i="3" s="1"/>
  <c r="U25" i="3" s="1"/>
  <c r="V25" i="3" s="1"/>
  <c r="AA26" i="3"/>
  <c r="AC26" i="3" s="1"/>
  <c r="AD26" i="3" s="1"/>
  <c r="Y27" i="3"/>
  <c r="AL26" i="3"/>
  <c r="AM26" i="3" s="1"/>
  <c r="A29" i="3"/>
  <c r="L27" i="3"/>
  <c r="T27" i="3"/>
  <c r="K27" i="3"/>
  <c r="M27" i="3" s="1"/>
  <c r="X27" i="3"/>
  <c r="Z27" i="3" s="1"/>
  <c r="AG27" i="3"/>
  <c r="AI27" i="3" s="1"/>
  <c r="AJ27" i="3" s="1"/>
  <c r="O27" i="3"/>
  <c r="AB27" i="3"/>
  <c r="AK27" i="3"/>
  <c r="I28" i="3" a="1"/>
  <c r="I28" i="3" s="1"/>
  <c r="C28" i="3" a="1"/>
  <c r="C28" i="3" s="1"/>
  <c r="H28" i="3" a="1"/>
  <c r="H28" i="3" s="1"/>
  <c r="B28" i="3" a="1"/>
  <c r="B28" i="3" s="1"/>
  <c r="AH28" i="3" s="1"/>
  <c r="E28" i="3" a="1"/>
  <c r="E28" i="3" s="1"/>
  <c r="D28" i="3" a="1"/>
  <c r="D28" i="3" s="1"/>
  <c r="S28" i="3" s="1"/>
  <c r="F28" i="3" a="1"/>
  <c r="F28" i="3" s="1"/>
  <c r="N26" i="3"/>
  <c r="I73" i="5" a="1"/>
  <c r="I73" i="5" s="1"/>
  <c r="AE25" i="3" l="1"/>
  <c r="G29" i="3" a="1"/>
  <c r="G29" i="3" s="1"/>
  <c r="AN25" i="3"/>
  <c r="P26" i="3"/>
  <c r="R26" i="3" s="1"/>
  <c r="U26" i="3" s="1"/>
  <c r="V26" i="3" s="1"/>
  <c r="AA27" i="3"/>
  <c r="AC27" i="3" s="1"/>
  <c r="AD27" i="3" s="1"/>
  <c r="L28" i="3"/>
  <c r="Y28" i="3"/>
  <c r="AL27" i="3"/>
  <c r="AM27" i="3" s="1"/>
  <c r="T28" i="3"/>
  <c r="AG28" i="3"/>
  <c r="AI28" i="3" s="1"/>
  <c r="AJ28" i="3" s="1"/>
  <c r="K28" i="3"/>
  <c r="M28" i="3" s="1"/>
  <c r="X28" i="3"/>
  <c r="Z28" i="3" s="1"/>
  <c r="A30" i="3"/>
  <c r="AB28" i="3"/>
  <c r="O28" i="3"/>
  <c r="AK28" i="3"/>
  <c r="N27" i="3"/>
  <c r="I29" i="3" a="1"/>
  <c r="I29" i="3" s="1"/>
  <c r="C29" i="3" a="1"/>
  <c r="C29" i="3" s="1"/>
  <c r="D29" i="3" a="1"/>
  <c r="D29" i="3" s="1"/>
  <c r="S29" i="3" s="1"/>
  <c r="H29" i="3" a="1"/>
  <c r="H29" i="3" s="1"/>
  <c r="E29" i="3" a="1"/>
  <c r="E29" i="3" s="1"/>
  <c r="F29" i="3" a="1"/>
  <c r="F29" i="3" s="1"/>
  <c r="B29" i="3" a="1"/>
  <c r="B29" i="3" s="1"/>
  <c r="L29" i="3" s="1"/>
  <c r="I74" i="5" a="1"/>
  <c r="I74" i="5" s="1"/>
  <c r="AE26" i="3" l="1"/>
  <c r="AN26" i="3"/>
  <c r="G30" i="3" a="1"/>
  <c r="G30" i="3" s="1"/>
  <c r="P27" i="3"/>
  <c r="R27" i="3" s="1"/>
  <c r="U27" i="3" s="1"/>
  <c r="V27" i="3" s="1"/>
  <c r="AA28" i="3"/>
  <c r="AC28" i="3" s="1"/>
  <c r="AD28" i="3" s="1"/>
  <c r="N28" i="3"/>
  <c r="Y29" i="3"/>
  <c r="I30" i="3" a="1"/>
  <c r="I30" i="3" s="1"/>
  <c r="H30" i="3" a="1"/>
  <c r="H30" i="3" s="1"/>
  <c r="C30" i="3" a="1"/>
  <c r="C30" i="3" s="1"/>
  <c r="D30" i="3" a="1"/>
  <c r="D30" i="3" s="1"/>
  <c r="S30" i="3" s="1"/>
  <c r="B30" i="3" a="1"/>
  <c r="B30" i="3" s="1"/>
  <c r="AH30" i="3" s="1"/>
  <c r="F30" i="3" a="1"/>
  <c r="F30" i="3" s="1"/>
  <c r="E30" i="3" a="1"/>
  <c r="E30" i="3" s="1"/>
  <c r="A31" i="3"/>
  <c r="AH29" i="3"/>
  <c r="T29" i="3"/>
  <c r="K29" i="3"/>
  <c r="M29" i="3" s="1"/>
  <c r="N29" i="3" s="1"/>
  <c r="X29" i="3"/>
  <c r="Z29" i="3" s="1"/>
  <c r="AG29" i="3"/>
  <c r="AI29" i="3" s="1"/>
  <c r="AL28" i="3"/>
  <c r="AM28" i="3" s="1"/>
  <c r="AB29" i="3"/>
  <c r="AK29" i="3"/>
  <c r="O29" i="3"/>
  <c r="I75" i="5" a="1"/>
  <c r="I75" i="5" s="1"/>
  <c r="AN27" i="3" l="1"/>
  <c r="G31" i="3" a="1"/>
  <c r="G31" i="3" s="1"/>
  <c r="AE27" i="3"/>
  <c r="P29" i="3"/>
  <c r="R29" i="3" s="1"/>
  <c r="U29" i="3" s="1"/>
  <c r="V29" i="3" s="1"/>
  <c r="P28" i="3"/>
  <c r="R28" i="3" s="1"/>
  <c r="U28" i="3" s="1"/>
  <c r="V28" i="3" s="1"/>
  <c r="L30" i="3"/>
  <c r="Y30" i="3"/>
  <c r="I31" i="3" a="1"/>
  <c r="I31" i="3" s="1"/>
  <c r="H31" i="3" a="1"/>
  <c r="H31" i="3" s="1"/>
  <c r="F31" i="3" a="1"/>
  <c r="F31" i="3" s="1"/>
  <c r="D31" i="3" a="1"/>
  <c r="D31" i="3" s="1"/>
  <c r="S31" i="3" s="1"/>
  <c r="C31" i="3" a="1"/>
  <c r="C31" i="3" s="1"/>
  <c r="B31" i="3" a="1"/>
  <c r="B31" i="3" s="1"/>
  <c r="AH31" i="3" s="1"/>
  <c r="E31" i="3" a="1"/>
  <c r="E31" i="3" s="1"/>
  <c r="T30" i="3"/>
  <c r="AG30" i="3"/>
  <c r="AI30" i="3" s="1"/>
  <c r="AJ30" i="3" s="1"/>
  <c r="K30" i="3"/>
  <c r="M30" i="3" s="1"/>
  <c r="X30" i="3"/>
  <c r="Z30" i="3" s="1"/>
  <c r="O30" i="3"/>
  <c r="AK30" i="3"/>
  <c r="AB30" i="3"/>
  <c r="A32" i="3"/>
  <c r="AJ29" i="3"/>
  <c r="AL29" i="3" s="1"/>
  <c r="AM29" i="3" s="1"/>
  <c r="AA29" i="3"/>
  <c r="AC29" i="3" s="1"/>
  <c r="AD29" i="3" s="1"/>
  <c r="I76" i="5" a="1"/>
  <c r="I76" i="5" s="1"/>
  <c r="AN28" i="3" l="1"/>
  <c r="AE29" i="3"/>
  <c r="G32" i="3" a="1"/>
  <c r="G32" i="3" s="1"/>
  <c r="AE28" i="3"/>
  <c r="AN29" i="3"/>
  <c r="N30" i="3"/>
  <c r="AA30" i="3"/>
  <c r="AC30" i="3" s="1"/>
  <c r="AD30" i="3" s="1"/>
  <c r="Y31" i="3"/>
  <c r="AL30" i="3"/>
  <c r="AM30" i="3" s="1"/>
  <c r="I32" i="3" a="1"/>
  <c r="I32" i="3" s="1"/>
  <c r="B32" i="3" a="1"/>
  <c r="B32" i="3" s="1"/>
  <c r="L32" i="3" s="1"/>
  <c r="F32" i="3" a="1"/>
  <c r="F32" i="3" s="1"/>
  <c r="D32" i="3" a="1"/>
  <c r="D32" i="3" s="1"/>
  <c r="S32" i="3" s="1"/>
  <c r="C32" i="3" a="1"/>
  <c r="C32" i="3" s="1"/>
  <c r="E32" i="3" a="1"/>
  <c r="E32" i="3" s="1"/>
  <c r="H32" i="3" a="1"/>
  <c r="H32" i="3" s="1"/>
  <c r="L31" i="3"/>
  <c r="A33" i="3"/>
  <c r="O31" i="3"/>
  <c r="AK31" i="3"/>
  <c r="AB31" i="3"/>
  <c r="T31" i="3"/>
  <c r="X31" i="3"/>
  <c r="Z31" i="3" s="1"/>
  <c r="AG31" i="3"/>
  <c r="AI31" i="3" s="1"/>
  <c r="AJ31" i="3" s="1"/>
  <c r="K31" i="3"/>
  <c r="M31" i="3" s="1"/>
  <c r="I77" i="5" a="1"/>
  <c r="I77" i="5" s="1"/>
  <c r="G33" i="3" l="1" a="1"/>
  <c r="G33" i="3" s="1"/>
  <c r="P30" i="3"/>
  <c r="R30" i="3" s="1"/>
  <c r="U30" i="3" s="1"/>
  <c r="V30" i="3" s="1"/>
  <c r="AL31" i="3"/>
  <c r="AM31" i="3" s="1"/>
  <c r="AA31" i="3"/>
  <c r="AC31" i="3" s="1"/>
  <c r="AD31" i="3" s="1"/>
  <c r="AH32" i="3"/>
  <c r="Y32" i="3"/>
  <c r="N31" i="3"/>
  <c r="O32" i="3"/>
  <c r="AB32" i="3"/>
  <c r="AK32" i="3"/>
  <c r="T32" i="3"/>
  <c r="AG32" i="3"/>
  <c r="AI32" i="3" s="1"/>
  <c r="K32" i="3"/>
  <c r="M32" i="3" s="1"/>
  <c r="N32" i="3" s="1"/>
  <c r="X32" i="3"/>
  <c r="Z32" i="3" s="1"/>
  <c r="I33" i="3" a="1"/>
  <c r="I33" i="3" s="1"/>
  <c r="B33" i="3" a="1"/>
  <c r="B33" i="3" s="1"/>
  <c r="L33" i="3" s="1"/>
  <c r="F33" i="3" a="1"/>
  <c r="F33" i="3" s="1"/>
  <c r="H33" i="3" a="1"/>
  <c r="H33" i="3" s="1"/>
  <c r="D33" i="3" a="1"/>
  <c r="D33" i="3" s="1"/>
  <c r="S33" i="3" s="1"/>
  <c r="C33" i="3" a="1"/>
  <c r="C33" i="3" s="1"/>
  <c r="E33" i="3" a="1"/>
  <c r="E33" i="3" s="1"/>
  <c r="I78" i="5" a="1"/>
  <c r="I78" i="5" s="1"/>
  <c r="AN30" i="3" l="1"/>
  <c r="AE30" i="3"/>
  <c r="P31" i="3"/>
  <c r="R31" i="3" s="1"/>
  <c r="U31" i="3" s="1"/>
  <c r="V31" i="3" s="1"/>
  <c r="P32" i="3"/>
  <c r="R32" i="3" s="1"/>
  <c r="U32" i="3" s="1"/>
  <c r="V32" i="3" s="1"/>
  <c r="AJ32" i="3"/>
  <c r="AL32" i="3" s="1"/>
  <c r="AM32" i="3" s="1"/>
  <c r="AA32" i="3"/>
  <c r="AC32" i="3" s="1"/>
  <c r="AD32" i="3" s="1"/>
  <c r="Y33" i="3"/>
  <c r="AH33" i="3"/>
  <c r="AK33" i="3"/>
  <c r="AB33" i="3"/>
  <c r="O33" i="3"/>
  <c r="T33" i="3"/>
  <c r="K33" i="3"/>
  <c r="M33" i="3" s="1"/>
  <c r="N33" i="3" s="1"/>
  <c r="X33" i="3"/>
  <c r="Z33" i="3" s="1"/>
  <c r="AG33" i="3"/>
  <c r="AI33" i="3" s="1"/>
  <c r="I79" i="5" a="1"/>
  <c r="I79" i="5" s="1"/>
  <c r="AE31" i="3" l="1"/>
  <c r="AE32" i="3"/>
  <c r="AN32" i="3"/>
  <c r="AN31" i="3"/>
  <c r="P33" i="3"/>
  <c r="R33" i="3" s="1"/>
  <c r="U33" i="3" s="1"/>
  <c r="V33" i="3" s="1"/>
  <c r="AA33" i="3"/>
  <c r="AC33" i="3" s="1"/>
  <c r="AD33" i="3" s="1"/>
  <c r="AJ33" i="3"/>
  <c r="AL33" i="3" s="1"/>
  <c r="AM33" i="3" s="1"/>
  <c r="I80" i="5" a="1"/>
  <c r="I80" i="5" s="1"/>
  <c r="AN33" i="3" l="1"/>
  <c r="AE33" i="3"/>
  <c r="I81" i="5" a="1"/>
  <c r="I81" i="5" s="1"/>
  <c r="I82" i="5" l="1" a="1"/>
  <c r="I82" i="5" s="1"/>
  <c r="I83" i="5" l="1" a="1"/>
  <c r="I83" i="5" s="1"/>
  <c r="I84" i="5" l="1" a="1"/>
  <c r="I84" i="5" s="1"/>
  <c r="I85" i="5" l="1" a="1"/>
  <c r="I85" i="5" s="1"/>
  <c r="AG8" i="9" l="1"/>
  <c r="AH8" i="9" s="1"/>
  <c r="AI8" i="9" s="1"/>
  <c r="AI3" i="9" l="1"/>
  <c r="B9" i="12" s="1"/>
  <c r="AI4" i="9"/>
  <c r="C9" i="12" s="1"/>
  <c r="F158" i="5"/>
  <c r="L34" i="5" l="1" a="1"/>
  <c r="L34" i="5" s="1"/>
  <c r="L35" i="5" l="1" a="1"/>
  <c r="L35" i="5" s="1"/>
  <c r="A34" i="3"/>
  <c r="I34" i="3" l="1" a="1"/>
  <c r="I34" i="3" s="1"/>
  <c r="B34" i="3" a="1"/>
  <c r="B34" i="3" s="1"/>
  <c r="L34" i="3" s="1"/>
  <c r="C34" i="3" a="1"/>
  <c r="C34" i="3" s="1"/>
  <c r="G34" i="3" a="1"/>
  <c r="G34" i="3" s="1"/>
  <c r="D34" i="3" a="1"/>
  <c r="D34" i="3" s="1"/>
  <c r="F34" i="3" a="1"/>
  <c r="F34" i="3" s="1"/>
  <c r="H34" i="3" a="1"/>
  <c r="H34" i="3" s="1"/>
  <c r="E34" i="3" a="1"/>
  <c r="E34" i="3" s="1"/>
  <c r="L36" i="5" a="1"/>
  <c r="L36" i="5" s="1"/>
  <c r="A35" i="3"/>
  <c r="Y34" i="3" l="1"/>
  <c r="AH34" i="3"/>
  <c r="S34" i="3"/>
  <c r="T34" i="3" s="1"/>
  <c r="AG34" i="3"/>
  <c r="AI34" i="3" s="1"/>
  <c r="K34" i="3"/>
  <c r="M34" i="3" s="1"/>
  <c r="N34" i="3" s="1"/>
  <c r="X34" i="3"/>
  <c r="Z34" i="3" s="1"/>
  <c r="O34" i="3"/>
  <c r="AK34" i="3"/>
  <c r="AB34" i="3"/>
  <c r="F35" i="3" a="1"/>
  <c r="F35" i="3" s="1"/>
  <c r="E35" i="3" a="1"/>
  <c r="E35" i="3" s="1"/>
  <c r="C35" i="3" a="1"/>
  <c r="C35" i="3" s="1"/>
  <c r="H35" i="3" a="1"/>
  <c r="H35" i="3" s="1"/>
  <c r="G35" i="3" a="1"/>
  <c r="G35" i="3" s="1"/>
  <c r="I35" i="3" a="1"/>
  <c r="I35" i="3" s="1"/>
  <c r="D35" i="3" a="1"/>
  <c r="D35" i="3" s="1"/>
  <c r="B35" i="3" a="1"/>
  <c r="B35" i="3" s="1"/>
  <c r="AH35" i="3" s="1"/>
  <c r="L37" i="5" a="1"/>
  <c r="L37" i="5" s="1"/>
  <c r="A36" i="3"/>
  <c r="AA34" i="3" l="1"/>
  <c r="AC34" i="3" s="1"/>
  <c r="AD34" i="3" s="1"/>
  <c r="AJ34" i="3"/>
  <c r="L35" i="3"/>
  <c r="Y35" i="3"/>
  <c r="AL34" i="3"/>
  <c r="AM34" i="3" s="1"/>
  <c r="G36" i="3" a="1"/>
  <c r="G36" i="3" s="1"/>
  <c r="B36" i="3" a="1"/>
  <c r="B36" i="3" s="1"/>
  <c r="L36" i="3" s="1"/>
  <c r="D36" i="3" a="1"/>
  <c r="D36" i="3" s="1"/>
  <c r="C36" i="3" a="1"/>
  <c r="C36" i="3" s="1"/>
  <c r="H36" i="3" a="1"/>
  <c r="H36" i="3" s="1"/>
  <c r="E36" i="3" a="1"/>
  <c r="E36" i="3" s="1"/>
  <c r="I36" i="3" a="1"/>
  <c r="I36" i="3" s="1"/>
  <c r="F36" i="3" a="1"/>
  <c r="F36" i="3" s="1"/>
  <c r="L38" i="5" a="1"/>
  <c r="L38" i="5" s="1"/>
  <c r="A37" i="3"/>
  <c r="S35" i="3"/>
  <c r="T35" i="3" s="1"/>
  <c r="K35" i="3"/>
  <c r="M35" i="3" s="1"/>
  <c r="AG35" i="3"/>
  <c r="AI35" i="3" s="1"/>
  <c r="AJ35" i="3" s="1"/>
  <c r="X35" i="3"/>
  <c r="Z35" i="3" s="1"/>
  <c r="P34" i="3"/>
  <c r="R34" i="3" s="1"/>
  <c r="U34" i="3" s="1"/>
  <c r="V34" i="3" s="1"/>
  <c r="O35" i="3"/>
  <c r="AB35" i="3"/>
  <c r="AK35" i="3"/>
  <c r="N35" i="3" l="1"/>
  <c r="AA35" i="3"/>
  <c r="AC35" i="3" s="1"/>
  <c r="AD35" i="3" s="1"/>
  <c r="P35" i="3"/>
  <c r="R35" i="3" s="1"/>
  <c r="U35" i="3" s="1"/>
  <c r="V35" i="3" s="1"/>
  <c r="Y36" i="3"/>
  <c r="AA36" i="3" s="1"/>
  <c r="AH36" i="3"/>
  <c r="AL35" i="3"/>
  <c r="AM35" i="3" s="1"/>
  <c r="AB36" i="3"/>
  <c r="AK36" i="3"/>
  <c r="O36" i="3"/>
  <c r="S36" i="3"/>
  <c r="T36" i="3" s="1"/>
  <c r="K36" i="3"/>
  <c r="M36" i="3" s="1"/>
  <c r="N36" i="3" s="1"/>
  <c r="AG36" i="3"/>
  <c r="AI36" i="3" s="1"/>
  <c r="X36" i="3"/>
  <c r="Z36" i="3" s="1"/>
  <c r="D37" i="3" a="1"/>
  <c r="D37" i="3" s="1"/>
  <c r="G37" i="3" a="1"/>
  <c r="G37" i="3" s="1"/>
  <c r="C37" i="3" a="1"/>
  <c r="C37" i="3" s="1"/>
  <c r="H37" i="3" a="1"/>
  <c r="H37" i="3" s="1"/>
  <c r="F37" i="3" a="1"/>
  <c r="F37" i="3" s="1"/>
  <c r="B37" i="3" a="1"/>
  <c r="B37" i="3" s="1"/>
  <c r="AH37" i="3" s="1"/>
  <c r="E37" i="3" a="1"/>
  <c r="E37" i="3" s="1"/>
  <c r="I37" i="3" a="1"/>
  <c r="I37" i="3" s="1"/>
  <c r="L39" i="5" a="1"/>
  <c r="L39" i="5" s="1"/>
  <c r="A38" i="3"/>
  <c r="AN34" i="3"/>
  <c r="AE34" i="3"/>
  <c r="AJ36" i="3" l="1"/>
  <c r="AE35" i="3"/>
  <c r="AN35" i="3"/>
  <c r="AC36" i="3"/>
  <c r="AD36" i="3" s="1"/>
  <c r="Y37" i="3"/>
  <c r="L37" i="3"/>
  <c r="L40" i="5" a="1"/>
  <c r="L40" i="5" s="1"/>
  <c r="A39" i="3"/>
  <c r="S37" i="3"/>
  <c r="T37" i="3" s="1"/>
  <c r="AG37" i="3"/>
  <c r="AI37" i="3" s="1"/>
  <c r="AJ37" i="3" s="1"/>
  <c r="X37" i="3"/>
  <c r="Z37" i="3" s="1"/>
  <c r="AA37" i="3" s="1"/>
  <c r="K37" i="3"/>
  <c r="M37" i="3" s="1"/>
  <c r="P36" i="3"/>
  <c r="R36" i="3" s="1"/>
  <c r="U36" i="3" s="1"/>
  <c r="V36" i="3" s="1"/>
  <c r="G38" i="3" a="1"/>
  <c r="G38" i="3" s="1"/>
  <c r="I38" i="3" a="1"/>
  <c r="I38" i="3" s="1"/>
  <c r="B38" i="3" a="1"/>
  <c r="B38" i="3" s="1"/>
  <c r="Y38" i="3" s="1"/>
  <c r="E38" i="3" a="1"/>
  <c r="E38" i="3" s="1"/>
  <c r="C38" i="3" a="1"/>
  <c r="C38" i="3" s="1"/>
  <c r="F38" i="3" a="1"/>
  <c r="F38" i="3" s="1"/>
  <c r="H38" i="3" a="1"/>
  <c r="H38" i="3" s="1"/>
  <c r="D38" i="3" a="1"/>
  <c r="D38" i="3" s="1"/>
  <c r="AH38" i="3"/>
  <c r="O37" i="3"/>
  <c r="AK37" i="3"/>
  <c r="AB37" i="3"/>
  <c r="AL36" i="3"/>
  <c r="AM36" i="3" s="1"/>
  <c r="AN36" i="3" s="1"/>
  <c r="L38" i="3" l="1"/>
  <c r="N37" i="3"/>
  <c r="P37" i="3"/>
  <c r="R37" i="3" s="1"/>
  <c r="U37" i="3" s="1"/>
  <c r="V37" i="3" s="1"/>
  <c r="AC37" i="3"/>
  <c r="AD37" i="3" s="1"/>
  <c r="AE36" i="3"/>
  <c r="AL37" i="3"/>
  <c r="AM37" i="3" s="1"/>
  <c r="S38" i="3"/>
  <c r="T38" i="3" s="1"/>
  <c r="K38" i="3"/>
  <c r="M38" i="3" s="1"/>
  <c r="X38" i="3"/>
  <c r="Z38" i="3" s="1"/>
  <c r="AA38" i="3" s="1"/>
  <c r="AG38" i="3"/>
  <c r="AI38" i="3" s="1"/>
  <c r="AJ38" i="3" s="1"/>
  <c r="G39" i="3" a="1"/>
  <c r="G39" i="3" s="1"/>
  <c r="I39" i="3" a="1"/>
  <c r="I39" i="3" s="1"/>
  <c r="B39" i="3" a="1"/>
  <c r="B39" i="3" s="1"/>
  <c r="L39" i="3" s="1"/>
  <c r="F39" i="3" a="1"/>
  <c r="F39" i="3" s="1"/>
  <c r="D39" i="3" a="1"/>
  <c r="D39" i="3" s="1"/>
  <c r="C39" i="3" a="1"/>
  <c r="C39" i="3" s="1"/>
  <c r="H39" i="3" a="1"/>
  <c r="H39" i="3" s="1"/>
  <c r="E39" i="3" a="1"/>
  <c r="E39" i="3" s="1"/>
  <c r="L41" i="5" a="1"/>
  <c r="L41" i="5" s="1"/>
  <c r="A40" i="3"/>
  <c r="O38" i="3"/>
  <c r="AK38" i="3"/>
  <c r="AB38" i="3"/>
  <c r="N38" i="3" l="1"/>
  <c r="P38" i="3" s="1"/>
  <c r="R38" i="3" s="1"/>
  <c r="U38" i="3" s="1"/>
  <c r="V38" i="3" s="1"/>
  <c r="AN37" i="3"/>
  <c r="AE37" i="3"/>
  <c r="AL38" i="3"/>
  <c r="AM38" i="3" s="1"/>
  <c r="AH39" i="3"/>
  <c r="Y39" i="3"/>
  <c r="L42" i="5" a="1"/>
  <c r="L42" i="5" s="1"/>
  <c r="A41" i="3"/>
  <c r="G40" i="3" a="1"/>
  <c r="G40" i="3" s="1"/>
  <c r="I40" i="3" a="1"/>
  <c r="I40" i="3" s="1"/>
  <c r="D40" i="3" a="1"/>
  <c r="D40" i="3" s="1"/>
  <c r="H40" i="3" a="1"/>
  <c r="H40" i="3" s="1"/>
  <c r="C40" i="3" a="1"/>
  <c r="C40" i="3" s="1"/>
  <c r="E40" i="3" a="1"/>
  <c r="E40" i="3" s="1"/>
  <c r="B40" i="3" a="1"/>
  <c r="B40" i="3" s="1"/>
  <c r="AH40" i="3" s="1"/>
  <c r="F40" i="3" a="1"/>
  <c r="F40" i="3" s="1"/>
  <c r="AC38" i="3"/>
  <c r="AD38" i="3" s="1"/>
  <c r="AB39" i="3"/>
  <c r="O39" i="3"/>
  <c r="AK39" i="3"/>
  <c r="S39" i="3"/>
  <c r="T39" i="3" s="1"/>
  <c r="X39" i="3"/>
  <c r="Z39" i="3" s="1"/>
  <c r="AG39" i="3"/>
  <c r="AI39" i="3" s="1"/>
  <c r="K39" i="3"/>
  <c r="M39" i="3" s="1"/>
  <c r="N39" i="3" s="1"/>
  <c r="AA39" i="3" l="1"/>
  <c r="Y40" i="3"/>
  <c r="L40" i="3"/>
  <c r="AC39" i="3"/>
  <c r="AD39" i="3" s="1"/>
  <c r="AE38" i="3"/>
  <c r="AJ39" i="3"/>
  <c r="AN38" i="3"/>
  <c r="P39" i="3"/>
  <c r="R39" i="3" s="1"/>
  <c r="U39" i="3" s="1"/>
  <c r="V39" i="3" s="1"/>
  <c r="AL39" i="3"/>
  <c r="AM39" i="3" s="1"/>
  <c r="AB40" i="3"/>
  <c r="AK40" i="3"/>
  <c r="O40" i="3"/>
  <c r="S40" i="3"/>
  <c r="T40" i="3" s="1"/>
  <c r="K40" i="3"/>
  <c r="M40" i="3" s="1"/>
  <c r="AG40" i="3"/>
  <c r="AI40" i="3" s="1"/>
  <c r="AJ40" i="3" s="1"/>
  <c r="X40" i="3"/>
  <c r="Z40" i="3" s="1"/>
  <c r="F41" i="3" a="1"/>
  <c r="F41" i="3" s="1"/>
  <c r="G41" i="3" a="1"/>
  <c r="G41" i="3" s="1"/>
  <c r="I41" i="3" a="1"/>
  <c r="I41" i="3" s="1"/>
  <c r="E41" i="3" a="1"/>
  <c r="E41" i="3" s="1"/>
  <c r="B41" i="3" a="1"/>
  <c r="B41" i="3" s="1"/>
  <c r="Y41" i="3" s="1"/>
  <c r="D41" i="3" a="1"/>
  <c r="D41" i="3" s="1"/>
  <c r="H41" i="3" a="1"/>
  <c r="H41" i="3" s="1"/>
  <c r="C41" i="3" a="1"/>
  <c r="C41" i="3" s="1"/>
  <c r="L43" i="5" a="1"/>
  <c r="L43" i="5" s="1"/>
  <c r="A42" i="3"/>
  <c r="AA40" i="3" l="1"/>
  <c r="N40" i="3"/>
  <c r="P40" i="3" s="1"/>
  <c r="R40" i="3" s="1"/>
  <c r="U40" i="3" s="1"/>
  <c r="V40" i="3" s="1"/>
  <c r="AN39" i="3"/>
  <c r="L41" i="3"/>
  <c r="AH41" i="3"/>
  <c r="AE39" i="3"/>
  <c r="AL40" i="3"/>
  <c r="AM40" i="3" s="1"/>
  <c r="AK41" i="3"/>
  <c r="O41" i="3"/>
  <c r="AB41" i="3"/>
  <c r="A43" i="3"/>
  <c r="L44" i="5" a="1"/>
  <c r="L44" i="5" s="1"/>
  <c r="S41" i="3"/>
  <c r="T41" i="3" s="1"/>
  <c r="X41" i="3"/>
  <c r="Z41" i="3" s="1"/>
  <c r="AA41" i="3" s="1"/>
  <c r="AG41" i="3"/>
  <c r="AI41" i="3" s="1"/>
  <c r="K41" i="3"/>
  <c r="M41" i="3" s="1"/>
  <c r="B42" i="3" a="1"/>
  <c r="B42" i="3" s="1"/>
  <c r="Y42" i="3" s="1"/>
  <c r="H42" i="3" a="1"/>
  <c r="H42" i="3" s="1"/>
  <c r="G42" i="3" a="1"/>
  <c r="G42" i="3" s="1"/>
  <c r="E42" i="3" a="1"/>
  <c r="E42" i="3" s="1"/>
  <c r="D42" i="3" a="1"/>
  <c r="D42" i="3" s="1"/>
  <c r="I42" i="3" a="1"/>
  <c r="I42" i="3" s="1"/>
  <c r="C42" i="3" a="1"/>
  <c r="C42" i="3" s="1"/>
  <c r="F42" i="3" a="1"/>
  <c r="F42" i="3" s="1"/>
  <c r="AC40" i="3"/>
  <c r="AD40" i="3" s="1"/>
  <c r="N41" i="3" l="1"/>
  <c r="AH42" i="3"/>
  <c r="L42" i="3"/>
  <c r="AN40" i="3"/>
  <c r="P41" i="3"/>
  <c r="R41" i="3" s="1"/>
  <c r="U41" i="3" s="1"/>
  <c r="V41" i="3" s="1"/>
  <c r="AE40" i="3"/>
  <c r="AJ41" i="3"/>
  <c r="AL41" i="3" s="1"/>
  <c r="AM41" i="3" s="1"/>
  <c r="AB42" i="3"/>
  <c r="AK42" i="3"/>
  <c r="O42" i="3"/>
  <c r="A44" i="3"/>
  <c r="L45" i="5" a="1"/>
  <c r="L45" i="5" s="1"/>
  <c r="S42" i="3"/>
  <c r="T42" i="3" s="1"/>
  <c r="X42" i="3"/>
  <c r="Z42" i="3" s="1"/>
  <c r="AA42" i="3" s="1"/>
  <c r="AG42" i="3"/>
  <c r="AI42" i="3" s="1"/>
  <c r="AJ42" i="3" s="1"/>
  <c r="K42" i="3"/>
  <c r="M42" i="3" s="1"/>
  <c r="G43" i="3" a="1"/>
  <c r="G43" i="3" s="1"/>
  <c r="E43" i="3" a="1"/>
  <c r="E43" i="3" s="1"/>
  <c r="D43" i="3" a="1"/>
  <c r="D43" i="3" s="1"/>
  <c r="C43" i="3" a="1"/>
  <c r="C43" i="3" s="1"/>
  <c r="F43" i="3" a="1"/>
  <c r="F43" i="3" s="1"/>
  <c r="B43" i="3" a="1"/>
  <c r="B43" i="3" s="1"/>
  <c r="Y43" i="3" s="1"/>
  <c r="I43" i="3" a="1"/>
  <c r="I43" i="3" s="1"/>
  <c r="H43" i="3" a="1"/>
  <c r="H43" i="3" s="1"/>
  <c r="AC41" i="3"/>
  <c r="AD41" i="3" s="1"/>
  <c r="AE41" i="3" l="1"/>
  <c r="N42" i="3"/>
  <c r="P42" i="3" s="1"/>
  <c r="R42" i="3" s="1"/>
  <c r="U42" i="3" s="1"/>
  <c r="V42" i="3" s="1"/>
  <c r="AN41" i="3"/>
  <c r="AL42" i="3"/>
  <c r="AM42" i="3" s="1"/>
  <c r="AH43" i="3"/>
  <c r="L43" i="3"/>
  <c r="S43" i="3"/>
  <c r="T43" i="3" s="1"/>
  <c r="K43" i="3"/>
  <c r="M43" i="3" s="1"/>
  <c r="N43" i="3" s="1"/>
  <c r="AG43" i="3"/>
  <c r="AI43" i="3" s="1"/>
  <c r="AJ43" i="3" s="1"/>
  <c r="X43" i="3"/>
  <c r="Z43" i="3" s="1"/>
  <c r="AA43" i="3" s="1"/>
  <c r="AC42" i="3"/>
  <c r="AD42" i="3" s="1"/>
  <c r="A45" i="3"/>
  <c r="L46" i="5" a="1"/>
  <c r="L46" i="5" s="1"/>
  <c r="AK43" i="3"/>
  <c r="O43" i="3"/>
  <c r="AB43" i="3"/>
  <c r="G44" i="3" a="1"/>
  <c r="G44" i="3" s="1"/>
  <c r="C44" i="3" a="1"/>
  <c r="C44" i="3" s="1"/>
  <c r="F44" i="3" a="1"/>
  <c r="F44" i="3" s="1"/>
  <c r="D44" i="3" a="1"/>
  <c r="D44" i="3" s="1"/>
  <c r="I44" i="3" a="1"/>
  <c r="I44" i="3" s="1"/>
  <c r="B44" i="3" a="1"/>
  <c r="B44" i="3" s="1"/>
  <c r="L44" i="3" s="1"/>
  <c r="H44" i="3" a="1"/>
  <c r="H44" i="3" s="1"/>
  <c r="E44" i="3" a="1"/>
  <c r="E44" i="3" s="1"/>
  <c r="AL43" i="3" l="1"/>
  <c r="AM43" i="3" s="1"/>
  <c r="AE42" i="3"/>
  <c r="AH44" i="3"/>
  <c r="Y44" i="3"/>
  <c r="AN42" i="3"/>
  <c r="AC43" i="3"/>
  <c r="AD43" i="3" s="1"/>
  <c r="P43" i="3"/>
  <c r="R43" i="3" s="1"/>
  <c r="U43" i="3" s="1"/>
  <c r="V43" i="3" s="1"/>
  <c r="A46" i="3"/>
  <c r="L47" i="5" a="1"/>
  <c r="L47" i="5" s="1"/>
  <c r="G45" i="3" a="1"/>
  <c r="G45" i="3" s="1"/>
  <c r="I45" i="3" a="1"/>
  <c r="I45" i="3" s="1"/>
  <c r="H45" i="3" a="1"/>
  <c r="H45" i="3" s="1"/>
  <c r="B45" i="3" a="1"/>
  <c r="B45" i="3" s="1"/>
  <c r="L45" i="3" s="1"/>
  <c r="D45" i="3" a="1"/>
  <c r="D45" i="3" s="1"/>
  <c r="C45" i="3" a="1"/>
  <c r="C45" i="3" s="1"/>
  <c r="E45" i="3" a="1"/>
  <c r="E45" i="3" s="1"/>
  <c r="F45" i="3" a="1"/>
  <c r="F45" i="3" s="1"/>
  <c r="S44" i="3"/>
  <c r="T44" i="3" s="1"/>
  <c r="AG44" i="3"/>
  <c r="AI44" i="3" s="1"/>
  <c r="K44" i="3"/>
  <c r="M44" i="3" s="1"/>
  <c r="N44" i="3" s="1"/>
  <c r="X44" i="3"/>
  <c r="Z44" i="3" s="1"/>
  <c r="AA44" i="3" s="1"/>
  <c r="AK44" i="3"/>
  <c r="AB44" i="3"/>
  <c r="O44" i="3"/>
  <c r="AJ44" i="3" l="1"/>
  <c r="AL44" i="3" s="1"/>
  <c r="AM44" i="3" s="1"/>
  <c r="AC44" i="3"/>
  <c r="AD44" i="3" s="1"/>
  <c r="P44" i="3"/>
  <c r="R44" i="3" s="1"/>
  <c r="U44" i="3" s="1"/>
  <c r="V44" i="3" s="1"/>
  <c r="AE43" i="3"/>
  <c r="AH45" i="3"/>
  <c r="Y45" i="3"/>
  <c r="AN43" i="3"/>
  <c r="G46" i="3" a="1"/>
  <c r="G46" i="3" s="1"/>
  <c r="I46" i="3" a="1"/>
  <c r="I46" i="3" s="1"/>
  <c r="C46" i="3" a="1"/>
  <c r="C46" i="3" s="1"/>
  <c r="H46" i="3" a="1"/>
  <c r="H46" i="3" s="1"/>
  <c r="B46" i="3" a="1"/>
  <c r="B46" i="3" s="1"/>
  <c r="L46" i="3" s="1"/>
  <c r="D46" i="3" a="1"/>
  <c r="D46" i="3" s="1"/>
  <c r="F46" i="3" a="1"/>
  <c r="F46" i="3" s="1"/>
  <c r="E46" i="3" a="1"/>
  <c r="E46" i="3" s="1"/>
  <c r="A47" i="3"/>
  <c r="L48" i="5" a="1"/>
  <c r="L48" i="5" s="1"/>
  <c r="O45" i="3"/>
  <c r="AB45" i="3"/>
  <c r="AK45" i="3"/>
  <c r="S45" i="3"/>
  <c r="T45" i="3" s="1"/>
  <c r="K45" i="3"/>
  <c r="M45" i="3" s="1"/>
  <c r="N45" i="3" s="1"/>
  <c r="X45" i="3"/>
  <c r="Z45" i="3" s="1"/>
  <c r="AG45" i="3"/>
  <c r="AI45" i="3" s="1"/>
  <c r="AJ45" i="3" l="1"/>
  <c r="AL45" i="3" s="1"/>
  <c r="AM45" i="3" s="1"/>
  <c r="AE44" i="3"/>
  <c r="Y46" i="3"/>
  <c r="AH46" i="3"/>
  <c r="AA45" i="3"/>
  <c r="AC45" i="3" s="1"/>
  <c r="AD45" i="3" s="1"/>
  <c r="AN44" i="3"/>
  <c r="D47" i="3" a="1"/>
  <c r="D47" i="3" s="1"/>
  <c r="C47" i="3" a="1"/>
  <c r="C47" i="3" s="1"/>
  <c r="F47" i="3" a="1"/>
  <c r="F47" i="3" s="1"/>
  <c r="E47" i="3" a="1"/>
  <c r="E47" i="3" s="1"/>
  <c r="G47" i="3" a="1"/>
  <c r="G47" i="3" s="1"/>
  <c r="I47" i="3" a="1"/>
  <c r="I47" i="3" s="1"/>
  <c r="H47" i="3" a="1"/>
  <c r="H47" i="3" s="1"/>
  <c r="B47" i="3" a="1"/>
  <c r="B47" i="3" s="1"/>
  <c r="L47" i="3" s="1"/>
  <c r="Y47" i="3"/>
  <c r="AH47" i="3"/>
  <c r="P45" i="3"/>
  <c r="R45" i="3" s="1"/>
  <c r="U45" i="3" s="1"/>
  <c r="V45" i="3" s="1"/>
  <c r="AB46" i="3"/>
  <c r="O46" i="3"/>
  <c r="AK46" i="3"/>
  <c r="S46" i="3"/>
  <c r="T46" i="3" s="1"/>
  <c r="AG46" i="3"/>
  <c r="AI46" i="3" s="1"/>
  <c r="K46" i="3"/>
  <c r="M46" i="3" s="1"/>
  <c r="N46" i="3" s="1"/>
  <c r="X46" i="3"/>
  <c r="Z46" i="3" s="1"/>
  <c r="A48" i="3"/>
  <c r="L49" i="5" a="1"/>
  <c r="L49" i="5" s="1"/>
  <c r="AJ46" i="3" l="1"/>
  <c r="AL46" i="3" s="1"/>
  <c r="AM46" i="3" s="1"/>
  <c r="AA46" i="3"/>
  <c r="AE45" i="3"/>
  <c r="AN45" i="3"/>
  <c r="AC46" i="3"/>
  <c r="AD46" i="3" s="1"/>
  <c r="P46" i="3"/>
  <c r="R46" i="3" s="1"/>
  <c r="U46" i="3" s="1"/>
  <c r="V46" i="3" s="1"/>
  <c r="AK47" i="3"/>
  <c r="O47" i="3"/>
  <c r="AB47" i="3"/>
  <c r="S47" i="3"/>
  <c r="T47" i="3" s="1"/>
  <c r="K47" i="3"/>
  <c r="M47" i="3" s="1"/>
  <c r="N47" i="3" s="1"/>
  <c r="X47" i="3"/>
  <c r="Z47" i="3" s="1"/>
  <c r="AA47" i="3" s="1"/>
  <c r="AG47" i="3"/>
  <c r="AI47" i="3" s="1"/>
  <c r="AJ47" i="3" s="1"/>
  <c r="A49" i="3"/>
  <c r="L50" i="5" a="1"/>
  <c r="L50" i="5" s="1"/>
  <c r="I48" i="3" a="1"/>
  <c r="I48" i="3" s="1"/>
  <c r="B48" i="3" a="1"/>
  <c r="B48" i="3" s="1"/>
  <c r="AH48" i="3" s="1"/>
  <c r="F48" i="3" a="1"/>
  <c r="F48" i="3" s="1"/>
  <c r="D48" i="3" a="1"/>
  <c r="D48" i="3" s="1"/>
  <c r="E48" i="3" a="1"/>
  <c r="E48" i="3" s="1"/>
  <c r="G48" i="3" a="1"/>
  <c r="G48" i="3" s="1"/>
  <c r="H48" i="3" a="1"/>
  <c r="H48" i="3" s="1"/>
  <c r="C48" i="3" a="1"/>
  <c r="C48" i="3" s="1"/>
  <c r="Y48" i="3"/>
  <c r="L48" i="3"/>
  <c r="AE48" i="3"/>
  <c r="AN48" i="3"/>
  <c r="P47" i="3" l="1"/>
  <c r="R47" i="3" s="1"/>
  <c r="U47" i="3" s="1"/>
  <c r="V47" i="3" s="1"/>
  <c r="AE46" i="3"/>
  <c r="AN46" i="3"/>
  <c r="A50" i="3"/>
  <c r="L51" i="5" a="1"/>
  <c r="L51" i="5" s="1"/>
  <c r="I49" i="3" a="1"/>
  <c r="I49" i="3" s="1"/>
  <c r="D49" i="3" a="1"/>
  <c r="D49" i="3" s="1"/>
  <c r="H49" i="3" a="1"/>
  <c r="H49" i="3" s="1"/>
  <c r="E49" i="3" a="1"/>
  <c r="E49" i="3" s="1"/>
  <c r="G49" i="3" a="1"/>
  <c r="G49" i="3" s="1"/>
  <c r="F49" i="3" a="1"/>
  <c r="F49" i="3" s="1"/>
  <c r="C49" i="3" a="1"/>
  <c r="C49" i="3" s="1"/>
  <c r="B49" i="3" a="1"/>
  <c r="B49" i="3" s="1"/>
  <c r="Y49" i="3" s="1"/>
  <c r="L49" i="3"/>
  <c r="AH49" i="3"/>
  <c r="AE49" i="3"/>
  <c r="AN49" i="3"/>
  <c r="AB48" i="3"/>
  <c r="AK48" i="3"/>
  <c r="O48" i="3"/>
  <c r="S48" i="3"/>
  <c r="T48" i="3" s="1"/>
  <c r="K48" i="3"/>
  <c r="M48" i="3" s="1"/>
  <c r="N48" i="3" s="1"/>
  <c r="AG48" i="3"/>
  <c r="AI48" i="3" s="1"/>
  <c r="AJ48" i="3" s="1"/>
  <c r="X48" i="3"/>
  <c r="Z48" i="3" s="1"/>
  <c r="AA48" i="3" s="1"/>
  <c r="AC47" i="3"/>
  <c r="AD47" i="3" s="1"/>
  <c r="AE47" i="3" s="1"/>
  <c r="AL47" i="3"/>
  <c r="AM47" i="3" s="1"/>
  <c r="AN47" i="3" s="1"/>
  <c r="AC48" i="3" l="1"/>
  <c r="AD48" i="3" s="1"/>
  <c r="P48" i="3"/>
  <c r="R48" i="3" s="1"/>
  <c r="U48" i="3" s="1"/>
  <c r="V48" i="3" s="1"/>
  <c r="AL48" i="3"/>
  <c r="AM48" i="3" s="1"/>
  <c r="AK49" i="3"/>
  <c r="AB49" i="3"/>
  <c r="O49" i="3"/>
  <c r="S49" i="3"/>
  <c r="T49" i="3" s="1"/>
  <c r="K49" i="3"/>
  <c r="M49" i="3" s="1"/>
  <c r="N49" i="3" s="1"/>
  <c r="AG49" i="3"/>
  <c r="AI49" i="3" s="1"/>
  <c r="AJ49" i="3" s="1"/>
  <c r="X49" i="3"/>
  <c r="Z49" i="3" s="1"/>
  <c r="AA49" i="3" s="1"/>
  <c r="A51" i="3"/>
  <c r="L52" i="5" a="1"/>
  <c r="L52" i="5" s="1"/>
  <c r="D50" i="3" a="1"/>
  <c r="D50" i="3" s="1"/>
  <c r="H50" i="3" a="1"/>
  <c r="H50" i="3" s="1"/>
  <c r="I50" i="3" a="1"/>
  <c r="I50" i="3" s="1"/>
  <c r="C50" i="3" a="1"/>
  <c r="C50" i="3" s="1"/>
  <c r="F50" i="3" a="1"/>
  <c r="F50" i="3" s="1"/>
  <c r="B50" i="3" a="1"/>
  <c r="B50" i="3" s="1"/>
  <c r="AH50" i="3" s="1"/>
  <c r="G50" i="3" a="1"/>
  <c r="G50" i="3" s="1"/>
  <c r="E50" i="3" a="1"/>
  <c r="E50" i="3" s="1"/>
  <c r="Y50" i="3"/>
  <c r="L50" i="3"/>
  <c r="AE50" i="3"/>
  <c r="AN50" i="3"/>
  <c r="D51" i="3" l="1" a="1"/>
  <c r="D51" i="3" s="1"/>
  <c r="H51" i="3" a="1"/>
  <c r="H51" i="3" s="1"/>
  <c r="AE51" i="3"/>
  <c r="AN51" i="3"/>
  <c r="S51" i="3"/>
  <c r="F51" i="3" a="1"/>
  <c r="F51" i="3" s="1"/>
  <c r="C51" i="3" a="1"/>
  <c r="C51" i="3" s="1"/>
  <c r="G51" i="3" a="1"/>
  <c r="G51" i="3" s="1"/>
  <c r="E51" i="3" a="1"/>
  <c r="E51" i="3" s="1"/>
  <c r="B51" i="3" a="1"/>
  <c r="B51" i="3" s="1"/>
  <c r="L51" i="3" s="1"/>
  <c r="I51" i="3" a="1"/>
  <c r="I51" i="3" s="1"/>
  <c r="Y51" i="3"/>
  <c r="AH51" i="3"/>
  <c r="AC49" i="3"/>
  <c r="AD49" i="3" s="1"/>
  <c r="AB50" i="3"/>
  <c r="O50" i="3"/>
  <c r="AK50" i="3"/>
  <c r="S50" i="3"/>
  <c r="T50" i="3" s="1"/>
  <c r="K50" i="3"/>
  <c r="M50" i="3" s="1"/>
  <c r="N50" i="3" s="1"/>
  <c r="X50" i="3"/>
  <c r="Z50" i="3" s="1"/>
  <c r="AA50" i="3" s="1"/>
  <c r="AG50" i="3"/>
  <c r="AI50" i="3" s="1"/>
  <c r="AJ50" i="3" s="1"/>
  <c r="AL49" i="3"/>
  <c r="AM49" i="3" s="1"/>
  <c r="P49" i="3"/>
  <c r="R49" i="3" s="1"/>
  <c r="U49" i="3" s="1"/>
  <c r="V49" i="3" s="1"/>
  <c r="A52" i="3"/>
  <c r="L53" i="5" a="1"/>
  <c r="L53" i="5" s="1"/>
  <c r="P50" i="3" l="1"/>
  <c r="R50" i="3" s="1"/>
  <c r="U50" i="3" s="1"/>
  <c r="V50" i="3" s="1"/>
  <c r="AL50" i="3"/>
  <c r="AM50" i="3" s="1"/>
  <c r="AB51" i="3"/>
  <c r="O51" i="3"/>
  <c r="AK51" i="3"/>
  <c r="AG51" i="3"/>
  <c r="AI51" i="3" s="1"/>
  <c r="AJ51" i="3" s="1"/>
  <c r="AL51" i="3" s="1"/>
  <c r="AM51" i="3" s="1"/>
  <c r="K51" i="3"/>
  <c r="M51" i="3" s="1"/>
  <c r="N51" i="3" s="1"/>
  <c r="P51" i="3" s="1"/>
  <c r="R51" i="3" s="1"/>
  <c r="X51" i="3"/>
  <c r="Z51" i="3" s="1"/>
  <c r="AA51" i="3" s="1"/>
  <c r="A53" i="3"/>
  <c r="L54" i="5" a="1"/>
  <c r="L54" i="5" s="1"/>
  <c r="C52" i="3" a="1"/>
  <c r="C52" i="3" s="1"/>
  <c r="AE52" i="3"/>
  <c r="D52" i="3" a="1"/>
  <c r="D52" i="3" s="1"/>
  <c r="H52" i="3" a="1"/>
  <c r="H52" i="3" s="1"/>
  <c r="B52" i="3" a="1"/>
  <c r="B52" i="3" s="1"/>
  <c r="Y52" i="3" s="1"/>
  <c r="I52" i="3" a="1"/>
  <c r="I52" i="3" s="1"/>
  <c r="AN52" i="3"/>
  <c r="S52" i="3"/>
  <c r="F52" i="3" a="1"/>
  <c r="F52" i="3" s="1"/>
  <c r="G52" i="3" a="1"/>
  <c r="G52" i="3" s="1"/>
  <c r="E52" i="3" a="1"/>
  <c r="E52" i="3" s="1"/>
  <c r="AH52" i="3"/>
  <c r="L52" i="3"/>
  <c r="AC50" i="3"/>
  <c r="AD50" i="3" s="1"/>
  <c r="T51" i="3"/>
  <c r="B53" i="3" l="1" a="1"/>
  <c r="B53" i="3" s="1"/>
  <c r="Y53" i="3" s="1"/>
  <c r="H53" i="3" a="1"/>
  <c r="H53" i="3" s="1"/>
  <c r="AE53" i="3"/>
  <c r="D53" i="3" a="1"/>
  <c r="D53" i="3" s="1"/>
  <c r="AN53" i="3"/>
  <c r="E53" i="3" a="1"/>
  <c r="E53" i="3" s="1"/>
  <c r="I53" i="3" a="1"/>
  <c r="I53" i="3" s="1"/>
  <c r="S53" i="3"/>
  <c r="G53" i="3" a="1"/>
  <c r="G53" i="3" s="1"/>
  <c r="C53" i="3" a="1"/>
  <c r="C53" i="3" s="1"/>
  <c r="F53" i="3" a="1"/>
  <c r="F53" i="3" s="1"/>
  <c r="AH53" i="3"/>
  <c r="L53" i="3"/>
  <c r="A54" i="3"/>
  <c r="L55" i="5" a="1"/>
  <c r="L55" i="5" s="1"/>
  <c r="AC51" i="3"/>
  <c r="AD51" i="3" s="1"/>
  <c r="U51" i="3"/>
  <c r="V51" i="3" s="1"/>
  <c r="T52" i="3"/>
  <c r="AG52" i="3"/>
  <c r="AI52" i="3" s="1"/>
  <c r="AJ52" i="3" s="1"/>
  <c r="K52" i="3"/>
  <c r="M52" i="3" s="1"/>
  <c r="N52" i="3" s="1"/>
  <c r="X52" i="3"/>
  <c r="Z52" i="3" s="1"/>
  <c r="AA52" i="3" s="1"/>
  <c r="O52" i="3"/>
  <c r="AK52" i="3"/>
  <c r="AB52" i="3"/>
  <c r="AK19" i="9" a="1"/>
  <c r="AK19" i="9" s="1"/>
  <c r="AQ30" i="7" a="1"/>
  <c r="AQ30" i="7" s="1"/>
  <c r="AQ27" i="7" a="1"/>
  <c r="AQ27" i="7" s="1"/>
  <c r="AQ33" i="7" a="1"/>
  <c r="AQ33" i="7" s="1"/>
  <c r="AQ49" i="7" a="1"/>
  <c r="AQ49" i="7" s="1"/>
  <c r="AQ45" i="7" a="1"/>
  <c r="AQ45" i="7" s="1"/>
  <c r="AQ42" i="7" a="1"/>
  <c r="AQ42" i="7" s="1"/>
  <c r="AQ17" i="7" a="1"/>
  <c r="AQ17" i="7" s="1"/>
  <c r="AQ43" i="7" a="1"/>
  <c r="AQ43" i="7" s="1"/>
  <c r="AQ29" i="7" a="1"/>
  <c r="AQ29" i="7" s="1"/>
  <c r="AQ28" i="7" a="1"/>
  <c r="AQ28" i="7" s="1"/>
  <c r="AQ24" i="7" a="1"/>
  <c r="AQ24" i="7" s="1"/>
  <c r="AQ25" i="7" a="1"/>
  <c r="AQ25" i="7" s="1"/>
  <c r="AQ40" i="7" a="1"/>
  <c r="AQ40" i="7" s="1"/>
  <c r="AQ35" i="7" a="1"/>
  <c r="AQ35" i="7" s="1"/>
  <c r="AQ44" i="7" a="1"/>
  <c r="AQ44" i="7" s="1"/>
  <c r="AK38" i="9" a="1"/>
  <c r="AK38" i="9" s="1"/>
  <c r="AK36" i="9" a="1"/>
  <c r="AK36" i="9" s="1"/>
  <c r="AQ18" i="7" a="1"/>
  <c r="AQ18" i="7" s="1"/>
  <c r="AQ16" i="7" a="1"/>
  <c r="AQ16" i="7" s="1"/>
  <c r="AQ19" i="7" a="1"/>
  <c r="AQ19" i="7" s="1"/>
  <c r="AQ48" i="7" a="1"/>
  <c r="AQ48" i="7" s="1"/>
  <c r="AQ46" i="7" a="1"/>
  <c r="AQ46" i="7" s="1"/>
  <c r="AK35" i="9" a="1"/>
  <c r="AK35" i="9" s="1"/>
  <c r="AQ41" i="7" a="1"/>
  <c r="AQ41" i="7" s="1"/>
  <c r="AQ36" i="7" a="1"/>
  <c r="AQ36" i="7" s="1"/>
  <c r="AK46" i="9" a="1"/>
  <c r="AK46" i="9" s="1"/>
  <c r="AK34" i="9" a="1"/>
  <c r="AK34" i="9" s="1"/>
  <c r="AQ47" i="7" a="1"/>
  <c r="AQ47" i="7" s="1"/>
  <c r="AQ37" i="7" a="1"/>
  <c r="AQ37" i="7" s="1"/>
  <c r="AQ32" i="7" a="1"/>
  <c r="AQ32" i="7" s="1"/>
  <c r="AQ39" i="7" a="1"/>
  <c r="AQ39" i="7" s="1"/>
  <c r="AQ38" i="7" a="1"/>
  <c r="AQ38" i="7" s="1"/>
  <c r="AK43" i="9" a="1"/>
  <c r="AK43" i="9" s="1"/>
  <c r="AQ31" i="7" a="1"/>
  <c r="AQ31" i="7" s="1"/>
  <c r="AQ34" i="7" a="1"/>
  <c r="AQ34" i="7" s="1"/>
  <c r="AK32" i="9" a="1"/>
  <c r="AK32" i="9" s="1"/>
  <c r="AK44" i="9" a="1"/>
  <c r="AK44" i="9" s="1"/>
  <c r="AK33" i="9" a="1"/>
  <c r="AK33" i="9" s="1"/>
  <c r="AQ26" i="7" a="1"/>
  <c r="AQ26" i="7" s="1"/>
  <c r="AK40" i="9" a="1"/>
  <c r="AK40" i="9" s="1"/>
  <c r="AK47" i="9" a="1"/>
  <c r="AK47" i="9" s="1"/>
  <c r="AK41" i="9" a="1"/>
  <c r="AK41" i="9" s="1"/>
  <c r="AK37" i="9" a="1"/>
  <c r="AK37" i="9" s="1"/>
  <c r="AK30" i="9" a="1"/>
  <c r="AK30" i="9" s="1"/>
  <c r="AK48" i="9" a="1"/>
  <c r="AK48" i="9" s="1"/>
  <c r="AK42" i="9" a="1"/>
  <c r="AK42" i="9" s="1"/>
  <c r="AK31" i="9" a="1"/>
  <c r="AK31" i="9" s="1"/>
  <c r="AK45" i="9" a="1"/>
  <c r="AK45" i="9" s="1"/>
  <c r="AK39" i="9" a="1"/>
  <c r="AK39" i="9" s="1"/>
  <c r="AQ50" i="7" a="1"/>
  <c r="AQ50" i="7" s="1"/>
  <c r="T53" i="3" l="1"/>
  <c r="AC52" i="3"/>
  <c r="AD52" i="3" s="1"/>
  <c r="O53" i="3"/>
  <c r="AB53" i="3"/>
  <c r="AK53" i="3"/>
  <c r="A55" i="3"/>
  <c r="L56" i="5" a="1"/>
  <c r="L56" i="5" s="1"/>
  <c r="P52" i="3"/>
  <c r="R52" i="3" s="1"/>
  <c r="U52" i="3" s="1"/>
  <c r="V52" i="3" s="1"/>
  <c r="AL52" i="3"/>
  <c r="AM52" i="3" s="1"/>
  <c r="K53" i="3"/>
  <c r="M53" i="3" s="1"/>
  <c r="N53" i="3" s="1"/>
  <c r="X53" i="3"/>
  <c r="Z53" i="3" s="1"/>
  <c r="AA53" i="3" s="1"/>
  <c r="AG53" i="3"/>
  <c r="AI53" i="3" s="1"/>
  <c r="AJ53" i="3" s="1"/>
  <c r="D54" i="3" a="1"/>
  <c r="D54" i="3" s="1"/>
  <c r="S54" i="3"/>
  <c r="H54" i="3" a="1"/>
  <c r="H54" i="3" s="1"/>
  <c r="G54" i="3" a="1"/>
  <c r="G54" i="3" s="1"/>
  <c r="E54" i="3" a="1"/>
  <c r="E54" i="3" s="1"/>
  <c r="C54" i="3" a="1"/>
  <c r="C54" i="3" s="1"/>
  <c r="B54" i="3" a="1"/>
  <c r="B54" i="3" s="1"/>
  <c r="AH54" i="3" s="1"/>
  <c r="I54" i="3" a="1"/>
  <c r="I54" i="3" s="1"/>
  <c r="F54" i="3" a="1"/>
  <c r="F54" i="3" s="1"/>
  <c r="AN54" i="3"/>
  <c r="Y54" i="3"/>
  <c r="AE54" i="3"/>
  <c r="L54" i="3"/>
  <c r="AG54" i="3" l="1"/>
  <c r="AI54" i="3" s="1"/>
  <c r="AJ54" i="3" s="1"/>
  <c r="K54" i="3"/>
  <c r="M54" i="3" s="1"/>
  <c r="N54" i="3" s="1"/>
  <c r="X54" i="3"/>
  <c r="Z54" i="3" s="1"/>
  <c r="AA54" i="3" s="1"/>
  <c r="AL53" i="3"/>
  <c r="AM53" i="3" s="1"/>
  <c r="AC53" i="3"/>
  <c r="AD53" i="3" s="1"/>
  <c r="P53" i="3"/>
  <c r="R53" i="3" s="1"/>
  <c r="U53" i="3" s="1"/>
  <c r="V53" i="3" s="1"/>
  <c r="AE55" i="3"/>
  <c r="F55" i="3" a="1"/>
  <c r="F55" i="3" s="1"/>
  <c r="Y55" i="3"/>
  <c r="B55" i="3" a="1"/>
  <c r="B55" i="3" s="1"/>
  <c r="L55" i="3" s="1"/>
  <c r="S55" i="3"/>
  <c r="C55" i="3" a="1"/>
  <c r="C55" i="3" s="1"/>
  <c r="AN55" i="3"/>
  <c r="D55" i="3" a="1"/>
  <c r="D55" i="3" s="1"/>
  <c r="G55" i="3" a="1"/>
  <c r="G55" i="3" s="1"/>
  <c r="H55" i="3" a="1"/>
  <c r="H55" i="3" s="1"/>
  <c r="E55" i="3" a="1"/>
  <c r="E55" i="3" s="1"/>
  <c r="AH55" i="3"/>
  <c r="I55" i="3" a="1"/>
  <c r="I55" i="3" s="1"/>
  <c r="A56" i="3"/>
  <c r="L57" i="5" a="1"/>
  <c r="L57" i="5" s="1"/>
  <c r="T54" i="3"/>
  <c r="AB54" i="3"/>
  <c r="AK54" i="3"/>
  <c r="O54" i="3"/>
  <c r="T55" i="3" l="1"/>
  <c r="AC54" i="3"/>
  <c r="AD54" i="3" s="1"/>
  <c r="AG55" i="3"/>
  <c r="AI55" i="3" s="1"/>
  <c r="AJ55" i="3" s="1"/>
  <c r="X55" i="3"/>
  <c r="Z55" i="3" s="1"/>
  <c r="AA55" i="3" s="1"/>
  <c r="K55" i="3"/>
  <c r="M55" i="3" s="1"/>
  <c r="N55" i="3" s="1"/>
  <c r="P54" i="3"/>
  <c r="R54" i="3" s="1"/>
  <c r="U54" i="3" s="1"/>
  <c r="V54" i="3" s="1"/>
  <c r="AL54" i="3"/>
  <c r="AM54" i="3" s="1"/>
  <c r="H56" i="3" a="1"/>
  <c r="H56" i="3" s="1"/>
  <c r="E56" i="3" a="1"/>
  <c r="E56" i="3" s="1"/>
  <c r="Y56" i="3"/>
  <c r="AE56" i="3"/>
  <c r="AN56" i="3"/>
  <c r="B56" i="3" a="1"/>
  <c r="B56" i="3" s="1"/>
  <c r="L56" i="3" s="1"/>
  <c r="F56" i="3" a="1"/>
  <c r="F56" i="3" s="1"/>
  <c r="S56" i="3"/>
  <c r="D56" i="3" a="1"/>
  <c r="D56" i="3" s="1"/>
  <c r="C56" i="3" a="1"/>
  <c r="C56" i="3" s="1"/>
  <c r="AH56" i="3"/>
  <c r="G56" i="3" a="1"/>
  <c r="G56" i="3" s="1"/>
  <c r="I56" i="3" a="1"/>
  <c r="I56" i="3" s="1"/>
  <c r="A57" i="3"/>
  <c r="L58" i="5" a="1"/>
  <c r="L58" i="5" s="1"/>
  <c r="O55" i="3"/>
  <c r="AK55" i="3"/>
  <c r="AB55" i="3"/>
  <c r="T56" i="3" l="1"/>
  <c r="AC55" i="3"/>
  <c r="AD55" i="3" s="1"/>
  <c r="P55" i="3"/>
  <c r="R55" i="3" s="1"/>
  <c r="U55" i="3" s="1"/>
  <c r="V55" i="3" s="1"/>
  <c r="AL55" i="3"/>
  <c r="AM55" i="3" s="1"/>
  <c r="AK56" i="3"/>
  <c r="O56" i="3"/>
  <c r="AB56" i="3"/>
  <c r="X56" i="3"/>
  <c r="Z56" i="3" s="1"/>
  <c r="AA56" i="3" s="1"/>
  <c r="K56" i="3"/>
  <c r="M56" i="3" s="1"/>
  <c r="N56" i="3" s="1"/>
  <c r="AG56" i="3"/>
  <c r="AI56" i="3" s="1"/>
  <c r="AJ56" i="3" s="1"/>
  <c r="A58" i="3"/>
  <c r="L59" i="5" a="1"/>
  <c r="L59" i="5" s="1"/>
  <c r="AN57" i="3"/>
  <c r="D57" i="3" a="1"/>
  <c r="D57" i="3" s="1"/>
  <c r="AH57" i="3"/>
  <c r="S57" i="3"/>
  <c r="Y57" i="3"/>
  <c r="B57" i="3" a="1"/>
  <c r="B57" i="3" s="1"/>
  <c r="L57" i="3" s="1"/>
  <c r="E57" i="3" a="1"/>
  <c r="E57" i="3" s="1"/>
  <c r="G57" i="3" a="1"/>
  <c r="G57" i="3" s="1"/>
  <c r="F57" i="3" a="1"/>
  <c r="F57" i="3" s="1"/>
  <c r="I57" i="3" a="1"/>
  <c r="I57" i="3" s="1"/>
  <c r="AE57" i="3"/>
  <c r="H57" i="3" a="1"/>
  <c r="H57" i="3" s="1"/>
  <c r="C57" i="3" a="1"/>
  <c r="C57" i="3" s="1"/>
  <c r="X57" i="3" l="1"/>
  <c r="Z57" i="3" s="1"/>
  <c r="AA57" i="3" s="1"/>
  <c r="AG57" i="3"/>
  <c r="AI57" i="3" s="1"/>
  <c r="AJ57" i="3" s="1"/>
  <c r="K57" i="3"/>
  <c r="M57" i="3" s="1"/>
  <c r="N57" i="3" s="1"/>
  <c r="AB57" i="3"/>
  <c r="AK57" i="3"/>
  <c r="O57" i="3"/>
  <c r="A59" i="3"/>
  <c r="L60" i="5" a="1"/>
  <c r="L60" i="5" s="1"/>
  <c r="AL56" i="3"/>
  <c r="AM56" i="3" s="1"/>
  <c r="AH58" i="3"/>
  <c r="F58" i="3" a="1"/>
  <c r="F58" i="3" s="1"/>
  <c r="AN58" i="3"/>
  <c r="H58" i="3" a="1"/>
  <c r="H58" i="3" s="1"/>
  <c r="I58" i="3" a="1"/>
  <c r="I58" i="3" s="1"/>
  <c r="D58" i="3" a="1"/>
  <c r="D58" i="3" s="1"/>
  <c r="C58" i="3" a="1"/>
  <c r="C58" i="3" s="1"/>
  <c r="AE58" i="3"/>
  <c r="B58" i="3" a="1"/>
  <c r="B58" i="3" s="1"/>
  <c r="Y58" i="3" s="1"/>
  <c r="S58" i="3"/>
  <c r="E58" i="3" a="1"/>
  <c r="E58" i="3" s="1"/>
  <c r="G58" i="3" a="1"/>
  <c r="G58" i="3" s="1"/>
  <c r="L58" i="3"/>
  <c r="P56" i="3"/>
  <c r="R56" i="3" s="1"/>
  <c r="U56" i="3" s="1"/>
  <c r="T57" i="3"/>
  <c r="AC56" i="3"/>
  <c r="AD56" i="3" s="1"/>
  <c r="T58" i="3" l="1"/>
  <c r="AL57" i="3"/>
  <c r="AM57" i="3" s="1"/>
  <c r="AC57" i="3"/>
  <c r="AD57" i="3" s="1"/>
  <c r="O58" i="3"/>
  <c r="AK58" i="3"/>
  <c r="AB58" i="3"/>
  <c r="K58" i="3"/>
  <c r="M58" i="3" s="1"/>
  <c r="N58" i="3" s="1"/>
  <c r="X58" i="3"/>
  <c r="Z58" i="3" s="1"/>
  <c r="AA58" i="3" s="1"/>
  <c r="AG58" i="3"/>
  <c r="AI58" i="3" s="1"/>
  <c r="AJ58" i="3" s="1"/>
  <c r="P57" i="3"/>
  <c r="R57" i="3" s="1"/>
  <c r="U57" i="3" s="1"/>
  <c r="V57" i="3" s="1"/>
  <c r="V56" i="3"/>
  <c r="A60" i="3"/>
  <c r="L61" i="5" a="1"/>
  <c r="L61" i="5" s="1"/>
  <c r="F59" i="3" a="1"/>
  <c r="F59" i="3" s="1"/>
  <c r="B59" i="3" a="1"/>
  <c r="B59" i="3" s="1"/>
  <c r="Y59" i="3" s="1"/>
  <c r="D59" i="3" a="1"/>
  <c r="D59" i="3" s="1"/>
  <c r="AN59" i="3"/>
  <c r="AE59" i="3"/>
  <c r="S59" i="3"/>
  <c r="G59" i="3" a="1"/>
  <c r="G59" i="3" s="1"/>
  <c r="H59" i="3" a="1"/>
  <c r="H59" i="3" s="1"/>
  <c r="C59" i="3" a="1"/>
  <c r="C59" i="3" s="1"/>
  <c r="E59" i="3" a="1"/>
  <c r="E59" i="3" s="1"/>
  <c r="I59" i="3" a="1"/>
  <c r="I59" i="3" s="1"/>
  <c r="L59" i="3"/>
  <c r="AH59" i="3"/>
  <c r="AL58" i="3" l="1"/>
  <c r="AM58" i="3" s="1"/>
  <c r="AG59" i="3"/>
  <c r="AI59" i="3" s="1"/>
  <c r="AJ59" i="3" s="1"/>
  <c r="X59" i="3"/>
  <c r="Z59" i="3" s="1"/>
  <c r="AA59" i="3" s="1"/>
  <c r="K59" i="3"/>
  <c r="M59" i="3" s="1"/>
  <c r="N59" i="3" s="1"/>
  <c r="T59" i="3"/>
  <c r="E60" i="3" a="1"/>
  <c r="E60" i="3" s="1"/>
  <c r="C60" i="3" a="1"/>
  <c r="C60" i="3" s="1"/>
  <c r="B60" i="3" a="1"/>
  <c r="B60" i="3" s="1"/>
  <c r="L60" i="3" s="1"/>
  <c r="AN60" i="3"/>
  <c r="AE60" i="3"/>
  <c r="H60" i="3" a="1"/>
  <c r="H60" i="3" s="1"/>
  <c r="D60" i="3" a="1"/>
  <c r="D60" i="3" s="1"/>
  <c r="S60" i="3"/>
  <c r="AH60" i="3"/>
  <c r="F60" i="3" a="1"/>
  <c r="F60" i="3" s="1"/>
  <c r="I60" i="3" a="1"/>
  <c r="I60" i="3" s="1"/>
  <c r="G60" i="3" a="1"/>
  <c r="G60" i="3" s="1"/>
  <c r="Y60" i="3"/>
  <c r="O59" i="3"/>
  <c r="AK59" i="3"/>
  <c r="AB59" i="3"/>
  <c r="AC58" i="3"/>
  <c r="AD58" i="3" s="1"/>
  <c r="P58" i="3"/>
  <c r="R58" i="3" s="1"/>
  <c r="U58" i="3" s="1"/>
  <c r="V58" i="3" s="1"/>
  <c r="A61" i="3"/>
  <c r="L62" i="5" a="1"/>
  <c r="L62" i="5" s="1"/>
  <c r="T60" i="3" l="1"/>
  <c r="P59" i="3"/>
  <c r="R59" i="3" s="1"/>
  <c r="U59" i="3" s="1"/>
  <c r="V59" i="3" s="1"/>
  <c r="A62" i="3"/>
  <c r="L63" i="5" a="1"/>
  <c r="L63" i="5" s="1"/>
  <c r="AL59" i="3"/>
  <c r="AM59" i="3" s="1"/>
  <c r="C61" i="3" a="1"/>
  <c r="C61" i="3" s="1"/>
  <c r="D61" i="3" a="1"/>
  <c r="D61" i="3" s="1"/>
  <c r="B61" i="3" a="1"/>
  <c r="B61" i="3" s="1"/>
  <c r="AH61" i="3" s="1"/>
  <c r="I61" i="3" a="1"/>
  <c r="I61" i="3" s="1"/>
  <c r="Y61" i="3"/>
  <c r="AE61" i="3"/>
  <c r="E61" i="3" a="1"/>
  <c r="E61" i="3" s="1"/>
  <c r="AN61" i="3"/>
  <c r="F61" i="3" a="1"/>
  <c r="F61" i="3" s="1"/>
  <c r="S61" i="3"/>
  <c r="L61" i="3"/>
  <c r="G61" i="3" a="1"/>
  <c r="G61" i="3" s="1"/>
  <c r="H61" i="3" a="1"/>
  <c r="H61" i="3" s="1"/>
  <c r="AC59" i="3"/>
  <c r="AD59" i="3" s="1"/>
  <c r="X60" i="3"/>
  <c r="Z60" i="3" s="1"/>
  <c r="AA60" i="3" s="1"/>
  <c r="AG60" i="3"/>
  <c r="AI60" i="3" s="1"/>
  <c r="AJ60" i="3" s="1"/>
  <c r="K60" i="3"/>
  <c r="M60" i="3" s="1"/>
  <c r="N60" i="3" s="1"/>
  <c r="AK60" i="3"/>
  <c r="AB60" i="3"/>
  <c r="O60" i="3"/>
  <c r="T61" i="3" l="1"/>
  <c r="P60" i="3"/>
  <c r="R60" i="3" s="1"/>
  <c r="U60" i="3" s="1"/>
  <c r="V60" i="3" s="1"/>
  <c r="AL60" i="3"/>
  <c r="AM60" i="3" s="1"/>
  <c r="AC60" i="3"/>
  <c r="AD60" i="3" s="1"/>
  <c r="AG61" i="3"/>
  <c r="AI61" i="3" s="1"/>
  <c r="AJ61" i="3" s="1"/>
  <c r="K61" i="3"/>
  <c r="M61" i="3" s="1"/>
  <c r="N61" i="3" s="1"/>
  <c r="X61" i="3"/>
  <c r="Z61" i="3" s="1"/>
  <c r="AA61" i="3" s="1"/>
  <c r="O61" i="3"/>
  <c r="AB61" i="3"/>
  <c r="AK61" i="3"/>
  <c r="A63" i="3"/>
  <c r="L64" i="5" a="1"/>
  <c r="L64" i="5" s="1"/>
  <c r="L62" i="3"/>
  <c r="AH62" i="3"/>
  <c r="F62" i="3" a="1"/>
  <c r="F62" i="3" s="1"/>
  <c r="AE62" i="3"/>
  <c r="I62" i="3" a="1"/>
  <c r="I62" i="3" s="1"/>
  <c r="AN62" i="3"/>
  <c r="S62" i="3"/>
  <c r="G62" i="3" a="1"/>
  <c r="G62" i="3" s="1"/>
  <c r="C62" i="3" a="1"/>
  <c r="C62" i="3" s="1"/>
  <c r="H62" i="3" a="1"/>
  <c r="H62" i="3" s="1"/>
  <c r="D62" i="3" a="1"/>
  <c r="D62" i="3" s="1"/>
  <c r="B62" i="3" a="1"/>
  <c r="B62" i="3" s="1"/>
  <c r="Y62" i="3"/>
  <c r="E62" i="3" a="1"/>
  <c r="E62" i="3" s="1"/>
  <c r="AC61" i="3" l="1"/>
  <c r="AD61" i="3" s="1"/>
  <c r="AL61" i="3"/>
  <c r="AM61" i="3" s="1"/>
  <c r="T62" i="3"/>
  <c r="P61" i="3"/>
  <c r="R61" i="3" s="1"/>
  <c r="U61" i="3" s="1"/>
  <c r="A64" i="3"/>
  <c r="L65" i="5" a="1"/>
  <c r="L65" i="5" s="1"/>
  <c r="B63" i="3" a="1"/>
  <c r="B63" i="3" s="1"/>
  <c r="Y63" i="3" s="1"/>
  <c r="G63" i="3" a="1"/>
  <c r="G63" i="3" s="1"/>
  <c r="C63" i="3" a="1"/>
  <c r="C63" i="3" s="1"/>
  <c r="D63" i="3" a="1"/>
  <c r="D63" i="3" s="1"/>
  <c r="H63" i="3" a="1"/>
  <c r="H63" i="3" s="1"/>
  <c r="I63" i="3" a="1"/>
  <c r="I63" i="3" s="1"/>
  <c r="AE63" i="3"/>
  <c r="AH63" i="3"/>
  <c r="AN63" i="3"/>
  <c r="F63" i="3" a="1"/>
  <c r="F63" i="3" s="1"/>
  <c r="S63" i="3"/>
  <c r="E63" i="3" a="1"/>
  <c r="E63" i="3" s="1"/>
  <c r="L63" i="3"/>
  <c r="AG62" i="3"/>
  <c r="AI62" i="3" s="1"/>
  <c r="AJ62" i="3" s="1"/>
  <c r="K62" i="3"/>
  <c r="M62" i="3" s="1"/>
  <c r="N62" i="3" s="1"/>
  <c r="X62" i="3"/>
  <c r="Z62" i="3" s="1"/>
  <c r="AA62" i="3" s="1"/>
  <c r="AK62" i="3"/>
  <c r="AB62" i="3"/>
  <c r="O62" i="3"/>
  <c r="AL62" i="3" l="1"/>
  <c r="AM62" i="3" s="1"/>
  <c r="A65" i="3"/>
  <c r="L66" i="5" a="1"/>
  <c r="L66" i="5" s="1"/>
  <c r="L67" i="5" s="1" a="1"/>
  <c r="L67" i="5" s="1"/>
  <c r="L68" i="5" s="1" a="1"/>
  <c r="L68" i="5" s="1"/>
  <c r="L69" i="5" s="1" a="1"/>
  <c r="L69" i="5" s="1"/>
  <c r="L70" i="5" s="1" a="1"/>
  <c r="L70" i="5" s="1"/>
  <c r="L71" i="5" s="1" a="1"/>
  <c r="L71" i="5" s="1"/>
  <c r="L72" i="5" s="1" a="1"/>
  <c r="L72" i="5" s="1"/>
  <c r="L73" i="5" s="1" a="1"/>
  <c r="L73" i="5" s="1"/>
  <c r="L74" i="5" s="1" a="1"/>
  <c r="L74" i="5" s="1"/>
  <c r="L75" i="5" s="1" a="1"/>
  <c r="L75" i="5" s="1"/>
  <c r="L76" i="5" s="1" a="1"/>
  <c r="L76" i="5" s="1"/>
  <c r="L77" i="5" s="1" a="1"/>
  <c r="L77" i="5" s="1"/>
  <c r="L78" i="5" s="1" a="1"/>
  <c r="L78" i="5" s="1"/>
  <c r="L79" i="5" s="1" a="1"/>
  <c r="L79" i="5" s="1"/>
  <c r="L80" i="5" s="1" a="1"/>
  <c r="L80" i="5" s="1"/>
  <c r="L81" i="5" s="1" a="1"/>
  <c r="L81" i="5" s="1"/>
  <c r="L82" i="5" s="1" a="1"/>
  <c r="L82" i="5" s="1"/>
  <c r="L83" i="5" s="1" a="1"/>
  <c r="L83" i="5" s="1"/>
  <c r="L84" i="5" s="1" a="1"/>
  <c r="L84" i="5" s="1"/>
  <c r="L85" i="5" s="1" a="1"/>
  <c r="L85" i="5" s="1"/>
  <c r="V61" i="3"/>
  <c r="H64" i="3" a="1"/>
  <c r="H64" i="3" s="1"/>
  <c r="Y64" i="3"/>
  <c r="AE64" i="3"/>
  <c r="F64" i="3" a="1"/>
  <c r="F64" i="3" s="1"/>
  <c r="AN64" i="3"/>
  <c r="I64" i="3" a="1"/>
  <c r="I64" i="3" s="1"/>
  <c r="E64" i="3" a="1"/>
  <c r="E64" i="3" s="1"/>
  <c r="S64" i="3"/>
  <c r="D64" i="3" a="1"/>
  <c r="D64" i="3" s="1"/>
  <c r="G64" i="3" a="1"/>
  <c r="G64" i="3" s="1"/>
  <c r="AH64" i="3"/>
  <c r="L64" i="3"/>
  <c r="B64" i="3" a="1"/>
  <c r="B64" i="3" s="1"/>
  <c r="C64" i="3" a="1"/>
  <c r="C64" i="3" s="1"/>
  <c r="T63" i="3"/>
  <c r="X63" i="3"/>
  <c r="Z63" i="3" s="1"/>
  <c r="AA63" i="3" s="1"/>
  <c r="K63" i="3"/>
  <c r="M63" i="3" s="1"/>
  <c r="N63" i="3" s="1"/>
  <c r="AG63" i="3"/>
  <c r="AI63" i="3" s="1"/>
  <c r="AJ63" i="3" s="1"/>
  <c r="O63" i="3"/>
  <c r="AK63" i="3"/>
  <c r="AB63" i="3"/>
  <c r="AC62" i="3"/>
  <c r="AD62" i="3" s="1"/>
  <c r="P62" i="3"/>
  <c r="R62" i="3" s="1"/>
  <c r="U62" i="3" s="1"/>
  <c r="V62" i="3" s="1"/>
  <c r="AK18" i="9" l="1" a="1"/>
  <c r="AK18" i="9" s="1"/>
  <c r="AQ11" i="7" a="1"/>
  <c r="AQ11" i="7" s="1"/>
  <c r="AQ23" i="7" a="1"/>
  <c r="AQ23" i="7" s="1"/>
  <c r="AQ15" i="7" a="1"/>
  <c r="AQ15" i="7" s="1"/>
  <c r="AK29" i="9" a="1"/>
  <c r="AK29" i="9" s="1"/>
  <c r="P63" i="3"/>
  <c r="R63" i="3" s="1"/>
  <c r="U63" i="3" s="1"/>
  <c r="V63" i="3" s="1"/>
  <c r="AC63" i="3"/>
  <c r="AD63" i="3" s="1"/>
  <c r="AL63" i="3"/>
  <c r="AM63" i="3" s="1"/>
  <c r="T64" i="3"/>
  <c r="AK64" i="3"/>
  <c r="O64" i="3"/>
  <c r="AB64" i="3"/>
  <c r="X64" i="3"/>
  <c r="Z64" i="3" s="1"/>
  <c r="AA64" i="3" s="1"/>
  <c r="AG64" i="3"/>
  <c r="AI64" i="3" s="1"/>
  <c r="AJ64" i="3" s="1"/>
  <c r="K64" i="3"/>
  <c r="M64" i="3" s="1"/>
  <c r="N64" i="3" s="1"/>
  <c r="AE65" i="3"/>
  <c r="I65" i="3" a="1"/>
  <c r="I65" i="3" s="1"/>
  <c r="L65" i="3"/>
  <c r="Y65" i="3"/>
  <c r="AN65" i="3"/>
  <c r="E65" i="3" a="1"/>
  <c r="E65" i="3" s="1"/>
  <c r="D65" i="3" a="1"/>
  <c r="D65" i="3" s="1"/>
  <c r="S65" i="3"/>
  <c r="B65" i="3" a="1"/>
  <c r="B65" i="3" s="1"/>
  <c r="AH65" i="3" s="1"/>
  <c r="F65" i="3" a="1"/>
  <c r="F65" i="3" s="1"/>
  <c r="H65" i="3" a="1"/>
  <c r="H65" i="3" s="1"/>
  <c r="G65" i="3" a="1"/>
  <c r="G65" i="3" s="1"/>
  <c r="C65" i="3" a="1"/>
  <c r="C65" i="3" s="1"/>
  <c r="AQ9" i="7" a="1"/>
  <c r="AQ9" i="7" s="1"/>
  <c r="AK22" i="9" a="1"/>
  <c r="AK22" i="9" s="1"/>
  <c r="AK16" i="9" a="1"/>
  <c r="AK16" i="9" s="1"/>
  <c r="AK28" i="9" a="1"/>
  <c r="AK28" i="9" s="1"/>
  <c r="AK27" i="9" a="1"/>
  <c r="AK27" i="9" s="1"/>
  <c r="AK26" i="9" a="1"/>
  <c r="AK26" i="9" s="1"/>
  <c r="AK13" i="9" a="1"/>
  <c r="AK13" i="9" s="1"/>
  <c r="AK17" i="9" a="1"/>
  <c r="AK17" i="9" s="1"/>
  <c r="AQ8" i="7" a="1"/>
  <c r="AQ8" i="7" s="1"/>
  <c r="AK20" i="9" a="1"/>
  <c r="AK20" i="9" s="1"/>
  <c r="AK10" i="9" a="1"/>
  <c r="AK10" i="9" s="1"/>
  <c r="AK15" i="9" a="1"/>
  <c r="AK15" i="9" s="1"/>
  <c r="AK14" i="9" a="1"/>
  <c r="AK14" i="9" s="1"/>
  <c r="AQ14" i="7" a="1"/>
  <c r="AQ14" i="7" s="1"/>
  <c r="AQ20" i="7" a="1"/>
  <c r="AQ20" i="7" s="1"/>
  <c r="AK11" i="9" a="1"/>
  <c r="AK11" i="9" s="1"/>
  <c r="AQ21" i="7" a="1"/>
  <c r="AQ21" i="7" s="1"/>
  <c r="AK12" i="9" a="1"/>
  <c r="AK12" i="9" s="1"/>
  <c r="AQ10" i="7" a="1"/>
  <c r="AQ10" i="7" s="1"/>
  <c r="AQ12" i="7" a="1"/>
  <c r="AQ12" i="7" s="1"/>
  <c r="AK21" i="9" a="1"/>
  <c r="AK21" i="9" s="1"/>
  <c r="AK24" i="9" a="1"/>
  <c r="AK24" i="9" s="1"/>
  <c r="AK8" i="9" a="1"/>
  <c r="AK8" i="9" s="1"/>
  <c r="AK23" i="9" a="1"/>
  <c r="AK23" i="9" s="1"/>
  <c r="AK25" i="9" a="1"/>
  <c r="AK25" i="9" s="1"/>
  <c r="AQ13" i="7" a="1"/>
  <c r="AQ13" i="7" s="1"/>
  <c r="AQ22" i="7" a="1"/>
  <c r="AQ22" i="7" s="1"/>
  <c r="AK9" i="9" a="1"/>
  <c r="AK9" i="9" s="1"/>
  <c r="P64" i="3" l="1"/>
  <c r="R64" i="3" s="1"/>
  <c r="U64" i="3" s="1"/>
  <c r="V64" i="3" s="1"/>
  <c r="AL64" i="3"/>
  <c r="AM64" i="3" s="1"/>
  <c r="AC64" i="3"/>
  <c r="AD64" i="3" s="1"/>
  <c r="T65" i="3"/>
  <c r="AG65" i="3"/>
  <c r="AI65" i="3" s="1"/>
  <c r="AJ65" i="3" s="1"/>
  <c r="X65" i="3"/>
  <c r="Z65" i="3" s="1"/>
  <c r="AA65" i="3" s="1"/>
  <c r="K65" i="3"/>
  <c r="M65" i="3" s="1"/>
  <c r="N65" i="3" s="1"/>
  <c r="AB65" i="3"/>
  <c r="O65" i="3"/>
  <c r="AK65" i="3"/>
  <c r="AL65" i="3" l="1"/>
  <c r="AM65" i="3" s="1"/>
  <c r="AM4" i="3" s="1"/>
  <c r="P65" i="3"/>
  <c r="R65" i="3" s="1"/>
  <c r="U65" i="3" s="1"/>
  <c r="AC65" i="3"/>
  <c r="AD65" i="3" s="1"/>
  <c r="V65" i="3" l="1"/>
  <c r="V4" i="3" s="1"/>
  <c r="C10" i="12" s="1"/>
  <c r="C12" i="12" s="1"/>
  <c r="C14" i="12" s="1"/>
  <c r="U4" i="3"/>
  <c r="B10" i="12" s="1"/>
  <c r="B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tc={B161459C-CE74-4B41-BD53-5D52B48CF341}</author>
  </authors>
  <commentList>
    <comment ref="E14" authorId="0" shapeId="0" xr:uid="{B161459C-CE74-4B41-BD53-5D52B48CF34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@Allen, Mark This is accurate failure rate. Remains critical to operation but economics may say not to purchase.
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<sst xmlns="http://schemas.openxmlformats.org/spreadsheetml/2006/main" count="424" uniqueCount="210">
  <si>
    <t>COVERSHEET</t>
  </si>
  <si>
    <t>Notes:</t>
  </si>
  <si>
    <t>Prior to this data analysis, all component types at Directlink (253 in all) were assessed for criticality and 88 were deemed critical as failure results in either all or 1 of 3 systems offline</t>
  </si>
  <si>
    <t>Following identification of criticality, all components were assessed for obsolescence risk, failure risk, lead time, mimumum order quantity and a 'short list' of critical spares required for purchase were identified.</t>
  </si>
  <si>
    <t xml:space="preserve">In this sheet, this 'short list' of critical spares were categorised into:
a) Items with an obsolescence risk (i.e. where the alternative is therefore a major capex upgrade) and have a stable Failure Rate -&gt;2.0
b) Items with an obsolescence risk (i.e. where the alternative is therefore a major capex upgrade) and have a Mean Time to Failure Curve -&gt;3.0
3.1 Original asset still in service (MTBF&gt;19 years), 3.2 Assets have been replace (MTBF&lt;19 years)
c) Items without an obsolescence risk where the current inventory is may not be adequate for the estimated lead time and failure rate.
</t>
  </si>
  <si>
    <t>Inventory/exisitng data comments to be added</t>
  </si>
  <si>
    <t>Review naming/numbering</t>
  </si>
  <si>
    <t>Failure events in 18 years</t>
  </si>
  <si>
    <t>Failure events p/a</t>
  </si>
  <si>
    <t>Minimum Purchase Qty</t>
  </si>
  <si>
    <t>Analysis Type</t>
  </si>
  <si>
    <t>Estimate Lead Time</t>
  </si>
  <si>
    <t>Alternate</t>
  </si>
  <si>
    <t>Lead duration economic cost</t>
  </si>
  <si>
    <t>Alternate Cost (min)</t>
  </si>
  <si>
    <t>Alternate Cost(max)</t>
  </si>
  <si>
    <t>Alternate (midpoint)</t>
  </si>
  <si>
    <t>Obsolesence Risk</t>
  </si>
  <si>
    <t>Mean time to failure</t>
  </si>
  <si>
    <t>WACC and Inflation</t>
  </si>
  <si>
    <t>Discount Factors</t>
  </si>
  <si>
    <t>Nominal Vanilla WACC</t>
  </si>
  <si>
    <t>Inflation</t>
  </si>
  <si>
    <t>Real Vanilla WACC</t>
  </si>
  <si>
    <t>Source:</t>
  </si>
  <si>
    <t>Proposal PTRM</t>
  </si>
  <si>
    <t>Spares lead time</t>
  </si>
  <si>
    <t>Years</t>
  </si>
  <si>
    <t>Days</t>
  </si>
  <si>
    <t>Safety Factor</t>
  </si>
  <si>
    <t>Short</t>
  </si>
  <si>
    <t>Medium</t>
  </si>
  <si>
    <t>Long</t>
  </si>
  <si>
    <t>Age</t>
  </si>
  <si>
    <t>Stage</t>
  </si>
  <si>
    <t>Date</t>
  </si>
  <si>
    <t>Installation</t>
  </si>
  <si>
    <t>Calculation Date</t>
  </si>
  <si>
    <t>Calculation Age</t>
  </si>
  <si>
    <t>Current Day Number</t>
  </si>
  <si>
    <t>Remaining Life</t>
  </si>
  <si>
    <t>End of Life</t>
  </si>
  <si>
    <t>Current year number</t>
  </si>
  <si>
    <t>Assumptions</t>
  </si>
  <si>
    <t>Critical Spare min</t>
  </si>
  <si>
    <t>Percent</t>
  </si>
  <si>
    <t>Critical Spares Minimum</t>
  </si>
  <si>
    <t>Threshold Probability of Failure</t>
  </si>
  <si>
    <t>Threshold Probability of failure</t>
  </si>
  <si>
    <t>Range Around Mean</t>
  </si>
  <si>
    <t>Range from mean</t>
  </si>
  <si>
    <t>Standard Deviation Around Mean (%)</t>
  </si>
  <si>
    <t>Forecast Revenue</t>
  </si>
  <si>
    <t>Average Forecast Revenue over Regulatory Period</t>
  </si>
  <si>
    <t>Average Annual</t>
  </si>
  <si>
    <t>Daily</t>
  </si>
  <si>
    <t xml:space="preserve"> </t>
  </si>
  <si>
    <t>Asset</t>
  </si>
  <si>
    <t>Failure</t>
  </si>
  <si>
    <t>Mean Original</t>
  </si>
  <si>
    <t>Mean Replacement</t>
  </si>
  <si>
    <t>Lead</t>
  </si>
  <si>
    <t>Not Considered</t>
  </si>
  <si>
    <t>2.0 failure Rate</t>
  </si>
  <si>
    <t>2.1 Mean Time to Failure (Original)</t>
  </si>
  <si>
    <t>2.2 Mean Time to Failure (Replacement)</t>
  </si>
  <si>
    <t>3.0 Lead Time</t>
  </si>
  <si>
    <t>Items included in Analysis</t>
  </si>
  <si>
    <t>Included in Obsolesence Analysis</t>
  </si>
  <si>
    <t>Failure rate increase</t>
  </si>
  <si>
    <t>Cost Mark up</t>
  </si>
  <si>
    <t>Project</t>
  </si>
  <si>
    <t>Value</t>
  </si>
  <si>
    <t>Inputs</t>
  </si>
  <si>
    <t>Base Case</t>
  </si>
  <si>
    <t>Failure Rate +50%</t>
  </si>
  <si>
    <t>Cost of Spares +50%</t>
  </si>
  <si>
    <t>In operation</t>
  </si>
  <si>
    <t>Spares Held</t>
  </si>
  <si>
    <t>Unit Cost</t>
  </si>
  <si>
    <t>Failures p.a (Column AA which is failre rate x no. in service)</t>
  </si>
  <si>
    <t>Esimated unit  failures by 2042</t>
  </si>
  <si>
    <t>Alternative Upgrade Project</t>
  </si>
  <si>
    <t>Min</t>
  </si>
  <si>
    <t>Mid Point</t>
  </si>
  <si>
    <t>Max</t>
  </si>
  <si>
    <t>Forecast Failure Rate (Failures per year)</t>
  </si>
  <si>
    <t>Number of years to stock out</t>
  </si>
  <si>
    <t>Alternative</t>
  </si>
  <si>
    <t>Duration of single spare</t>
  </si>
  <si>
    <t>Critical Number of Spares</t>
  </si>
  <si>
    <t>Number of Spares to achieve end of life</t>
  </si>
  <si>
    <t>Required Spares</t>
  </si>
  <si>
    <t>Spares to purchase</t>
  </si>
  <si>
    <t>Purchase Cost</t>
  </si>
  <si>
    <t>Decision</t>
  </si>
  <si>
    <t>Capex</t>
  </si>
  <si>
    <t>Failures per year</t>
  </si>
  <si>
    <t>Critical minmum</t>
  </si>
  <si>
    <t>Cost of Number of Spares</t>
  </si>
  <si>
    <t>Installation Date</t>
  </si>
  <si>
    <t>Present value of alternative</t>
  </si>
  <si>
    <t>Value of Purchases</t>
  </si>
  <si>
    <t>Net Present Value</t>
  </si>
  <si>
    <t>Total</t>
  </si>
  <si>
    <t>Number in use</t>
  </si>
  <si>
    <t>Spares</t>
  </si>
  <si>
    <t>Annual Failure rate per year</t>
  </si>
  <si>
    <t>Expected Life</t>
  </si>
  <si>
    <t>Alternative (Min)</t>
  </si>
  <si>
    <t>Alternative (Mid point)</t>
  </si>
  <si>
    <t>Alternative (Max)</t>
  </si>
  <si>
    <t>Mean End of Life (50% failure)</t>
  </si>
  <si>
    <t>Std. dev</t>
  </si>
  <si>
    <t>3 std. dev. 99.7% prob (days)</t>
  </si>
  <si>
    <t>Rate of change to mean ((a(1+r)^x)</t>
  </si>
  <si>
    <t>Critical Failure Threshold</t>
  </si>
  <si>
    <t>Point of Failure</t>
  </si>
  <si>
    <t>Time from start of period (years)</t>
  </si>
  <si>
    <t>Present value of alternative (min)</t>
  </si>
  <si>
    <t>Present value of alternative (mid point)</t>
  </si>
  <si>
    <t>Present value of alternative (max)</t>
  </si>
  <si>
    <t>Expected time period to total failure (days)</t>
  </si>
  <si>
    <t>Expected operating period to total failure (years)</t>
  </si>
  <si>
    <t>Residual Operating life. End of Life - Total Failure (days)</t>
  </si>
  <si>
    <t>Residual Operating life (years)</t>
  </si>
  <si>
    <t>Failure rate per year of the residual</t>
  </si>
  <si>
    <t>Failure rate for residual</t>
  </si>
  <si>
    <t>Spares for Residual Life of Directlink</t>
  </si>
  <si>
    <t>Total spares to the end of life (min =1)</t>
  </si>
  <si>
    <t>Volume owned</t>
  </si>
  <si>
    <t>Purchases</t>
  </si>
  <si>
    <t>Value of spares per unit</t>
  </si>
  <si>
    <t>Net Present Vlaue of the Alternative (min)</t>
  </si>
  <si>
    <t>Net Present Vlaue of the Alternative (Mid)</t>
  </si>
  <si>
    <t>Net Present Vlaue of the Alternative (Max)</t>
  </si>
  <si>
    <t>Purchase amount</t>
  </si>
  <si>
    <t>Project not Proceeded With</t>
  </si>
  <si>
    <t>STd.Dev/mean</t>
  </si>
  <si>
    <t>Projects</t>
  </si>
  <si>
    <t>Value of Spare</t>
  </si>
  <si>
    <t>Number of spares to acquire</t>
  </si>
  <si>
    <t>No.  of operating units</t>
  </si>
  <si>
    <t>No. Spares</t>
  </si>
  <si>
    <t>Cost per unit</t>
  </si>
  <si>
    <t>Failure rate per operating Unit</t>
  </si>
  <si>
    <t>Expected life for complete replacement</t>
  </si>
  <si>
    <t xml:space="preserve"> (r) in Rate of change exponential growth ((a(1+r)^x). </t>
  </si>
  <si>
    <t>Time Value of Spare</t>
  </si>
  <si>
    <t>Cost of Spare</t>
  </si>
  <si>
    <t>Net Value of spare</t>
  </si>
  <si>
    <t>Outcome for obsolesence</t>
  </si>
  <si>
    <t>Number of days passed</t>
  </si>
  <si>
    <t>Number of assumed complete replacements</t>
  </si>
  <si>
    <t>Assumed Installation Date</t>
  </si>
  <si>
    <t>Remaining days from installation</t>
  </si>
  <si>
    <t>Expected Life in days</t>
  </si>
  <si>
    <t>Number of lives remaining</t>
  </si>
  <si>
    <t>Residual</t>
  </si>
  <si>
    <t>Number of spares in residual</t>
  </si>
  <si>
    <t>Number of spares required</t>
  </si>
  <si>
    <t>Failure increase</t>
  </si>
  <si>
    <t>Spares LeadTime</t>
  </si>
  <si>
    <t>Input Data</t>
  </si>
  <si>
    <t>Current Failure Rate</t>
  </si>
  <si>
    <t>Analysis</t>
  </si>
  <si>
    <t>Sensitivity: Failure Rate +50%</t>
  </si>
  <si>
    <t>Sensitivity: Double Lead Time</t>
  </si>
  <si>
    <t>Current in service</t>
  </si>
  <si>
    <t>Failures PA</t>
  </si>
  <si>
    <t>Lead Time (Weeks)</t>
  </si>
  <si>
    <t>Unit rate</t>
  </si>
  <si>
    <t>Minimum Purchase</t>
  </si>
  <si>
    <t>Failures in lead time</t>
  </si>
  <si>
    <t>Minimum Spares to hold for critical assets</t>
  </si>
  <si>
    <t>Spares to cover lead time</t>
  </si>
  <si>
    <t>Spares Needed</t>
  </si>
  <si>
    <t>Spares to buy</t>
  </si>
  <si>
    <t>Cost of Spares</t>
  </si>
  <si>
    <t>Time to replacement (Do nothing)</t>
  </si>
  <si>
    <t>PV of Alternative (do Nothing)</t>
  </si>
  <si>
    <t>Expenditure</t>
  </si>
  <si>
    <t>Purchases Not Required</t>
  </si>
  <si>
    <t>Outcome</t>
  </si>
  <si>
    <t>Failure type</t>
  </si>
  <si>
    <t>Types of spares</t>
  </si>
  <si>
    <t>Stable Failure Rate</t>
  </si>
  <si>
    <t>Mean Time to Failure</t>
  </si>
  <si>
    <t>Lead Time/Business as Usual</t>
  </si>
  <si>
    <t>No Additional spares needed</t>
  </si>
  <si>
    <t>Lead Time Capex for rejected spares</t>
  </si>
  <si>
    <t>2025-26</t>
  </si>
  <si>
    <t>2026-27</t>
  </si>
  <si>
    <t>2027-28</t>
  </si>
  <si>
    <t>2028-29</t>
  </si>
  <si>
    <t>2029-30</t>
  </si>
  <si>
    <t>Maximum Allowed Revenue (smoothed)</t>
  </si>
  <si>
    <t>Equipment Name</t>
  </si>
  <si>
    <t>Current in-Service Balance (Assembled Equipment) - Set</t>
  </si>
  <si>
    <t>Current Spares Balance</t>
  </si>
  <si>
    <t>Cost Estimate per Unit</t>
  </si>
  <si>
    <t>Lead Time</t>
  </si>
  <si>
    <t>Asset offline for lead time duration</t>
  </si>
  <si>
    <t>Lead time</t>
  </si>
  <si>
    <t>Re-engineer, asset offline for lead time (at least)</t>
  </si>
  <si>
    <t>Major redesign to valve hall, asset offline for lead time at least</t>
  </si>
  <si>
    <t xml:space="preserve">Failure </t>
  </si>
  <si>
    <t>IGBT valve room upgrade</t>
  </si>
  <si>
    <t>Spare 68</t>
  </si>
  <si>
    <t>Spare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</si>
</sst>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* #,##0.000_-;\-* #,##0.000_-;_-* &quot;-&quot;??_-;_-@_-"/>
    <numFmt numFmtId="167" formatCode="0.0000"/>
    <numFmt numFmtId="168" formatCode="_-&quot;$&quot;* #,##0_-;\-&quot;$&quot;* #,##0_-;_-&quot;$&quot;* &quot;-&quot;??_-;_-@_-"/>
    <numFmt numFmtId="169" formatCode="_-* #,##0.0_-;\-* #,##0.0_-;_-* &quot;-&quot;??_-;_-@_-"/>
    <numFmt numFmtId="170" formatCode="0.0"/>
    <numFmt numFmtId="171" formatCode="0.0%"/>
    <numFmt numFmtId="172" formatCode="_-* #,##0.0000_-;\-* #,##0.00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masis MT Pro"/>
      <family val="1"/>
    </font>
    <font>
      <sz val="9"/>
      <color rgb="FFC00000"/>
      <name val="Amasis MT Pro"/>
      <family val="1"/>
    </font>
    <font>
      <b/>
      <sz val="12"/>
      <color rgb="FFC00000"/>
      <name val="Amasis MT Pro"/>
      <family val="1"/>
    </font>
    <font>
      <sz val="9"/>
      <color rgb="FF9C0006"/>
      <name val="Calibri"/>
      <family val="2"/>
      <scheme val="minor"/>
    </font>
    <font>
      <b/>
      <sz val="9"/>
      <color rgb="FFC00000"/>
      <name val="Amasis MT Pro"/>
      <family val="1"/>
    </font>
    <font>
      <sz val="18"/>
      <color theme="3"/>
      <name val="Calibri Light"/>
      <family val="2"/>
      <scheme val="major"/>
    </font>
    <font>
      <b/>
      <sz val="20"/>
      <color theme="1" tint="0.24994659260841701"/>
      <name val="Amasis MT Pro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ck">
        <color rgb="FFC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 style="thick">
        <color theme="1" tint="0.24994659260841701"/>
      </top>
      <bottom style="thick">
        <color rgb="FFC00000"/>
      </bottom>
      <diagonal/>
    </border>
  </borders>
  <cellStyleXfs count="13">
    <xf numFmtId="0" fontId="0" fillId="5" borderId="0"/>
    <xf numFmtId="43" fontId="1" fillId="0" borderId="0" applyFont="0" applyFill="0" applyBorder="0" applyAlignment="0" applyProtection="0"/>
    <xf numFmtId="0" fontId="3" fillId="5" borderId="2" applyNumberFormat="0" applyAlignment="0" applyProtection="0"/>
    <xf numFmtId="0" fontId="5" fillId="2" borderId="0" applyNumberFormat="0" applyBorder="0" applyAlignment="0" applyProtection="0"/>
    <xf numFmtId="0" fontId="2" fillId="3" borderId="1" applyNumberFormat="0" applyAlignment="0" applyProtection="0"/>
    <xf numFmtId="0" fontId="2" fillId="0" borderId="1" applyNumberFormat="0" applyAlignment="0" applyProtection="0"/>
    <xf numFmtId="0" fontId="2" fillId="5" borderId="3" applyNumberFormat="0" applyAlignment="0" applyProtection="0"/>
    <xf numFmtId="9" fontId="1" fillId="0" borderId="0" applyFont="0" applyFill="0" applyBorder="0" applyAlignment="0" applyProtection="0"/>
    <xf numFmtId="0" fontId="4" fillId="5" borderId="4" applyNumberFormat="0" applyAlignment="0" applyProtection="0"/>
    <xf numFmtId="0" fontId="6" fillId="4" borderId="5" applyNumberFormat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8" fillId="5" borderId="6" applyNumberFormat="0" applyAlignment="0" applyProtection="0"/>
  </cellStyleXfs>
  <cellXfs count="66">
    <xf numFmtId="0" fontId="0" fillId="5" borderId="0" xfId="0"/>
    <xf numFmtId="0" fontId="0" fillId="5" borderId="0" xfId="0" applyAlignment="1">
      <alignment wrapText="1"/>
    </xf>
    <xf numFmtId="164" fontId="0" fillId="0" borderId="0" xfId="1" applyNumberFormat="1" applyFont="1"/>
    <xf numFmtId="164" fontId="0" fillId="5" borderId="0" xfId="0" applyNumberFormat="1"/>
    <xf numFmtId="0" fontId="2" fillId="3" borderId="1" xfId="4"/>
    <xf numFmtId="164" fontId="2" fillId="3" borderId="1" xfId="4" applyNumberFormat="1"/>
    <xf numFmtId="0" fontId="3" fillId="5" borderId="2" xfId="2" applyAlignment="1">
      <alignment wrapText="1"/>
    </xf>
    <xf numFmtId="0" fontId="2" fillId="0" borderId="1" xfId="5"/>
    <xf numFmtId="0" fontId="3" fillId="5" borderId="2" xfId="2"/>
    <xf numFmtId="0" fontId="3" fillId="0" borderId="2" xfId="2" applyFill="1"/>
    <xf numFmtId="0" fontId="2" fillId="5" borderId="3" xfId="6"/>
    <xf numFmtId="10" fontId="2" fillId="3" borderId="1" xfId="4" applyNumberFormat="1"/>
    <xf numFmtId="164" fontId="2" fillId="0" borderId="1" xfId="5" applyNumberFormat="1"/>
    <xf numFmtId="165" fontId="2" fillId="3" borderId="1" xfId="4" applyNumberFormat="1"/>
    <xf numFmtId="164" fontId="2" fillId="0" borderId="3" xfId="1" applyNumberFormat="1" applyFont="1" applyBorder="1"/>
    <xf numFmtId="43" fontId="2" fillId="0" borderId="1" xfId="5" applyNumberFormat="1"/>
    <xf numFmtId="0" fontId="4" fillId="5" borderId="4" xfId="8"/>
    <xf numFmtId="164" fontId="2" fillId="0" borderId="1" xfId="1" applyNumberFormat="1" applyFont="1" applyBorder="1"/>
    <xf numFmtId="9" fontId="0" fillId="0" borderId="0" xfId="7" applyFont="1"/>
    <xf numFmtId="164" fontId="6" fillId="4" borderId="5" xfId="9" applyNumberFormat="1"/>
    <xf numFmtId="0" fontId="3" fillId="5" borderId="0" xfId="2" applyBorder="1" applyAlignment="1">
      <alignment wrapText="1"/>
    </xf>
    <xf numFmtId="0" fontId="6" fillId="4" borderId="5" xfId="9"/>
    <xf numFmtId="164" fontId="2" fillId="3" borderId="1" xfId="1" applyNumberFormat="1" applyFont="1" applyFill="1" applyBorder="1"/>
    <xf numFmtId="164" fontId="6" fillId="4" borderId="5" xfId="1" applyNumberFormat="1" applyFont="1" applyFill="1" applyBorder="1"/>
    <xf numFmtId="167" fontId="2" fillId="0" borderId="1" xfId="5" applyNumberFormat="1"/>
    <xf numFmtId="0" fontId="7" fillId="0" borderId="0" xfId="10"/>
    <xf numFmtId="2" fontId="2" fillId="0" borderId="1" xfId="5" applyNumberFormat="1"/>
    <xf numFmtId="6" fontId="2" fillId="5" borderId="3" xfId="6" applyNumberFormat="1"/>
    <xf numFmtId="168" fontId="2" fillId="0" borderId="3" xfId="11" applyNumberFormat="1" applyFont="1" applyBorder="1"/>
    <xf numFmtId="166" fontId="2" fillId="0" borderId="3" xfId="1" applyNumberFormat="1" applyFont="1" applyBorder="1"/>
    <xf numFmtId="0" fontId="3" fillId="0" borderId="2" xfId="2" quotePrefix="1" applyFill="1"/>
    <xf numFmtId="164" fontId="2" fillId="5" borderId="3" xfId="1" applyNumberFormat="1" applyFont="1" applyFill="1" applyBorder="1"/>
    <xf numFmtId="0" fontId="8" fillId="5" borderId="6" xfId="12"/>
    <xf numFmtId="167" fontId="2" fillId="5" borderId="3" xfId="6" applyNumberFormat="1"/>
    <xf numFmtId="169" fontId="2" fillId="0" borderId="1" xfId="5" applyNumberFormat="1"/>
    <xf numFmtId="17" fontId="2" fillId="0" borderId="1" xfId="5" applyNumberFormat="1"/>
    <xf numFmtId="17" fontId="2" fillId="3" borderId="1" xfId="4" applyNumberFormat="1"/>
    <xf numFmtId="0" fontId="2" fillId="5" borderId="3" xfId="6" applyNumberFormat="1"/>
    <xf numFmtId="170" fontId="2" fillId="0" borderId="1" xfId="5" applyNumberFormat="1"/>
    <xf numFmtId="9" fontId="2" fillId="3" borderId="1" xfId="4" applyNumberFormat="1"/>
    <xf numFmtId="0" fontId="2" fillId="3" borderId="1" xfId="4" applyAlignment="1">
      <alignment wrapText="1"/>
    </xf>
    <xf numFmtId="14" fontId="2" fillId="3" borderId="1" xfId="4" applyNumberFormat="1"/>
    <xf numFmtId="1" fontId="2" fillId="5" borderId="3" xfId="6" applyNumberFormat="1"/>
    <xf numFmtId="14" fontId="2" fillId="0" borderId="1" xfId="5" applyNumberFormat="1"/>
    <xf numFmtId="0" fontId="3" fillId="5" borderId="2" xfId="2" quotePrefix="1" applyAlignment="1">
      <alignment wrapText="1"/>
    </xf>
    <xf numFmtId="9" fontId="0" fillId="5" borderId="0" xfId="0" applyNumberFormat="1"/>
    <xf numFmtId="172" fontId="2" fillId="0" borderId="1" xfId="5" applyNumberFormat="1"/>
    <xf numFmtId="0" fontId="3" fillId="5" borderId="0" xfId="2" applyBorder="1"/>
    <xf numFmtId="166" fontId="2" fillId="0" borderId="1" xfId="1" applyNumberFormat="1" applyFont="1" applyBorder="1"/>
    <xf numFmtId="172" fontId="2" fillId="0" borderId="1" xfId="1" applyNumberFormat="1" applyFont="1" applyBorder="1"/>
    <xf numFmtId="172" fontId="2" fillId="5" borderId="3" xfId="6" applyNumberFormat="1"/>
    <xf numFmtId="164" fontId="2" fillId="5" borderId="3" xfId="6" applyNumberFormat="1"/>
    <xf numFmtId="0" fontId="9" fillId="5" borderId="0" xfId="0" applyFont="1"/>
    <xf numFmtId="0" fontId="10" fillId="5" borderId="0" xfId="0" applyFont="1"/>
    <xf numFmtId="43" fontId="2" fillId="3" borderId="1" xfId="1" applyFont="1" applyFill="1" applyBorder="1"/>
    <xf numFmtId="43" fontId="0" fillId="0" borderId="0" xfId="1" applyFont="1"/>
    <xf numFmtId="43" fontId="2" fillId="0" borderId="1" xfId="1" applyFont="1" applyBorder="1"/>
    <xf numFmtId="14" fontId="2" fillId="5" borderId="3" xfId="6" applyNumberFormat="1"/>
    <xf numFmtId="0" fontId="2" fillId="0" borderId="1" xfId="5" applyAlignment="1">
      <alignment wrapText="1"/>
    </xf>
    <xf numFmtId="1" fontId="2" fillId="0" borderId="1" xfId="5" applyNumberFormat="1"/>
    <xf numFmtId="171" fontId="2" fillId="5" borderId="3" xfId="7" applyNumberFormat="1" applyFont="1" applyFill="1" applyBorder="1"/>
    <xf numFmtId="0" fontId="4" fillId="5" borderId="7" xfId="8" applyBorder="1" applyAlignment="1"/>
    <xf numFmtId="0" fontId="4" fillId="5" borderId="0" xfId="8" applyBorder="1" applyAlignment="1">
      <alignment horizontal="center"/>
    </xf>
    <xf numFmtId="43" fontId="0" fillId="5" borderId="0" xfId="0" applyNumberFormat="1"/>
    <xf numFmtId="0" fontId="4" fillId="5" borderId="4" xfId="8" applyAlignment="1">
      <alignment horizontal="center"/>
    </xf>
    <xf numFmtId="0" fontId="4" fillId="5" borderId="7" xfId="8" applyBorder="1" applyAlignment="1">
      <alignment horizontal="center"/>
    </xf>
  </cellXfs>
  <cellStyles count="13">
    <cellStyle name="Bad" xfId="3" builtinId="27" customBuiltin="1"/>
    <cellStyle name="Calculation" xfId="5" builtinId="22" customBuiltin="1"/>
    <cellStyle name="Comma" xfId="1" builtinId="3"/>
    <cellStyle name="Currency" xfId="11" builtinId="4"/>
    <cellStyle name="Heading 1" xfId="12" builtinId="16" customBuiltin="1"/>
    <cellStyle name="Heading 2" xfId="8" builtinId="17" customBuiltin="1"/>
    <cellStyle name="Heading 3" xfId="2" builtinId="18" customBuiltin="1"/>
    <cellStyle name="Input" xfId="4" builtinId="20" customBuiltin="1"/>
    <cellStyle name="Linked Cell" xfId="6" builtinId="24" customBuiltin="1"/>
    <cellStyle name="Normal" xfId="0" builtinId="0" customBuiltin="1"/>
    <cellStyle name="Output" xfId="9" builtinId="21" customBuiltin="1"/>
    <cellStyle name="Percent" xfId="7" builtinId="5"/>
    <cellStyle name="Title" xfId="10" builtinId="1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len, Mark" id="{5C7F5C79-519B-43C7-9D61-8F91270B4BE0}" userId="Mark.Allen@apa.com.au" providerId="PeoplePicker"/>
  <person displayName="Martyn, Annie" id="{354BF1C5-F5A2-4264-A657-C68E5EA8967A}" userId="S::annie.martyn@apa.com.au::42546567-842f-4c8a-9fd5-7b06f79ae4e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" dT="2024-10-30T02:31:57.21" personId="{354BF1C5-F5A2-4264-A657-C68E5EA8967A}" id="{B161459C-CE74-4B41-BD53-5D52B48CF341}" done="1">
    <text xml:space="preserve">@Allen, Mark This is accurate failure rate. Remains critical to operation but economics may say not to purchase.
</text>
    <mentions>
      <mention mentionpersonId="{5C7F5C79-519B-43C7-9D61-8F91270B4BE0}" mentionId="{3875AC72-F232-4D6E-9468-18DDD6A12BBC}" startIndex="0" length="12"/>
    </mentions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4409F-634B-47A2-B6E4-84A04EBEF655}">
  <dimension ref="A2:A9"/>
  <sheetViews>
    <sheetView workbookViewId="0">
      <selection activeCell="A25" sqref="A25"/>
    </sheetView>
  </sheetViews>
  <sheetFormatPr defaultRowHeight="15" x14ac:dyDescent="0.25"/>
  <cols>
    <col min="1" max="1" width="135" customWidth="1"/>
  </cols>
  <sheetData>
    <row r="2" spans="1:1" x14ac:dyDescent="0.25">
      <c r="A2" s="52" t="s">
        <v>0</v>
      </c>
    </row>
    <row r="4" spans="1:1" x14ac:dyDescent="0.25">
      <c r="A4" t="s">
        <v>1</v>
      </c>
    </row>
    <row r="5" spans="1:1" ht="30" x14ac:dyDescent="0.25">
      <c r="A5" s="1" t="s">
        <v>2</v>
      </c>
    </row>
    <row r="6" spans="1:1" ht="30" x14ac:dyDescent="0.25">
      <c r="A6" s="1" t="s">
        <v>3</v>
      </c>
    </row>
    <row r="7" spans="1:1" ht="99.75" customHeight="1" x14ac:dyDescent="0.25">
      <c r="A7" s="1" t="s">
        <v>4</v>
      </c>
    </row>
    <row r="8" spans="1:1" x14ac:dyDescent="0.25">
      <c r="A8" s="53" t="s">
        <v>5</v>
      </c>
    </row>
    <row r="9" spans="1:1" x14ac:dyDescent="0.25">
      <c r="A9" s="5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EAAD-4792-44C1-B2AC-A2EC81DF5D4A}">
  <dimension ref="A5:Q75"/>
  <sheetViews>
    <sheetView topLeftCell="A52" zoomScale="85" zoomScaleNormal="85" workbookViewId="0">
      <selection activeCell="A82" sqref="A82"/>
    </sheetView>
  </sheetViews>
  <sheetFormatPr defaultRowHeight="15" x14ac:dyDescent="0.25"/>
  <cols>
    <col min="1" max="1" width="72.7109375" customWidth="1"/>
    <col min="2" max="2" width="19" customWidth="1"/>
    <col min="6" max="6" width="10.5703125" bestFit="1" customWidth="1"/>
    <col min="7" max="7" width="10.5703125" customWidth="1"/>
    <col min="8" max="8" width="21.85546875" bestFit="1" customWidth="1"/>
    <col min="9" max="9" width="16" bestFit="1" customWidth="1"/>
    <col min="10" max="11" width="34.140625" customWidth="1"/>
    <col min="12" max="14" width="21.85546875" customWidth="1"/>
    <col min="15" max="15" width="18.28515625" customWidth="1"/>
    <col min="16" max="16" width="16.7109375" bestFit="1" customWidth="1"/>
    <col min="17" max="17" width="11.85546875" bestFit="1" customWidth="1"/>
    <col min="18" max="18" width="10.7109375" customWidth="1"/>
    <col min="19" max="19" width="11.42578125" customWidth="1"/>
    <col min="21" max="21" width="10.5703125" bestFit="1" customWidth="1"/>
  </cols>
  <sheetData>
    <row r="5" spans="1:17" ht="26.25" thickBot="1" x14ac:dyDescent="0.4">
      <c r="A5" s="32" t="str" cm="1">
        <f t="array" aca="1" ref="A5" ca="1">RIGHT(CELL("filename",A2),LEN(CELL("filename",A2))-FIND("]",CELL("filename",A2)))</f>
        <v xml:space="preserve"> 1.0 Asset Data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.75" thickTop="1" x14ac:dyDescent="0.25"/>
    <row r="7" spans="1:17" ht="37.5" thickBot="1" x14ac:dyDescent="0.3">
      <c r="A7" s="6" t="s">
        <v>197</v>
      </c>
      <c r="B7" s="6" t="s">
        <v>198</v>
      </c>
      <c r="C7" s="6" t="s">
        <v>199</v>
      </c>
      <c r="D7" s="6" t="s">
        <v>7</v>
      </c>
      <c r="E7" s="6" t="s">
        <v>8</v>
      </c>
      <c r="F7" s="6" t="s">
        <v>200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 t="s">
        <v>18</v>
      </c>
    </row>
    <row r="8" spans="1:17" x14ac:dyDescent="0.25">
      <c r="A8" s="4" t="str">
        <f>"Spare "&amp;ROW(A8)-7</f>
        <v>Spare 1</v>
      </c>
      <c r="B8" s="4">
        <v>120</v>
      </c>
      <c r="C8" s="4">
        <v>0</v>
      </c>
      <c r="D8" s="13">
        <v>1.8360000000000001</v>
      </c>
      <c r="E8" s="24">
        <f>IFERROR(D8/18,"")</f>
        <v>0.10200000000000001</v>
      </c>
      <c r="F8" s="5">
        <v>134189.12055854473</v>
      </c>
      <c r="G8" s="5">
        <v>0</v>
      </c>
      <c r="H8" s="4" t="s">
        <v>201</v>
      </c>
      <c r="I8" s="4">
        <v>30</v>
      </c>
      <c r="J8" s="4" t="s">
        <v>202</v>
      </c>
      <c r="K8" s="12">
        <f>IF(A8=0,0,I8*7*'1.1 Other Data'!$B$60)</f>
        <v>14231280</v>
      </c>
      <c r="L8" s="22">
        <v>0</v>
      </c>
      <c r="M8" s="22">
        <v>0</v>
      </c>
      <c r="N8" s="12">
        <f>AVERAGE(L8:M8)</f>
        <v>0</v>
      </c>
      <c r="O8" s="7" t="str">
        <f>IF(A8=0,"",_xlfn.IFNA(LEFT(H8,FIND(" ",H8,1)-1),""))</f>
        <v>Lead</v>
      </c>
      <c r="P8" s="13">
        <v>9.8039215686274499</v>
      </c>
      <c r="Q8" s="7" t="str">
        <f>IF(O8="mean",IF(P8&gt;'1.1 Other Data'!$B$31," Original"," Replacement"),"")</f>
        <v/>
      </c>
    </row>
    <row r="9" spans="1:17" x14ac:dyDescent="0.25">
      <c r="A9" s="4" t="str">
        <f t="shared" ref="A9:A71" si="0">"Spare "&amp;ROW(A9)-7</f>
        <v>Spare 2</v>
      </c>
      <c r="B9" s="4">
        <v>10</v>
      </c>
      <c r="C9" s="4">
        <v>0</v>
      </c>
      <c r="D9" s="13">
        <v>15.3</v>
      </c>
      <c r="E9" s="24">
        <f t="shared" ref="E9:E71" si="1">IFERROR(D9/18,"")</f>
        <v>0.85000000000000009</v>
      </c>
      <c r="F9" s="5">
        <v>145857.7397375486</v>
      </c>
      <c r="G9" s="5">
        <v>0</v>
      </c>
      <c r="H9" s="4" t="s">
        <v>201</v>
      </c>
      <c r="I9" s="4">
        <v>30</v>
      </c>
      <c r="J9" s="4" t="s">
        <v>202</v>
      </c>
      <c r="K9" s="12">
        <f>IF(A9=0,0,I9*7*'1.1 Other Data'!$B$60)</f>
        <v>14231280</v>
      </c>
      <c r="L9" s="22">
        <v>0</v>
      </c>
      <c r="M9" s="22">
        <v>0</v>
      </c>
      <c r="N9" s="12">
        <f t="shared" ref="N9:N71" si="2">AVERAGE(L9:M9)</f>
        <v>0</v>
      </c>
      <c r="O9" s="7" t="str">
        <f t="shared" ref="O9:O71" si="3">IF(A9=0,"",_xlfn.IFNA(LEFT(H9,FIND(" ",H9,1)-1),""))</f>
        <v>Lead</v>
      </c>
      <c r="P9" s="13">
        <v>1.1764705882352939</v>
      </c>
      <c r="Q9" s="7" t="str">
        <f>IF(O9="mean",IF(P9&gt;'1.1 Other Data'!$B$31," Original"," Replacement"),"")</f>
        <v/>
      </c>
    </row>
    <row r="10" spans="1:17" x14ac:dyDescent="0.25">
      <c r="A10" s="4" t="str">
        <f t="shared" si="0"/>
        <v>Spare 3</v>
      </c>
      <c r="B10" s="4">
        <v>10</v>
      </c>
      <c r="C10" s="4">
        <v>0</v>
      </c>
      <c r="D10" s="13">
        <v>15.3</v>
      </c>
      <c r="E10" s="24">
        <f t="shared" si="1"/>
        <v>0.85000000000000009</v>
      </c>
      <c r="F10" s="5">
        <v>145857.7397375486</v>
      </c>
      <c r="G10" s="5">
        <v>0</v>
      </c>
      <c r="H10" s="4" t="s">
        <v>201</v>
      </c>
      <c r="I10" s="4">
        <v>30</v>
      </c>
      <c r="J10" s="4" t="s">
        <v>202</v>
      </c>
      <c r="K10" s="12">
        <f>IF(A10=0,0,I10*7*'1.1 Other Data'!$B$60)</f>
        <v>14231280</v>
      </c>
      <c r="L10" s="22">
        <v>0</v>
      </c>
      <c r="M10" s="22">
        <v>0</v>
      </c>
      <c r="N10" s="12">
        <f t="shared" si="2"/>
        <v>0</v>
      </c>
      <c r="O10" s="7" t="str">
        <f t="shared" si="3"/>
        <v>Lead</v>
      </c>
      <c r="P10" s="13">
        <v>1.1764705882352939</v>
      </c>
      <c r="Q10" s="7" t="str">
        <f>IF(O10="mean",IF(P10&gt;'1.1 Other Data'!$B$31," Original"," Replacement"),"")</f>
        <v/>
      </c>
    </row>
    <row r="11" spans="1:17" x14ac:dyDescent="0.25">
      <c r="A11" s="4" t="str">
        <f t="shared" si="0"/>
        <v>Spare 4</v>
      </c>
      <c r="B11" s="4">
        <v>1</v>
      </c>
      <c r="C11" s="4">
        <v>0</v>
      </c>
      <c r="D11" s="13">
        <v>6.1200000000000004E-2</v>
      </c>
      <c r="E11" s="24">
        <f t="shared" si="1"/>
        <v>3.4000000000000002E-3</v>
      </c>
      <c r="F11" s="5">
        <v>72112.066526244031</v>
      </c>
      <c r="G11" s="5">
        <v>0</v>
      </c>
      <c r="H11" s="4" t="s">
        <v>201</v>
      </c>
      <c r="I11" s="4">
        <v>52</v>
      </c>
      <c r="J11" s="4" t="s">
        <v>202</v>
      </c>
      <c r="K11" s="12">
        <f>IF(A11=0,0,I11*7*'1.1 Other Data'!$B$60)</f>
        <v>24667552</v>
      </c>
      <c r="L11" s="22">
        <v>0</v>
      </c>
      <c r="M11" s="22">
        <v>0</v>
      </c>
      <c r="N11" s="12">
        <f t="shared" si="2"/>
        <v>0</v>
      </c>
      <c r="O11" s="7" t="str">
        <f t="shared" si="3"/>
        <v>Lead</v>
      </c>
      <c r="P11" s="13">
        <v>294.11764705882354</v>
      </c>
      <c r="Q11" s="7" t="str">
        <f>IF(O11="mean",IF(P11&gt;'1.1 Other Data'!$B$31," Original"," Replacement"),"")</f>
        <v/>
      </c>
    </row>
    <row r="12" spans="1:17" x14ac:dyDescent="0.25">
      <c r="A12" s="4" t="str">
        <f t="shared" si="0"/>
        <v>Spare 5</v>
      </c>
      <c r="B12" s="4">
        <v>1</v>
      </c>
      <c r="C12" s="4">
        <v>0</v>
      </c>
      <c r="D12" s="13">
        <v>1.1305656000000001E-2</v>
      </c>
      <c r="E12" s="24">
        <f t="shared" si="1"/>
        <v>6.2809200000000002E-4</v>
      </c>
      <c r="F12" s="5">
        <v>9807.2410475691886</v>
      </c>
      <c r="G12" s="5">
        <v>0</v>
      </c>
      <c r="H12" s="4" t="s">
        <v>201</v>
      </c>
      <c r="I12" s="4">
        <v>25</v>
      </c>
      <c r="J12" s="4" t="s">
        <v>202</v>
      </c>
      <c r="K12" s="12">
        <f>IF(A12=0,0,I12*7*'1.1 Other Data'!$B$60)</f>
        <v>11859400</v>
      </c>
      <c r="L12" s="22">
        <v>0</v>
      </c>
      <c r="M12" s="22">
        <v>0</v>
      </c>
      <c r="N12" s="12">
        <f t="shared" si="2"/>
        <v>0</v>
      </c>
      <c r="O12" s="7" t="str">
        <f t="shared" si="3"/>
        <v>Lead</v>
      </c>
      <c r="P12" s="13">
        <v>1592.1234468835776</v>
      </c>
      <c r="Q12" s="7" t="str">
        <f>IF(O12="mean",IF(P12&gt;'1.1 Other Data'!$B$31," Original"," Replacement"),"")</f>
        <v/>
      </c>
    </row>
    <row r="13" spans="1:17" x14ac:dyDescent="0.25">
      <c r="A13" s="4" t="str">
        <f t="shared" si="0"/>
        <v>Spare 6</v>
      </c>
      <c r="B13" s="4">
        <v>3</v>
      </c>
      <c r="C13" s="4">
        <v>1</v>
      </c>
      <c r="D13" s="13">
        <v>0.14158800000000002</v>
      </c>
      <c r="E13" s="24">
        <f>IFERROR(D13/18,"")</f>
        <v>7.8660000000000015E-3</v>
      </c>
      <c r="F13" s="5">
        <v>23075.861288398093</v>
      </c>
      <c r="G13" s="5">
        <v>0</v>
      </c>
      <c r="H13" s="4" t="s">
        <v>201</v>
      </c>
      <c r="I13" s="4">
        <v>32</v>
      </c>
      <c r="J13" s="4" t="s">
        <v>202</v>
      </c>
      <c r="K13" s="12">
        <f>IF(A13=0,0,I13*7*'1.1 Other Data'!$B$60)</f>
        <v>15180032</v>
      </c>
      <c r="L13" s="22">
        <v>0</v>
      </c>
      <c r="M13" s="22">
        <v>0</v>
      </c>
      <c r="N13" s="12">
        <f t="shared" si="2"/>
        <v>0</v>
      </c>
      <c r="O13" s="7" t="str">
        <f t="shared" si="3"/>
        <v>Lead</v>
      </c>
      <c r="P13" s="13">
        <v>127.1294177472667</v>
      </c>
      <c r="Q13" s="7" t="str">
        <f>IF(O13="mean",IF(P13&gt;'1.1 Other Data'!$B$31," Original"," Replacement"),"")</f>
        <v/>
      </c>
    </row>
    <row r="14" spans="1:17" x14ac:dyDescent="0.25">
      <c r="A14" s="4" t="str">
        <f t="shared" si="0"/>
        <v>Spare 7</v>
      </c>
      <c r="B14" s="4">
        <v>1</v>
      </c>
      <c r="C14" s="4">
        <v>0</v>
      </c>
      <c r="D14" s="13">
        <v>2.6220000000000002E-3</v>
      </c>
      <c r="E14" s="24">
        <f>IFERROR(D14/18,"")</f>
        <v>1.4566666666666667E-4</v>
      </c>
      <c r="F14" s="5">
        <v>87591.656729110589</v>
      </c>
      <c r="G14" s="5">
        <v>0</v>
      </c>
      <c r="H14" s="4" t="s">
        <v>201</v>
      </c>
      <c r="I14" s="4">
        <v>104</v>
      </c>
      <c r="J14" s="4" t="s">
        <v>202</v>
      </c>
      <c r="K14" s="12">
        <f>IF(A14=0,0,I14*7*'1.1 Other Data'!$B$60)</f>
        <v>49335104</v>
      </c>
      <c r="L14" s="22">
        <v>0</v>
      </c>
      <c r="M14" s="22">
        <v>0</v>
      </c>
      <c r="N14" s="12">
        <f t="shared" si="2"/>
        <v>0</v>
      </c>
      <c r="O14" s="7" t="str">
        <f t="shared" si="3"/>
        <v>Lead</v>
      </c>
      <c r="P14" s="13">
        <v>381.3882532418001</v>
      </c>
      <c r="Q14" s="7" t="str">
        <f>IF(O14="mean",IF(P14&gt;'1.1 Other Data'!$B$31," Original"," Replacement"),"")</f>
        <v/>
      </c>
    </row>
    <row r="15" spans="1:17" x14ac:dyDescent="0.25">
      <c r="A15" s="4" t="str">
        <f t="shared" si="0"/>
        <v>Spare 8</v>
      </c>
      <c r="B15" s="4">
        <v>2</v>
      </c>
      <c r="C15" s="4">
        <v>0</v>
      </c>
      <c r="D15" s="13">
        <v>0.1125</v>
      </c>
      <c r="E15" s="24">
        <f t="shared" si="1"/>
        <v>6.2500000000000003E-3</v>
      </c>
      <c r="F15" s="5">
        <v>10239.236666814271</v>
      </c>
      <c r="G15" s="5">
        <v>0</v>
      </c>
      <c r="H15" s="4" t="s">
        <v>201</v>
      </c>
      <c r="I15" s="4">
        <v>12</v>
      </c>
      <c r="J15" s="4" t="s">
        <v>202</v>
      </c>
      <c r="K15" s="12">
        <f>IF(A15=0,0,I15*7*'1.1 Other Data'!$B$60)</f>
        <v>5692512</v>
      </c>
      <c r="L15" s="22">
        <v>0</v>
      </c>
      <c r="M15" s="22">
        <v>0</v>
      </c>
      <c r="N15" s="12">
        <f t="shared" si="2"/>
        <v>0</v>
      </c>
      <c r="O15" s="7" t="str">
        <f t="shared" si="3"/>
        <v>Lead</v>
      </c>
      <c r="P15" s="13">
        <v>160</v>
      </c>
      <c r="Q15" s="7" t="str">
        <f>IF(O15="mean",IF(P15&gt;'1.1 Other Data'!$B$31," Original"," Replacement"),"")</f>
        <v/>
      </c>
    </row>
    <row r="16" spans="1:17" x14ac:dyDescent="0.25">
      <c r="A16" s="4" t="str">
        <f t="shared" si="0"/>
        <v>Spare 9</v>
      </c>
      <c r="B16" s="4">
        <v>1</v>
      </c>
      <c r="C16" s="4">
        <v>0</v>
      </c>
      <c r="D16" s="13">
        <v>6.4285714285714279E-2</v>
      </c>
      <c r="E16" s="24">
        <f t="shared" si="1"/>
        <v>3.5714285714285709E-3</v>
      </c>
      <c r="F16" s="5">
        <v>6398.522332664319</v>
      </c>
      <c r="G16" s="5">
        <v>0</v>
      </c>
      <c r="H16" s="4" t="s">
        <v>201</v>
      </c>
      <c r="I16" s="4">
        <v>12</v>
      </c>
      <c r="J16" s="4" t="s">
        <v>202</v>
      </c>
      <c r="K16" s="12">
        <f>IF(A16=0,0,I16*7*'1.1 Other Data'!$B$60)</f>
        <v>5692512</v>
      </c>
      <c r="L16" s="22">
        <v>0</v>
      </c>
      <c r="M16" s="22">
        <v>0</v>
      </c>
      <c r="N16" s="12">
        <f t="shared" si="2"/>
        <v>0</v>
      </c>
      <c r="O16" s="7" t="str">
        <f t="shared" si="3"/>
        <v>Lead</v>
      </c>
      <c r="P16" s="13">
        <v>280</v>
      </c>
      <c r="Q16" s="7" t="str">
        <f>IF(O16="mean",IF(P16&gt;'1.1 Other Data'!$B$31," Original"," Replacement"),"")</f>
        <v/>
      </c>
    </row>
    <row r="17" spans="1:17" x14ac:dyDescent="0.25">
      <c r="A17" s="4" t="str">
        <f t="shared" si="0"/>
        <v>Spare 10</v>
      </c>
      <c r="B17" s="4">
        <v>2</v>
      </c>
      <c r="C17" s="4">
        <v>0</v>
      </c>
      <c r="D17" s="13">
        <v>3.0328559393428812E-2</v>
      </c>
      <c r="E17" s="24">
        <f t="shared" si="1"/>
        <v>1.6849199663016006E-3</v>
      </c>
      <c r="F17" s="5">
        <v>1250.8759759892168</v>
      </c>
      <c r="G17" s="5">
        <v>0</v>
      </c>
      <c r="H17" s="4" t="s">
        <v>201</v>
      </c>
      <c r="I17" s="4">
        <v>12</v>
      </c>
      <c r="J17" s="4" t="s">
        <v>202</v>
      </c>
      <c r="K17" s="12">
        <f>IF(A17=0,0,I17*7*'1.1 Other Data'!$B$60)</f>
        <v>5692512</v>
      </c>
      <c r="L17" s="22">
        <v>0</v>
      </c>
      <c r="M17" s="22">
        <v>0</v>
      </c>
      <c r="N17" s="12">
        <f t="shared" si="2"/>
        <v>0</v>
      </c>
      <c r="O17" s="7" t="str">
        <f t="shared" si="3"/>
        <v>Lead</v>
      </c>
      <c r="P17" s="13">
        <v>593.5</v>
      </c>
      <c r="Q17" s="7" t="str">
        <f>IF(O17="mean",IF(P17&gt;'1.1 Other Data'!$B$31," Original"," Replacement"),"")</f>
        <v/>
      </c>
    </row>
    <row r="18" spans="1:17" x14ac:dyDescent="0.25">
      <c r="A18" s="4" t="str">
        <f t="shared" si="0"/>
        <v>Spare 11</v>
      </c>
      <c r="B18" s="4">
        <v>1</v>
      </c>
      <c r="C18" s="4">
        <v>0</v>
      </c>
      <c r="D18" s="13">
        <v>0.36</v>
      </c>
      <c r="E18" s="24">
        <f t="shared" si="1"/>
        <v>0.02</v>
      </c>
      <c r="F18" s="5">
        <v>1334.8900340780449</v>
      </c>
      <c r="G18" s="5">
        <v>0</v>
      </c>
      <c r="H18" s="4" t="s">
        <v>201</v>
      </c>
      <c r="I18" s="4">
        <v>20</v>
      </c>
      <c r="J18" s="4" t="s">
        <v>202</v>
      </c>
      <c r="K18" s="12">
        <f>IF(A18=0,0,I18*7*'1.1 Other Data'!$B$60)</f>
        <v>9487520</v>
      </c>
      <c r="L18" s="22">
        <v>0</v>
      </c>
      <c r="M18" s="22">
        <v>0</v>
      </c>
      <c r="N18" s="12">
        <f t="shared" si="2"/>
        <v>0</v>
      </c>
      <c r="O18" s="7" t="str">
        <f t="shared" si="3"/>
        <v>Lead</v>
      </c>
      <c r="P18" s="13">
        <v>50</v>
      </c>
      <c r="Q18" s="7" t="str">
        <f>IF(O18="mean",IF(P18&gt;'1.1 Other Data'!$B$31," Original"," Replacement"),"")</f>
        <v/>
      </c>
    </row>
    <row r="19" spans="1:17" x14ac:dyDescent="0.25">
      <c r="A19" s="4" t="str">
        <f t="shared" si="0"/>
        <v>Spare 12</v>
      </c>
      <c r="B19" s="4">
        <v>2</v>
      </c>
      <c r="C19" s="4">
        <v>0</v>
      </c>
      <c r="D19" s="13">
        <v>1.3259668508287293E-2</v>
      </c>
      <c r="E19" s="24">
        <f t="shared" si="1"/>
        <v>7.3664825046040514E-4</v>
      </c>
      <c r="F19" s="5">
        <v>1414.2366444952713</v>
      </c>
      <c r="G19" s="5">
        <v>0</v>
      </c>
      <c r="H19" s="4" t="s">
        <v>201</v>
      </c>
      <c r="I19" s="4">
        <v>24</v>
      </c>
      <c r="J19" s="4" t="s">
        <v>202</v>
      </c>
      <c r="K19" s="12">
        <f>IF(A19=0,0,I19*7*'1.1 Other Data'!$B$60)</f>
        <v>11385024</v>
      </c>
      <c r="L19" s="22">
        <v>0</v>
      </c>
      <c r="M19" s="22">
        <v>0</v>
      </c>
      <c r="N19" s="12">
        <f t="shared" si="2"/>
        <v>0</v>
      </c>
      <c r="O19" s="7" t="str">
        <f t="shared" si="3"/>
        <v>Lead</v>
      </c>
      <c r="P19" s="13">
        <v>1357.5</v>
      </c>
      <c r="Q19" s="7" t="str">
        <f>IF(O19="mean",IF(P19&gt;'1.1 Other Data'!$B$31," Original"," Replacement"),"")</f>
        <v/>
      </c>
    </row>
    <row r="20" spans="1:17" x14ac:dyDescent="0.25">
      <c r="A20" s="4" t="str">
        <f t="shared" si="0"/>
        <v>Spare 13</v>
      </c>
      <c r="B20" s="4">
        <v>3</v>
      </c>
      <c r="C20" s="4">
        <v>1</v>
      </c>
      <c r="D20" s="13">
        <v>3</v>
      </c>
      <c r="E20" s="24">
        <f t="shared" si="1"/>
        <v>0.16666666666666666</v>
      </c>
      <c r="F20" s="5">
        <v>58343.095895019447</v>
      </c>
      <c r="G20" s="5">
        <v>0</v>
      </c>
      <c r="H20" s="4" t="s">
        <v>203</v>
      </c>
      <c r="I20" s="4">
        <v>48</v>
      </c>
      <c r="J20" s="4" t="s">
        <v>202</v>
      </c>
      <c r="K20" s="12">
        <f>IF(A20=0,0,I20*7*'1.1 Other Data'!$B$60)</f>
        <v>22770048</v>
      </c>
      <c r="L20" s="22">
        <v>0</v>
      </c>
      <c r="M20" s="22">
        <v>0</v>
      </c>
      <c r="N20" s="12">
        <f t="shared" si="2"/>
        <v>0</v>
      </c>
      <c r="O20" s="7" t="str">
        <f t="shared" si="3"/>
        <v>Lead</v>
      </c>
      <c r="P20" s="13">
        <v>6</v>
      </c>
      <c r="Q20" s="7" t="str">
        <f>IF(O20="mean",IF(P20&gt;'1.1 Other Data'!$B$31," Original"," Replacement"),"")</f>
        <v/>
      </c>
    </row>
    <row r="21" spans="1:17" x14ac:dyDescent="0.25">
      <c r="A21" s="4" t="str">
        <f t="shared" si="0"/>
        <v>Spare 14</v>
      </c>
      <c r="B21" s="4">
        <v>6</v>
      </c>
      <c r="C21" s="4">
        <v>0</v>
      </c>
      <c r="D21" s="13">
        <v>6</v>
      </c>
      <c r="E21" s="24">
        <f t="shared" si="1"/>
        <v>0.33333333333333331</v>
      </c>
      <c r="F21" s="5">
        <v>58343.095895019447</v>
      </c>
      <c r="G21" s="5">
        <v>0</v>
      </c>
      <c r="H21" s="4" t="s">
        <v>203</v>
      </c>
      <c r="I21" s="4">
        <v>104</v>
      </c>
      <c r="J21" s="4" t="s">
        <v>202</v>
      </c>
      <c r="K21" s="12">
        <f>IF(A21=0,0,I21*7*'1.1 Other Data'!$B$60)</f>
        <v>49335104</v>
      </c>
      <c r="L21" s="22">
        <v>0</v>
      </c>
      <c r="M21" s="22">
        <v>0</v>
      </c>
      <c r="N21" s="12">
        <f t="shared" si="2"/>
        <v>0</v>
      </c>
      <c r="O21" s="7" t="str">
        <f t="shared" si="3"/>
        <v>Lead</v>
      </c>
      <c r="P21" s="13">
        <v>3</v>
      </c>
      <c r="Q21" s="7" t="str">
        <f>IF(O21="mean",IF(P21&gt;'1.1 Other Data'!$B$31," Original"," Replacement"),"")</f>
        <v/>
      </c>
    </row>
    <row r="22" spans="1:17" x14ac:dyDescent="0.25">
      <c r="A22" s="4" t="str">
        <f t="shared" si="0"/>
        <v>Spare 15</v>
      </c>
      <c r="B22" s="4">
        <v>3</v>
      </c>
      <c r="C22" s="4">
        <v>1</v>
      </c>
      <c r="D22" s="13">
        <v>3</v>
      </c>
      <c r="E22" s="24">
        <f t="shared" si="1"/>
        <v>0.16666666666666666</v>
      </c>
      <c r="F22" s="5">
        <v>58343.095895019447</v>
      </c>
      <c r="G22" s="5">
        <v>0</v>
      </c>
      <c r="H22" s="4" t="s">
        <v>203</v>
      </c>
      <c r="I22" s="4">
        <v>104</v>
      </c>
      <c r="J22" s="4" t="s">
        <v>202</v>
      </c>
      <c r="K22" s="12">
        <f>IF(A22=0,0,I22*7*'1.1 Other Data'!$B$60)</f>
        <v>49335104</v>
      </c>
      <c r="L22" s="22">
        <v>0</v>
      </c>
      <c r="M22" s="22">
        <v>0</v>
      </c>
      <c r="N22" s="12">
        <f t="shared" si="2"/>
        <v>0</v>
      </c>
      <c r="O22" s="7" t="str">
        <f t="shared" si="3"/>
        <v>Lead</v>
      </c>
      <c r="P22" s="13">
        <v>6</v>
      </c>
      <c r="Q22" s="7" t="str">
        <f>IF(O22="mean",IF(P22&gt;'1.1 Other Data'!$B$31," Original"," Replacement"),"")</f>
        <v/>
      </c>
    </row>
    <row r="23" spans="1:17" x14ac:dyDescent="0.25">
      <c r="A23" s="4" t="str">
        <f t="shared" si="0"/>
        <v>Spare 16</v>
      </c>
      <c r="B23" s="4">
        <v>6</v>
      </c>
      <c r="C23" s="4">
        <v>0</v>
      </c>
      <c r="D23" s="13">
        <v>6</v>
      </c>
      <c r="E23" s="24">
        <f t="shared" si="1"/>
        <v>0.33333333333333331</v>
      </c>
      <c r="F23" s="5">
        <v>58343.095895019447</v>
      </c>
      <c r="G23" s="5">
        <v>0</v>
      </c>
      <c r="H23" s="4" t="s">
        <v>203</v>
      </c>
      <c r="I23" s="4">
        <v>104</v>
      </c>
      <c r="J23" s="4" t="s">
        <v>202</v>
      </c>
      <c r="K23" s="12">
        <f>IF(A23=0,0,I23*7*'1.1 Other Data'!$B$60)</f>
        <v>49335104</v>
      </c>
      <c r="L23" s="22">
        <v>0</v>
      </c>
      <c r="M23" s="22">
        <v>0</v>
      </c>
      <c r="N23" s="12">
        <f t="shared" si="2"/>
        <v>0</v>
      </c>
      <c r="O23" s="7" t="str">
        <f t="shared" si="3"/>
        <v>Lead</v>
      </c>
      <c r="P23" s="13">
        <v>3</v>
      </c>
      <c r="Q23" s="7" t="str">
        <f>IF(O23="mean",IF(P23&gt;'1.1 Other Data'!$B$31," Original"," Replacement"),"")</f>
        <v/>
      </c>
    </row>
    <row r="24" spans="1:17" x14ac:dyDescent="0.25">
      <c r="A24" s="4" t="str">
        <f t="shared" si="0"/>
        <v>Spare 17</v>
      </c>
      <c r="B24" s="4">
        <v>24</v>
      </c>
      <c r="C24" s="4">
        <v>5</v>
      </c>
      <c r="D24" s="13">
        <v>1.0217664000000002</v>
      </c>
      <c r="E24" s="24">
        <f t="shared" si="1"/>
        <v>5.6764800000000011E-2</v>
      </c>
      <c r="F24" s="5">
        <v>10976.016619014934</v>
      </c>
      <c r="G24" s="5">
        <v>0</v>
      </c>
      <c r="H24" s="4" t="s">
        <v>203</v>
      </c>
      <c r="I24" s="4">
        <v>40</v>
      </c>
      <c r="J24" s="4" t="s">
        <v>202</v>
      </c>
      <c r="K24" s="12">
        <f>IF(A24=0,0,I24*7*'1.1 Other Data'!$B$60)</f>
        <v>18975040</v>
      </c>
      <c r="L24" s="22">
        <v>0</v>
      </c>
      <c r="M24" s="22">
        <v>0</v>
      </c>
      <c r="N24" s="12">
        <f t="shared" si="2"/>
        <v>0</v>
      </c>
      <c r="O24" s="7" t="str">
        <f t="shared" si="3"/>
        <v>Lead</v>
      </c>
      <c r="P24" s="13">
        <v>17.616551102091435</v>
      </c>
      <c r="Q24" s="7" t="str">
        <f>IF(O24="mean",IF(P24&gt;'1.1 Other Data'!$B$31," Original"," Replacement"),"")</f>
        <v/>
      </c>
    </row>
    <row r="25" spans="1:17" x14ac:dyDescent="0.25">
      <c r="A25" s="4" t="str">
        <f t="shared" si="0"/>
        <v>Spare 18</v>
      </c>
      <c r="B25" s="4">
        <v>30</v>
      </c>
      <c r="C25" s="4">
        <v>0</v>
      </c>
      <c r="D25" s="13">
        <v>1.5965099999999999</v>
      </c>
      <c r="E25" s="24">
        <f t="shared" si="1"/>
        <v>8.8694999999999996E-2</v>
      </c>
      <c r="F25" s="5">
        <v>12104.045372287597</v>
      </c>
      <c r="G25" s="5">
        <v>0</v>
      </c>
      <c r="H25" s="4" t="s">
        <v>203</v>
      </c>
      <c r="I25" s="4">
        <v>40</v>
      </c>
      <c r="J25" s="4" t="s">
        <v>202</v>
      </c>
      <c r="K25" s="12">
        <f>IF(A25=0,0,I25*7*'1.1 Other Data'!$B$60)</f>
        <v>18975040</v>
      </c>
      <c r="L25" s="22">
        <v>0</v>
      </c>
      <c r="M25" s="22">
        <v>0</v>
      </c>
      <c r="N25" s="12">
        <f t="shared" si="2"/>
        <v>0</v>
      </c>
      <c r="O25" s="7" t="str">
        <f t="shared" si="3"/>
        <v>Lead</v>
      </c>
      <c r="P25" s="13">
        <v>11.27459270533852</v>
      </c>
      <c r="Q25" s="7" t="str">
        <f>IF(O25="mean",IF(P25&gt;'1.1 Other Data'!$B$31," Original"," Replacement"),"")</f>
        <v/>
      </c>
    </row>
    <row r="26" spans="1:17" x14ac:dyDescent="0.25">
      <c r="A26" s="4" t="str">
        <f t="shared" si="0"/>
        <v>Spare 19</v>
      </c>
      <c r="B26" s="4">
        <v>6</v>
      </c>
      <c r="C26" s="4">
        <v>1</v>
      </c>
      <c r="D26" s="13">
        <v>0.52034400000000003</v>
      </c>
      <c r="E26" s="24">
        <f t="shared" si="1"/>
        <v>2.8908000000000003E-2</v>
      </c>
      <c r="F26" s="5">
        <v>11668.619179003888</v>
      </c>
      <c r="G26" s="5">
        <v>0</v>
      </c>
      <c r="H26" s="4" t="s">
        <v>187</v>
      </c>
      <c r="I26" s="4">
        <v>104</v>
      </c>
      <c r="J26" s="4" t="s">
        <v>204</v>
      </c>
      <c r="K26" s="12">
        <f>IF(A26=0,0,I26*7*'1.1 Other Data'!$B$60)</f>
        <v>49335104</v>
      </c>
      <c r="L26" s="22">
        <v>500000</v>
      </c>
      <c r="M26" s="22">
        <v>1000000</v>
      </c>
      <c r="N26" s="12">
        <f t="shared" si="2"/>
        <v>750000</v>
      </c>
      <c r="O26" s="7" t="str">
        <f t="shared" si="3"/>
        <v>Mean</v>
      </c>
      <c r="P26" s="13">
        <v>34.592500345924996</v>
      </c>
      <c r="Q26" s="7" t="str">
        <f>IF(O26="mean",IF(P26&gt;'1.1 Other Data'!$B$31," Original"," Replacement"),"")</f>
        <v xml:space="preserve"> Original</v>
      </c>
    </row>
    <row r="27" spans="1:17" x14ac:dyDescent="0.25">
      <c r="A27" s="4" t="str">
        <f t="shared" si="0"/>
        <v>Spare 20</v>
      </c>
      <c r="B27" s="4">
        <v>6</v>
      </c>
      <c r="C27" s="4">
        <v>1</v>
      </c>
      <c r="D27" s="13">
        <v>0.52034400000000003</v>
      </c>
      <c r="E27" s="24">
        <f t="shared" si="1"/>
        <v>2.8908000000000003E-2</v>
      </c>
      <c r="F27" s="5">
        <v>11668.619179003888</v>
      </c>
      <c r="G27" s="5">
        <v>0</v>
      </c>
      <c r="H27" s="4" t="s">
        <v>187</v>
      </c>
      <c r="I27" s="4">
        <v>104</v>
      </c>
      <c r="J27" s="4" t="s">
        <v>204</v>
      </c>
      <c r="K27" s="12">
        <f>IF(A27=0,0,I27*7*'1.1 Other Data'!$B$60)</f>
        <v>49335104</v>
      </c>
      <c r="L27" s="22">
        <v>500000</v>
      </c>
      <c r="M27" s="22">
        <v>1000000</v>
      </c>
      <c r="N27" s="12">
        <f t="shared" si="2"/>
        <v>750000</v>
      </c>
      <c r="O27" s="7" t="str">
        <f t="shared" si="3"/>
        <v>Mean</v>
      </c>
      <c r="P27" s="13">
        <v>34.592500345924996</v>
      </c>
      <c r="Q27" s="7" t="str">
        <f>IF(O27="mean",IF(P27&gt;'1.1 Other Data'!$B$31," Original"," Replacement"),"")</f>
        <v xml:space="preserve"> Original</v>
      </c>
    </row>
    <row r="28" spans="1:17" x14ac:dyDescent="0.25">
      <c r="A28" s="4" t="str">
        <f t="shared" si="0"/>
        <v>Spare 21</v>
      </c>
      <c r="B28" s="4">
        <v>3</v>
      </c>
      <c r="C28" s="4">
        <v>1</v>
      </c>
      <c r="D28" s="13">
        <v>1.1305656000000001E-2</v>
      </c>
      <c r="E28" s="24">
        <f t="shared" si="1"/>
        <v>6.2809200000000002E-4</v>
      </c>
      <c r="F28" s="5">
        <v>9807.2410475691886</v>
      </c>
      <c r="G28" s="5">
        <v>0</v>
      </c>
      <c r="H28" s="4" t="s">
        <v>203</v>
      </c>
      <c r="I28" s="4">
        <v>100</v>
      </c>
      <c r="J28" s="4" t="s">
        <v>202</v>
      </c>
      <c r="K28" s="12">
        <f>IF(A28=0,0,I28*7*'1.1 Other Data'!$B$60)</f>
        <v>47437600</v>
      </c>
      <c r="L28" s="22">
        <v>0</v>
      </c>
      <c r="M28" s="22">
        <v>0</v>
      </c>
      <c r="N28" s="12">
        <f t="shared" si="2"/>
        <v>0</v>
      </c>
      <c r="O28" s="7" t="str">
        <f t="shared" si="3"/>
        <v>Lead</v>
      </c>
      <c r="P28" s="13">
        <v>1592.1234468835776</v>
      </c>
      <c r="Q28" s="7" t="str">
        <f>IF(O28="mean",IF(P28&gt;'1.1 Other Data'!$B$31," Original"," Replacement"),"")</f>
        <v/>
      </c>
    </row>
    <row r="29" spans="1:17" x14ac:dyDescent="0.25">
      <c r="A29" s="4" t="str">
        <f t="shared" si="0"/>
        <v>Spare 22</v>
      </c>
      <c r="B29" s="4">
        <v>3</v>
      </c>
      <c r="C29" s="4">
        <v>1</v>
      </c>
      <c r="D29" s="13">
        <v>1.1305656000000001E-2</v>
      </c>
      <c r="E29" s="24">
        <f t="shared" si="1"/>
        <v>6.2809200000000002E-4</v>
      </c>
      <c r="F29" s="5">
        <v>9807.2410475691886</v>
      </c>
      <c r="G29" s="5">
        <v>0</v>
      </c>
      <c r="H29" s="4" t="s">
        <v>203</v>
      </c>
      <c r="I29" s="4">
        <v>100</v>
      </c>
      <c r="J29" s="4" t="s">
        <v>202</v>
      </c>
      <c r="K29" s="12">
        <f>IF(A29=0,0,I29*7*'1.1 Other Data'!$B$60)</f>
        <v>47437600</v>
      </c>
      <c r="L29" s="22">
        <v>0</v>
      </c>
      <c r="M29" s="22">
        <v>0</v>
      </c>
      <c r="N29" s="12">
        <f t="shared" si="2"/>
        <v>0</v>
      </c>
      <c r="O29" s="7" t="str">
        <f t="shared" si="3"/>
        <v>Lead</v>
      </c>
      <c r="P29" s="13">
        <v>1592.1234468835776</v>
      </c>
      <c r="Q29" s="7" t="str">
        <f>IF(O29="mean",IF(P29&gt;'1.1 Other Data'!$B$31," Original"," Replacement"),"")</f>
        <v/>
      </c>
    </row>
    <row r="30" spans="1:17" x14ac:dyDescent="0.25">
      <c r="A30" s="4" t="str">
        <f t="shared" si="0"/>
        <v>Spare 23</v>
      </c>
      <c r="B30" s="4">
        <v>6</v>
      </c>
      <c r="C30" s="4">
        <v>1</v>
      </c>
      <c r="D30" s="13">
        <v>2.2611312000000001E-2</v>
      </c>
      <c r="E30" s="24">
        <f t="shared" si="1"/>
        <v>1.256184E-3</v>
      </c>
      <c r="F30" s="5">
        <v>9807.2410475691886</v>
      </c>
      <c r="G30" s="5">
        <v>0</v>
      </c>
      <c r="H30" s="4" t="s">
        <v>203</v>
      </c>
      <c r="I30" s="4">
        <v>100</v>
      </c>
      <c r="J30" s="4" t="s">
        <v>202</v>
      </c>
      <c r="K30" s="12">
        <f>IF(A30=0,0,I30*7*'1.1 Other Data'!$B$60)</f>
        <v>47437600</v>
      </c>
      <c r="L30" s="22">
        <v>0</v>
      </c>
      <c r="M30" s="22">
        <v>0</v>
      </c>
      <c r="N30" s="12">
        <f t="shared" si="2"/>
        <v>0</v>
      </c>
      <c r="O30" s="7" t="str">
        <f t="shared" si="3"/>
        <v>Lead</v>
      </c>
      <c r="P30" s="13">
        <v>796.06172344178879</v>
      </c>
      <c r="Q30" s="7" t="str">
        <f>IF(O30="mean",IF(P30&gt;'1.1 Other Data'!$B$31," Original"," Replacement"),"")</f>
        <v/>
      </c>
    </row>
    <row r="31" spans="1:17" x14ac:dyDescent="0.25">
      <c r="A31" s="4" t="str">
        <f t="shared" si="0"/>
        <v>Spare 24</v>
      </c>
      <c r="B31" s="4">
        <v>6</v>
      </c>
      <c r="C31" s="4">
        <v>1</v>
      </c>
      <c r="D31" s="13">
        <v>1.7975519999999998</v>
      </c>
      <c r="E31" s="24">
        <f t="shared" si="1"/>
        <v>9.9863999999999994E-2</v>
      </c>
      <c r="F31" s="5">
        <v>11668.619179003888</v>
      </c>
      <c r="G31" s="5">
        <v>0</v>
      </c>
      <c r="H31" s="4" t="s">
        <v>187</v>
      </c>
      <c r="I31" s="4">
        <v>104</v>
      </c>
      <c r="J31" s="4" t="s">
        <v>204</v>
      </c>
      <c r="K31" s="12">
        <f>IF(A31=0,0,I31*7*'1.1 Other Data'!$B$60)</f>
        <v>49335104</v>
      </c>
      <c r="L31" s="22">
        <v>200000</v>
      </c>
      <c r="M31" s="22">
        <v>400000</v>
      </c>
      <c r="N31" s="12">
        <f t="shared" si="2"/>
        <v>300000</v>
      </c>
      <c r="O31" s="7" t="str">
        <f t="shared" si="3"/>
        <v>Mean</v>
      </c>
      <c r="P31" s="13">
        <v>10.013618521188818</v>
      </c>
      <c r="Q31" s="7" t="str">
        <f>IF(O31="mean",IF(P31&gt;'1.1 Other Data'!$B$31," Original"," Replacement"),"")</f>
        <v xml:space="preserve"> Replacement</v>
      </c>
    </row>
    <row r="32" spans="1:17" x14ac:dyDescent="0.25">
      <c r="A32" s="4" t="str">
        <f t="shared" si="0"/>
        <v>Spare 25</v>
      </c>
      <c r="B32" s="4">
        <v>27</v>
      </c>
      <c r="C32" s="4">
        <v>1</v>
      </c>
      <c r="D32" s="13">
        <v>4.3141247999999992</v>
      </c>
      <c r="E32" s="24">
        <f t="shared" si="1"/>
        <v>0.23967359999999996</v>
      </c>
      <c r="F32" s="5">
        <v>93348.953432031107</v>
      </c>
      <c r="G32" s="5">
        <v>0</v>
      </c>
      <c r="H32" s="4" t="s">
        <v>187</v>
      </c>
      <c r="I32" s="4">
        <v>104</v>
      </c>
      <c r="J32" s="4" t="s">
        <v>204</v>
      </c>
      <c r="K32" s="12">
        <f>IF(A32=0,0,I32*7*'1.1 Other Data'!$B$60)</f>
        <v>49335104</v>
      </c>
      <c r="L32" s="22">
        <v>500000</v>
      </c>
      <c r="M32" s="22">
        <v>1000000</v>
      </c>
      <c r="N32" s="12">
        <f t="shared" si="2"/>
        <v>750000</v>
      </c>
      <c r="O32" s="7" t="str">
        <f t="shared" si="3"/>
        <v>Mean</v>
      </c>
      <c r="P32" s="13">
        <v>4.1723410504953407</v>
      </c>
      <c r="Q32" s="7" t="str">
        <f>IF(O32="mean",IF(P32&gt;'1.1 Other Data'!$B$31," Original"," Replacement"),"")</f>
        <v xml:space="preserve"> Replacement</v>
      </c>
    </row>
    <row r="33" spans="1:17" x14ac:dyDescent="0.25">
      <c r="A33" s="4" t="str">
        <f t="shared" si="0"/>
        <v>Spare 26</v>
      </c>
      <c r="B33" s="4">
        <v>9</v>
      </c>
      <c r="C33" s="4">
        <v>1</v>
      </c>
      <c r="D33" s="13">
        <v>1.4380416</v>
      </c>
      <c r="E33" s="24">
        <f t="shared" si="1"/>
        <v>7.9891199999999996E-2</v>
      </c>
      <c r="F33" s="5">
        <v>93348.953432031107</v>
      </c>
      <c r="G33" s="5">
        <v>0</v>
      </c>
      <c r="H33" s="4" t="s">
        <v>187</v>
      </c>
      <c r="I33" s="4">
        <v>104</v>
      </c>
      <c r="J33" s="4" t="s">
        <v>204</v>
      </c>
      <c r="K33" s="12">
        <f>IF(A33=0,0,I33*7*'1.1 Other Data'!$B$60)</f>
        <v>49335104</v>
      </c>
      <c r="L33" s="22">
        <v>500000</v>
      </c>
      <c r="M33" s="22">
        <v>1000000</v>
      </c>
      <c r="N33" s="12">
        <f t="shared" si="2"/>
        <v>750000</v>
      </c>
      <c r="O33" s="7" t="str">
        <f t="shared" si="3"/>
        <v>Mean</v>
      </c>
      <c r="P33" s="13">
        <v>12.517023151486022</v>
      </c>
      <c r="Q33" s="7" t="str">
        <f>IF(O33="mean",IF(P33&gt;'1.1 Other Data'!$B$31," Original"," Replacement"),"")</f>
        <v xml:space="preserve"> Replacement</v>
      </c>
    </row>
    <row r="34" spans="1:17" x14ac:dyDescent="0.25">
      <c r="A34" s="4" t="str">
        <f t="shared" si="0"/>
        <v>Spare 27</v>
      </c>
      <c r="B34" s="4">
        <v>6</v>
      </c>
      <c r="C34" s="4">
        <v>1</v>
      </c>
      <c r="D34" s="13">
        <v>0.95869439999999995</v>
      </c>
      <c r="E34" s="24">
        <f t="shared" si="1"/>
        <v>5.3260799999999997E-2</v>
      </c>
      <c r="F34" s="5">
        <v>11668.619179003888</v>
      </c>
      <c r="G34" s="5">
        <v>0</v>
      </c>
      <c r="H34" s="4" t="s">
        <v>187</v>
      </c>
      <c r="I34" s="4">
        <v>104</v>
      </c>
      <c r="J34" s="4" t="s">
        <v>204</v>
      </c>
      <c r="K34" s="12">
        <f>IF(A34=0,0,I34*7*'1.1 Other Data'!$B$60)</f>
        <v>49335104</v>
      </c>
      <c r="L34" s="22">
        <v>500000</v>
      </c>
      <c r="M34" s="22">
        <v>1000000</v>
      </c>
      <c r="N34" s="12">
        <f t="shared" si="2"/>
        <v>750000</v>
      </c>
      <c r="O34" s="7" t="str">
        <f t="shared" si="3"/>
        <v>Mean</v>
      </c>
      <c r="P34" s="13">
        <v>18.775534727229033</v>
      </c>
      <c r="Q34" s="7" t="str">
        <f>IF(O34="mean",IF(P34&gt;'1.1 Other Data'!$B$31," Original"," Replacement"),"")</f>
        <v xml:space="preserve"> Replacement</v>
      </c>
    </row>
    <row r="35" spans="1:17" x14ac:dyDescent="0.25">
      <c r="A35" s="4" t="str">
        <f t="shared" si="0"/>
        <v>Spare 28</v>
      </c>
      <c r="B35" s="4">
        <v>18</v>
      </c>
      <c r="C35" s="4">
        <v>2</v>
      </c>
      <c r="D35" s="13">
        <v>6.7833935999999997E-2</v>
      </c>
      <c r="E35" s="24">
        <f t="shared" si="1"/>
        <v>3.7685519999999997E-3</v>
      </c>
      <c r="F35" s="5">
        <v>22861.50875407979</v>
      </c>
      <c r="G35" s="5">
        <v>0</v>
      </c>
      <c r="H35" s="4" t="s">
        <v>203</v>
      </c>
      <c r="I35" s="4">
        <v>100</v>
      </c>
      <c r="J35" s="4" t="s">
        <v>202</v>
      </c>
      <c r="K35" s="12">
        <f>IF(A35=0,0,I35*7*'1.1 Other Data'!$B$60)</f>
        <v>47437600</v>
      </c>
      <c r="L35" s="22">
        <v>0</v>
      </c>
      <c r="M35" s="22">
        <v>0</v>
      </c>
      <c r="N35" s="12">
        <f t="shared" si="2"/>
        <v>0</v>
      </c>
      <c r="O35" s="7" t="str">
        <f t="shared" si="3"/>
        <v>Lead</v>
      </c>
      <c r="P35" s="13">
        <v>265.3539078139296</v>
      </c>
      <c r="Q35" s="7" t="str">
        <f>IF(O35="mean",IF(P35&gt;'1.1 Other Data'!$B$31," Original"," Replacement"),"")</f>
        <v/>
      </c>
    </row>
    <row r="36" spans="1:17" x14ac:dyDescent="0.25">
      <c r="A36" s="4" t="str">
        <f t="shared" si="0"/>
        <v>Spare 29</v>
      </c>
      <c r="B36" s="4">
        <v>18</v>
      </c>
      <c r="C36" s="4">
        <v>1</v>
      </c>
      <c r="D36" s="13">
        <v>0.28317599999999998</v>
      </c>
      <c r="E36" s="24">
        <f t="shared" si="1"/>
        <v>1.5731999999999999E-2</v>
      </c>
      <c r="F36" s="5">
        <v>22703.749022779662</v>
      </c>
      <c r="G36" s="5">
        <v>0</v>
      </c>
      <c r="H36" s="4" t="s">
        <v>203</v>
      </c>
      <c r="I36" s="4">
        <v>104</v>
      </c>
      <c r="J36" s="4" t="s">
        <v>202</v>
      </c>
      <c r="K36" s="12">
        <f>IF(A36=0,0,I36*7*'1.1 Other Data'!$B$60)</f>
        <v>49335104</v>
      </c>
      <c r="L36" s="22">
        <v>0</v>
      </c>
      <c r="M36" s="22">
        <v>0</v>
      </c>
      <c r="N36" s="12">
        <f t="shared" si="2"/>
        <v>0</v>
      </c>
      <c r="O36" s="7" t="str">
        <f t="shared" si="3"/>
        <v>Lead</v>
      </c>
      <c r="P36" s="13">
        <v>63.564708873633364</v>
      </c>
      <c r="Q36" s="7" t="str">
        <f>IF(O36="mean",IF(P36&gt;'1.1 Other Data'!$B$31," Original"," Replacement"),"")</f>
        <v/>
      </c>
    </row>
    <row r="37" spans="1:17" x14ac:dyDescent="0.25">
      <c r="A37" s="4" t="str">
        <f t="shared" si="0"/>
        <v>Spare 30</v>
      </c>
      <c r="B37" s="4">
        <v>15</v>
      </c>
      <c r="C37" s="4">
        <v>0</v>
      </c>
      <c r="D37" s="13">
        <v>0.33349319999999999</v>
      </c>
      <c r="E37" s="24">
        <f t="shared" si="1"/>
        <v>1.8527399999999999E-2</v>
      </c>
      <c r="F37" s="5">
        <v>11822.64495216674</v>
      </c>
      <c r="G37" s="5">
        <v>0</v>
      </c>
      <c r="H37" s="4" t="s">
        <v>187</v>
      </c>
      <c r="I37" s="4">
        <v>34</v>
      </c>
      <c r="J37" s="4" t="s">
        <v>204</v>
      </c>
      <c r="K37" s="12">
        <f>IF(A37=0,0,I37*7*'1.1 Other Data'!$B$60)</f>
        <v>16128784</v>
      </c>
      <c r="L37" s="22">
        <v>500000</v>
      </c>
      <c r="M37" s="22">
        <v>1000000</v>
      </c>
      <c r="N37" s="12">
        <f t="shared" si="2"/>
        <v>750000</v>
      </c>
      <c r="O37" s="7" t="str">
        <f t="shared" si="3"/>
        <v>Mean</v>
      </c>
      <c r="P37" s="13">
        <v>53.974114014918449</v>
      </c>
      <c r="Q37" s="7" t="str">
        <f>IF(O37="mean",IF(P37&gt;'1.1 Other Data'!$B$31," Original"," Replacement"),"")</f>
        <v xml:space="preserve"> Original</v>
      </c>
    </row>
    <row r="38" spans="1:17" x14ac:dyDescent="0.25">
      <c r="A38" s="4" t="str">
        <f t="shared" si="0"/>
        <v>Spare 31</v>
      </c>
      <c r="B38" s="4">
        <v>45</v>
      </c>
      <c r="C38" s="4">
        <v>0</v>
      </c>
      <c r="D38" s="13">
        <v>3.0014387999999999</v>
      </c>
      <c r="E38" s="24">
        <f t="shared" si="1"/>
        <v>0.16674659999999999</v>
      </c>
      <c r="F38" s="5">
        <v>11822.64495216674</v>
      </c>
      <c r="G38" s="5">
        <v>0</v>
      </c>
      <c r="H38" s="4" t="s">
        <v>187</v>
      </c>
      <c r="I38" s="4">
        <v>34</v>
      </c>
      <c r="J38" s="4" t="s">
        <v>204</v>
      </c>
      <c r="K38" s="12">
        <f>IF(A38=0,0,I38*7*'1.1 Other Data'!$B$60)</f>
        <v>16128784</v>
      </c>
      <c r="L38" s="22">
        <v>200000</v>
      </c>
      <c r="M38" s="22">
        <v>400000</v>
      </c>
      <c r="N38" s="12">
        <f t="shared" si="2"/>
        <v>300000</v>
      </c>
      <c r="O38" s="7" t="str">
        <f t="shared" si="3"/>
        <v>Mean</v>
      </c>
      <c r="P38" s="13">
        <v>5.9971237794353831</v>
      </c>
      <c r="Q38" s="7" t="str">
        <f>IF(O38="mean",IF(P38&gt;'1.1 Other Data'!$B$31," Original"," Replacement"),"")</f>
        <v xml:space="preserve"> Replacement</v>
      </c>
    </row>
    <row r="39" spans="1:17" x14ac:dyDescent="0.25">
      <c r="A39" s="4" t="str">
        <f t="shared" si="0"/>
        <v>Spare 32</v>
      </c>
      <c r="B39" s="4">
        <v>3</v>
      </c>
      <c r="C39" s="4">
        <v>1</v>
      </c>
      <c r="D39" s="13">
        <v>6.669863999999999E-2</v>
      </c>
      <c r="E39" s="24">
        <f t="shared" si="1"/>
        <v>3.7054799999999993E-3</v>
      </c>
      <c r="F39" s="5">
        <v>21031.898204987549</v>
      </c>
      <c r="G39" s="5">
        <v>0</v>
      </c>
      <c r="H39" s="4" t="s">
        <v>187</v>
      </c>
      <c r="I39" s="4">
        <v>34</v>
      </c>
      <c r="J39" s="4" t="s">
        <v>204</v>
      </c>
      <c r="K39" s="12">
        <f>IF(A39=0,0,I39*7*'1.1 Other Data'!$B$60)</f>
        <v>16128784</v>
      </c>
      <c r="L39" s="22">
        <v>200000</v>
      </c>
      <c r="M39" s="22">
        <v>400000</v>
      </c>
      <c r="N39" s="12">
        <f t="shared" si="2"/>
        <v>300000</v>
      </c>
      <c r="O39" s="7" t="str">
        <f t="shared" si="3"/>
        <v>Mean</v>
      </c>
      <c r="P39" s="13">
        <v>269.87057007459225</v>
      </c>
      <c r="Q39" s="7" t="str">
        <f>IF(O39="mean",IF(P39&gt;'1.1 Other Data'!$B$31," Original"," Replacement"),"")</f>
        <v xml:space="preserve"> Original</v>
      </c>
    </row>
    <row r="40" spans="1:17" x14ac:dyDescent="0.25">
      <c r="A40" s="4" t="str">
        <f t="shared" si="0"/>
        <v>Spare 33</v>
      </c>
      <c r="B40" s="4">
        <v>9</v>
      </c>
      <c r="C40" s="4">
        <v>0</v>
      </c>
      <c r="D40" s="13">
        <v>0.60028776000000006</v>
      </c>
      <c r="E40" s="24">
        <f t="shared" si="1"/>
        <v>3.3349320000000002E-2</v>
      </c>
      <c r="F40" s="5">
        <v>21031.898204987549</v>
      </c>
      <c r="G40" s="5">
        <v>0</v>
      </c>
      <c r="H40" s="4" t="s">
        <v>187</v>
      </c>
      <c r="I40" s="4">
        <v>34</v>
      </c>
      <c r="J40" s="4" t="s">
        <v>204</v>
      </c>
      <c r="K40" s="12">
        <f>IF(A40=0,0,I40*7*'1.1 Other Data'!$B$60)</f>
        <v>16128784</v>
      </c>
      <c r="L40" s="22">
        <v>200000</v>
      </c>
      <c r="M40" s="22">
        <v>400000</v>
      </c>
      <c r="N40" s="12">
        <f t="shared" si="2"/>
        <v>300000</v>
      </c>
      <c r="O40" s="7" t="str">
        <f t="shared" si="3"/>
        <v>Mean</v>
      </c>
      <c r="P40" s="13">
        <v>29.985618897176913</v>
      </c>
      <c r="Q40" s="7" t="str">
        <f>IF(O40="mean",IF(P40&gt;'1.1 Other Data'!$B$31," Original"," Replacement"),"")</f>
        <v xml:space="preserve"> Original</v>
      </c>
    </row>
    <row r="41" spans="1:17" x14ac:dyDescent="0.25">
      <c r="A41" s="4" t="str">
        <f t="shared" si="0"/>
        <v>Spare 34</v>
      </c>
      <c r="B41" s="4">
        <v>18</v>
      </c>
      <c r="C41" s="4">
        <v>1</v>
      </c>
      <c r="D41" s="13">
        <v>0.83444255999999994</v>
      </c>
      <c r="E41" s="24">
        <f t="shared" si="1"/>
        <v>4.6357919999999997E-2</v>
      </c>
      <c r="F41" s="5">
        <v>58343.095895019447</v>
      </c>
      <c r="G41" s="5">
        <v>0</v>
      </c>
      <c r="H41" s="4" t="s">
        <v>187</v>
      </c>
      <c r="I41" s="4">
        <v>52</v>
      </c>
      <c r="J41" s="4" t="s">
        <v>204</v>
      </c>
      <c r="K41" s="12">
        <f>IF(A41=0,0,I41*7*'1.1 Other Data'!$B$60)</f>
        <v>24667552</v>
      </c>
      <c r="L41" s="22">
        <v>200000</v>
      </c>
      <c r="M41" s="22">
        <v>400000</v>
      </c>
      <c r="N41" s="12">
        <f t="shared" si="2"/>
        <v>300000</v>
      </c>
      <c r="O41" s="7" t="str">
        <f t="shared" si="3"/>
        <v>Mean</v>
      </c>
      <c r="P41" s="13">
        <v>21.571287063785434</v>
      </c>
      <c r="Q41" s="7" t="str">
        <f>IF(O41="mean",IF(P41&gt;'1.1 Other Data'!$B$31," Original"," Replacement"),"")</f>
        <v xml:space="preserve"> Replacement</v>
      </c>
    </row>
    <row r="42" spans="1:17" x14ac:dyDescent="0.25">
      <c r="A42" s="4" t="str">
        <f t="shared" si="0"/>
        <v>Spare 35</v>
      </c>
      <c r="B42" s="4">
        <v>75</v>
      </c>
      <c r="C42" s="4">
        <v>3</v>
      </c>
      <c r="D42" s="13">
        <v>3.9912749999999999</v>
      </c>
      <c r="E42" s="24">
        <f t="shared" si="1"/>
        <v>0.2217375</v>
      </c>
      <c r="F42" s="5">
        <v>12972.145131590691</v>
      </c>
      <c r="G42" s="5">
        <v>0</v>
      </c>
      <c r="H42" s="4" t="s">
        <v>187</v>
      </c>
      <c r="I42" s="4">
        <v>34</v>
      </c>
      <c r="J42" s="4" t="s">
        <v>204</v>
      </c>
      <c r="K42" s="12">
        <f>IF(A42=0,0,I42*7*'1.1 Other Data'!$B$60)</f>
        <v>16128784</v>
      </c>
      <c r="L42" s="22">
        <v>200000</v>
      </c>
      <c r="M42" s="22">
        <v>400000</v>
      </c>
      <c r="N42" s="12">
        <f t="shared" si="2"/>
        <v>300000</v>
      </c>
      <c r="O42" s="7" t="str">
        <f t="shared" si="3"/>
        <v>Mean</v>
      </c>
      <c r="P42" s="13">
        <v>4.5098370821354079</v>
      </c>
      <c r="Q42" s="7" t="str">
        <f>IF(O42="mean",IF(P42&gt;'1.1 Other Data'!$B$31," Original"," Replacement"),"")</f>
        <v xml:space="preserve"> Replacement</v>
      </c>
    </row>
    <row r="43" spans="1:17" x14ac:dyDescent="0.25">
      <c r="A43" s="4" t="str">
        <f t="shared" si="0"/>
        <v>Spare 36</v>
      </c>
      <c r="B43" s="4">
        <v>15</v>
      </c>
      <c r="C43" s="4">
        <v>1</v>
      </c>
      <c r="D43" s="13">
        <v>0.79825499999999994</v>
      </c>
      <c r="E43" s="24">
        <f t="shared" si="1"/>
        <v>4.4347499999999998E-2</v>
      </c>
      <c r="F43" s="5">
        <v>12972.145131590691</v>
      </c>
      <c r="G43" s="5">
        <v>0</v>
      </c>
      <c r="H43" s="4" t="s">
        <v>187</v>
      </c>
      <c r="I43" s="4">
        <v>34</v>
      </c>
      <c r="J43" s="4" t="s">
        <v>204</v>
      </c>
      <c r="K43" s="12">
        <f>IF(A43=0,0,I43*7*'1.1 Other Data'!$B$60)</f>
        <v>16128784</v>
      </c>
      <c r="L43" s="22">
        <v>200000</v>
      </c>
      <c r="M43" s="22">
        <v>400000</v>
      </c>
      <c r="N43" s="12">
        <f t="shared" si="2"/>
        <v>300000</v>
      </c>
      <c r="O43" s="7" t="str">
        <f t="shared" si="3"/>
        <v>Mean</v>
      </c>
      <c r="P43" s="13">
        <v>22.54918541067704</v>
      </c>
      <c r="Q43" s="7" t="str">
        <f>IF(O43="mean",IF(P43&gt;'1.1 Other Data'!$B$31," Original"," Replacement"),"")</f>
        <v xml:space="preserve"> Original</v>
      </c>
    </row>
    <row r="44" spans="1:17" x14ac:dyDescent="0.25">
      <c r="A44" s="4" t="str">
        <f t="shared" si="0"/>
        <v>Spare 37</v>
      </c>
      <c r="B44" s="4">
        <v>60</v>
      </c>
      <c r="C44" s="4">
        <v>2</v>
      </c>
      <c r="D44" s="13">
        <v>2.5544160000000002</v>
      </c>
      <c r="E44" s="24">
        <f t="shared" si="1"/>
        <v>0.14191200000000001</v>
      </c>
      <c r="F44" s="5">
        <v>10313.980006965381</v>
      </c>
      <c r="G44" s="5">
        <v>0</v>
      </c>
      <c r="H44" s="4" t="s">
        <v>187</v>
      </c>
      <c r="I44" s="4">
        <v>34</v>
      </c>
      <c r="J44" s="4" t="s">
        <v>204</v>
      </c>
      <c r="K44" s="12">
        <f>IF(A44=0,0,I44*7*'1.1 Other Data'!$B$60)</f>
        <v>16128784</v>
      </c>
      <c r="L44" s="22">
        <v>200000</v>
      </c>
      <c r="M44" s="22">
        <v>400000</v>
      </c>
      <c r="N44" s="12">
        <f t="shared" si="2"/>
        <v>300000</v>
      </c>
      <c r="O44" s="7" t="str">
        <f t="shared" si="3"/>
        <v>Mean</v>
      </c>
      <c r="P44" s="13">
        <v>7.0466204408365742</v>
      </c>
      <c r="Q44" s="7" t="str">
        <f>IF(O44="mean",IF(P44&gt;'1.1 Other Data'!$B$31," Original"," Replacement"),"")</f>
        <v xml:space="preserve"> Replacement</v>
      </c>
    </row>
    <row r="45" spans="1:17" x14ac:dyDescent="0.25">
      <c r="A45" s="4" t="str">
        <f t="shared" si="0"/>
        <v>Spare 38</v>
      </c>
      <c r="B45" s="4">
        <v>12</v>
      </c>
      <c r="C45" s="4">
        <v>1</v>
      </c>
      <c r="D45" s="13">
        <v>0.51088320000000009</v>
      </c>
      <c r="E45" s="24">
        <f t="shared" si="1"/>
        <v>2.8382400000000006E-2</v>
      </c>
      <c r="F45" s="5">
        <v>10313.980006965381</v>
      </c>
      <c r="G45" s="5">
        <v>0</v>
      </c>
      <c r="H45" s="4" t="s">
        <v>187</v>
      </c>
      <c r="I45" s="4">
        <v>34</v>
      </c>
      <c r="J45" s="4" t="s">
        <v>204</v>
      </c>
      <c r="K45" s="12">
        <f>IF(A45=0,0,I45*7*'1.1 Other Data'!$B$60)</f>
        <v>16128784</v>
      </c>
      <c r="L45" s="22">
        <v>200000</v>
      </c>
      <c r="M45" s="22">
        <v>400000</v>
      </c>
      <c r="N45" s="12">
        <f t="shared" si="2"/>
        <v>300000</v>
      </c>
      <c r="O45" s="7" t="str">
        <f t="shared" si="3"/>
        <v>Mean</v>
      </c>
      <c r="P45" s="13">
        <v>35.23310220418287</v>
      </c>
      <c r="Q45" s="7" t="str">
        <f>IF(O45="mean",IF(P45&gt;'1.1 Other Data'!$B$31," Original"," Replacement"),"")</f>
        <v xml:space="preserve"> Original</v>
      </c>
    </row>
    <row r="46" spans="1:17" x14ac:dyDescent="0.25">
      <c r="A46" s="4" t="str">
        <f t="shared" si="0"/>
        <v>Spare 39</v>
      </c>
      <c r="B46" s="4">
        <v>18</v>
      </c>
      <c r="C46" s="4">
        <v>1</v>
      </c>
      <c r="D46" s="13">
        <v>0.83444255999999994</v>
      </c>
      <c r="E46" s="24">
        <f t="shared" si="1"/>
        <v>4.6357919999999997E-2</v>
      </c>
      <c r="F46" s="5">
        <v>17327.782794628987</v>
      </c>
      <c r="G46" s="5">
        <v>0</v>
      </c>
      <c r="H46" s="4" t="s">
        <v>187</v>
      </c>
      <c r="I46" s="4">
        <v>104</v>
      </c>
      <c r="J46" s="4" t="s">
        <v>204</v>
      </c>
      <c r="K46" s="12">
        <f>IF(A46=0,0,I46*7*'1.1 Other Data'!$B$60)</f>
        <v>49335104</v>
      </c>
      <c r="L46" s="22">
        <v>200000</v>
      </c>
      <c r="M46" s="22">
        <v>400000</v>
      </c>
      <c r="N46" s="12">
        <f t="shared" si="2"/>
        <v>300000</v>
      </c>
      <c r="O46" s="7" t="str">
        <f t="shared" si="3"/>
        <v>Mean</v>
      </c>
      <c r="P46" s="13">
        <v>21.571287063785434</v>
      </c>
      <c r="Q46" s="7" t="str">
        <f>IF(O46="mean",IF(P46&gt;'1.1 Other Data'!$B$31," Original"," Replacement"),"")</f>
        <v xml:space="preserve"> Replacement</v>
      </c>
    </row>
    <row r="47" spans="1:17" x14ac:dyDescent="0.25">
      <c r="A47" s="4" t="str">
        <f t="shared" si="0"/>
        <v>Spare 40</v>
      </c>
      <c r="B47" s="4">
        <v>18</v>
      </c>
      <c r="C47" s="4">
        <v>0</v>
      </c>
      <c r="D47" s="13">
        <v>0.83444255999999994</v>
      </c>
      <c r="E47" s="24">
        <f t="shared" si="1"/>
        <v>4.6357919999999997E-2</v>
      </c>
      <c r="F47" s="5">
        <v>5570.1320512892971</v>
      </c>
      <c r="G47" s="5">
        <v>0</v>
      </c>
      <c r="H47" s="4" t="s">
        <v>187</v>
      </c>
      <c r="I47" s="4">
        <v>104</v>
      </c>
      <c r="J47" s="4" t="s">
        <v>204</v>
      </c>
      <c r="K47" s="12">
        <f>IF(A47=0,0,I47*7*'1.1 Other Data'!$B$60)</f>
        <v>49335104</v>
      </c>
      <c r="L47" s="22">
        <v>200000</v>
      </c>
      <c r="M47" s="22">
        <v>400000</v>
      </c>
      <c r="N47" s="12">
        <f t="shared" si="2"/>
        <v>300000</v>
      </c>
      <c r="O47" s="7" t="str">
        <f t="shared" si="3"/>
        <v>Mean</v>
      </c>
      <c r="P47" s="13">
        <v>21.571287063785434</v>
      </c>
      <c r="Q47" s="7" t="str">
        <f>IF(O47="mean",IF(P47&gt;'1.1 Other Data'!$B$31," Original"," Replacement"),"")</f>
        <v xml:space="preserve"> Replacement</v>
      </c>
    </row>
    <row r="48" spans="1:17" x14ac:dyDescent="0.25">
      <c r="A48" s="4" t="str">
        <f t="shared" si="0"/>
        <v>Spare 41</v>
      </c>
      <c r="B48" s="4">
        <v>18</v>
      </c>
      <c r="C48" s="4">
        <v>0</v>
      </c>
      <c r="D48" s="13">
        <v>5.2507440000000001</v>
      </c>
      <c r="E48" s="24">
        <f t="shared" si="1"/>
        <v>0.29170800000000002</v>
      </c>
      <c r="F48" s="5">
        <v>35005.857537011667</v>
      </c>
      <c r="G48" s="5">
        <v>0</v>
      </c>
      <c r="H48" s="4" t="s">
        <v>187</v>
      </c>
      <c r="I48" s="4">
        <v>104</v>
      </c>
      <c r="J48" s="4" t="s">
        <v>204</v>
      </c>
      <c r="K48" s="12">
        <f>IF(A48=0,0,I48*7*'1.1 Other Data'!$B$60)</f>
        <v>49335104</v>
      </c>
      <c r="L48" s="22">
        <v>200000</v>
      </c>
      <c r="M48" s="22">
        <v>400000</v>
      </c>
      <c r="N48" s="12">
        <f t="shared" si="2"/>
        <v>300000</v>
      </c>
      <c r="O48" s="7" t="str">
        <f t="shared" si="3"/>
        <v>Mean</v>
      </c>
      <c r="P48" s="13">
        <v>3.4280856198664416</v>
      </c>
      <c r="Q48" s="7" t="str">
        <f>IF(O48="mean",IF(P48&gt;'1.1 Other Data'!$B$31," Original"," Replacement"),"")</f>
        <v xml:space="preserve"> Replacement</v>
      </c>
    </row>
    <row r="49" spans="1:17" x14ac:dyDescent="0.25">
      <c r="A49" s="4" t="str">
        <f t="shared" si="0"/>
        <v>Spare 42</v>
      </c>
      <c r="B49" s="4">
        <v>18</v>
      </c>
      <c r="C49" s="4">
        <v>4</v>
      </c>
      <c r="D49" s="13">
        <v>5.2507440000000001</v>
      </c>
      <c r="E49" s="24">
        <f t="shared" si="1"/>
        <v>0.29170800000000002</v>
      </c>
      <c r="F49" s="5">
        <v>35005.857537011667</v>
      </c>
      <c r="G49" s="5">
        <v>0</v>
      </c>
      <c r="H49" s="4" t="s">
        <v>187</v>
      </c>
      <c r="I49" s="4">
        <v>104</v>
      </c>
      <c r="J49" s="4" t="s">
        <v>204</v>
      </c>
      <c r="K49" s="12">
        <f>IF(A49=0,0,I49*7*'1.1 Other Data'!$B$60)</f>
        <v>49335104</v>
      </c>
      <c r="L49" s="22">
        <v>200000</v>
      </c>
      <c r="M49" s="22">
        <v>400000</v>
      </c>
      <c r="N49" s="12">
        <f t="shared" si="2"/>
        <v>300000</v>
      </c>
      <c r="O49" s="7" t="str">
        <f t="shared" si="3"/>
        <v>Mean</v>
      </c>
      <c r="P49" s="13">
        <v>3.4280856198664416</v>
      </c>
      <c r="Q49" s="7" t="str">
        <f>IF(O49="mean",IF(P49&gt;'1.1 Other Data'!$B$31," Original"," Replacement"),"")</f>
        <v xml:space="preserve"> Replacement</v>
      </c>
    </row>
    <row r="50" spans="1:17" x14ac:dyDescent="0.25">
      <c r="A50" s="4" t="str">
        <f t="shared" si="0"/>
        <v>Spare 43</v>
      </c>
      <c r="B50" s="4">
        <v>18</v>
      </c>
      <c r="C50" s="4">
        <v>0</v>
      </c>
      <c r="D50" s="13">
        <v>0.56764800000000004</v>
      </c>
      <c r="E50" s="24">
        <f t="shared" si="1"/>
        <v>3.1536000000000002E-2</v>
      </c>
      <c r="F50" s="5">
        <v>13949.60085611557</v>
      </c>
      <c r="G50" s="5">
        <v>0</v>
      </c>
      <c r="H50" s="4" t="s">
        <v>187</v>
      </c>
      <c r="I50" s="4">
        <v>104</v>
      </c>
      <c r="J50" s="4" t="s">
        <v>204</v>
      </c>
      <c r="K50" s="12">
        <f>IF(A50=0,0,I50*7*'1.1 Other Data'!$B$60)</f>
        <v>49335104</v>
      </c>
      <c r="L50" s="22">
        <v>200000</v>
      </c>
      <c r="M50" s="22">
        <v>400000</v>
      </c>
      <c r="N50" s="12">
        <f t="shared" si="2"/>
        <v>300000</v>
      </c>
      <c r="O50" s="7" t="str">
        <f t="shared" si="3"/>
        <v>Mean</v>
      </c>
      <c r="P50" s="13">
        <v>31.709791983764585</v>
      </c>
      <c r="Q50" s="7" t="str">
        <f>IF(O50="mean",IF(P50&gt;'1.1 Other Data'!$B$31," Original"," Replacement"),"")</f>
        <v xml:space="preserve"> Original</v>
      </c>
    </row>
    <row r="51" spans="1:17" x14ac:dyDescent="0.25">
      <c r="A51" s="4" t="str">
        <f t="shared" si="0"/>
        <v>Spare 44</v>
      </c>
      <c r="B51" s="4">
        <v>18</v>
      </c>
      <c r="C51" s="4">
        <v>0</v>
      </c>
      <c r="D51" s="13">
        <v>0.56764800000000004</v>
      </c>
      <c r="E51" s="24">
        <f t="shared" si="1"/>
        <v>3.1536000000000002E-2</v>
      </c>
      <c r="F51" s="5">
        <v>13949.60085611557</v>
      </c>
      <c r="G51" s="5">
        <v>0</v>
      </c>
      <c r="H51" s="4" t="s">
        <v>187</v>
      </c>
      <c r="I51" s="4">
        <v>104</v>
      </c>
      <c r="J51" s="4" t="s">
        <v>204</v>
      </c>
      <c r="K51" s="12">
        <f>IF(A51=0,0,I51*7*'1.1 Other Data'!$B$60)</f>
        <v>49335104</v>
      </c>
      <c r="L51" s="22">
        <v>200000</v>
      </c>
      <c r="M51" s="22">
        <v>400000</v>
      </c>
      <c r="N51" s="12">
        <f t="shared" si="2"/>
        <v>300000</v>
      </c>
      <c r="O51" s="7" t="str">
        <f t="shared" si="3"/>
        <v>Mean</v>
      </c>
      <c r="P51" s="13">
        <v>31.709791983764585</v>
      </c>
      <c r="Q51" s="7" t="str">
        <f>IF(O51="mean",IF(P51&gt;'1.1 Other Data'!$B$31," Original"," Replacement"),"")</f>
        <v xml:space="preserve"> Original</v>
      </c>
    </row>
    <row r="52" spans="1:17" x14ac:dyDescent="0.25">
      <c r="A52" s="4" t="str">
        <f t="shared" si="0"/>
        <v>Spare 45</v>
      </c>
      <c r="B52" s="4">
        <v>36</v>
      </c>
      <c r="C52" s="4">
        <v>0</v>
      </c>
      <c r="D52" s="13">
        <v>1.6859145600000001</v>
      </c>
      <c r="E52" s="24">
        <f t="shared" si="1"/>
        <v>9.366192000000001E-2</v>
      </c>
      <c r="F52" s="5">
        <v>13949.60085611557</v>
      </c>
      <c r="G52" s="5">
        <v>0</v>
      </c>
      <c r="H52" s="4" t="s">
        <v>187</v>
      </c>
      <c r="I52" s="4">
        <v>104</v>
      </c>
      <c r="J52" s="4" t="s">
        <v>204</v>
      </c>
      <c r="K52" s="12">
        <f>IF(A52=0,0,I52*7*'1.1 Other Data'!$B$60)</f>
        <v>49335104</v>
      </c>
      <c r="L52" s="22">
        <v>200000</v>
      </c>
      <c r="M52" s="22">
        <v>400000</v>
      </c>
      <c r="N52" s="12">
        <f t="shared" si="2"/>
        <v>300000</v>
      </c>
      <c r="O52" s="7" t="str">
        <f t="shared" si="3"/>
        <v>Mean</v>
      </c>
      <c r="P52" s="13">
        <v>10.676697637631174</v>
      </c>
      <c r="Q52" s="7" t="str">
        <f>IF(O52="mean",IF(P52&gt;'1.1 Other Data'!$B$31," Original"," Replacement"),"")</f>
        <v xml:space="preserve"> Replacement</v>
      </c>
    </row>
    <row r="53" spans="1:17" x14ac:dyDescent="0.25">
      <c r="A53" s="4" t="str">
        <f t="shared" si="0"/>
        <v>Spare 46</v>
      </c>
      <c r="B53" s="4">
        <v>15</v>
      </c>
      <c r="C53" s="4">
        <v>1</v>
      </c>
      <c r="D53" s="13">
        <v>0.17857260000000003</v>
      </c>
      <c r="E53" s="24">
        <f t="shared" si="1"/>
        <v>9.920700000000001E-3</v>
      </c>
      <c r="F53" s="5">
        <v>334177.58466749237</v>
      </c>
      <c r="G53" s="5">
        <v>0</v>
      </c>
      <c r="H53" s="4" t="s">
        <v>187</v>
      </c>
      <c r="I53" s="4">
        <v>104</v>
      </c>
      <c r="J53" s="4" t="s">
        <v>204</v>
      </c>
      <c r="K53" s="12">
        <f>IF(A53=0,0,I53*7*'1.1 Other Data'!$B$60)</f>
        <v>49335104</v>
      </c>
      <c r="L53" s="22">
        <v>1000000</v>
      </c>
      <c r="M53" s="22">
        <v>2000000</v>
      </c>
      <c r="N53" s="12">
        <f t="shared" si="2"/>
        <v>1500000</v>
      </c>
      <c r="O53" s="7" t="str">
        <f t="shared" si="3"/>
        <v>Mean</v>
      </c>
      <c r="P53" s="13">
        <v>100.79933875633775</v>
      </c>
      <c r="Q53" s="7" t="str">
        <f>IF(O53="mean",IF(P53&gt;'1.1 Other Data'!$B$31," Original"," Replacement"),"")</f>
        <v xml:space="preserve"> Original</v>
      </c>
    </row>
    <row r="54" spans="1:17" x14ac:dyDescent="0.25">
      <c r="A54" s="4" t="str">
        <f t="shared" si="0"/>
        <v>Spare 47</v>
      </c>
      <c r="B54" s="4">
        <v>3</v>
      </c>
      <c r="C54" s="4">
        <v>1</v>
      </c>
      <c r="D54" s="13">
        <v>3.571452E-2</v>
      </c>
      <c r="E54" s="24">
        <f t="shared" si="1"/>
        <v>1.9841400000000001E-3</v>
      </c>
      <c r="F54" s="5">
        <v>334177.58466749237</v>
      </c>
      <c r="G54" s="5">
        <v>0</v>
      </c>
      <c r="H54" s="4" t="s">
        <v>187</v>
      </c>
      <c r="I54" s="4">
        <v>104</v>
      </c>
      <c r="J54" s="4" t="s">
        <v>204</v>
      </c>
      <c r="K54" s="12">
        <f>IF(A54=0,0,I54*7*'1.1 Other Data'!$B$60)</f>
        <v>49335104</v>
      </c>
      <c r="L54" s="22">
        <v>1000000</v>
      </c>
      <c r="M54" s="22">
        <v>2000000</v>
      </c>
      <c r="N54" s="12">
        <f t="shared" si="2"/>
        <v>1500000</v>
      </c>
      <c r="O54" s="7" t="str">
        <f t="shared" si="3"/>
        <v>Mean</v>
      </c>
      <c r="P54" s="13">
        <v>503.99669378168875</v>
      </c>
      <c r="Q54" s="7" t="str">
        <f>IF(O54="mean",IF(P54&gt;'1.1 Other Data'!$B$31," Original"," Replacement"),"")</f>
        <v xml:space="preserve"> Original</v>
      </c>
    </row>
    <row r="55" spans="1:17" x14ac:dyDescent="0.25">
      <c r="A55" s="4" t="str">
        <f t="shared" si="0"/>
        <v>Spare 48</v>
      </c>
      <c r="B55" s="4">
        <v>18</v>
      </c>
      <c r="C55" s="4">
        <v>0</v>
      </c>
      <c r="D55" s="13">
        <v>0.21428712</v>
      </c>
      <c r="E55" s="24">
        <f t="shared" si="1"/>
        <v>1.190484E-2</v>
      </c>
      <c r="F55" s="5">
        <v>24342.023155511804</v>
      </c>
      <c r="G55" s="5">
        <v>0</v>
      </c>
      <c r="H55" s="4" t="s">
        <v>187</v>
      </c>
      <c r="I55" s="4">
        <v>104</v>
      </c>
      <c r="J55" s="4" t="s">
        <v>204</v>
      </c>
      <c r="K55" s="12">
        <f>IF(A55=0,0,I55*7*'1.1 Other Data'!$B$60)</f>
        <v>49335104</v>
      </c>
      <c r="L55" s="22">
        <v>200000</v>
      </c>
      <c r="M55" s="22">
        <v>400000</v>
      </c>
      <c r="N55" s="12">
        <f t="shared" si="2"/>
        <v>300000</v>
      </c>
      <c r="O55" s="7" t="str">
        <f t="shared" si="3"/>
        <v>Mean</v>
      </c>
      <c r="P55" s="13">
        <v>83.999448963614796</v>
      </c>
      <c r="Q55" s="7" t="str">
        <f>IF(O55="mean",IF(P55&gt;'1.1 Other Data'!$B$31," Original"," Replacement"),"")</f>
        <v xml:space="preserve"> Original</v>
      </c>
    </row>
    <row r="56" spans="1:17" x14ac:dyDescent="0.25">
      <c r="A56" s="4" t="str">
        <f t="shared" si="0"/>
        <v>Spare 49</v>
      </c>
      <c r="B56" s="4">
        <v>18</v>
      </c>
      <c r="C56" s="4">
        <v>1</v>
      </c>
      <c r="D56" s="13">
        <v>2.8760832000000001</v>
      </c>
      <c r="E56" s="24">
        <f t="shared" si="1"/>
        <v>0.15978239999999999</v>
      </c>
      <c r="F56" s="5">
        <v>160641.88023734654</v>
      </c>
      <c r="G56" s="5">
        <v>0</v>
      </c>
      <c r="H56" s="4" t="s">
        <v>187</v>
      </c>
      <c r="I56" s="4">
        <v>104</v>
      </c>
      <c r="J56" s="4" t="s">
        <v>204</v>
      </c>
      <c r="K56" s="12">
        <f>IF(A56=0,0,I56*7*'1.1 Other Data'!$B$60)</f>
        <v>49335104</v>
      </c>
      <c r="L56" s="22">
        <v>750000</v>
      </c>
      <c r="M56" s="22">
        <v>1250000</v>
      </c>
      <c r="N56" s="12">
        <f t="shared" si="2"/>
        <v>1000000</v>
      </c>
      <c r="O56" s="7" t="str">
        <f t="shared" si="3"/>
        <v>Mean</v>
      </c>
      <c r="P56" s="13">
        <v>6.258511575743011</v>
      </c>
      <c r="Q56" s="7" t="str">
        <f>IF(O56="mean",IF(P56&gt;'1.1 Other Data'!$B$31," Original"," Replacement"),"")</f>
        <v xml:space="preserve"> Replacement</v>
      </c>
    </row>
    <row r="57" spans="1:17" x14ac:dyDescent="0.25">
      <c r="A57" s="4" t="str">
        <f t="shared" si="0"/>
        <v>Spare 50</v>
      </c>
      <c r="B57" s="4">
        <v>240</v>
      </c>
      <c r="C57" s="4">
        <v>0</v>
      </c>
      <c r="D57" s="13">
        <v>3.405888</v>
      </c>
      <c r="E57" s="24">
        <f t="shared" si="1"/>
        <v>0.189216</v>
      </c>
      <c r="F57" s="5">
        <v>12768.246513194859</v>
      </c>
      <c r="G57" s="5">
        <v>0</v>
      </c>
      <c r="H57" s="4" t="s">
        <v>187</v>
      </c>
      <c r="I57" s="4">
        <v>250</v>
      </c>
      <c r="J57" s="4" t="s">
        <v>205</v>
      </c>
      <c r="K57" s="12">
        <f>IF(A57=0,0,I57*7*'1.1 Other Data'!$B$60)</f>
        <v>118594000</v>
      </c>
      <c r="L57" s="22">
        <v>3000000</v>
      </c>
      <c r="M57" s="22">
        <v>8000000</v>
      </c>
      <c r="N57" s="12">
        <f t="shared" si="2"/>
        <v>5500000</v>
      </c>
      <c r="O57" s="7" t="str">
        <f t="shared" si="3"/>
        <v>Mean</v>
      </c>
      <c r="P57" s="13">
        <v>5.2849653306274309</v>
      </c>
      <c r="Q57" s="7" t="str">
        <f>IF(O57="mean",IF(P57&gt;'1.1 Other Data'!$B$31," Original"," Replacement"),"")</f>
        <v xml:space="preserve"> Replacement</v>
      </c>
    </row>
    <row r="58" spans="1:17" x14ac:dyDescent="0.25">
      <c r="A58" s="4" t="str">
        <f t="shared" si="0"/>
        <v>Spare 51</v>
      </c>
      <c r="B58" s="4">
        <v>24</v>
      </c>
      <c r="C58" s="4">
        <v>1</v>
      </c>
      <c r="D58" s="13">
        <v>0.34058880000000002</v>
      </c>
      <c r="E58" s="24">
        <f t="shared" si="1"/>
        <v>1.89216E-2</v>
      </c>
      <c r="F58" s="5">
        <v>12768.246513194859</v>
      </c>
      <c r="G58" s="5">
        <v>0</v>
      </c>
      <c r="H58" s="4" t="s">
        <v>187</v>
      </c>
      <c r="I58" s="4">
        <v>250</v>
      </c>
      <c r="J58" s="4" t="s">
        <v>205</v>
      </c>
      <c r="K58" s="12">
        <f>IF(A58=0,0,I58*7*'1.1 Other Data'!$B$60)</f>
        <v>118594000</v>
      </c>
      <c r="L58" s="22">
        <v>3000000</v>
      </c>
      <c r="M58" s="22">
        <v>8000000</v>
      </c>
      <c r="N58" s="12">
        <f t="shared" si="2"/>
        <v>5500000</v>
      </c>
      <c r="O58" s="7" t="str">
        <f t="shared" si="3"/>
        <v>Mean</v>
      </c>
      <c r="P58" s="13">
        <v>52.849653306274313</v>
      </c>
      <c r="Q58" s="7" t="str">
        <f>IF(O58="mean",IF(P58&gt;'1.1 Other Data'!$B$31," Original"," Replacement"),"")</f>
        <v xml:space="preserve"> Original</v>
      </c>
    </row>
    <row r="59" spans="1:17" x14ac:dyDescent="0.25">
      <c r="A59" s="4" t="str">
        <f t="shared" si="0"/>
        <v>Spare 52</v>
      </c>
      <c r="B59" s="4">
        <v>80</v>
      </c>
      <c r="C59" s="4">
        <v>10</v>
      </c>
      <c r="D59" s="13">
        <v>1.1352960000000001</v>
      </c>
      <c r="E59" s="24">
        <f t="shared" si="1"/>
        <v>6.3072000000000003E-2</v>
      </c>
      <c r="F59" s="5">
        <v>12245.109643266413</v>
      </c>
      <c r="G59" s="5">
        <v>0</v>
      </c>
      <c r="H59" s="4" t="s">
        <v>187</v>
      </c>
      <c r="I59" s="4">
        <v>34</v>
      </c>
      <c r="J59" s="4" t="s">
        <v>205</v>
      </c>
      <c r="K59" s="12">
        <f>IF(A59=0,0,I59*7*'1.1 Other Data'!$B$60)</f>
        <v>16128784</v>
      </c>
      <c r="L59" s="22">
        <v>3000000</v>
      </c>
      <c r="M59" s="22">
        <v>8000000</v>
      </c>
      <c r="N59" s="12">
        <f t="shared" si="2"/>
        <v>5500000</v>
      </c>
      <c r="O59" s="7" t="str">
        <f t="shared" si="3"/>
        <v>Mean</v>
      </c>
      <c r="P59" s="13">
        <v>15.854895991882293</v>
      </c>
      <c r="Q59" s="7" t="str">
        <f>IF(O59="mean",IF(P59&gt;'1.1 Other Data'!$B$31," Original"," Replacement"),"")</f>
        <v xml:space="preserve"> Replacement</v>
      </c>
    </row>
    <row r="60" spans="1:17" x14ac:dyDescent="0.25">
      <c r="A60" s="4" t="str">
        <f t="shared" si="0"/>
        <v>Spare 53</v>
      </c>
      <c r="B60" s="4">
        <v>12</v>
      </c>
      <c r="C60" s="4">
        <v>1</v>
      </c>
      <c r="D60" s="13">
        <v>0.17029440000000001</v>
      </c>
      <c r="E60" s="24">
        <f t="shared" si="1"/>
        <v>9.4608000000000001E-3</v>
      </c>
      <c r="F60" s="5">
        <v>12245.109643266413</v>
      </c>
      <c r="G60" s="5">
        <v>0</v>
      </c>
      <c r="H60" s="4" t="s">
        <v>187</v>
      </c>
      <c r="I60" s="4">
        <v>34</v>
      </c>
      <c r="J60" s="4" t="s">
        <v>205</v>
      </c>
      <c r="K60" s="12">
        <f>IF(A60=0,0,I60*7*'1.1 Other Data'!$B$60)</f>
        <v>16128784</v>
      </c>
      <c r="L60" s="22">
        <v>3000000</v>
      </c>
      <c r="M60" s="22">
        <v>8000000</v>
      </c>
      <c r="N60" s="12">
        <f t="shared" si="2"/>
        <v>5500000</v>
      </c>
      <c r="O60" s="7" t="str">
        <f t="shared" si="3"/>
        <v>Mean</v>
      </c>
      <c r="P60" s="13">
        <v>105.69930661254863</v>
      </c>
      <c r="Q60" s="7" t="str">
        <f>IF(O60="mean",IF(P60&gt;'1.1 Other Data'!$B$31," Original"," Replacement"),"")</f>
        <v xml:space="preserve"> Original</v>
      </c>
    </row>
    <row r="61" spans="1:17" x14ac:dyDescent="0.25">
      <c r="A61" s="4" t="str">
        <f t="shared" si="0"/>
        <v>Spare 54</v>
      </c>
      <c r="B61" s="4">
        <v>60</v>
      </c>
      <c r="C61" s="4">
        <v>0</v>
      </c>
      <c r="D61" s="13">
        <v>1.2772080000000001</v>
      </c>
      <c r="E61" s="24">
        <f t="shared" si="1"/>
        <v>7.0956000000000005E-2</v>
      </c>
      <c r="F61" s="5">
        <v>12601.268572743315</v>
      </c>
      <c r="G61" s="5">
        <v>0</v>
      </c>
      <c r="H61" s="4" t="s">
        <v>187</v>
      </c>
      <c r="I61" s="4">
        <v>34</v>
      </c>
      <c r="J61" s="4" t="s">
        <v>205</v>
      </c>
      <c r="K61" s="12">
        <f>IF(A61=0,0,I61*7*'1.1 Other Data'!$B$60)</f>
        <v>16128784</v>
      </c>
      <c r="L61" s="22">
        <v>3000000</v>
      </c>
      <c r="M61" s="22">
        <v>8000000</v>
      </c>
      <c r="N61" s="12">
        <f t="shared" si="2"/>
        <v>5500000</v>
      </c>
      <c r="O61" s="7" t="str">
        <f t="shared" si="3"/>
        <v>Mean</v>
      </c>
      <c r="P61" s="13">
        <v>14.093240881673148</v>
      </c>
      <c r="Q61" s="7" t="str">
        <f>IF(O61="mean",IF(P61&gt;'1.1 Other Data'!$B$31," Original"," Replacement"),"")</f>
        <v xml:space="preserve"> Replacement</v>
      </c>
    </row>
    <row r="62" spans="1:17" x14ac:dyDescent="0.25">
      <c r="A62" s="4" t="str">
        <f t="shared" si="0"/>
        <v>Spare 55</v>
      </c>
      <c r="B62" s="4">
        <v>12</v>
      </c>
      <c r="C62" s="4">
        <v>2</v>
      </c>
      <c r="D62" s="13">
        <v>0.25544160000000005</v>
      </c>
      <c r="E62" s="24">
        <f t="shared" si="1"/>
        <v>1.4191200000000003E-2</v>
      </c>
      <c r="F62" s="5">
        <v>12045.515578485716</v>
      </c>
      <c r="G62" s="5">
        <v>0</v>
      </c>
      <c r="H62" s="4" t="s">
        <v>187</v>
      </c>
      <c r="I62" s="4">
        <v>34</v>
      </c>
      <c r="J62" s="4" t="s">
        <v>205</v>
      </c>
      <c r="K62" s="12">
        <f>IF(A62=0,0,I62*7*'1.1 Other Data'!$B$60)</f>
        <v>16128784</v>
      </c>
      <c r="L62" s="22">
        <v>3000000</v>
      </c>
      <c r="M62" s="22">
        <v>8000000</v>
      </c>
      <c r="N62" s="12">
        <f t="shared" si="2"/>
        <v>5500000</v>
      </c>
      <c r="O62" s="7" t="str">
        <f t="shared" si="3"/>
        <v>Mean</v>
      </c>
      <c r="P62" s="13">
        <v>70.466204408365741</v>
      </c>
      <c r="Q62" s="7" t="str">
        <f>IF(O62="mean",IF(P62&gt;'1.1 Other Data'!$B$31," Original"," Replacement"),"")</f>
        <v xml:space="preserve"> Original</v>
      </c>
    </row>
    <row r="63" spans="1:17" x14ac:dyDescent="0.25">
      <c r="A63" s="4" t="str">
        <f t="shared" si="0"/>
        <v>Spare 56</v>
      </c>
      <c r="B63" s="4">
        <v>12</v>
      </c>
      <c r="C63" s="4">
        <v>1</v>
      </c>
      <c r="D63" s="13">
        <v>1.3528944000000001</v>
      </c>
      <c r="E63" s="24">
        <f t="shared" si="1"/>
        <v>7.51608E-2</v>
      </c>
      <c r="F63" s="5">
        <v>32179.951344240508</v>
      </c>
      <c r="G63" s="5">
        <v>0</v>
      </c>
      <c r="H63" s="4" t="s">
        <v>187</v>
      </c>
      <c r="I63" s="4">
        <v>104</v>
      </c>
      <c r="J63" s="4" t="s">
        <v>204</v>
      </c>
      <c r="K63" s="12">
        <f>IF(A63=0,0,I63*7*'1.1 Other Data'!$B$60)</f>
        <v>49335104</v>
      </c>
      <c r="L63" s="22">
        <v>200000</v>
      </c>
      <c r="M63" s="22">
        <v>400000</v>
      </c>
      <c r="N63" s="12">
        <f t="shared" si="2"/>
        <v>300000</v>
      </c>
      <c r="O63" s="7" t="str">
        <f t="shared" si="3"/>
        <v>Mean</v>
      </c>
      <c r="P63" s="13">
        <v>13.30480782535577</v>
      </c>
      <c r="Q63" s="7" t="str">
        <f>IF(O63="mean",IF(P63&gt;'1.1 Other Data'!$B$31," Original"," Replacement"),"")</f>
        <v xml:space="preserve"> Replacement</v>
      </c>
    </row>
    <row r="64" spans="1:17" x14ac:dyDescent="0.25">
      <c r="A64" s="4" t="str">
        <f t="shared" si="0"/>
        <v>Spare 57</v>
      </c>
      <c r="B64" s="4">
        <v>6</v>
      </c>
      <c r="C64" s="4">
        <v>1</v>
      </c>
      <c r="D64" s="13">
        <v>1.0444723200000001</v>
      </c>
      <c r="E64" s="24">
        <f t="shared" si="1"/>
        <v>5.8026240000000007E-2</v>
      </c>
      <c r="F64" s="5">
        <v>2882608.5641234214</v>
      </c>
      <c r="G64" s="5">
        <v>0</v>
      </c>
      <c r="H64" s="4" t="s">
        <v>203</v>
      </c>
      <c r="I64" s="4">
        <v>104</v>
      </c>
      <c r="J64" s="4" t="s">
        <v>202</v>
      </c>
      <c r="K64" s="12">
        <f>IF(A64=0,0,I64*7*'1.1 Other Data'!$B$60)</f>
        <v>49335104</v>
      </c>
      <c r="L64" s="22">
        <v>0</v>
      </c>
      <c r="M64" s="22">
        <v>0</v>
      </c>
      <c r="N64" s="12">
        <f t="shared" si="2"/>
        <v>0</v>
      </c>
      <c r="O64" s="7" t="str">
        <f t="shared" si="3"/>
        <v>Lead</v>
      </c>
      <c r="P64" s="13">
        <v>17.233582599872054</v>
      </c>
      <c r="Q64" s="7" t="str">
        <f>IF(O64="mean",IF(P64&gt;'1.1 Other Data'!$B$31," Original"," Replacement"),"")</f>
        <v/>
      </c>
    </row>
    <row r="65" spans="1:17" x14ac:dyDescent="0.25">
      <c r="A65" s="4" t="str">
        <f t="shared" si="0"/>
        <v>Spare 58</v>
      </c>
      <c r="B65" s="4">
        <v>6</v>
      </c>
      <c r="C65" s="4">
        <v>0</v>
      </c>
      <c r="D65" s="13">
        <v>7.5497184000000005E-3</v>
      </c>
      <c r="E65" s="24">
        <f t="shared" si="1"/>
        <v>4.1942880000000001E-4</v>
      </c>
      <c r="F65" s="5">
        <v>9807.2410475691886</v>
      </c>
      <c r="G65" s="5">
        <v>0</v>
      </c>
      <c r="H65" s="4" t="s">
        <v>203</v>
      </c>
      <c r="I65" s="4">
        <v>100</v>
      </c>
      <c r="J65" s="4" t="s">
        <v>202</v>
      </c>
      <c r="K65" s="12">
        <f>IF(A65=0,0,I65*7*'1.1 Other Data'!$B$60)</f>
        <v>47437600</v>
      </c>
      <c r="L65" s="22">
        <v>0</v>
      </c>
      <c r="M65" s="22">
        <v>0</v>
      </c>
      <c r="N65" s="12">
        <f t="shared" si="2"/>
        <v>0</v>
      </c>
      <c r="O65" s="7" t="str">
        <f t="shared" si="3"/>
        <v>Lead</v>
      </c>
      <c r="P65" s="13">
        <v>2384.1948859973372</v>
      </c>
      <c r="Q65" s="7" t="str">
        <f>IF(O65="mean",IF(P65&gt;'1.1 Other Data'!$B$31," Original"," Replacement"),"")</f>
        <v/>
      </c>
    </row>
    <row r="66" spans="1:17" x14ac:dyDescent="0.25">
      <c r="A66" s="4" t="str">
        <f t="shared" si="0"/>
        <v>Spare 59</v>
      </c>
      <c r="B66" s="4">
        <v>12</v>
      </c>
      <c r="C66" s="4">
        <v>2</v>
      </c>
      <c r="D66" s="13">
        <v>1.5099436800000001E-2</v>
      </c>
      <c r="E66" s="24">
        <f t="shared" si="1"/>
        <v>8.3885760000000002E-4</v>
      </c>
      <c r="F66" s="5">
        <v>19568.274363189521</v>
      </c>
      <c r="G66" s="5">
        <v>0</v>
      </c>
      <c r="H66" s="4" t="s">
        <v>203</v>
      </c>
      <c r="I66" s="4">
        <v>100</v>
      </c>
      <c r="J66" s="4" t="s">
        <v>202</v>
      </c>
      <c r="K66" s="12">
        <f>IF(A66=0,0,I66*7*'1.1 Other Data'!$B$60)</f>
        <v>47437600</v>
      </c>
      <c r="L66" s="22">
        <v>0</v>
      </c>
      <c r="M66" s="22">
        <v>0</v>
      </c>
      <c r="N66" s="12">
        <f t="shared" si="2"/>
        <v>0</v>
      </c>
      <c r="O66" s="7" t="str">
        <f t="shared" si="3"/>
        <v>Lead</v>
      </c>
      <c r="P66" s="13">
        <v>1192.0974429986686</v>
      </c>
      <c r="Q66" s="7" t="str">
        <f>IF(O66="mean",IF(P66&gt;'1.1 Other Data'!$B$31," Original"," Replacement"),"")</f>
        <v/>
      </c>
    </row>
    <row r="67" spans="1:17" x14ac:dyDescent="0.25">
      <c r="A67" s="4" t="str">
        <f t="shared" si="0"/>
        <v>Spare 60</v>
      </c>
      <c r="B67" s="4">
        <v>12</v>
      </c>
      <c r="C67" s="4">
        <v>0</v>
      </c>
      <c r="D67" s="13">
        <v>1.5099436800000001E-2</v>
      </c>
      <c r="E67" s="24">
        <f t="shared" si="1"/>
        <v>8.3885760000000002E-4</v>
      </c>
      <c r="F67" s="5">
        <v>1870.3629682025335</v>
      </c>
      <c r="G67" s="5">
        <v>0</v>
      </c>
      <c r="H67" s="4" t="s">
        <v>203</v>
      </c>
      <c r="I67" s="4">
        <v>100</v>
      </c>
      <c r="J67" s="4" t="s">
        <v>202</v>
      </c>
      <c r="K67" s="12">
        <f>IF(A67=0,0,I67*7*'1.1 Other Data'!$B$60)</f>
        <v>47437600</v>
      </c>
      <c r="L67" s="22">
        <v>0</v>
      </c>
      <c r="M67" s="22">
        <v>0</v>
      </c>
      <c r="N67" s="12">
        <f t="shared" si="2"/>
        <v>0</v>
      </c>
      <c r="O67" s="7" t="str">
        <f t="shared" si="3"/>
        <v>Lead</v>
      </c>
      <c r="P67" s="13">
        <v>1192.0974429986686</v>
      </c>
      <c r="Q67" s="7" t="str">
        <f>IF(O67="mean",IF(P67&gt;'1.1 Other Data'!$B$31," Original"," Replacement"),"")</f>
        <v/>
      </c>
    </row>
    <row r="68" spans="1:17" x14ac:dyDescent="0.25">
      <c r="A68" s="4" t="str">
        <f t="shared" si="0"/>
        <v>Spare 61</v>
      </c>
      <c r="B68" s="4">
        <v>12</v>
      </c>
      <c r="C68" s="4">
        <v>0</v>
      </c>
      <c r="D68" s="13">
        <v>0.22390559999999998</v>
      </c>
      <c r="E68" s="24">
        <f t="shared" si="1"/>
        <v>1.2439199999999999E-2</v>
      </c>
      <c r="F68" s="5">
        <v>14542.716768984337</v>
      </c>
      <c r="G68" s="5">
        <v>0</v>
      </c>
      <c r="H68" s="4" t="s">
        <v>203</v>
      </c>
      <c r="I68" s="4">
        <v>104</v>
      </c>
      <c r="J68" s="4" t="s">
        <v>202</v>
      </c>
      <c r="K68" s="12">
        <f>IF(A68=0,0,I68*7*'1.1 Other Data'!$B$60)</f>
        <v>49335104</v>
      </c>
      <c r="L68" s="22">
        <v>0</v>
      </c>
      <c r="M68" s="22">
        <v>0</v>
      </c>
      <c r="N68" s="12">
        <f t="shared" si="2"/>
        <v>0</v>
      </c>
      <c r="O68" s="7" t="str">
        <f t="shared" si="3"/>
        <v>Lead</v>
      </c>
      <c r="P68" s="13">
        <v>80.391021930670789</v>
      </c>
      <c r="Q68" s="7" t="str">
        <f>IF(O68="mean",IF(P68&gt;'1.1 Other Data'!$B$31," Original"," Replacement"),"")</f>
        <v/>
      </c>
    </row>
    <row r="69" spans="1:17" x14ac:dyDescent="0.25">
      <c r="A69" s="4" t="str">
        <f t="shared" si="0"/>
        <v>Spare 62</v>
      </c>
      <c r="B69" s="4">
        <v>24</v>
      </c>
      <c r="C69" s="4">
        <v>0</v>
      </c>
      <c r="D69" s="13">
        <v>1.1239430400000001</v>
      </c>
      <c r="E69" s="24">
        <f t="shared" si="1"/>
        <v>6.2441280000000009E-2</v>
      </c>
      <c r="F69" s="5">
        <v>13520.312356520015</v>
      </c>
      <c r="G69" s="5">
        <v>0</v>
      </c>
      <c r="H69" s="4" t="s">
        <v>187</v>
      </c>
      <c r="I69" s="4">
        <v>104</v>
      </c>
      <c r="J69" s="4" t="s">
        <v>204</v>
      </c>
      <c r="K69" s="12">
        <f>IF(A69=0,0,I69*7*'1.1 Other Data'!$B$60)</f>
        <v>49335104</v>
      </c>
      <c r="L69" s="22">
        <v>100000</v>
      </c>
      <c r="M69" s="22">
        <v>200000</v>
      </c>
      <c r="N69" s="12">
        <f t="shared" si="2"/>
        <v>150000</v>
      </c>
      <c r="O69" s="7" t="str">
        <f t="shared" si="3"/>
        <v>Mean</v>
      </c>
      <c r="P69" s="13">
        <v>16.015046456446761</v>
      </c>
      <c r="Q69" s="7" t="str">
        <f>IF(O69="mean",IF(P69&gt;'1.1 Other Data'!$B$31," Original"," Replacement"),"")</f>
        <v xml:space="preserve"> Replacement</v>
      </c>
    </row>
    <row r="70" spans="1:17" x14ac:dyDescent="0.25">
      <c r="A70" s="4" t="str">
        <f t="shared" si="0"/>
        <v>Spare 63</v>
      </c>
      <c r="B70" s="4">
        <v>54</v>
      </c>
      <c r="C70" s="4">
        <v>2</v>
      </c>
      <c r="D70" s="13">
        <v>2.5288718400000003</v>
      </c>
      <c r="E70" s="24">
        <f t="shared" si="1"/>
        <v>0.14049288000000001</v>
      </c>
      <c r="F70" s="5">
        <v>21855.790467041446</v>
      </c>
      <c r="G70" s="5">
        <v>0</v>
      </c>
      <c r="H70" s="4" t="s">
        <v>187</v>
      </c>
      <c r="I70" s="4">
        <v>104</v>
      </c>
      <c r="J70" s="4" t="s">
        <v>204</v>
      </c>
      <c r="K70" s="12">
        <f>IF(A70=0,0,I70*7*'1.1 Other Data'!$B$60)</f>
        <v>49335104</v>
      </c>
      <c r="L70" s="22">
        <v>100000</v>
      </c>
      <c r="M70" s="22">
        <v>200000</v>
      </c>
      <c r="N70" s="12">
        <f t="shared" si="2"/>
        <v>150000</v>
      </c>
      <c r="O70" s="7" t="str">
        <f t="shared" si="3"/>
        <v>Mean</v>
      </c>
      <c r="P70" s="13">
        <v>7.1177984250874484</v>
      </c>
      <c r="Q70" s="7" t="str">
        <f>IF(O70="mean",IF(P70&gt;'1.1 Other Data'!$B$31," Original"," Replacement"),"")</f>
        <v xml:space="preserve"> Replacement</v>
      </c>
    </row>
    <row r="71" spans="1:17" x14ac:dyDescent="0.25">
      <c r="A71" s="4" t="str">
        <f t="shared" si="0"/>
        <v>Spare 64</v>
      </c>
      <c r="B71" s="4">
        <v>12</v>
      </c>
      <c r="C71" s="4">
        <v>2</v>
      </c>
      <c r="D71" s="13">
        <v>3.4058879999999996</v>
      </c>
      <c r="E71" s="24">
        <f t="shared" si="1"/>
        <v>0.18921599999999997</v>
      </c>
      <c r="F71" s="5">
        <v>50951.842448463023</v>
      </c>
      <c r="G71" s="5">
        <v>0</v>
      </c>
      <c r="H71" s="4" t="s">
        <v>187</v>
      </c>
      <c r="I71" s="4">
        <v>104</v>
      </c>
      <c r="J71" s="4" t="s">
        <v>204</v>
      </c>
      <c r="K71" s="12">
        <f>IF(A71=0,0,I71*7*'1.1 Other Data'!$B$60)</f>
        <v>49335104</v>
      </c>
      <c r="L71" s="22">
        <v>500000</v>
      </c>
      <c r="M71" s="22">
        <v>1000000</v>
      </c>
      <c r="N71" s="12">
        <f t="shared" si="2"/>
        <v>750000</v>
      </c>
      <c r="O71" s="7" t="str">
        <f t="shared" si="3"/>
        <v>Mean</v>
      </c>
      <c r="P71" s="13">
        <v>5.2849653306274318</v>
      </c>
      <c r="Q71" s="7" t="str">
        <f>IF(O71="mean",IF(P71&gt;'1.1 Other Data'!$B$31," Original"," Replacement"),"")</f>
        <v xml:space="preserve"> Replacement</v>
      </c>
    </row>
    <row r="72" spans="1:17" x14ac:dyDescent="0.25">
      <c r="A72" s="4" t="str">
        <f t="shared" ref="A72:A73" si="4">"Spare "&amp;ROW(A72)-7</f>
        <v>Spare 65</v>
      </c>
      <c r="B72" s="4">
        <v>6</v>
      </c>
      <c r="C72" s="4">
        <v>0</v>
      </c>
      <c r="D72" s="13">
        <v>9.4392000000000004E-2</v>
      </c>
      <c r="E72" s="24">
        <f t="shared" ref="E72:E75" si="5">IFERROR(D72/18,"")</f>
        <v>5.2440000000000004E-3</v>
      </c>
      <c r="F72" s="5">
        <v>10011.675255585336</v>
      </c>
      <c r="G72" s="5">
        <v>0</v>
      </c>
      <c r="H72" s="4" t="s">
        <v>203</v>
      </c>
      <c r="I72" s="4">
        <v>104</v>
      </c>
      <c r="J72" s="4" t="s">
        <v>202</v>
      </c>
      <c r="K72" s="12">
        <f>IF(A72=0,0,I72*7*'1.1 Other Data'!$B$60)</f>
        <v>49335104</v>
      </c>
      <c r="L72" s="22">
        <v>0</v>
      </c>
      <c r="M72" s="22">
        <v>0</v>
      </c>
      <c r="N72" s="12">
        <f t="shared" ref="N72:N74" si="6">AVERAGE(L72:M72)</f>
        <v>0</v>
      </c>
      <c r="O72" s="7" t="str">
        <f t="shared" ref="O72:O75" si="7">IF(A72=0,"",_xlfn.IFNA(LEFT(H72,FIND(" ",H72,1)-1),""))</f>
        <v>Lead</v>
      </c>
      <c r="P72" s="13">
        <v>190.69412662090005</v>
      </c>
      <c r="Q72" s="7" t="str">
        <f>IF(O72="mean",IF(P72&gt;'1.1 Other Data'!$B$31," Original"," Replacement"),"")</f>
        <v/>
      </c>
    </row>
    <row r="73" spans="1:17" x14ac:dyDescent="0.25">
      <c r="A73" s="4" t="str">
        <f t="shared" si="4"/>
        <v>Spare 66</v>
      </c>
      <c r="B73" s="4">
        <v>24</v>
      </c>
      <c r="C73" s="4">
        <v>0</v>
      </c>
      <c r="D73" s="13">
        <v>0.37756800000000001</v>
      </c>
      <c r="E73" s="24">
        <f t="shared" si="5"/>
        <v>2.0976000000000002E-2</v>
      </c>
      <c r="F73" s="5">
        <v>10011.675255585336</v>
      </c>
      <c r="G73" s="5">
        <v>0</v>
      </c>
      <c r="H73" s="4" t="s">
        <v>203</v>
      </c>
      <c r="I73" s="4">
        <v>104</v>
      </c>
      <c r="J73" s="4" t="s">
        <v>202</v>
      </c>
      <c r="K73" s="12">
        <f>IF(A73=0,0,I73*7*'1.1 Other Data'!$B$60)</f>
        <v>49335104</v>
      </c>
      <c r="L73" s="22">
        <v>0</v>
      </c>
      <c r="M73" s="22">
        <v>0</v>
      </c>
      <c r="N73" s="12">
        <f t="shared" si="6"/>
        <v>0</v>
      </c>
      <c r="O73" s="7" t="str">
        <f t="shared" si="7"/>
        <v>Lead</v>
      </c>
      <c r="P73" s="13">
        <v>47.673531655225013</v>
      </c>
      <c r="Q73" s="7" t="str">
        <f>IF(O73="mean",IF(P73&gt;'1.1 Other Data'!$B$31," Original"," Replacement"),"")</f>
        <v/>
      </c>
    </row>
    <row r="74" spans="1:17" x14ac:dyDescent="0.25">
      <c r="A74" s="4" t="s">
        <v>208</v>
      </c>
      <c r="B74" s="4">
        <v>1260</v>
      </c>
      <c r="C74" s="4">
        <v>12</v>
      </c>
      <c r="D74" s="13">
        <v>8.5714285714285715E-2</v>
      </c>
      <c r="E74" s="24">
        <f t="shared" si="5"/>
        <v>4.7619047619047623E-3</v>
      </c>
      <c r="F74" s="5">
        <v>46674.476716015553</v>
      </c>
      <c r="G74" s="5">
        <v>0</v>
      </c>
      <c r="H74" s="4" t="s">
        <v>203</v>
      </c>
      <c r="I74" s="4">
        <v>104</v>
      </c>
      <c r="J74" s="4" t="s">
        <v>202</v>
      </c>
      <c r="K74" s="12">
        <f>IF(A74=0,0,I74*7*'1.1 Other Data'!$B$60)</f>
        <v>49335104</v>
      </c>
      <c r="L74" s="5">
        <f>K74-5000000</f>
        <v>44335104</v>
      </c>
      <c r="M74" s="5">
        <f>K74+5000000</f>
        <v>54335104</v>
      </c>
      <c r="N74" s="12">
        <f t="shared" si="6"/>
        <v>49335104</v>
      </c>
      <c r="O74" s="7" t="str">
        <f t="shared" si="7"/>
        <v>Lead</v>
      </c>
      <c r="P74" s="13">
        <v>0.16666666666666666</v>
      </c>
      <c r="Q74" s="7" t="str">
        <f>IF(O74="mean",IF(P74&gt;'1.1 Other Data'!$B$31," Original"," Replacement"),"")</f>
        <v/>
      </c>
    </row>
    <row r="75" spans="1:17" x14ac:dyDescent="0.25">
      <c r="A75" s="4" t="s">
        <v>209</v>
      </c>
      <c r="B75" s="4">
        <v>1480</v>
      </c>
      <c r="C75" s="4">
        <v>0</v>
      </c>
      <c r="D75" s="13">
        <v>74.936708860759495</v>
      </c>
      <c r="E75" s="24">
        <f t="shared" si="5"/>
        <v>4.1631504922644167</v>
      </c>
      <c r="F75" s="5">
        <v>16336.066850605446</v>
      </c>
      <c r="G75" s="5">
        <v>0</v>
      </c>
      <c r="H75" s="4" t="s">
        <v>206</v>
      </c>
      <c r="I75" s="4">
        <v>26</v>
      </c>
      <c r="J75" s="4" t="s">
        <v>207</v>
      </c>
      <c r="K75" s="12">
        <f>IF(A75=0,0,I75*7*'1.1 Other Data'!$B$60)</f>
        <v>12333776</v>
      </c>
      <c r="L75" s="22">
        <v>25000000</v>
      </c>
      <c r="M75" s="22">
        <v>45000000</v>
      </c>
      <c r="N75" s="12">
        <f t="shared" ref="N75" si="8">AVERAGE(L75:M75)</f>
        <v>35000000</v>
      </c>
      <c r="O75" s="7" t="str">
        <f t="shared" si="7"/>
        <v>Failure</v>
      </c>
      <c r="P75" s="13">
        <v>0.2135135135135135</v>
      </c>
      <c r="Q75" s="7" t="str">
        <f>IF(O75="mean",IF(P75&gt;'1.1 Other Data'!$B$31," Original"," Replacement"),"")</f>
        <v/>
      </c>
    </row>
  </sheetData>
  <autoFilter ref="A7:P76" xr:uid="{6F59EAAD-4792-44C1-B2AC-A2EC81DF5D4A}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E5C1-9769-4564-8EFF-C96335C6610D}">
  <dimension ref="A5:F60"/>
  <sheetViews>
    <sheetView topLeftCell="A17" workbookViewId="0">
      <selection activeCell="B59" sqref="B59"/>
    </sheetView>
  </sheetViews>
  <sheetFormatPr defaultRowHeight="15" x14ac:dyDescent="0.25"/>
  <cols>
    <col min="1" max="1" width="21.42578125" bestFit="1" customWidth="1"/>
    <col min="2" max="2" width="14.28515625" bestFit="1" customWidth="1"/>
    <col min="3" max="3" width="12" bestFit="1" customWidth="1"/>
    <col min="4" max="4" width="14.7109375" bestFit="1" customWidth="1"/>
    <col min="5" max="6" width="12" bestFit="1" customWidth="1"/>
  </cols>
  <sheetData>
    <row r="5" spans="1:6" ht="26.25" thickBot="1" x14ac:dyDescent="0.4">
      <c r="A5" s="32" t="str" cm="1">
        <f t="array" aca="1" ref="A5" ca="1">RIGHT(CELL("filename",A2),LEN(CELL("filename",A2))-FIND("]",CELL("filename",A2)))</f>
        <v>1.1 Other Data</v>
      </c>
    </row>
    <row r="6" spans="1:6" ht="15.75" thickTop="1" x14ac:dyDescent="0.25"/>
    <row r="8" spans="1:6" ht="16.5" thickBot="1" x14ac:dyDescent="0.3">
      <c r="A8" s="16" t="s">
        <v>19</v>
      </c>
      <c r="B8" s="16"/>
      <c r="C8" s="16"/>
      <c r="D8" s="16"/>
      <c r="E8" s="16"/>
      <c r="F8" s="16"/>
    </row>
    <row r="9" spans="1:6" ht="15.75" thickTop="1" x14ac:dyDescent="0.25"/>
    <row r="10" spans="1:6" ht="15.75" thickBot="1" x14ac:dyDescent="0.3">
      <c r="A10" s="8" t="s">
        <v>20</v>
      </c>
      <c r="B10" s="8"/>
      <c r="C10" s="8"/>
      <c r="D10" s="8"/>
      <c r="E10" s="8"/>
      <c r="F10" s="8"/>
    </row>
    <row r="11" spans="1:6" x14ac:dyDescent="0.25">
      <c r="B11" t="s">
        <v>191</v>
      </c>
      <c r="C11" t="s">
        <v>192</v>
      </c>
      <c r="D11" t="s">
        <v>193</v>
      </c>
      <c r="E11" t="s">
        <v>194</v>
      </c>
      <c r="F11" t="s">
        <v>195</v>
      </c>
    </row>
    <row r="12" spans="1:6" x14ac:dyDescent="0.25">
      <c r="A12" s="4" t="s">
        <v>21</v>
      </c>
      <c r="B12" s="11">
        <v>6.0243211927003631E-2</v>
      </c>
      <c r="C12" s="11">
        <v>6.0740763892524995E-2</v>
      </c>
      <c r="D12" s="11">
        <v>6.1500802718801331E-2</v>
      </c>
      <c r="E12" s="11">
        <v>6.2597752716261681E-2</v>
      </c>
      <c r="F12" s="11">
        <v>6.3701921857721805E-2</v>
      </c>
    </row>
    <row r="13" spans="1:6" x14ac:dyDescent="0.25">
      <c r="A13" s="4" t="s">
        <v>22</v>
      </c>
      <c r="B13" s="11">
        <v>2.6249619366456756E-2</v>
      </c>
      <c r="C13" s="11">
        <v>2.6249619366456756E-2</v>
      </c>
      <c r="D13" s="11">
        <v>2.6249619366456756E-2</v>
      </c>
      <c r="E13" s="11">
        <v>2.6249619366456756E-2</v>
      </c>
      <c r="F13" s="11">
        <v>2.6249619366456756E-2</v>
      </c>
    </row>
    <row r="14" spans="1:6" x14ac:dyDescent="0.25">
      <c r="A14" s="4" t="s">
        <v>23</v>
      </c>
      <c r="B14" s="11">
        <v>3.3124097606518403E-2</v>
      </c>
      <c r="C14" s="11">
        <v>3.360892308769952E-2</v>
      </c>
      <c r="D14" s="11">
        <v>3.4349521487868052E-2</v>
      </c>
      <c r="E14" s="11">
        <v>3.5418413477457777E-2</v>
      </c>
      <c r="F14" s="11">
        <v>3.6494339958328847E-2</v>
      </c>
    </row>
    <row r="16" spans="1:6" x14ac:dyDescent="0.25">
      <c r="A16" t="s">
        <v>24</v>
      </c>
      <c r="B16" t="s">
        <v>25</v>
      </c>
    </row>
    <row r="19" spans="1:4" ht="15.75" thickBot="1" x14ac:dyDescent="0.3">
      <c r="A19" s="8" t="s">
        <v>26</v>
      </c>
      <c r="B19" s="8" t="s">
        <v>27</v>
      </c>
      <c r="C19" s="8" t="s">
        <v>28</v>
      </c>
      <c r="D19" s="47" t="s">
        <v>29</v>
      </c>
    </row>
    <row r="20" spans="1:4" x14ac:dyDescent="0.25">
      <c r="A20" s="4" t="s">
        <v>30</v>
      </c>
      <c r="B20" s="4">
        <v>0.5</v>
      </c>
      <c r="C20" s="4">
        <f>ROUND(B20*365.25,0)</f>
        <v>183</v>
      </c>
      <c r="D20" s="4">
        <v>0.15</v>
      </c>
    </row>
    <row r="21" spans="1:4" x14ac:dyDescent="0.25">
      <c r="A21" s="4" t="s">
        <v>31</v>
      </c>
      <c r="B21" s="4">
        <v>2</v>
      </c>
      <c r="C21" s="4">
        <f t="shared" ref="C21:C22" si="0">ROUND(B21*365.25,0)</f>
        <v>731</v>
      </c>
      <c r="D21" s="4">
        <v>0.5</v>
      </c>
    </row>
    <row r="22" spans="1:4" x14ac:dyDescent="0.25">
      <c r="A22" s="4" t="s">
        <v>32</v>
      </c>
      <c r="B22" s="4">
        <v>5</v>
      </c>
      <c r="C22" s="4">
        <f t="shared" si="0"/>
        <v>1826</v>
      </c>
      <c r="D22" s="4">
        <v>1</v>
      </c>
    </row>
    <row r="26" spans="1:4" ht="16.5" thickBot="1" x14ac:dyDescent="0.3">
      <c r="A26" s="16" t="s">
        <v>33</v>
      </c>
      <c r="B26" s="16"/>
    </row>
    <row r="27" spans="1:4" ht="15.75" thickTop="1" x14ac:dyDescent="0.25"/>
    <row r="28" spans="1:4" ht="15.75" thickBot="1" x14ac:dyDescent="0.3">
      <c r="A28" s="8" t="s">
        <v>34</v>
      </c>
      <c r="B28" s="8" t="s">
        <v>35</v>
      </c>
    </row>
    <row r="29" spans="1:4" x14ac:dyDescent="0.25">
      <c r="A29" s="4" t="s">
        <v>36</v>
      </c>
      <c r="B29" s="41">
        <v>37438</v>
      </c>
    </row>
    <row r="30" spans="1:4" x14ac:dyDescent="0.25">
      <c r="A30" s="4" t="s">
        <v>37</v>
      </c>
      <c r="B30" s="41">
        <v>45473</v>
      </c>
    </row>
    <row r="31" spans="1:4" x14ac:dyDescent="0.25">
      <c r="A31" s="4" t="s">
        <v>38</v>
      </c>
      <c r="B31" s="40">
        <f>ROUND((B30-B29)/365.25,0)</f>
        <v>22</v>
      </c>
    </row>
    <row r="32" spans="1:4" x14ac:dyDescent="0.25">
      <c r="A32" s="7" t="s">
        <v>39</v>
      </c>
      <c r="B32" s="59">
        <f>CalcDate-B29</f>
        <v>8035</v>
      </c>
    </row>
    <row r="34" spans="1:2" ht="16.5" thickBot="1" x14ac:dyDescent="0.3">
      <c r="A34" s="16" t="s">
        <v>40</v>
      </c>
      <c r="B34" s="16"/>
    </row>
    <row r="35" spans="1:2" ht="15.75" thickTop="1" x14ac:dyDescent="0.25"/>
    <row r="36" spans="1:2" ht="15.75" thickBot="1" x14ac:dyDescent="0.3">
      <c r="A36" s="8" t="s">
        <v>34</v>
      </c>
      <c r="B36" s="8" t="s">
        <v>35</v>
      </c>
    </row>
    <row r="37" spans="1:2" x14ac:dyDescent="0.25">
      <c r="A37" s="10" t="s">
        <v>37</v>
      </c>
      <c r="B37" s="57">
        <f>CalcDate</f>
        <v>45473</v>
      </c>
    </row>
    <row r="38" spans="1:2" x14ac:dyDescent="0.25">
      <c r="A38" s="4" t="s">
        <v>41</v>
      </c>
      <c r="B38" s="41">
        <v>51866</v>
      </c>
    </row>
    <row r="39" spans="1:2" x14ac:dyDescent="0.25">
      <c r="A39" s="7" t="s">
        <v>42</v>
      </c>
      <c r="B39" s="58">
        <f>ROUND((B38-B37)/365.25,0)</f>
        <v>18</v>
      </c>
    </row>
    <row r="43" spans="1:2" ht="17.25" thickBot="1" x14ac:dyDescent="0.35">
      <c r="A43" s="16" t="s">
        <v>43</v>
      </c>
      <c r="B43" s="16"/>
    </row>
    <row r="44" spans="1:2" ht="15.75" thickTop="1" x14ac:dyDescent="0.25"/>
    <row r="45" spans="1:2" ht="15.75" thickBot="1" x14ac:dyDescent="0.3">
      <c r="A45" s="8" t="s">
        <v>44</v>
      </c>
      <c r="B45" s="8" t="s">
        <v>45</v>
      </c>
    </row>
    <row r="46" spans="1:2" x14ac:dyDescent="0.25">
      <c r="A46" s="4" t="s">
        <v>46</v>
      </c>
      <c r="B46" s="39">
        <v>0.04</v>
      </c>
    </row>
    <row r="48" spans="1:2" ht="15.75" thickBot="1" x14ac:dyDescent="0.3">
      <c r="A48" s="8" t="s">
        <v>47</v>
      </c>
      <c r="B48" s="8"/>
    </row>
    <row r="49" spans="1:6" x14ac:dyDescent="0.25">
      <c r="A49" s="4" t="s">
        <v>48</v>
      </c>
      <c r="B49" s="39">
        <v>0.1</v>
      </c>
    </row>
    <row r="51" spans="1:6" ht="15.75" thickBot="1" x14ac:dyDescent="0.3">
      <c r="A51" s="8" t="s">
        <v>49</v>
      </c>
      <c r="B51" s="8"/>
    </row>
    <row r="52" spans="1:6" x14ac:dyDescent="0.25">
      <c r="A52" s="4" t="s">
        <v>50</v>
      </c>
      <c r="B52" s="39">
        <v>0.1</v>
      </c>
    </row>
    <row r="53" spans="1:6" x14ac:dyDescent="0.25">
      <c r="A53" s="4" t="s">
        <v>51</v>
      </c>
      <c r="B53" s="39">
        <f>Range/3</f>
        <v>3.3333333333333333E-2</v>
      </c>
    </row>
    <row r="55" spans="1:6" ht="17.25" thickBot="1" x14ac:dyDescent="0.35">
      <c r="A55" s="16" t="s">
        <v>52</v>
      </c>
      <c r="B55" s="16"/>
      <c r="C55" s="16"/>
      <c r="D55" s="16"/>
      <c r="E55" s="16"/>
      <c r="F55" s="16"/>
    </row>
    <row r="56" spans="1:6" ht="15.75" thickTop="1" x14ac:dyDescent="0.25">
      <c r="A56" t="s">
        <v>53</v>
      </c>
    </row>
    <row r="57" spans="1:6" x14ac:dyDescent="0.25">
      <c r="B57" t="s">
        <v>191</v>
      </c>
      <c r="C57" t="s">
        <v>192</v>
      </c>
      <c r="D57" t="s">
        <v>193</v>
      </c>
      <c r="E57" t="s">
        <v>194</v>
      </c>
      <c r="F57" t="s">
        <v>195</v>
      </c>
    </row>
    <row r="58" spans="1:6" x14ac:dyDescent="0.25">
      <c r="A58" t="s">
        <v>196</v>
      </c>
      <c r="B58" s="54">
        <v>22267454.117635678</v>
      </c>
      <c r="C58" s="54">
        <v>23445817.392564643</v>
      </c>
      <c r="D58" s="54">
        <v>24686538.043436348</v>
      </c>
      <c r="E58" s="54">
        <v>25992915.937462557</v>
      </c>
      <c r="F58" s="54">
        <v>27368425.566323251</v>
      </c>
    </row>
    <row r="59" spans="1:6" x14ac:dyDescent="0.25">
      <c r="A59" t="s">
        <v>54</v>
      </c>
      <c r="B59" s="15">
        <f>AVERAGE(B58:F58)</f>
        <v>24752230.211484496</v>
      </c>
    </row>
    <row r="60" spans="1:6" x14ac:dyDescent="0.25">
      <c r="A60" t="s">
        <v>55</v>
      </c>
      <c r="B60" s="12">
        <f>ROUND(B59/365.25,0)</f>
        <v>67768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AE8BA-EC3B-4639-B274-E1B8B39774AD}">
  <dimension ref="A2:Q281"/>
  <sheetViews>
    <sheetView tabSelected="1" zoomScale="70" zoomScaleNormal="70" workbookViewId="0">
      <selection activeCell="D5" sqref="D5"/>
    </sheetView>
  </sheetViews>
  <sheetFormatPr defaultRowHeight="15" x14ac:dyDescent="0.25"/>
  <cols>
    <col min="1" max="1" width="64.42578125" bestFit="1" customWidth="1"/>
    <col min="2" max="2" width="15.7109375" bestFit="1" customWidth="1"/>
    <col min="3" max="3" width="57.42578125" bestFit="1" customWidth="1"/>
    <col min="4" max="5" width="57.42578125" customWidth="1"/>
    <col min="6" max="6" width="64.42578125" bestFit="1" customWidth="1"/>
    <col min="7" max="7" width="62.5703125" bestFit="1" customWidth="1"/>
    <col min="9" max="9" width="57.42578125" bestFit="1" customWidth="1"/>
    <col min="10" max="11" width="57.42578125" customWidth="1"/>
    <col min="12" max="12" width="30.5703125" bestFit="1" customWidth="1"/>
    <col min="13" max="13" width="62.5703125" bestFit="1" customWidth="1"/>
    <col min="15" max="15" width="54.42578125" bestFit="1" customWidth="1"/>
    <col min="17" max="17" width="54.42578125" bestFit="1" customWidth="1"/>
  </cols>
  <sheetData>
    <row r="2" spans="1:17" x14ac:dyDescent="0.25">
      <c r="L2" t="e">
        <v>#DIV/0!</v>
      </c>
    </row>
    <row r="3" spans="1:17" x14ac:dyDescent="0.25">
      <c r="I3" s="4">
        <v>0</v>
      </c>
      <c r="J3" s="4">
        <v>0</v>
      </c>
      <c r="K3" s="4">
        <v>0</v>
      </c>
      <c r="L3" s="4">
        <v>0</v>
      </c>
      <c r="M3" s="4">
        <v>0</v>
      </c>
      <c r="Q3" s="4">
        <v>0</v>
      </c>
    </row>
    <row r="4" spans="1:17" x14ac:dyDescent="0.25">
      <c r="I4" s="4" t="e">
        <v>#VALUE!</v>
      </c>
      <c r="J4" s="4" t="e">
        <v>#VALUE!</v>
      </c>
      <c r="K4" s="4" t="e">
        <v>#VALUE!</v>
      </c>
      <c r="L4" s="4" t="e">
        <v>#VALUE!</v>
      </c>
      <c r="M4" s="4" t="e">
        <v>#VALUE!</v>
      </c>
      <c r="Q4" s="4" t="e">
        <v>#VALUE!</v>
      </c>
    </row>
    <row r="5" spans="1:17" ht="26.25" thickBot="1" x14ac:dyDescent="0.4">
      <c r="A5" s="32" t="str" cm="1">
        <f t="array" aca="1" ref="A5" ca="1">RIGHT(CELL("filename",A2),LEN(CELL("filename",A2))-FIND("]",CELL("filename",A2)))</f>
        <v>1.2 Sorting</v>
      </c>
      <c r="I5" s="4" t="s">
        <v>56</v>
      </c>
      <c r="J5" s="4"/>
      <c r="K5" s="4"/>
      <c r="L5" s="4" t="s">
        <v>56</v>
      </c>
      <c r="M5" s="4" t="s">
        <v>56</v>
      </c>
      <c r="Q5" s="4" t="s">
        <v>56</v>
      </c>
    </row>
    <row r="6" spans="1:17" ht="15.75" thickTop="1" x14ac:dyDescent="0.25"/>
    <row r="7" spans="1:17" ht="15.75" thickBot="1" x14ac:dyDescent="0.3">
      <c r="A7" s="8" t="s">
        <v>57</v>
      </c>
      <c r="B7" s="8" t="s">
        <v>17</v>
      </c>
      <c r="C7" s="8" t="s">
        <v>58</v>
      </c>
      <c r="D7" s="8" t="s">
        <v>59</v>
      </c>
      <c r="E7" s="8" t="s">
        <v>60</v>
      </c>
      <c r="F7" s="8" t="s">
        <v>61</v>
      </c>
      <c r="G7" s="9" t="s">
        <v>62</v>
      </c>
      <c r="I7" s="9" t="s">
        <v>63</v>
      </c>
      <c r="J7" s="30" t="s">
        <v>64</v>
      </c>
      <c r="K7" s="30" t="s">
        <v>65</v>
      </c>
      <c r="L7" s="9" t="s">
        <v>66</v>
      </c>
      <c r="M7" s="9" t="s">
        <v>62</v>
      </c>
      <c r="O7" t="s">
        <v>67</v>
      </c>
      <c r="Q7" s="9" t="s">
        <v>68</v>
      </c>
    </row>
    <row r="8" spans="1:17" x14ac:dyDescent="0.25">
      <c r="A8" s="7" t="str">
        <f>' 1.0 Asset Data'!A8</f>
        <v>Spare 1</v>
      </c>
      <c r="B8" s="7" t="str">
        <f>IF(A8=0,"",CONCATENATE(' 1.0 Asset Data'!O8,' 1.0 Asset Data'!Q8))</f>
        <v>Lead</v>
      </c>
      <c r="C8" s="7" t="str">
        <f>IF($B8=C$7,$A8,"")</f>
        <v/>
      </c>
      <c r="D8" s="7" t="str">
        <f>IF($B8=D$7,$A8,"")</f>
        <v/>
      </c>
      <c r="E8" s="7" t="str">
        <f>IF($B8=E$7,$A8,"")</f>
        <v/>
      </c>
      <c r="F8" s="7" t="str">
        <f>IF($B8=F$7,$A8,"")</f>
        <v>Spare 1</v>
      </c>
      <c r="G8" s="7" t="str">
        <f>IF(AND(C8="",D8="",E8="",F8=""),A8,"")</f>
        <v/>
      </c>
      <c r="I8" s="7" t="str" cm="1">
        <f t="array" ref="I8">_xlfn.IFNA(INDEX(C$8:C$100,MATCH(0,COUNTIF(I$3:I7,C$8:C$100),0)),"")</f>
        <v>Spare 69</v>
      </c>
      <c r="J8" s="7" t="str" cm="1">
        <f t="array" ref="J8">_xlfn.IFNA(INDEX(D$8:D$100,MATCH(0,COUNTIF(J$3:J7,D$8:D$100),0)),"")</f>
        <v>Spare 19</v>
      </c>
      <c r="K8" s="7" t="str" cm="1">
        <f t="array" ref="K8">_xlfn.IFNA(INDEX(E$8:E$100,MATCH(0,COUNTIF(K$3:K7,E$8:E$100),0)),"")</f>
        <v>Spare 24</v>
      </c>
      <c r="L8" s="7" t="str" cm="1">
        <f t="array" ref="L8">_xlfn.IFNA(INDEX(F$8:F$280,MATCH(0,COUNTIF(L$1:L7,F$8:F$280),0)),"")</f>
        <v>Spare 1</v>
      </c>
      <c r="M8" s="7" t="str" cm="1">
        <f t="array" ref="M8">_xlfn.IFNA(INDEX(G$8:G$100,MATCH(0,COUNTIF(M$3:M7,G$8:G$100),0)),"")</f>
        <v/>
      </c>
      <c r="O8" s="7" t="str">
        <f>IF(OR(B8="Mean Original",B8="Mean Replacement"),A8,"")</f>
        <v/>
      </c>
      <c r="Q8" s="7" t="str" cm="1">
        <f t="array" ref="Q8">_xlfn.IFNA(INDEX($O$8:$O$86,MATCH(0,COUNTIF(Q$3:Q7,$O$8:$O$86),0)),"")</f>
        <v>Spare 19</v>
      </c>
    </row>
    <row r="9" spans="1:17" x14ac:dyDescent="0.25">
      <c r="A9" s="7" t="str">
        <f>' 1.0 Asset Data'!A9</f>
        <v>Spare 2</v>
      </c>
      <c r="B9" s="7" t="str">
        <f>IF(A9=0,"",CONCATENATE(' 1.0 Asset Data'!O9,' 1.0 Asset Data'!Q9))</f>
        <v>Lead</v>
      </c>
      <c r="C9" s="7" t="str">
        <f t="shared" ref="C9:F40" si="0">IF($B9=C$7,$A9,"")</f>
        <v/>
      </c>
      <c r="D9" s="7" t="str">
        <f t="shared" si="0"/>
        <v/>
      </c>
      <c r="E9" s="7" t="str">
        <f t="shared" si="0"/>
        <v/>
      </c>
      <c r="F9" s="7" t="str">
        <f t="shared" si="0"/>
        <v>Spare 2</v>
      </c>
      <c r="G9" s="7" t="str">
        <f t="shared" ref="G9:G72" si="1">IF(AND(C9="",D9="",E9="",F9=""),A9,"")</f>
        <v/>
      </c>
      <c r="I9" s="7" t="str" cm="1">
        <f t="array" ref="I9">_xlfn.IFNA(INDEX(C$8:C$100,MATCH(0,COUNTIF(I$3:I8,C$8:C$100),0)),"")</f>
        <v/>
      </c>
      <c r="J9" s="7" t="str" cm="1">
        <f t="array" ref="J9">_xlfn.IFNA(INDEX(D$8:D$100,MATCH(0,COUNTIF(J$3:J8,D$8:D$100),0)),"")</f>
        <v>Spare 20</v>
      </c>
      <c r="K9" s="7" t="str" cm="1">
        <f t="array" ref="K9">_xlfn.IFNA(INDEX(E$8:E$100,MATCH(0,COUNTIF(K$3:K8,E$8:E$100),0)),"")</f>
        <v>Spare 25</v>
      </c>
      <c r="L9" s="7" t="str" cm="1">
        <f t="array" ref="L9">_xlfn.IFNA(INDEX(F$8:F$280,MATCH(0,COUNTIF(L$1:L8,F$8:F$280),0)),"")</f>
        <v>Spare 2</v>
      </c>
      <c r="M9" s="7" t="str" cm="1">
        <f t="array" ref="M9">_xlfn.IFNA(INDEX(G$8:G$100,MATCH(0,COUNTIF(M$3:M8,G$8:G$100),0)),"")</f>
        <v/>
      </c>
      <c r="O9" s="7" t="str">
        <f t="shared" ref="O9:O72" si="2">IF(OR(B9="Mean Original",B9="Mean Replacement"),A9,"")</f>
        <v/>
      </c>
      <c r="Q9" s="7" t="str" cm="1">
        <f t="array" ref="Q9">_xlfn.IFNA(INDEX($O$8:$O$86,MATCH(0,COUNTIF(Q$3:Q8,$O$8:$O$86),0)),"")</f>
        <v>Spare 20</v>
      </c>
    </row>
    <row r="10" spans="1:17" x14ac:dyDescent="0.25">
      <c r="A10" s="7" t="str">
        <f>' 1.0 Asset Data'!A10</f>
        <v>Spare 3</v>
      </c>
      <c r="B10" s="7" t="str">
        <f>IF(A10=0,"",CONCATENATE(' 1.0 Asset Data'!O10,' 1.0 Asset Data'!Q10))</f>
        <v>Lead</v>
      </c>
      <c r="C10" s="7" t="str">
        <f t="shared" si="0"/>
        <v/>
      </c>
      <c r="D10" s="7" t="str">
        <f t="shared" si="0"/>
        <v/>
      </c>
      <c r="E10" s="7" t="str">
        <f t="shared" si="0"/>
        <v/>
      </c>
      <c r="F10" s="7" t="str">
        <f t="shared" si="0"/>
        <v>Spare 3</v>
      </c>
      <c r="G10" s="7" t="str">
        <f t="shared" si="1"/>
        <v/>
      </c>
      <c r="I10" s="7" t="str" cm="1">
        <f t="array" ref="I10">_xlfn.IFNA(INDEX(C$8:C$100,MATCH(0,COUNTIF(I$3:I9,C$8:C$100),0)),"")</f>
        <v/>
      </c>
      <c r="J10" s="7" t="str" cm="1">
        <f t="array" ref="J10">_xlfn.IFNA(INDEX(D$8:D$100,MATCH(0,COUNTIF(J$3:J9,D$8:D$100),0)),"")</f>
        <v>Spare 30</v>
      </c>
      <c r="K10" s="7" t="str" cm="1">
        <f t="array" ref="K10">_xlfn.IFNA(INDEX(E$8:E$100,MATCH(0,COUNTIF(K$3:K9,E$8:E$100),0)),"")</f>
        <v>Spare 26</v>
      </c>
      <c r="L10" s="7" t="str" cm="1">
        <f t="array" ref="L10">_xlfn.IFNA(INDEX(F$8:F$280,MATCH(0,COUNTIF(L$1:L9,F$8:F$280),0)),"")</f>
        <v>Spare 3</v>
      </c>
      <c r="M10" s="7" t="str" cm="1">
        <f t="array" ref="M10">_xlfn.IFNA(INDEX(G$8:G$100,MATCH(0,COUNTIF(M$3:M9,G$8:G$100),0)),"")</f>
        <v/>
      </c>
      <c r="O10" s="7" t="str">
        <f t="shared" si="2"/>
        <v/>
      </c>
      <c r="Q10" s="7" t="str" cm="1">
        <f t="array" ref="Q10">_xlfn.IFNA(INDEX($O$8:$O$86,MATCH(0,COUNTIF(Q$3:Q9,$O$8:$O$86),0)),"")</f>
        <v>Spare 24</v>
      </c>
    </row>
    <row r="11" spans="1:17" x14ac:dyDescent="0.25">
      <c r="A11" s="7" t="str">
        <f>' 1.0 Asset Data'!A11</f>
        <v>Spare 4</v>
      </c>
      <c r="B11" s="7" t="str">
        <f>IF(A11=0,"",CONCATENATE(' 1.0 Asset Data'!O11,' 1.0 Asset Data'!Q11))</f>
        <v>Lead</v>
      </c>
      <c r="C11" s="7" t="str">
        <f t="shared" si="0"/>
        <v/>
      </c>
      <c r="D11" s="7" t="str">
        <f t="shared" si="0"/>
        <v/>
      </c>
      <c r="E11" s="7" t="str">
        <f t="shared" si="0"/>
        <v/>
      </c>
      <c r="F11" s="7" t="str">
        <f t="shared" si="0"/>
        <v>Spare 4</v>
      </c>
      <c r="G11" s="7" t="str">
        <f t="shared" si="1"/>
        <v/>
      </c>
      <c r="I11" s="7" t="str" cm="1">
        <f t="array" ref="I11">_xlfn.IFNA(INDEX(C$8:C$100,MATCH(0,COUNTIF(I$3:I10,C$8:C$100),0)),"")</f>
        <v/>
      </c>
      <c r="J11" s="7" t="str" cm="1">
        <f t="array" ref="J11">_xlfn.IFNA(INDEX(D$8:D$100,MATCH(0,COUNTIF(J$3:J10,D$8:D$100),0)),"")</f>
        <v>Spare 32</v>
      </c>
      <c r="K11" s="7" t="str" cm="1">
        <f t="array" ref="K11">_xlfn.IFNA(INDEX(E$8:E$100,MATCH(0,COUNTIF(K$3:K10,E$8:E$100),0)),"")</f>
        <v>Spare 27</v>
      </c>
      <c r="L11" s="7" t="str" cm="1">
        <f t="array" ref="L11">_xlfn.IFNA(INDEX(F$8:F$280,MATCH(0,COUNTIF(L$1:L10,F$8:F$280),0)),"")</f>
        <v>Spare 4</v>
      </c>
      <c r="M11" s="7" t="str" cm="1">
        <f t="array" ref="M11">_xlfn.IFNA(INDEX(G$8:G$100,MATCH(0,COUNTIF(M$3:M10,G$8:G$100),0)),"")</f>
        <v/>
      </c>
      <c r="O11" s="7" t="str">
        <f t="shared" si="2"/>
        <v/>
      </c>
      <c r="Q11" s="7" t="str" cm="1">
        <f t="array" ref="Q11">_xlfn.IFNA(INDEX($O$8:$O$86,MATCH(0,COUNTIF(Q$3:Q10,$O$8:$O$86),0)),"")</f>
        <v>Spare 25</v>
      </c>
    </row>
    <row r="12" spans="1:17" x14ac:dyDescent="0.25">
      <c r="A12" s="7" t="str">
        <f>' 1.0 Asset Data'!A12</f>
        <v>Spare 5</v>
      </c>
      <c r="B12" s="7" t="str">
        <f>IF(A12=0,"",CONCATENATE(' 1.0 Asset Data'!O12,' 1.0 Asset Data'!Q12))</f>
        <v>Lead</v>
      </c>
      <c r="C12" s="7" t="str">
        <f t="shared" si="0"/>
        <v/>
      </c>
      <c r="D12" s="7" t="str">
        <f t="shared" si="0"/>
        <v/>
      </c>
      <c r="E12" s="7" t="str">
        <f t="shared" si="0"/>
        <v/>
      </c>
      <c r="F12" s="7" t="str">
        <f t="shared" si="0"/>
        <v>Spare 5</v>
      </c>
      <c r="G12" s="7" t="str">
        <f t="shared" si="1"/>
        <v/>
      </c>
      <c r="I12" s="7" t="str" cm="1">
        <f t="array" ref="I12">_xlfn.IFNA(INDEX(C$8:C$100,MATCH(0,COUNTIF(I$3:I11,C$8:C$100),0)),"")</f>
        <v/>
      </c>
      <c r="J12" s="7" t="str" cm="1">
        <f t="array" ref="J12">_xlfn.IFNA(INDEX(D$8:D$100,MATCH(0,COUNTIF(J$3:J11,D$8:D$100),0)),"")</f>
        <v>Spare 33</v>
      </c>
      <c r="K12" s="7" t="str" cm="1">
        <f t="array" ref="K12">_xlfn.IFNA(INDEX(E$8:E$100,MATCH(0,COUNTIF(K$3:K11,E$8:E$100),0)),"")</f>
        <v>Spare 31</v>
      </c>
      <c r="L12" s="7" t="str" cm="1">
        <f t="array" ref="L12">_xlfn.IFNA(INDEX(F$8:F$280,MATCH(0,COUNTIF(L$1:L11,F$8:F$280),0)),"")</f>
        <v>Spare 5</v>
      </c>
      <c r="M12" s="7" t="str" cm="1">
        <f t="array" ref="M12">_xlfn.IFNA(INDEX(G$8:G$100,MATCH(0,COUNTIF(M$3:M11,G$8:G$100),0)),"")</f>
        <v/>
      </c>
      <c r="O12" s="7" t="str">
        <f t="shared" si="2"/>
        <v/>
      </c>
      <c r="Q12" s="7" t="str" cm="1">
        <f t="array" ref="Q12">_xlfn.IFNA(INDEX($O$8:$O$86,MATCH(0,COUNTIF(Q$3:Q11,$O$8:$O$86),0)),"")</f>
        <v>Spare 26</v>
      </c>
    </row>
    <row r="13" spans="1:17" x14ac:dyDescent="0.25">
      <c r="A13" s="7" t="str">
        <f>' 1.0 Asset Data'!A13</f>
        <v>Spare 6</v>
      </c>
      <c r="B13" s="7" t="str">
        <f>IF(A13=0,"",CONCATENATE(' 1.0 Asset Data'!O13,' 1.0 Asset Data'!Q13))</f>
        <v>Lead</v>
      </c>
      <c r="C13" s="7" t="str">
        <f t="shared" si="0"/>
        <v/>
      </c>
      <c r="D13" s="7" t="str">
        <f t="shared" si="0"/>
        <v/>
      </c>
      <c r="E13" s="7" t="str">
        <f t="shared" si="0"/>
        <v/>
      </c>
      <c r="F13" s="7" t="str">
        <f t="shared" si="0"/>
        <v>Spare 6</v>
      </c>
      <c r="G13" s="7" t="str">
        <f t="shared" si="1"/>
        <v/>
      </c>
      <c r="I13" s="7" t="str" cm="1">
        <f t="array" ref="I13">_xlfn.IFNA(INDEX(C$8:C$100,MATCH(0,COUNTIF(I$3:I12,C$8:C$100),0)),"")</f>
        <v/>
      </c>
      <c r="J13" s="7" t="str" cm="1">
        <f t="array" ref="J13">_xlfn.IFNA(INDEX(D$8:D$100,MATCH(0,COUNTIF(J$3:J12,D$8:D$100),0)),"")</f>
        <v>Spare 36</v>
      </c>
      <c r="K13" s="7" t="str" cm="1">
        <f t="array" ref="K13">_xlfn.IFNA(INDEX(E$8:E$100,MATCH(0,COUNTIF(K$3:K12,E$8:E$100),0)),"")</f>
        <v>Spare 34</v>
      </c>
      <c r="L13" s="7" t="str" cm="1">
        <f t="array" ref="L13">_xlfn.IFNA(INDEX(F$8:F$280,MATCH(0,COUNTIF(L$1:L12,F$8:F$280),0)),"")</f>
        <v>Spare 6</v>
      </c>
      <c r="M13" s="7" t="str" cm="1">
        <f t="array" ref="M13">_xlfn.IFNA(INDEX(G$8:G$100,MATCH(0,COUNTIF(M$3:M12,G$8:G$100),0)),"")</f>
        <v/>
      </c>
      <c r="O13" s="7" t="str">
        <f t="shared" si="2"/>
        <v/>
      </c>
      <c r="Q13" s="7" t="str" cm="1">
        <f t="array" ref="Q13">_xlfn.IFNA(INDEX($O$8:$O$86,MATCH(0,COUNTIF(Q$3:Q12,$O$8:$O$86),0)),"")</f>
        <v>Spare 27</v>
      </c>
    </row>
    <row r="14" spans="1:17" x14ac:dyDescent="0.25">
      <c r="A14" s="7" t="str">
        <f>' 1.0 Asset Data'!A14</f>
        <v>Spare 7</v>
      </c>
      <c r="B14" s="7" t="str">
        <f>IF(A14=0,"",CONCATENATE(' 1.0 Asset Data'!O14,' 1.0 Asset Data'!Q14))</f>
        <v>Lead</v>
      </c>
      <c r="C14" s="7" t="str">
        <f t="shared" si="0"/>
        <v/>
      </c>
      <c r="D14" s="7" t="str">
        <f t="shared" si="0"/>
        <v/>
      </c>
      <c r="E14" s="7" t="str">
        <f t="shared" si="0"/>
        <v/>
      </c>
      <c r="F14" s="7" t="str">
        <f t="shared" si="0"/>
        <v>Spare 7</v>
      </c>
      <c r="G14" s="7" t="str">
        <f t="shared" si="1"/>
        <v/>
      </c>
      <c r="I14" s="7" t="str" cm="1">
        <f t="array" ref="I14">_xlfn.IFNA(INDEX(C$8:C$100,MATCH(0,COUNTIF(I$3:I13,C$8:C$100),0)),"")</f>
        <v/>
      </c>
      <c r="J14" s="7" t="str" cm="1">
        <f t="array" ref="J14">_xlfn.IFNA(INDEX(D$8:D$100,MATCH(0,COUNTIF(J$3:J13,D$8:D$100),0)),"")</f>
        <v>Spare 38</v>
      </c>
      <c r="K14" s="7" t="str" cm="1">
        <f t="array" ref="K14">_xlfn.IFNA(INDEX(E$8:E$100,MATCH(0,COUNTIF(K$3:K13,E$8:E$100),0)),"")</f>
        <v>Spare 35</v>
      </c>
      <c r="L14" s="7" t="str" cm="1">
        <f t="array" ref="L14">_xlfn.IFNA(INDEX(F$8:F$280,MATCH(0,COUNTIF(L$1:L13,F$8:F$280),0)),"")</f>
        <v>Spare 7</v>
      </c>
      <c r="M14" s="7" t="str" cm="1">
        <f t="array" ref="M14">_xlfn.IFNA(INDEX(G$8:G$100,MATCH(0,COUNTIF(M$3:M13,G$8:G$100),0)),"")</f>
        <v/>
      </c>
      <c r="O14" s="7" t="str">
        <f t="shared" si="2"/>
        <v/>
      </c>
      <c r="Q14" s="7" t="str" cm="1">
        <f t="array" ref="Q14">_xlfn.IFNA(INDEX($O$8:$O$86,MATCH(0,COUNTIF(Q$3:Q13,$O$8:$O$86),0)),"")</f>
        <v>Spare 30</v>
      </c>
    </row>
    <row r="15" spans="1:17" x14ac:dyDescent="0.25">
      <c r="A15" s="7" t="str">
        <f>' 1.0 Asset Data'!A15</f>
        <v>Spare 8</v>
      </c>
      <c r="B15" s="7" t="str">
        <f>IF(A15=0,"",CONCATENATE(' 1.0 Asset Data'!O15,' 1.0 Asset Data'!Q15))</f>
        <v>Lead</v>
      </c>
      <c r="C15" s="7" t="str">
        <f t="shared" si="0"/>
        <v/>
      </c>
      <c r="D15" s="7" t="str">
        <f t="shared" si="0"/>
        <v/>
      </c>
      <c r="E15" s="7" t="str">
        <f t="shared" si="0"/>
        <v/>
      </c>
      <c r="F15" s="7" t="str">
        <f t="shared" si="0"/>
        <v>Spare 8</v>
      </c>
      <c r="G15" s="7" t="str">
        <f t="shared" si="1"/>
        <v/>
      </c>
      <c r="I15" s="7" t="str" cm="1">
        <f t="array" ref="I15">_xlfn.IFNA(INDEX(C$8:C$100,MATCH(0,COUNTIF(I$3:I14,C$8:C$100),0)),"")</f>
        <v/>
      </c>
      <c r="J15" s="7" t="str" cm="1">
        <f t="array" ref="J15">_xlfn.IFNA(INDEX(D$8:D$100,MATCH(0,COUNTIF(J$3:J14,D$8:D$100),0)),"")</f>
        <v>Spare 43</v>
      </c>
      <c r="K15" s="7" t="str" cm="1">
        <f t="array" ref="K15">_xlfn.IFNA(INDEX(E$8:E$100,MATCH(0,COUNTIF(K$3:K14,E$8:E$100),0)),"")</f>
        <v>Spare 37</v>
      </c>
      <c r="L15" s="7" t="str" cm="1">
        <f t="array" ref="L15">_xlfn.IFNA(INDEX(F$8:F$280,MATCH(0,COUNTIF(L$1:L14,F$8:F$280),0)),"")</f>
        <v>Spare 8</v>
      </c>
      <c r="M15" s="7" t="str" cm="1">
        <f t="array" ref="M15">_xlfn.IFNA(INDEX(G$8:G$100,MATCH(0,COUNTIF(M$3:M14,G$8:G$100),0)),"")</f>
        <v/>
      </c>
      <c r="O15" s="7" t="str">
        <f t="shared" si="2"/>
        <v/>
      </c>
      <c r="Q15" s="7" t="str" cm="1">
        <f t="array" ref="Q15">_xlfn.IFNA(INDEX($O$8:$O$86,MATCH(0,COUNTIF(Q$3:Q14,$O$8:$O$86),0)),"")</f>
        <v>Spare 31</v>
      </c>
    </row>
    <row r="16" spans="1:17" x14ac:dyDescent="0.25">
      <c r="A16" s="7" t="str">
        <f>' 1.0 Asset Data'!A16</f>
        <v>Spare 9</v>
      </c>
      <c r="B16" s="7" t="str">
        <f>IF(A16=0,"",CONCATENATE(' 1.0 Asset Data'!O16,' 1.0 Asset Data'!Q16))</f>
        <v>Lead</v>
      </c>
      <c r="C16" s="7" t="str">
        <f t="shared" si="0"/>
        <v/>
      </c>
      <c r="D16" s="7" t="str">
        <f t="shared" si="0"/>
        <v/>
      </c>
      <c r="E16" s="7" t="str">
        <f t="shared" si="0"/>
        <v/>
      </c>
      <c r="F16" s="7" t="str">
        <f t="shared" si="0"/>
        <v>Spare 9</v>
      </c>
      <c r="G16" s="7" t="str">
        <f t="shared" si="1"/>
        <v/>
      </c>
      <c r="I16" s="7" t="str" cm="1">
        <f t="array" ref="I16">_xlfn.IFNA(INDEX(C$8:C$100,MATCH(0,COUNTIF(I$3:I15,C$8:C$100),0)),"")</f>
        <v/>
      </c>
      <c r="J16" s="7" t="str" cm="1">
        <f t="array" ref="J16">_xlfn.IFNA(INDEX(D$8:D$100,MATCH(0,COUNTIF(J$3:J15,D$8:D$100),0)),"")</f>
        <v>Spare 44</v>
      </c>
      <c r="K16" s="7" t="str" cm="1">
        <f t="array" ref="K16">_xlfn.IFNA(INDEX(E$8:E$100,MATCH(0,COUNTIF(K$3:K15,E$8:E$100),0)),"")</f>
        <v>Spare 39</v>
      </c>
      <c r="L16" s="7" t="str" cm="1">
        <f t="array" ref="L16">_xlfn.IFNA(INDEX(F$8:F$280,MATCH(0,COUNTIF(L$1:L15,F$8:F$280),0)),"")</f>
        <v>Spare 9</v>
      </c>
      <c r="M16" s="7" t="str" cm="1">
        <f t="array" ref="M16">_xlfn.IFNA(INDEX(G$8:G$100,MATCH(0,COUNTIF(M$3:M15,G$8:G$100),0)),"")</f>
        <v/>
      </c>
      <c r="O16" s="7" t="str">
        <f t="shared" si="2"/>
        <v/>
      </c>
      <c r="Q16" s="7" t="str" cm="1">
        <f t="array" ref="Q16">_xlfn.IFNA(INDEX($O$8:$O$86,MATCH(0,COUNTIF(Q$3:Q15,$O$8:$O$86),0)),"")</f>
        <v>Spare 32</v>
      </c>
    </row>
    <row r="17" spans="1:17" x14ac:dyDescent="0.25">
      <c r="A17" s="7" t="str">
        <f>' 1.0 Asset Data'!A17</f>
        <v>Spare 10</v>
      </c>
      <c r="B17" s="7" t="str">
        <f>IF(A17=0,"",CONCATENATE(' 1.0 Asset Data'!O17,' 1.0 Asset Data'!Q17))</f>
        <v>Lead</v>
      </c>
      <c r="C17" s="7" t="str">
        <f t="shared" si="0"/>
        <v/>
      </c>
      <c r="D17" s="7" t="str">
        <f t="shared" si="0"/>
        <v/>
      </c>
      <c r="E17" s="7" t="str">
        <f t="shared" si="0"/>
        <v/>
      </c>
      <c r="F17" s="7" t="str">
        <f t="shared" si="0"/>
        <v>Spare 10</v>
      </c>
      <c r="G17" s="7" t="str">
        <f t="shared" si="1"/>
        <v/>
      </c>
      <c r="I17" s="7" t="str" cm="1">
        <f t="array" ref="I17">_xlfn.IFNA(INDEX(C$8:C$100,MATCH(0,COUNTIF(I$3:I16,C$8:C$100),0)),"")</f>
        <v/>
      </c>
      <c r="J17" s="7" t="str" cm="1">
        <f t="array" ref="J17">_xlfn.IFNA(INDEX(D$8:D$100,MATCH(0,COUNTIF(J$3:J16,D$8:D$100),0)),"")</f>
        <v>Spare 46</v>
      </c>
      <c r="K17" s="7" t="str" cm="1">
        <f t="array" ref="K17">_xlfn.IFNA(INDEX(E$8:E$100,MATCH(0,COUNTIF(K$3:K16,E$8:E$100),0)),"")</f>
        <v>Spare 40</v>
      </c>
      <c r="L17" s="7" t="str" cm="1">
        <f t="array" ref="L17">_xlfn.IFNA(INDEX(F$8:F$280,MATCH(0,COUNTIF(L$1:L16,F$8:F$280),0)),"")</f>
        <v>Spare 10</v>
      </c>
      <c r="M17" s="7" t="str" cm="1">
        <f t="array" ref="M17">_xlfn.IFNA(INDEX(G$8:G$100,MATCH(0,COUNTIF(M$3:M16,G$8:G$100),0)),"")</f>
        <v/>
      </c>
      <c r="O17" s="7" t="str">
        <f t="shared" si="2"/>
        <v/>
      </c>
      <c r="Q17" s="7" t="str" cm="1">
        <f t="array" ref="Q17">_xlfn.IFNA(INDEX($O$8:$O$86,MATCH(0,COUNTIF(Q$3:Q16,$O$8:$O$86),0)),"")</f>
        <v>Spare 33</v>
      </c>
    </row>
    <row r="18" spans="1:17" x14ac:dyDescent="0.25">
      <c r="A18" s="7" t="str">
        <f>' 1.0 Asset Data'!A18</f>
        <v>Spare 11</v>
      </c>
      <c r="B18" s="7" t="str">
        <f>IF(A18=0,"",CONCATENATE(' 1.0 Asset Data'!O18,' 1.0 Asset Data'!Q18))</f>
        <v>Lead</v>
      </c>
      <c r="C18" s="7" t="str">
        <f t="shared" si="0"/>
        <v/>
      </c>
      <c r="D18" s="7" t="str">
        <f t="shared" si="0"/>
        <v/>
      </c>
      <c r="E18" s="7" t="str">
        <f t="shared" si="0"/>
        <v/>
      </c>
      <c r="F18" s="7" t="str">
        <f t="shared" si="0"/>
        <v>Spare 11</v>
      </c>
      <c r="G18" s="7" t="str">
        <f t="shared" si="1"/>
        <v/>
      </c>
      <c r="I18" s="7" t="str" cm="1">
        <f t="array" ref="I18">_xlfn.IFNA(INDEX(C$8:C$100,MATCH(0,COUNTIF(I$3:I17,C$8:C$100),0)),"")</f>
        <v/>
      </c>
      <c r="J18" s="7" t="str" cm="1">
        <f t="array" ref="J18">_xlfn.IFNA(INDEX(D$8:D$100,MATCH(0,COUNTIF(J$3:J17,D$8:D$100),0)),"")</f>
        <v>Spare 47</v>
      </c>
      <c r="K18" s="7" t="str" cm="1">
        <f t="array" ref="K18">_xlfn.IFNA(INDEX(E$8:E$100,MATCH(0,COUNTIF(K$3:K17,E$8:E$100),0)),"")</f>
        <v>Spare 41</v>
      </c>
      <c r="L18" s="7" t="str" cm="1">
        <f t="array" ref="L18">_xlfn.IFNA(INDEX(F$8:F$280,MATCH(0,COUNTIF(L$1:L17,F$8:F$280),0)),"")</f>
        <v>Spare 11</v>
      </c>
      <c r="M18" s="7" t="str" cm="1">
        <f t="array" ref="M18">_xlfn.IFNA(INDEX(G$8:G$100,MATCH(0,COUNTIF(M$3:M17,G$8:G$100),0)),"")</f>
        <v/>
      </c>
      <c r="O18" s="7" t="str">
        <f t="shared" si="2"/>
        <v/>
      </c>
      <c r="Q18" s="7" t="str" cm="1">
        <f t="array" ref="Q18">_xlfn.IFNA(INDEX($O$8:$O$86,MATCH(0,COUNTIF(Q$3:Q17,$O$8:$O$86),0)),"")</f>
        <v>Spare 34</v>
      </c>
    </row>
    <row r="19" spans="1:17" x14ac:dyDescent="0.25">
      <c r="A19" s="7" t="str">
        <f>' 1.0 Asset Data'!A19</f>
        <v>Spare 12</v>
      </c>
      <c r="B19" s="7" t="str">
        <f>IF(A19=0,"",CONCATENATE(' 1.0 Asset Data'!O19,' 1.0 Asset Data'!Q19))</f>
        <v>Lead</v>
      </c>
      <c r="C19" s="7" t="str">
        <f t="shared" si="0"/>
        <v/>
      </c>
      <c r="D19" s="7" t="str">
        <f t="shared" si="0"/>
        <v/>
      </c>
      <c r="E19" s="7" t="str">
        <f t="shared" si="0"/>
        <v/>
      </c>
      <c r="F19" s="7" t="str">
        <f t="shared" si="0"/>
        <v>Spare 12</v>
      </c>
      <c r="G19" s="7" t="str">
        <f t="shared" si="1"/>
        <v/>
      </c>
      <c r="I19" s="7" t="str" cm="1">
        <f t="array" ref="I19">_xlfn.IFNA(INDEX(C$8:C$100,MATCH(0,COUNTIF(I$3:I18,C$8:C$100),0)),"")</f>
        <v/>
      </c>
      <c r="J19" s="7" t="str" cm="1">
        <f t="array" ref="J19">_xlfn.IFNA(INDEX(D$8:D$100,MATCH(0,COUNTIF(J$3:J18,D$8:D$100),0)),"")</f>
        <v>Spare 48</v>
      </c>
      <c r="K19" s="7" t="str" cm="1">
        <f t="array" ref="K19">_xlfn.IFNA(INDEX(E$8:E$100,MATCH(0,COUNTIF(K$3:K18,E$8:E$100),0)),"")</f>
        <v>Spare 42</v>
      </c>
      <c r="L19" s="7" t="str" cm="1">
        <f t="array" ref="L19">_xlfn.IFNA(INDEX(F$8:F$280,MATCH(0,COUNTIF(L$1:L18,F$8:F$280),0)),"")</f>
        <v>Spare 12</v>
      </c>
      <c r="M19" s="7" t="str" cm="1">
        <f t="array" ref="M19">_xlfn.IFNA(INDEX(G$8:G$100,MATCH(0,COUNTIF(M$3:M18,G$8:G$100),0)),"")</f>
        <v/>
      </c>
      <c r="O19" s="7" t="str">
        <f t="shared" si="2"/>
        <v/>
      </c>
      <c r="Q19" s="7" t="str" cm="1">
        <f t="array" ref="Q19">_xlfn.IFNA(INDEX($O$8:$O$86,MATCH(0,COUNTIF(Q$3:Q18,$O$8:$O$86),0)),"")</f>
        <v>Spare 35</v>
      </c>
    </row>
    <row r="20" spans="1:17" x14ac:dyDescent="0.25">
      <c r="A20" s="7" t="str">
        <f>' 1.0 Asset Data'!A20</f>
        <v>Spare 13</v>
      </c>
      <c r="B20" s="7" t="str">
        <f>IF(A20=0,"",CONCATENATE(' 1.0 Asset Data'!O20,' 1.0 Asset Data'!Q20))</f>
        <v>Lead</v>
      </c>
      <c r="C20" s="7" t="str">
        <f t="shared" si="0"/>
        <v/>
      </c>
      <c r="D20" s="7" t="str">
        <f t="shared" si="0"/>
        <v/>
      </c>
      <c r="E20" s="7" t="str">
        <f t="shared" si="0"/>
        <v/>
      </c>
      <c r="F20" s="7" t="str">
        <f t="shared" si="0"/>
        <v>Spare 13</v>
      </c>
      <c r="G20" s="7" t="str">
        <f t="shared" si="1"/>
        <v/>
      </c>
      <c r="I20" s="7" t="str" cm="1">
        <f t="array" ref="I20">_xlfn.IFNA(INDEX(C$8:C$100,MATCH(0,COUNTIF(I$3:I19,C$8:C$100),0)),"")</f>
        <v/>
      </c>
      <c r="J20" s="7" t="str" cm="1">
        <f t="array" ref="J20">_xlfn.IFNA(INDEX(D$8:D$100,MATCH(0,COUNTIF(J$3:J19,D$8:D$100),0)),"")</f>
        <v>Spare 51</v>
      </c>
      <c r="K20" s="7" t="str" cm="1">
        <f t="array" ref="K20">_xlfn.IFNA(INDEX(E$8:E$100,MATCH(0,COUNTIF(K$3:K19,E$8:E$100),0)),"")</f>
        <v>Spare 45</v>
      </c>
      <c r="L20" s="7" t="str" cm="1">
        <f t="array" ref="L20">_xlfn.IFNA(INDEX(F$8:F$280,MATCH(0,COUNTIF(L$1:L19,F$8:F$280),0)),"")</f>
        <v>Spare 13</v>
      </c>
      <c r="M20" s="7" t="str" cm="1">
        <f t="array" ref="M20">_xlfn.IFNA(INDEX(G$8:G$100,MATCH(0,COUNTIF(M$3:M19,G$8:G$100),0)),"")</f>
        <v/>
      </c>
      <c r="O20" s="7" t="str">
        <f t="shared" si="2"/>
        <v/>
      </c>
      <c r="Q20" s="7" t="str" cm="1">
        <f t="array" ref="Q20">_xlfn.IFNA(INDEX($O$8:$O$86,MATCH(0,COUNTIF(Q$3:Q19,$O$8:$O$86),0)),"")</f>
        <v>Spare 36</v>
      </c>
    </row>
    <row r="21" spans="1:17" x14ac:dyDescent="0.25">
      <c r="A21" s="7" t="str">
        <f>' 1.0 Asset Data'!A21</f>
        <v>Spare 14</v>
      </c>
      <c r="B21" s="7" t="str">
        <f>IF(A21=0,"",CONCATENATE(' 1.0 Asset Data'!O21,' 1.0 Asset Data'!Q21))</f>
        <v>Lead</v>
      </c>
      <c r="C21" s="7" t="str">
        <f t="shared" si="0"/>
        <v/>
      </c>
      <c r="D21" s="7" t="str">
        <f t="shared" si="0"/>
        <v/>
      </c>
      <c r="E21" s="7" t="str">
        <f t="shared" si="0"/>
        <v/>
      </c>
      <c r="F21" s="7" t="str">
        <f t="shared" si="0"/>
        <v>Spare 14</v>
      </c>
      <c r="G21" s="7" t="str">
        <f t="shared" si="1"/>
        <v/>
      </c>
      <c r="I21" s="7" t="str" cm="1">
        <f t="array" ref="I21">_xlfn.IFNA(INDEX(C$8:C$100,MATCH(0,COUNTIF(I$3:I20,C$8:C$100),0)),"")</f>
        <v/>
      </c>
      <c r="J21" s="7" t="str" cm="1">
        <f t="array" ref="J21">_xlfn.IFNA(INDEX(D$8:D$100,MATCH(0,COUNTIF(J$3:J20,D$8:D$100),0)),"")</f>
        <v>Spare 53</v>
      </c>
      <c r="K21" s="7" t="str" cm="1">
        <f t="array" ref="K21">_xlfn.IFNA(INDEX(E$8:E$100,MATCH(0,COUNTIF(K$3:K20,E$8:E$100),0)),"")</f>
        <v>Spare 49</v>
      </c>
      <c r="L21" s="7" t="str" cm="1">
        <f t="array" ref="L21">_xlfn.IFNA(INDEX(F$8:F$280,MATCH(0,COUNTIF(L$1:L20,F$8:F$280),0)),"")</f>
        <v>Spare 14</v>
      </c>
      <c r="M21" s="7" t="str" cm="1">
        <f t="array" ref="M21">_xlfn.IFNA(INDEX(G$8:G$100,MATCH(0,COUNTIF(M$3:M20,G$8:G$100),0)),"")</f>
        <v/>
      </c>
      <c r="O21" s="7" t="str">
        <f t="shared" si="2"/>
        <v/>
      </c>
      <c r="Q21" s="7" t="str" cm="1">
        <f t="array" ref="Q21">_xlfn.IFNA(INDEX($O$8:$O$86,MATCH(0,COUNTIF(Q$3:Q20,$O$8:$O$86),0)),"")</f>
        <v>Spare 37</v>
      </c>
    </row>
    <row r="22" spans="1:17" x14ac:dyDescent="0.25">
      <c r="A22" s="7" t="str">
        <f>' 1.0 Asset Data'!A22</f>
        <v>Spare 15</v>
      </c>
      <c r="B22" s="7" t="str">
        <f>IF(A22=0,"",CONCATENATE(' 1.0 Asset Data'!O22,' 1.0 Asset Data'!Q22))</f>
        <v>Lead</v>
      </c>
      <c r="C22" s="7" t="str">
        <f t="shared" si="0"/>
        <v/>
      </c>
      <c r="D22" s="7" t="str">
        <f t="shared" si="0"/>
        <v/>
      </c>
      <c r="E22" s="7" t="str">
        <f t="shared" si="0"/>
        <v/>
      </c>
      <c r="F22" s="7" t="str">
        <f t="shared" si="0"/>
        <v>Spare 15</v>
      </c>
      <c r="G22" s="7" t="str">
        <f t="shared" si="1"/>
        <v/>
      </c>
      <c r="I22" s="7" t="str" cm="1">
        <f t="array" ref="I22">_xlfn.IFNA(INDEX(C$8:C$100,MATCH(0,COUNTIF(I$3:I21,C$8:C$100),0)),"")</f>
        <v/>
      </c>
      <c r="J22" s="7" t="str" cm="1">
        <f t="array" ref="J22">_xlfn.IFNA(INDEX(D$8:D$100,MATCH(0,COUNTIF(J$3:J21,D$8:D$100),0)),"")</f>
        <v>Spare 55</v>
      </c>
      <c r="K22" s="7" t="str" cm="1">
        <f t="array" ref="K22">_xlfn.IFNA(INDEX(E$8:E$100,MATCH(0,COUNTIF(K$3:K21,E$8:E$100),0)),"")</f>
        <v>Spare 50</v>
      </c>
      <c r="L22" s="7" t="str" cm="1">
        <f t="array" ref="L22">_xlfn.IFNA(INDEX(F$8:F$280,MATCH(0,COUNTIF(L$1:L21,F$8:F$280),0)),"")</f>
        <v>Spare 15</v>
      </c>
      <c r="M22" s="7" t="str" cm="1">
        <f t="array" ref="M22">_xlfn.IFNA(INDEX(G$8:G$100,MATCH(0,COUNTIF(M$3:M21,G$8:G$100),0)),"")</f>
        <v/>
      </c>
      <c r="O22" s="7" t="str">
        <f t="shared" si="2"/>
        <v/>
      </c>
      <c r="Q22" s="7" t="str" cm="1">
        <f t="array" ref="Q22">_xlfn.IFNA(INDEX($O$8:$O$86,MATCH(0,COUNTIF(Q$3:Q21,$O$8:$O$86),0)),"")</f>
        <v>Spare 38</v>
      </c>
    </row>
    <row r="23" spans="1:17" x14ac:dyDescent="0.25">
      <c r="A23" s="7" t="str">
        <f>' 1.0 Asset Data'!A23</f>
        <v>Spare 16</v>
      </c>
      <c r="B23" s="7" t="str">
        <f>IF(A23=0,"",CONCATENATE(' 1.0 Asset Data'!O23,' 1.0 Asset Data'!Q23))</f>
        <v>Lead</v>
      </c>
      <c r="C23" s="7" t="str">
        <f t="shared" si="0"/>
        <v/>
      </c>
      <c r="D23" s="7" t="str">
        <f t="shared" si="0"/>
        <v/>
      </c>
      <c r="E23" s="7" t="str">
        <f t="shared" si="0"/>
        <v/>
      </c>
      <c r="F23" s="7" t="str">
        <f t="shared" si="0"/>
        <v>Spare 16</v>
      </c>
      <c r="G23" s="7" t="str">
        <f t="shared" si="1"/>
        <v/>
      </c>
      <c r="I23" s="7" t="str" cm="1">
        <f t="array" ref="I23">_xlfn.IFNA(INDEX(C$8:C$100,MATCH(0,COUNTIF(I$3:I22,C$8:C$100),0)),"")</f>
        <v/>
      </c>
      <c r="J23" s="7" t="str" cm="1">
        <f t="array" ref="J23">_xlfn.IFNA(INDEX(D$8:D$100,MATCH(0,COUNTIF(J$3:J22,D$8:D$100),0)),"")</f>
        <v/>
      </c>
      <c r="K23" s="7" t="str" cm="1">
        <f t="array" ref="K23">_xlfn.IFNA(INDEX(E$8:E$100,MATCH(0,COUNTIF(K$3:K22,E$8:E$100),0)),"")</f>
        <v>Spare 52</v>
      </c>
      <c r="L23" s="7" t="str" cm="1">
        <f t="array" ref="L23">_xlfn.IFNA(INDEX(F$8:F$280,MATCH(0,COUNTIF(L$1:L22,F$8:F$280),0)),"")</f>
        <v>Spare 16</v>
      </c>
      <c r="M23" s="7" t="str" cm="1">
        <f t="array" ref="M23">_xlfn.IFNA(INDEX(G$8:G$100,MATCH(0,COUNTIF(M$3:M22,G$8:G$100),0)),"")</f>
        <v/>
      </c>
      <c r="O23" s="7" t="str">
        <f t="shared" si="2"/>
        <v/>
      </c>
      <c r="Q23" s="7" t="str" cm="1">
        <f t="array" ref="Q23">_xlfn.IFNA(INDEX($O$8:$O$86,MATCH(0,COUNTIF(Q$3:Q22,$O$8:$O$86),0)),"")</f>
        <v>Spare 39</v>
      </c>
    </row>
    <row r="24" spans="1:17" x14ac:dyDescent="0.25">
      <c r="A24" s="7" t="str">
        <f>' 1.0 Asset Data'!A24</f>
        <v>Spare 17</v>
      </c>
      <c r="B24" s="7" t="str">
        <f>IF(A24=0,"",CONCATENATE(' 1.0 Asset Data'!O24,' 1.0 Asset Data'!Q24))</f>
        <v>Lead</v>
      </c>
      <c r="C24" s="7" t="str">
        <f t="shared" si="0"/>
        <v/>
      </c>
      <c r="D24" s="7" t="str">
        <f t="shared" si="0"/>
        <v/>
      </c>
      <c r="E24" s="7" t="str">
        <f t="shared" si="0"/>
        <v/>
      </c>
      <c r="F24" s="7" t="str">
        <f t="shared" si="0"/>
        <v>Spare 17</v>
      </c>
      <c r="G24" s="7" t="str">
        <f t="shared" si="1"/>
        <v/>
      </c>
      <c r="I24" s="7" t="str" cm="1">
        <f t="array" ref="I24">_xlfn.IFNA(INDEX(C$8:C$100,MATCH(0,COUNTIF(I$3:I23,C$8:C$100),0)),"")</f>
        <v/>
      </c>
      <c r="J24" s="7" t="str" cm="1">
        <f t="array" ref="J24">_xlfn.IFNA(INDEX(D$8:D$100,MATCH(0,COUNTIF(J$3:J23,D$8:D$100),0)),"")</f>
        <v/>
      </c>
      <c r="K24" s="7" t="str" cm="1">
        <f t="array" ref="K24">_xlfn.IFNA(INDEX(E$8:E$100,MATCH(0,COUNTIF(K$3:K23,E$8:E$100),0)),"")</f>
        <v>Spare 54</v>
      </c>
      <c r="L24" s="7" t="str" cm="1">
        <f t="array" ref="L24">_xlfn.IFNA(INDEX(F$8:F$280,MATCH(0,COUNTIF(L$1:L23,F$8:F$280),0)),"")</f>
        <v>Spare 17</v>
      </c>
      <c r="M24" s="7" t="str" cm="1">
        <f t="array" ref="M24">_xlfn.IFNA(INDEX(G$8:G$100,MATCH(0,COUNTIF(M$3:M23,G$8:G$100),0)),"")</f>
        <v/>
      </c>
      <c r="O24" s="7" t="str">
        <f t="shared" si="2"/>
        <v/>
      </c>
      <c r="Q24" s="7" t="str" cm="1">
        <f t="array" ref="Q24">_xlfn.IFNA(INDEX($O$8:$O$86,MATCH(0,COUNTIF(Q$3:Q23,$O$8:$O$86),0)),"")</f>
        <v>Spare 40</v>
      </c>
    </row>
    <row r="25" spans="1:17" x14ac:dyDescent="0.25">
      <c r="A25" s="7" t="str">
        <f>' 1.0 Asset Data'!A25</f>
        <v>Spare 18</v>
      </c>
      <c r="B25" s="7" t="str">
        <f>IF(A25=0,"",CONCATENATE(' 1.0 Asset Data'!O25,' 1.0 Asset Data'!Q25))</f>
        <v>Lead</v>
      </c>
      <c r="C25" s="7" t="str">
        <f t="shared" si="0"/>
        <v/>
      </c>
      <c r="D25" s="7" t="str">
        <f t="shared" si="0"/>
        <v/>
      </c>
      <c r="E25" s="7" t="str">
        <f t="shared" si="0"/>
        <v/>
      </c>
      <c r="F25" s="7" t="str">
        <f t="shared" si="0"/>
        <v>Spare 18</v>
      </c>
      <c r="G25" s="7" t="str">
        <f t="shared" si="1"/>
        <v/>
      </c>
      <c r="I25" s="7" t="str" cm="1">
        <f t="array" ref="I25">_xlfn.IFNA(INDEX(C$8:C$100,MATCH(0,COUNTIF(I$3:I24,C$8:C$100),0)),"")</f>
        <v/>
      </c>
      <c r="J25" s="7" t="str" cm="1">
        <f t="array" ref="J25">_xlfn.IFNA(INDEX(D$8:D$100,MATCH(0,COUNTIF(J$3:J24,D$8:D$100),0)),"")</f>
        <v/>
      </c>
      <c r="K25" s="7" t="str" cm="1">
        <f t="array" ref="K25">_xlfn.IFNA(INDEX(E$8:E$100,MATCH(0,COUNTIF(K$3:K24,E$8:E$100),0)),"")</f>
        <v>Spare 56</v>
      </c>
      <c r="L25" s="7" t="str" cm="1">
        <f t="array" ref="L25">_xlfn.IFNA(INDEX(F$8:F$280,MATCH(0,COUNTIF(L$1:L24,F$8:F$280),0)),"")</f>
        <v>Spare 18</v>
      </c>
      <c r="M25" s="7" t="str" cm="1">
        <f t="array" ref="M25">_xlfn.IFNA(INDEX(G$8:G$100,MATCH(0,COUNTIF(M$3:M24,G$8:G$100),0)),"")</f>
        <v/>
      </c>
      <c r="O25" s="7" t="str">
        <f t="shared" si="2"/>
        <v/>
      </c>
      <c r="Q25" s="7" t="str" cm="1">
        <f t="array" ref="Q25">_xlfn.IFNA(INDEX($O$8:$O$86,MATCH(0,COUNTIF(Q$3:Q24,$O$8:$O$86),0)),"")</f>
        <v>Spare 41</v>
      </c>
    </row>
    <row r="26" spans="1:17" x14ac:dyDescent="0.25">
      <c r="A26" s="7" t="str">
        <f>' 1.0 Asset Data'!A26</f>
        <v>Spare 19</v>
      </c>
      <c r="B26" s="7" t="str">
        <f>IF(A26=0,"",CONCATENATE(' 1.0 Asset Data'!O26,' 1.0 Asset Data'!Q26))</f>
        <v>Mean Original</v>
      </c>
      <c r="C26" s="7" t="str">
        <f t="shared" si="0"/>
        <v/>
      </c>
      <c r="D26" s="7" t="str">
        <f t="shared" si="0"/>
        <v>Spare 19</v>
      </c>
      <c r="E26" s="7" t="str">
        <f t="shared" si="0"/>
        <v/>
      </c>
      <c r="F26" s="7" t="str">
        <f t="shared" si="0"/>
        <v/>
      </c>
      <c r="G26" s="7" t="str">
        <f t="shared" si="1"/>
        <v/>
      </c>
      <c r="I26" s="7" t="str" cm="1">
        <f t="array" ref="I26">_xlfn.IFNA(INDEX(C$8:C$100,MATCH(0,COUNTIF(I$3:I25,C$8:C$100),0)),"")</f>
        <v/>
      </c>
      <c r="J26" s="7" t="str" cm="1">
        <f t="array" ref="J26">_xlfn.IFNA(INDEX(D$8:D$100,MATCH(0,COUNTIF(J$3:J25,D$8:D$100),0)),"")</f>
        <v/>
      </c>
      <c r="K26" s="7" t="str" cm="1">
        <f t="array" ref="K26">_xlfn.IFNA(INDEX(E$8:E$100,MATCH(0,COUNTIF(K$3:K25,E$8:E$100),0)),"")</f>
        <v>Spare 62</v>
      </c>
      <c r="L26" s="7" t="str" cm="1">
        <f t="array" ref="L26">_xlfn.IFNA(INDEX(F$8:F$280,MATCH(0,COUNTIF(L$1:L25,F$8:F$280),0)),"")</f>
        <v>Spare 21</v>
      </c>
      <c r="M26" s="7" t="str" cm="1">
        <f t="array" ref="M26">_xlfn.IFNA(INDEX(G$8:G$100,MATCH(0,COUNTIF(M$3:M25,G$8:G$100),0)),"")</f>
        <v/>
      </c>
      <c r="O26" s="7" t="str">
        <f t="shared" si="2"/>
        <v>Spare 19</v>
      </c>
      <c r="Q26" s="7" t="str" cm="1">
        <f t="array" ref="Q26">_xlfn.IFNA(INDEX($O$8:$O$86,MATCH(0,COUNTIF(Q$3:Q25,$O$8:$O$86),0)),"")</f>
        <v>Spare 42</v>
      </c>
    </row>
    <row r="27" spans="1:17" x14ac:dyDescent="0.25">
      <c r="A27" s="7" t="str">
        <f>' 1.0 Asset Data'!A27</f>
        <v>Spare 20</v>
      </c>
      <c r="B27" s="7" t="str">
        <f>IF(A27=0,"",CONCATENATE(' 1.0 Asset Data'!O27,' 1.0 Asset Data'!Q27))</f>
        <v>Mean Original</v>
      </c>
      <c r="C27" s="7" t="str">
        <f t="shared" si="0"/>
        <v/>
      </c>
      <c r="D27" s="7" t="str">
        <f t="shared" si="0"/>
        <v>Spare 20</v>
      </c>
      <c r="E27" s="7" t="str">
        <f t="shared" si="0"/>
        <v/>
      </c>
      <c r="F27" s="7" t="str">
        <f t="shared" si="0"/>
        <v/>
      </c>
      <c r="G27" s="7" t="str">
        <f t="shared" si="1"/>
        <v/>
      </c>
      <c r="I27" s="7" t="str" cm="1">
        <f t="array" ref="I27">_xlfn.IFNA(INDEX(C$8:C$100,MATCH(0,COUNTIF(I$3:I26,C$8:C$100),0)),"")</f>
        <v/>
      </c>
      <c r="J27" s="7" t="str" cm="1">
        <f t="array" ref="J27">_xlfn.IFNA(INDEX(D$8:D$100,MATCH(0,COUNTIF(J$3:J26,D$8:D$100),0)),"")</f>
        <v/>
      </c>
      <c r="K27" s="7" t="str" cm="1">
        <f t="array" ref="K27">_xlfn.IFNA(INDEX(E$8:E$100,MATCH(0,COUNTIF(K$3:K26,E$8:E$100),0)),"")</f>
        <v>Spare 63</v>
      </c>
      <c r="L27" s="7" t="str" cm="1">
        <f t="array" ref="L27">_xlfn.IFNA(INDEX(F$8:F$280,MATCH(0,COUNTIF(L$1:L26,F$8:F$280),0)),"")</f>
        <v>Spare 22</v>
      </c>
      <c r="M27" s="7" t="str" cm="1">
        <f t="array" ref="M27">_xlfn.IFNA(INDEX(G$8:G$100,MATCH(0,COUNTIF(M$3:M26,G$8:G$100),0)),"")</f>
        <v/>
      </c>
      <c r="O27" s="7" t="str">
        <f t="shared" si="2"/>
        <v>Spare 20</v>
      </c>
      <c r="Q27" s="7" t="str" cm="1">
        <f t="array" ref="Q27">_xlfn.IFNA(INDEX($O$8:$O$86,MATCH(0,COUNTIF(Q$3:Q26,$O$8:$O$86),0)),"")</f>
        <v>Spare 43</v>
      </c>
    </row>
    <row r="28" spans="1:17" x14ac:dyDescent="0.25">
      <c r="A28" s="7" t="str">
        <f>' 1.0 Asset Data'!A28</f>
        <v>Spare 21</v>
      </c>
      <c r="B28" s="7" t="str">
        <f>IF(A28=0,"",CONCATENATE(' 1.0 Asset Data'!O28,' 1.0 Asset Data'!Q28))</f>
        <v>Lead</v>
      </c>
      <c r="C28" s="7" t="str">
        <f t="shared" si="0"/>
        <v/>
      </c>
      <c r="D28" s="7" t="str">
        <f t="shared" si="0"/>
        <v/>
      </c>
      <c r="E28" s="7" t="str">
        <f t="shared" si="0"/>
        <v/>
      </c>
      <c r="F28" s="7" t="str">
        <f t="shared" si="0"/>
        <v>Spare 21</v>
      </c>
      <c r="G28" s="7" t="str">
        <f t="shared" si="1"/>
        <v/>
      </c>
      <c r="I28" s="7" t="str" cm="1">
        <f t="array" ref="I28">_xlfn.IFNA(INDEX(C$8:C$100,MATCH(0,COUNTIF(I$3:I27,C$8:C$100),0)),"")</f>
        <v/>
      </c>
      <c r="J28" s="7" t="str" cm="1">
        <f t="array" ref="J28">_xlfn.IFNA(INDEX(D$8:D$100,MATCH(0,COUNTIF(J$3:J27,D$8:D$100),0)),"")</f>
        <v/>
      </c>
      <c r="K28" s="7" t="str" cm="1">
        <f t="array" ref="K28">_xlfn.IFNA(INDEX(E$8:E$100,MATCH(0,COUNTIF(K$3:K27,E$8:E$100),0)),"")</f>
        <v>Spare 64</v>
      </c>
      <c r="L28" s="7" t="str" cm="1">
        <f t="array" ref="L28">_xlfn.IFNA(INDEX(F$8:F$280,MATCH(0,COUNTIF(L$1:L27,F$8:F$280),0)),"")</f>
        <v>Spare 23</v>
      </c>
      <c r="M28" s="7" t="str" cm="1">
        <f t="array" ref="M28">_xlfn.IFNA(INDEX(G$8:G$100,MATCH(0,COUNTIF(M$3:M27,G$8:G$100),0)),"")</f>
        <v/>
      </c>
      <c r="O28" s="7" t="str">
        <f t="shared" si="2"/>
        <v/>
      </c>
      <c r="Q28" s="7" t="str" cm="1">
        <f t="array" ref="Q28">_xlfn.IFNA(INDEX($O$8:$O$86,MATCH(0,COUNTIF(Q$3:Q27,$O$8:$O$86),0)),"")</f>
        <v>Spare 44</v>
      </c>
    </row>
    <row r="29" spans="1:17" x14ac:dyDescent="0.25">
      <c r="A29" s="7" t="str">
        <f>' 1.0 Asset Data'!A29</f>
        <v>Spare 22</v>
      </c>
      <c r="B29" s="7" t="str">
        <f>IF(A29=0,"",CONCATENATE(' 1.0 Asset Data'!O29,' 1.0 Asset Data'!Q29))</f>
        <v>Lead</v>
      </c>
      <c r="C29" s="7" t="str">
        <f t="shared" si="0"/>
        <v/>
      </c>
      <c r="D29" s="7" t="str">
        <f t="shared" si="0"/>
        <v/>
      </c>
      <c r="E29" s="7" t="str">
        <f t="shared" si="0"/>
        <v/>
      </c>
      <c r="F29" s="7" t="str">
        <f t="shared" si="0"/>
        <v>Spare 22</v>
      </c>
      <c r="G29" s="7" t="str">
        <f t="shared" si="1"/>
        <v/>
      </c>
      <c r="I29" s="7" t="str" cm="1">
        <f t="array" ref="I29">_xlfn.IFNA(INDEX(C$8:C$100,MATCH(0,COUNTIF(I$3:I28,C$8:C$100),0)),"")</f>
        <v/>
      </c>
      <c r="J29" s="7" t="str" cm="1">
        <f t="array" ref="J29">_xlfn.IFNA(INDEX(D$8:D$100,MATCH(0,COUNTIF(J$3:J28,D$8:D$100),0)),"")</f>
        <v/>
      </c>
      <c r="K29" s="7" t="str" cm="1">
        <f t="array" ref="K29">_xlfn.IFNA(INDEX(E$8:E$100,MATCH(0,COUNTIF(K$3:K28,E$8:E$100),0)),"")</f>
        <v/>
      </c>
      <c r="L29" s="7" t="str" cm="1">
        <f t="array" ref="L29">_xlfn.IFNA(INDEX(F$8:F$280,MATCH(0,COUNTIF(L$1:L28,F$8:F$280),0)),"")</f>
        <v>Spare 28</v>
      </c>
      <c r="M29" s="7" t="str" cm="1">
        <f t="array" ref="M29">_xlfn.IFNA(INDEX(G$8:G$100,MATCH(0,COUNTIF(M$3:M28,G$8:G$100),0)),"")</f>
        <v/>
      </c>
      <c r="O29" s="7" t="str">
        <f t="shared" si="2"/>
        <v/>
      </c>
      <c r="Q29" s="7" t="str" cm="1">
        <f t="array" ref="Q29">_xlfn.IFNA(INDEX($O$8:$O$86,MATCH(0,COUNTIF(Q$3:Q28,$O$8:$O$86),0)),"")</f>
        <v>Spare 45</v>
      </c>
    </row>
    <row r="30" spans="1:17" x14ac:dyDescent="0.25">
      <c r="A30" s="7" t="str">
        <f>' 1.0 Asset Data'!A30</f>
        <v>Spare 23</v>
      </c>
      <c r="B30" s="7" t="str">
        <f>IF(A30=0,"",CONCATENATE(' 1.0 Asset Data'!O30,' 1.0 Asset Data'!Q30))</f>
        <v>Lead</v>
      </c>
      <c r="C30" s="7" t="str">
        <f t="shared" si="0"/>
        <v/>
      </c>
      <c r="D30" s="7" t="str">
        <f t="shared" si="0"/>
        <v/>
      </c>
      <c r="E30" s="7" t="str">
        <f t="shared" si="0"/>
        <v/>
      </c>
      <c r="F30" s="7" t="str">
        <f t="shared" si="0"/>
        <v>Spare 23</v>
      </c>
      <c r="G30" s="7" t="str">
        <f t="shared" si="1"/>
        <v/>
      </c>
      <c r="I30" s="7" t="str" cm="1">
        <f t="array" ref="I30">_xlfn.IFNA(INDEX(C$8:C$100,MATCH(0,COUNTIF(I$3:I29,C$8:C$100),0)),"")</f>
        <v/>
      </c>
      <c r="J30" s="7" t="str" cm="1">
        <f t="array" ref="J30">_xlfn.IFNA(INDEX(D$8:D$100,MATCH(0,COUNTIF(J$3:J29,D$8:D$100),0)),"")</f>
        <v/>
      </c>
      <c r="K30" s="7" t="str" cm="1">
        <f t="array" ref="K30">_xlfn.IFNA(INDEX(E$8:E$100,MATCH(0,COUNTIF(K$3:K29,E$8:E$100),0)),"")</f>
        <v/>
      </c>
      <c r="L30" s="7" t="str" cm="1">
        <f t="array" ref="L30">_xlfn.IFNA(INDEX(F$8:F$280,MATCH(0,COUNTIF(L$1:L29,F$8:F$280),0)),"")</f>
        <v>Spare 29</v>
      </c>
      <c r="M30" s="7" t="str" cm="1">
        <f t="array" ref="M30">_xlfn.IFNA(INDEX(G$8:G$100,MATCH(0,COUNTIF(M$3:M29,G$8:G$100),0)),"")</f>
        <v/>
      </c>
      <c r="O30" s="7" t="str">
        <f t="shared" si="2"/>
        <v/>
      </c>
      <c r="Q30" s="7" t="str" cm="1">
        <f t="array" ref="Q30">_xlfn.IFNA(INDEX($O$8:$O$86,MATCH(0,COUNTIF(Q$3:Q29,$O$8:$O$86),0)),"")</f>
        <v>Spare 46</v>
      </c>
    </row>
    <row r="31" spans="1:17" x14ac:dyDescent="0.25">
      <c r="A31" s="7" t="str">
        <f>' 1.0 Asset Data'!A31</f>
        <v>Spare 24</v>
      </c>
      <c r="B31" s="7" t="str">
        <f>IF(A31=0,"",CONCATENATE(' 1.0 Asset Data'!O31,' 1.0 Asset Data'!Q31))</f>
        <v>Mean Replacement</v>
      </c>
      <c r="C31" s="7" t="str">
        <f t="shared" si="0"/>
        <v/>
      </c>
      <c r="D31" s="7" t="str">
        <f t="shared" si="0"/>
        <v/>
      </c>
      <c r="E31" s="7" t="str">
        <f t="shared" si="0"/>
        <v>Spare 24</v>
      </c>
      <c r="F31" s="7" t="str">
        <f t="shared" si="0"/>
        <v/>
      </c>
      <c r="G31" s="7" t="str">
        <f t="shared" si="1"/>
        <v/>
      </c>
      <c r="I31" s="7" t="str" cm="1">
        <f t="array" ref="I31">_xlfn.IFNA(INDEX(C$8:C$100,MATCH(0,COUNTIF(I$3:I30,C$8:C$100),0)),"")</f>
        <v/>
      </c>
      <c r="J31" s="7" t="str" cm="1">
        <f t="array" ref="J31">_xlfn.IFNA(INDEX(D$8:D$100,MATCH(0,COUNTIF(J$3:J30,D$8:D$100),0)),"")</f>
        <v/>
      </c>
      <c r="K31" s="7" t="str" cm="1">
        <f t="array" ref="K31">_xlfn.IFNA(INDEX(E$8:E$100,MATCH(0,COUNTIF(K$3:K30,E$8:E$100),0)),"")</f>
        <v/>
      </c>
      <c r="L31" s="7" t="str" cm="1">
        <f t="array" ref="L31">_xlfn.IFNA(INDEX(F$8:F$280,MATCH(0,COUNTIF(L$1:L30,F$8:F$280),0)),"")</f>
        <v>Spare 57</v>
      </c>
      <c r="M31" s="7" t="str" cm="1">
        <f t="array" ref="M31">_xlfn.IFNA(INDEX(G$8:G$100,MATCH(0,COUNTIF(M$3:M30,G$8:G$100),0)),"")</f>
        <v/>
      </c>
      <c r="O31" s="7" t="str">
        <f t="shared" si="2"/>
        <v>Spare 24</v>
      </c>
      <c r="Q31" s="7" t="str" cm="1">
        <f t="array" ref="Q31">_xlfn.IFNA(INDEX($O$8:$O$86,MATCH(0,COUNTIF(Q$3:Q30,$O$8:$O$86),0)),"")</f>
        <v>Spare 47</v>
      </c>
    </row>
    <row r="32" spans="1:17" x14ac:dyDescent="0.25">
      <c r="A32" s="7" t="str">
        <f>' 1.0 Asset Data'!A32</f>
        <v>Spare 25</v>
      </c>
      <c r="B32" s="7" t="str">
        <f>IF(A32=0,"",CONCATENATE(' 1.0 Asset Data'!O32,' 1.0 Asset Data'!Q32))</f>
        <v>Mean Replacement</v>
      </c>
      <c r="C32" s="7" t="str">
        <f t="shared" si="0"/>
        <v/>
      </c>
      <c r="D32" s="7" t="str">
        <f t="shared" si="0"/>
        <v/>
      </c>
      <c r="E32" s="7" t="str">
        <f t="shared" si="0"/>
        <v>Spare 25</v>
      </c>
      <c r="F32" s="7" t="str">
        <f t="shared" si="0"/>
        <v/>
      </c>
      <c r="G32" s="7" t="str">
        <f t="shared" si="1"/>
        <v/>
      </c>
      <c r="I32" s="7" t="str" cm="1">
        <f t="array" ref="I32">_xlfn.IFNA(INDEX(C$8:C$100,MATCH(0,COUNTIF(I$3:I31,C$8:C$100),0)),"")</f>
        <v/>
      </c>
      <c r="J32" s="7" t="str" cm="1">
        <f t="array" ref="J32">_xlfn.IFNA(INDEX(D$8:D$100,MATCH(0,COUNTIF(J$3:J31,D$8:D$100),0)),"")</f>
        <v/>
      </c>
      <c r="K32" s="7" t="str" cm="1">
        <f t="array" ref="K32">_xlfn.IFNA(INDEX(E$8:E$100,MATCH(0,COUNTIF(K$3:K31,E$8:E$100),0)),"")</f>
        <v/>
      </c>
      <c r="L32" s="7" t="str" cm="1">
        <f t="array" ref="L32">_xlfn.IFNA(INDEX(F$8:F$280,MATCH(0,COUNTIF(L$1:L31,F$8:F$280),0)),"")</f>
        <v>Spare 58</v>
      </c>
      <c r="M32" s="7" t="str" cm="1">
        <f t="array" ref="M32">_xlfn.IFNA(INDEX(G$8:G$100,MATCH(0,COUNTIF(M$3:M31,G$8:G$100),0)),"")</f>
        <v/>
      </c>
      <c r="O32" s="7" t="str">
        <f t="shared" si="2"/>
        <v>Spare 25</v>
      </c>
      <c r="Q32" s="7" t="str" cm="1">
        <f t="array" ref="Q32">_xlfn.IFNA(INDEX($O$8:$O$86,MATCH(0,COUNTIF(Q$3:Q31,$O$8:$O$86),0)),"")</f>
        <v>Spare 48</v>
      </c>
    </row>
    <row r="33" spans="1:17" x14ac:dyDescent="0.25">
      <c r="A33" s="7" t="str">
        <f>' 1.0 Asset Data'!A33</f>
        <v>Spare 26</v>
      </c>
      <c r="B33" s="7" t="str">
        <f>IF(A33=0,"",CONCATENATE(' 1.0 Asset Data'!O33,' 1.0 Asset Data'!Q33))</f>
        <v>Mean Replacement</v>
      </c>
      <c r="C33" s="7" t="str">
        <f t="shared" si="0"/>
        <v/>
      </c>
      <c r="D33" s="7" t="str">
        <f t="shared" si="0"/>
        <v/>
      </c>
      <c r="E33" s="7" t="str">
        <f t="shared" si="0"/>
        <v>Spare 26</v>
      </c>
      <c r="F33" s="7" t="str">
        <f t="shared" si="0"/>
        <v/>
      </c>
      <c r="G33" s="7" t="str">
        <f t="shared" si="1"/>
        <v/>
      </c>
      <c r="I33" s="7" t="str" cm="1">
        <f t="array" ref="I33">_xlfn.IFNA(INDEX(C$8:C$100,MATCH(0,COUNTIF(I$3:I32,C$8:C$100),0)),"")</f>
        <v/>
      </c>
      <c r="J33" s="7" t="str" cm="1">
        <f t="array" ref="J33">_xlfn.IFNA(INDEX(D$8:D$100,MATCH(0,COUNTIF(J$3:J32,D$8:D$100),0)),"")</f>
        <v/>
      </c>
      <c r="K33" s="7" t="str" cm="1">
        <f t="array" ref="K33">_xlfn.IFNA(INDEX(E$8:E$100,MATCH(0,COUNTIF(K$3:K32,E$8:E$100),0)),"")</f>
        <v/>
      </c>
      <c r="L33" s="7" t="str" cm="1">
        <f t="array" ref="L33">_xlfn.IFNA(INDEX(F$8:F$280,MATCH(0,COUNTIF(L$1:L32,F$8:F$280),0)),"")</f>
        <v>Spare 59</v>
      </c>
      <c r="M33" s="7" t="str" cm="1">
        <f t="array" ref="M33">_xlfn.IFNA(INDEX(G$8:G$100,MATCH(0,COUNTIF(M$3:M32,G$8:G$100),0)),"")</f>
        <v/>
      </c>
      <c r="O33" s="7" t="str">
        <f t="shared" si="2"/>
        <v>Spare 26</v>
      </c>
      <c r="Q33" s="7" t="str" cm="1">
        <f t="array" ref="Q33">_xlfn.IFNA(INDEX($O$8:$O$86,MATCH(0,COUNTIF(Q$3:Q32,$O$8:$O$86),0)),"")</f>
        <v>Spare 49</v>
      </c>
    </row>
    <row r="34" spans="1:17" x14ac:dyDescent="0.25">
      <c r="A34" s="7" t="str">
        <f>' 1.0 Asset Data'!A34</f>
        <v>Spare 27</v>
      </c>
      <c r="B34" s="7" t="str">
        <f>IF(A34=0,"",CONCATENATE(' 1.0 Asset Data'!O34,' 1.0 Asset Data'!Q34))</f>
        <v>Mean Replacement</v>
      </c>
      <c r="C34" s="7" t="str">
        <f t="shared" si="0"/>
        <v/>
      </c>
      <c r="D34" s="7" t="str">
        <f t="shared" si="0"/>
        <v/>
      </c>
      <c r="E34" s="7" t="str">
        <f t="shared" si="0"/>
        <v>Spare 27</v>
      </c>
      <c r="F34" s="7" t="str">
        <f t="shared" si="0"/>
        <v/>
      </c>
      <c r="G34" s="7" t="str">
        <f t="shared" si="1"/>
        <v/>
      </c>
      <c r="I34" s="7" t="str" cm="1">
        <f t="array" ref="I34">_xlfn.IFNA(INDEX(C$8:C$100,MATCH(0,COUNTIF(I$3:I33,C$8:C$100),0)),"")</f>
        <v/>
      </c>
      <c r="J34" s="7" t="str" cm="1">
        <f t="array" ref="J34">_xlfn.IFNA(INDEX(D$8:D$100,MATCH(0,COUNTIF(J$3:J33,D$8:D$100),0)),"")</f>
        <v/>
      </c>
      <c r="K34" s="7" t="str" cm="1">
        <f t="array" ref="K34">_xlfn.IFNA(INDEX(E$8:E$100,MATCH(0,COUNTIF(K$3:K33,E$8:E$100),0)),"")</f>
        <v/>
      </c>
      <c r="L34" s="7" t="str" cm="1">
        <f t="array" ref="L34">_xlfn.IFNA(INDEX(F$8:F$280,MATCH(0,COUNTIF(L$1:L33,F$8:F$280),0)),"")</f>
        <v>Spare 60</v>
      </c>
      <c r="M34" s="7" t="str" cm="1">
        <f t="array" ref="M34">_xlfn.IFNA(INDEX(G$8:G$100,MATCH(0,COUNTIF(M$3:M33,G$8:G$100),0)),"")</f>
        <v/>
      </c>
      <c r="O34" s="7" t="str">
        <f t="shared" si="2"/>
        <v>Spare 27</v>
      </c>
      <c r="Q34" s="7" t="str" cm="1">
        <f t="array" ref="Q34">_xlfn.IFNA(INDEX($O$8:$O$86,MATCH(0,COUNTIF(Q$3:Q33,$O$8:$O$86),0)),"")</f>
        <v>Spare 50</v>
      </c>
    </row>
    <row r="35" spans="1:17" x14ac:dyDescent="0.25">
      <c r="A35" s="7" t="str">
        <f>' 1.0 Asset Data'!A35</f>
        <v>Spare 28</v>
      </c>
      <c r="B35" s="7" t="str">
        <f>IF(A35=0,"",CONCATENATE(' 1.0 Asset Data'!O35,' 1.0 Asset Data'!Q35))</f>
        <v>Lead</v>
      </c>
      <c r="C35" s="7" t="str">
        <f t="shared" si="0"/>
        <v/>
      </c>
      <c r="D35" s="7" t="str">
        <f t="shared" si="0"/>
        <v/>
      </c>
      <c r="E35" s="7" t="str">
        <f t="shared" si="0"/>
        <v/>
      </c>
      <c r="F35" s="7" t="str">
        <f t="shared" si="0"/>
        <v>Spare 28</v>
      </c>
      <c r="G35" s="7" t="str">
        <f t="shared" si="1"/>
        <v/>
      </c>
      <c r="I35" s="7" t="str" cm="1">
        <f t="array" ref="I35">_xlfn.IFNA(INDEX(C$8:C$100,MATCH(0,COUNTIF(I$3:I34,C$8:C$100),0)),"")</f>
        <v/>
      </c>
      <c r="J35" s="7" t="str" cm="1">
        <f t="array" ref="J35">_xlfn.IFNA(INDEX(D$8:D$100,MATCH(0,COUNTIF(J$3:J34,D$8:D$100),0)),"")</f>
        <v/>
      </c>
      <c r="K35" s="7" t="str" cm="1">
        <f t="array" ref="K35">_xlfn.IFNA(INDEX(E$8:E$100,MATCH(0,COUNTIF(K$3:K34,E$8:E$100),0)),"")</f>
        <v/>
      </c>
      <c r="L35" s="7" t="str" cm="1">
        <f t="array" ref="L35">_xlfn.IFNA(INDEX(F$8:F$280,MATCH(0,COUNTIF(L$1:L34,F$8:F$280),0)),"")</f>
        <v>Spare 61</v>
      </c>
      <c r="M35" s="7" t="str" cm="1">
        <f t="array" ref="M35">_xlfn.IFNA(INDEX(G$8:G$100,MATCH(0,COUNTIF(M$3:M34,G$8:G$100),0)),"")</f>
        <v/>
      </c>
      <c r="O35" s="7" t="str">
        <f t="shared" si="2"/>
        <v/>
      </c>
      <c r="Q35" s="7" t="str" cm="1">
        <f t="array" ref="Q35">_xlfn.IFNA(INDEX($O$8:$O$86,MATCH(0,COUNTIF(Q$3:Q34,$O$8:$O$86),0)),"")</f>
        <v>Spare 51</v>
      </c>
    </row>
    <row r="36" spans="1:17" x14ac:dyDescent="0.25">
      <c r="A36" s="7" t="str">
        <f>' 1.0 Asset Data'!A36</f>
        <v>Spare 29</v>
      </c>
      <c r="B36" s="7" t="str">
        <f>IF(A36=0,"",CONCATENATE(' 1.0 Asset Data'!O36,' 1.0 Asset Data'!Q36))</f>
        <v>Lead</v>
      </c>
      <c r="C36" s="7" t="str">
        <f t="shared" si="0"/>
        <v/>
      </c>
      <c r="D36" s="7" t="str">
        <f t="shared" si="0"/>
        <v/>
      </c>
      <c r="E36" s="7" t="str">
        <f t="shared" si="0"/>
        <v/>
      </c>
      <c r="F36" s="7" t="str">
        <f t="shared" si="0"/>
        <v>Spare 29</v>
      </c>
      <c r="G36" s="7" t="str">
        <f t="shared" si="1"/>
        <v/>
      </c>
      <c r="I36" s="7" t="str" cm="1">
        <f t="array" ref="I36">_xlfn.IFNA(INDEX(C$8:C$100,MATCH(0,COUNTIF(I$3:I35,C$8:C$100),0)),"")</f>
        <v/>
      </c>
      <c r="J36" s="7" t="str" cm="1">
        <f t="array" ref="J36">_xlfn.IFNA(INDEX(D$8:D$100,MATCH(0,COUNTIF(J$3:J35,D$8:D$100),0)),"")</f>
        <v/>
      </c>
      <c r="K36" s="7" t="str" cm="1">
        <f t="array" ref="K36">_xlfn.IFNA(INDEX(E$8:E$100,MATCH(0,COUNTIF(K$3:K35,E$8:E$100),0)),"")</f>
        <v/>
      </c>
      <c r="L36" s="7" t="str" cm="1">
        <f t="array" ref="L36">_xlfn.IFNA(INDEX(F$8:F$280,MATCH(0,COUNTIF(L$1:L35,F$8:F$280),0)),"")</f>
        <v>Spare 65</v>
      </c>
      <c r="M36" s="7" t="str" cm="1">
        <f t="array" ref="M36">_xlfn.IFNA(INDEX(G$8:G$100,MATCH(0,COUNTIF(M$3:M35,G$8:G$100),0)),"")</f>
        <v/>
      </c>
      <c r="O36" s="7" t="str">
        <f t="shared" si="2"/>
        <v/>
      </c>
      <c r="Q36" s="7" t="str" cm="1">
        <f t="array" ref="Q36">_xlfn.IFNA(INDEX($O$8:$O$86,MATCH(0,COUNTIF(Q$3:Q35,$O$8:$O$86),0)),"")</f>
        <v>Spare 52</v>
      </c>
    </row>
    <row r="37" spans="1:17" x14ac:dyDescent="0.25">
      <c r="A37" s="7" t="str">
        <f>' 1.0 Asset Data'!A37</f>
        <v>Spare 30</v>
      </c>
      <c r="B37" s="7" t="str">
        <f>IF(A37=0,"",CONCATENATE(' 1.0 Asset Data'!O37,' 1.0 Asset Data'!Q37))</f>
        <v>Mean Original</v>
      </c>
      <c r="C37" s="7" t="str">
        <f t="shared" si="0"/>
        <v/>
      </c>
      <c r="D37" s="7" t="str">
        <f t="shared" si="0"/>
        <v>Spare 30</v>
      </c>
      <c r="E37" s="7" t="str">
        <f t="shared" si="0"/>
        <v/>
      </c>
      <c r="F37" s="7" t="str">
        <f t="shared" si="0"/>
        <v/>
      </c>
      <c r="G37" s="7" t="str">
        <f t="shared" si="1"/>
        <v/>
      </c>
      <c r="I37" s="7" t="str" cm="1">
        <f t="array" ref="I37">_xlfn.IFNA(INDEX(C$8:C$100,MATCH(0,COUNTIF(I$3:I36,C$8:C$100),0)),"")</f>
        <v/>
      </c>
      <c r="J37" s="7" t="str" cm="1">
        <f t="array" ref="J37">_xlfn.IFNA(INDEX(D$8:D$100,MATCH(0,COUNTIF(J$3:J36,D$8:D$100),0)),"")</f>
        <v/>
      </c>
      <c r="K37" s="7" t="str" cm="1">
        <f t="array" ref="K37">_xlfn.IFNA(INDEX(E$8:E$100,MATCH(0,COUNTIF(K$3:K36,E$8:E$100),0)),"")</f>
        <v/>
      </c>
      <c r="L37" s="7" t="str" cm="1">
        <f t="array" ref="L37">_xlfn.IFNA(INDEX(F$8:F$280,MATCH(0,COUNTIF(L$1:L36,F$8:F$280),0)),"")</f>
        <v>Spare 66</v>
      </c>
      <c r="M37" s="7" t="str" cm="1">
        <f t="array" ref="M37">_xlfn.IFNA(INDEX(G$8:G$100,MATCH(0,COUNTIF(M$3:M36,G$8:G$100),0)),"")</f>
        <v/>
      </c>
      <c r="O37" s="7" t="str">
        <f t="shared" si="2"/>
        <v>Spare 30</v>
      </c>
      <c r="Q37" s="7" t="str" cm="1">
        <f t="array" ref="Q37">_xlfn.IFNA(INDEX($O$8:$O$86,MATCH(0,COUNTIF(Q$3:Q36,$O$8:$O$86),0)),"")</f>
        <v>Spare 53</v>
      </c>
    </row>
    <row r="38" spans="1:17" x14ac:dyDescent="0.25">
      <c r="A38" s="7" t="str">
        <f>' 1.0 Asset Data'!A38</f>
        <v>Spare 31</v>
      </c>
      <c r="B38" s="7" t="str">
        <f>IF(A38=0,"",CONCATENATE(' 1.0 Asset Data'!O38,' 1.0 Asset Data'!Q38))</f>
        <v>Mean Replacement</v>
      </c>
      <c r="C38" s="7" t="str">
        <f t="shared" si="0"/>
        <v/>
      </c>
      <c r="D38" s="7" t="str">
        <f t="shared" si="0"/>
        <v/>
      </c>
      <c r="E38" s="7" t="str">
        <f t="shared" si="0"/>
        <v>Spare 31</v>
      </c>
      <c r="F38" s="7" t="str">
        <f t="shared" si="0"/>
        <v/>
      </c>
      <c r="G38" s="7" t="str">
        <f t="shared" si="1"/>
        <v/>
      </c>
      <c r="I38" s="7" t="str" cm="1">
        <f t="array" ref="I38">_xlfn.IFNA(INDEX(C$8:C$100,MATCH(0,COUNTIF(I$3:I37,C$8:C$100),0)),"")</f>
        <v/>
      </c>
      <c r="J38" s="7" t="str" cm="1">
        <f t="array" ref="J38">_xlfn.IFNA(INDEX(D$8:D$100,MATCH(0,COUNTIF(J$3:J37,D$8:D$100),0)),"")</f>
        <v/>
      </c>
      <c r="K38" s="7" t="str" cm="1">
        <f t="array" ref="K38">_xlfn.IFNA(INDEX(E$8:E$100,MATCH(0,COUNTIF(K$3:K37,E$8:E$100),0)),"")</f>
        <v/>
      </c>
      <c r="L38" s="7" t="str" cm="1">
        <f t="array" ref="L38">_xlfn.IFNA(INDEX(F$8:F$280,MATCH(0,COUNTIF(L$1:L37,F$8:F$280),0)),"")</f>
        <v>Spare 68</v>
      </c>
      <c r="M38" s="7" t="str" cm="1">
        <f t="array" ref="M38">_xlfn.IFNA(INDEX(G$8:G$100,MATCH(0,COUNTIF(M$3:M37,G$8:G$100),0)),"")</f>
        <v/>
      </c>
      <c r="O38" s="7" t="str">
        <f t="shared" si="2"/>
        <v>Spare 31</v>
      </c>
      <c r="Q38" s="7" t="str" cm="1">
        <f t="array" ref="Q38">_xlfn.IFNA(INDEX($O$8:$O$86,MATCH(0,COUNTIF(Q$3:Q37,$O$8:$O$86),0)),"")</f>
        <v>Spare 54</v>
      </c>
    </row>
    <row r="39" spans="1:17" x14ac:dyDescent="0.25">
      <c r="A39" s="7" t="str">
        <f>' 1.0 Asset Data'!A39</f>
        <v>Spare 32</v>
      </c>
      <c r="B39" s="7" t="str">
        <f>IF(A39=0,"",CONCATENATE(' 1.0 Asset Data'!O39,' 1.0 Asset Data'!Q39))</f>
        <v>Mean Original</v>
      </c>
      <c r="C39" s="7" t="str">
        <f t="shared" si="0"/>
        <v/>
      </c>
      <c r="D39" s="7" t="str">
        <f t="shared" si="0"/>
        <v>Spare 32</v>
      </c>
      <c r="E39" s="7" t="str">
        <f t="shared" si="0"/>
        <v/>
      </c>
      <c r="F39" s="7" t="str">
        <f t="shared" si="0"/>
        <v/>
      </c>
      <c r="G39" s="7" t="str">
        <f t="shared" si="1"/>
        <v/>
      </c>
      <c r="I39" s="7" t="str" cm="1">
        <f t="array" ref="I39">_xlfn.IFNA(INDEX(C$8:C$100,MATCH(0,COUNTIF(I$3:I38,C$8:C$100),0)),"")</f>
        <v/>
      </c>
      <c r="J39" s="7" t="str" cm="1">
        <f t="array" ref="J39">_xlfn.IFNA(INDEX(D$8:D$100,MATCH(0,COUNTIF(J$3:J38,D$8:D$100),0)),"")</f>
        <v/>
      </c>
      <c r="K39" s="7" t="str" cm="1">
        <f t="array" ref="K39">_xlfn.IFNA(INDEX(E$8:E$100,MATCH(0,COUNTIF(K$3:K38,E$8:E$100),0)),"")</f>
        <v/>
      </c>
      <c r="L39" s="7" t="str" cm="1">
        <f t="array" ref="L39">_xlfn.IFNA(INDEX(F$8:F$280,MATCH(0,COUNTIF(L$1:L38,F$8:F$280),0)),"")</f>
        <v>Spare 32</v>
      </c>
      <c r="M39" s="7" t="str" cm="1">
        <f t="array" ref="M39">_xlfn.IFNA(INDEX(G$8:G$100,MATCH(0,COUNTIF(M$3:M38,G$8:G$100),0)),"")</f>
        <v/>
      </c>
      <c r="O39" s="7" t="str">
        <f t="shared" si="2"/>
        <v>Spare 32</v>
      </c>
      <c r="Q39" s="7" t="str" cm="1">
        <f t="array" ref="Q39">_xlfn.IFNA(INDEX($O$8:$O$86,MATCH(0,COUNTIF(Q$3:Q38,$O$8:$O$86),0)),"")</f>
        <v>Spare 55</v>
      </c>
    </row>
    <row r="40" spans="1:17" x14ac:dyDescent="0.25">
      <c r="A40" s="7" t="str">
        <f>' 1.0 Asset Data'!A40</f>
        <v>Spare 33</v>
      </c>
      <c r="B40" s="7" t="str">
        <f>IF(A40=0,"",CONCATENATE(' 1.0 Asset Data'!O40,' 1.0 Asset Data'!Q40))</f>
        <v>Mean Original</v>
      </c>
      <c r="C40" s="7" t="str">
        <f t="shared" si="0"/>
        <v/>
      </c>
      <c r="D40" s="7" t="str">
        <f t="shared" si="0"/>
        <v>Spare 33</v>
      </c>
      <c r="E40" s="7" t="str">
        <f t="shared" si="0"/>
        <v/>
      </c>
      <c r="F40" s="7" t="str">
        <f t="shared" si="0"/>
        <v/>
      </c>
      <c r="G40" s="7" t="str">
        <f t="shared" si="1"/>
        <v/>
      </c>
      <c r="I40" s="7" t="str" cm="1">
        <f t="array" ref="I40">_xlfn.IFNA(INDEX(C$8:C$100,MATCH(0,COUNTIF(I$3:I39,C$8:C$100),0)),"")</f>
        <v/>
      </c>
      <c r="J40" s="7" t="str" cm="1">
        <f t="array" ref="J40">_xlfn.IFNA(INDEX(D$8:D$100,MATCH(0,COUNTIF(J$3:J39,D$8:D$100),0)),"")</f>
        <v/>
      </c>
      <c r="K40" s="7" t="str" cm="1">
        <f t="array" ref="K40">_xlfn.IFNA(INDEX(E$8:E$100,MATCH(0,COUNTIF(K$3:K39,E$8:E$100),0)),"")</f>
        <v/>
      </c>
      <c r="L40" s="7" t="str" cm="1">
        <f t="array" ref="L40">_xlfn.IFNA(INDEX(F$8:F$280,MATCH(0,COUNTIF(L$1:L39,F$8:F$280),0)),"")</f>
        <v>Spare 43</v>
      </c>
      <c r="M40" s="7" t="str" cm="1">
        <f t="array" ref="M40">_xlfn.IFNA(INDEX(G$8:G$100,MATCH(0,COUNTIF(M$3:M39,G$8:G$100),0)),"")</f>
        <v/>
      </c>
      <c r="O40" s="7" t="str">
        <f t="shared" si="2"/>
        <v>Spare 33</v>
      </c>
      <c r="Q40" s="7" t="str" cm="1">
        <f t="array" ref="Q40">_xlfn.IFNA(INDEX($O$8:$O$86,MATCH(0,COUNTIF(Q$3:Q39,$O$8:$O$86),0)),"")</f>
        <v>Spare 56</v>
      </c>
    </row>
    <row r="41" spans="1:17" x14ac:dyDescent="0.25">
      <c r="A41" s="7" t="str">
        <f>' 1.0 Asset Data'!A41</f>
        <v>Spare 34</v>
      </c>
      <c r="B41" s="7" t="str">
        <f>IF(A41=0,"",CONCATENATE(' 1.0 Asset Data'!O41,' 1.0 Asset Data'!Q41))</f>
        <v>Mean Replacement</v>
      </c>
      <c r="C41" s="7" t="str">
        <f t="shared" ref="C41:F86" si="3">IF($B41=C$7,$A41,"")</f>
        <v/>
      </c>
      <c r="D41" s="7" t="str">
        <f t="shared" si="3"/>
        <v/>
      </c>
      <c r="E41" s="7" t="str">
        <f t="shared" si="3"/>
        <v>Spare 34</v>
      </c>
      <c r="F41" s="7" t="str">
        <f t="shared" si="3"/>
        <v/>
      </c>
      <c r="G41" s="7" t="str">
        <f t="shared" si="1"/>
        <v/>
      </c>
      <c r="I41" s="7" t="str" cm="1">
        <f t="array" ref="I41">_xlfn.IFNA(INDEX(C$8:C$100,MATCH(0,COUNTIF(I$3:I40,C$8:C$100),0)),"")</f>
        <v/>
      </c>
      <c r="J41" s="7" t="str" cm="1">
        <f t="array" ref="J41">_xlfn.IFNA(INDEX(D$8:D$100,MATCH(0,COUNTIF(J$3:J40,D$8:D$100),0)),"")</f>
        <v/>
      </c>
      <c r="K41" s="7" t="str" cm="1">
        <f t="array" ref="K41">_xlfn.IFNA(INDEX(E$8:E$100,MATCH(0,COUNTIF(K$3:K40,E$8:E$100),0)),"")</f>
        <v/>
      </c>
      <c r="L41" s="7" t="str" cm="1">
        <f t="array" ref="L41">_xlfn.IFNA(INDEX(F$8:F$280,MATCH(0,COUNTIF(L$1:L40,F$8:F$280),0)),"")</f>
        <v>Spare 44</v>
      </c>
      <c r="M41" s="7" t="str" cm="1">
        <f t="array" ref="M41">_xlfn.IFNA(INDEX(G$8:G$100,MATCH(0,COUNTIF(M$3:M40,G$8:G$100),0)),"")</f>
        <v/>
      </c>
      <c r="O41" s="7" t="str">
        <f t="shared" si="2"/>
        <v>Spare 34</v>
      </c>
      <c r="Q41" s="7" t="str" cm="1">
        <f t="array" ref="Q41">_xlfn.IFNA(INDEX($O$8:$O$86,MATCH(0,COUNTIF(Q$3:Q40,$O$8:$O$86),0)),"")</f>
        <v>Spare 62</v>
      </c>
    </row>
    <row r="42" spans="1:17" x14ac:dyDescent="0.25">
      <c r="A42" s="7" t="str">
        <f>' 1.0 Asset Data'!A42</f>
        <v>Spare 35</v>
      </c>
      <c r="B42" s="7" t="str">
        <f>IF(A42=0,"",CONCATENATE(' 1.0 Asset Data'!O42,' 1.0 Asset Data'!Q42))</f>
        <v>Mean Replacement</v>
      </c>
      <c r="C42" s="7" t="str">
        <f t="shared" si="3"/>
        <v/>
      </c>
      <c r="D42" s="7" t="str">
        <f t="shared" si="3"/>
        <v/>
      </c>
      <c r="E42" s="7" t="str">
        <f t="shared" si="3"/>
        <v>Spare 35</v>
      </c>
      <c r="F42" s="7" t="str">
        <f t="shared" si="3"/>
        <v/>
      </c>
      <c r="G42" s="7" t="str">
        <f t="shared" si="1"/>
        <v/>
      </c>
      <c r="I42" s="7" t="str" cm="1">
        <f t="array" ref="I42">_xlfn.IFNA(INDEX(C$8:C$100,MATCH(0,COUNTIF(I$3:I41,C$8:C$100),0)),"")</f>
        <v/>
      </c>
      <c r="J42" s="7" t="str" cm="1">
        <f t="array" ref="J42">_xlfn.IFNA(INDEX(D$8:D$100,MATCH(0,COUNTIF(J$3:J41,D$8:D$100),0)),"")</f>
        <v/>
      </c>
      <c r="K42" s="7" t="str" cm="1">
        <f t="array" ref="K42">_xlfn.IFNA(INDEX(E$8:E$100,MATCH(0,COUNTIF(K$3:K41,E$8:E$100),0)),"")</f>
        <v/>
      </c>
      <c r="L42" s="7" t="str" cm="1">
        <f t="array" ref="L42">_xlfn.IFNA(INDEX(F$8:F$280,MATCH(0,COUNTIF(L$1:L41,F$8:F$280),0)),"")</f>
        <v>Spare 46</v>
      </c>
      <c r="M42" s="7" t="str" cm="1">
        <f t="array" ref="M42">_xlfn.IFNA(INDEX(G$8:G$100,MATCH(0,COUNTIF(M$3:M41,G$8:G$100),0)),"")</f>
        <v/>
      </c>
      <c r="O42" s="7" t="str">
        <f t="shared" si="2"/>
        <v>Spare 35</v>
      </c>
      <c r="Q42" s="7" t="str" cm="1">
        <f t="array" ref="Q42">_xlfn.IFNA(INDEX($O$8:$O$86,MATCH(0,COUNTIF(Q$3:Q41,$O$8:$O$86),0)),"")</f>
        <v>Spare 63</v>
      </c>
    </row>
    <row r="43" spans="1:17" x14ac:dyDescent="0.25">
      <c r="A43" s="7" t="str">
        <f>' 1.0 Asset Data'!A43</f>
        <v>Spare 36</v>
      </c>
      <c r="B43" s="7" t="str">
        <f>IF(A43=0,"",CONCATENATE(' 1.0 Asset Data'!O43,' 1.0 Asset Data'!Q43))</f>
        <v>Mean Original</v>
      </c>
      <c r="C43" s="7" t="str">
        <f t="shared" si="3"/>
        <v/>
      </c>
      <c r="D43" s="7" t="str">
        <f t="shared" si="3"/>
        <v>Spare 36</v>
      </c>
      <c r="E43" s="7" t="str">
        <f t="shared" si="3"/>
        <v/>
      </c>
      <c r="F43" s="7" t="str">
        <f t="shared" si="3"/>
        <v/>
      </c>
      <c r="G43" s="7" t="str">
        <f t="shared" si="1"/>
        <v/>
      </c>
      <c r="I43" s="7" t="str" cm="1">
        <f t="array" ref="I43">_xlfn.IFNA(INDEX(C$8:C$100,MATCH(0,COUNTIF(I$3:I42,C$8:C$100),0)),"")</f>
        <v/>
      </c>
      <c r="J43" s="7" t="str" cm="1">
        <f t="array" ref="J43">_xlfn.IFNA(INDEX(D$8:D$100,MATCH(0,COUNTIF(J$3:J42,D$8:D$100),0)),"")</f>
        <v/>
      </c>
      <c r="K43" s="7" t="str" cm="1">
        <f t="array" ref="K43">_xlfn.IFNA(INDEX(E$8:E$100,MATCH(0,COUNTIF(K$3:K42,E$8:E$100),0)),"")</f>
        <v/>
      </c>
      <c r="L43" s="7" t="str" cm="1">
        <f t="array" ref="L43">_xlfn.IFNA(INDEX(F$8:F$280,MATCH(0,COUNTIF(L$1:L42,F$8:F$280),0)),"")</f>
        <v>Spare 47</v>
      </c>
      <c r="M43" s="7" t="str" cm="1">
        <f t="array" ref="M43">_xlfn.IFNA(INDEX(G$8:G$100,MATCH(0,COUNTIF(M$3:M42,G$8:G$100),0)),"")</f>
        <v/>
      </c>
      <c r="O43" s="7" t="str">
        <f t="shared" si="2"/>
        <v>Spare 36</v>
      </c>
      <c r="Q43" s="7" t="str" cm="1">
        <f t="array" ref="Q43">_xlfn.IFNA(INDEX($O$8:$O$86,MATCH(0,COUNTIF(Q$3:Q42,$O$8:$O$86),0)),"")</f>
        <v>Spare 64</v>
      </c>
    </row>
    <row r="44" spans="1:17" x14ac:dyDescent="0.25">
      <c r="A44" s="7" t="str">
        <f>' 1.0 Asset Data'!A44</f>
        <v>Spare 37</v>
      </c>
      <c r="B44" s="7" t="str">
        <f>IF(A44=0,"",CONCATENATE(' 1.0 Asset Data'!O44,' 1.0 Asset Data'!Q44))</f>
        <v>Mean Replacement</v>
      </c>
      <c r="C44" s="7" t="str">
        <f t="shared" si="3"/>
        <v/>
      </c>
      <c r="D44" s="7" t="str">
        <f t="shared" si="3"/>
        <v/>
      </c>
      <c r="E44" s="7" t="str">
        <f t="shared" si="3"/>
        <v>Spare 37</v>
      </c>
      <c r="F44" s="7" t="str">
        <f t="shared" si="3"/>
        <v/>
      </c>
      <c r="G44" s="7" t="str">
        <f t="shared" si="1"/>
        <v/>
      </c>
      <c r="I44" s="7" t="str" cm="1">
        <f t="array" ref="I44">_xlfn.IFNA(INDEX(C$8:C$100,MATCH(0,COUNTIF(I$3:I43,C$8:C$100),0)),"")</f>
        <v/>
      </c>
      <c r="J44" s="7" t="str" cm="1">
        <f t="array" ref="J44">_xlfn.IFNA(INDEX(D$8:D$100,MATCH(0,COUNTIF(J$3:J43,D$8:D$100),0)),"")</f>
        <v/>
      </c>
      <c r="K44" s="7" t="str" cm="1">
        <f t="array" ref="K44">_xlfn.IFNA(INDEX(E$8:E$100,MATCH(0,COUNTIF(K$3:K43,E$8:E$100),0)),"")</f>
        <v/>
      </c>
      <c r="L44" s="7" t="str" cm="1">
        <f t="array" ref="L44">_xlfn.IFNA(INDEX(F$8:F$280,MATCH(0,COUNTIF(L$1:L43,F$8:F$280),0)),"")</f>
        <v>Spare 48</v>
      </c>
      <c r="M44" s="7" t="str" cm="1">
        <f t="array" ref="M44">_xlfn.IFNA(INDEX(G$8:G$100,MATCH(0,COUNTIF(M$3:M43,G$8:G$100),0)),"")</f>
        <v/>
      </c>
      <c r="O44" s="7" t="str">
        <f t="shared" si="2"/>
        <v>Spare 37</v>
      </c>
      <c r="Q44" s="7" t="str" cm="1">
        <f t="array" ref="Q44">_xlfn.IFNA(INDEX($O$8:$O$86,MATCH(0,COUNTIF(Q$3:Q43,$O$8:$O$86),0)),"")</f>
        <v/>
      </c>
    </row>
    <row r="45" spans="1:17" x14ac:dyDescent="0.25">
      <c r="A45" s="7" t="str">
        <f>' 1.0 Asset Data'!A45</f>
        <v>Spare 38</v>
      </c>
      <c r="B45" s="7" t="str">
        <f>IF(A45=0,"",CONCATENATE(' 1.0 Asset Data'!O45,' 1.0 Asset Data'!Q45))</f>
        <v>Mean Original</v>
      </c>
      <c r="C45" s="7" t="str">
        <f t="shared" si="3"/>
        <v/>
      </c>
      <c r="D45" s="7" t="str">
        <f t="shared" si="3"/>
        <v>Spare 38</v>
      </c>
      <c r="E45" s="7" t="str">
        <f t="shared" si="3"/>
        <v/>
      </c>
      <c r="F45" s="7" t="str">
        <f t="shared" si="3"/>
        <v/>
      </c>
      <c r="G45" s="7" t="str">
        <f t="shared" si="1"/>
        <v/>
      </c>
      <c r="I45" s="7" t="str" cm="1">
        <f t="array" ref="I45">_xlfn.IFNA(INDEX(C$8:C$100,MATCH(0,COUNTIF(I$3:I44,C$8:C$100),0)),"")</f>
        <v/>
      </c>
      <c r="J45" s="7" t="str" cm="1">
        <f t="array" ref="J45">_xlfn.IFNA(INDEX(D$8:D$100,MATCH(0,COUNTIF(J$3:J44,D$8:D$100),0)),"")</f>
        <v/>
      </c>
      <c r="K45" s="7" t="str" cm="1">
        <f t="array" ref="K45">_xlfn.IFNA(INDEX(E$8:E$100,MATCH(0,COUNTIF(K$3:K44,E$8:E$100),0)),"")</f>
        <v/>
      </c>
      <c r="L45" s="7" t="str" cm="1">
        <f t="array" ref="L45">_xlfn.IFNA(INDEX(F$8:F$280,MATCH(0,COUNTIF(L$1:L44,F$8:F$280),0)),"")</f>
        <v>Spare 41</v>
      </c>
      <c r="M45" s="7" t="str" cm="1">
        <f t="array" ref="M45">_xlfn.IFNA(INDEX(G$8:G$100,MATCH(0,COUNTIF(M$3:M44,G$8:G$100),0)),"")</f>
        <v/>
      </c>
      <c r="O45" s="7" t="str">
        <f t="shared" si="2"/>
        <v>Spare 38</v>
      </c>
      <c r="Q45" s="7" t="str" cm="1">
        <f t="array" ref="Q45">_xlfn.IFNA(INDEX($O$8:$O$86,MATCH(0,COUNTIF(Q$3:Q44,$O$8:$O$86),0)),"")</f>
        <v/>
      </c>
    </row>
    <row r="46" spans="1:17" x14ac:dyDescent="0.25">
      <c r="A46" s="7" t="str">
        <f>' 1.0 Asset Data'!A46</f>
        <v>Spare 39</v>
      </c>
      <c r="B46" s="7" t="str">
        <f>IF(A46=0,"",CONCATENATE(' 1.0 Asset Data'!O46,' 1.0 Asset Data'!Q46))</f>
        <v>Mean Replacement</v>
      </c>
      <c r="C46" s="7" t="str">
        <f t="shared" si="3"/>
        <v/>
      </c>
      <c r="D46" s="7" t="str">
        <f t="shared" si="3"/>
        <v/>
      </c>
      <c r="E46" s="7" t="str">
        <f t="shared" si="3"/>
        <v>Spare 39</v>
      </c>
      <c r="F46" s="7" t="str">
        <f t="shared" si="3"/>
        <v/>
      </c>
      <c r="G46" s="7" t="str">
        <f t="shared" si="1"/>
        <v/>
      </c>
      <c r="I46" s="7" t="str" cm="1">
        <f t="array" ref="I46">_xlfn.IFNA(INDEX(C$8:C$100,MATCH(0,COUNTIF(I$3:I45,C$8:C$100),0)),"")</f>
        <v/>
      </c>
      <c r="J46" s="7" t="str" cm="1">
        <f t="array" ref="J46">_xlfn.IFNA(INDEX(D$8:D$100,MATCH(0,COUNTIF(J$3:J45,D$8:D$100),0)),"")</f>
        <v/>
      </c>
      <c r="K46" s="7" t="str" cm="1">
        <f t="array" ref="K46">_xlfn.IFNA(INDEX(E$8:E$100,MATCH(0,COUNTIF(K$3:K45,E$8:E$100),0)),"")</f>
        <v/>
      </c>
      <c r="L46" s="7" t="str" cm="1">
        <f t="array" ref="L46">_xlfn.IFNA(INDEX(F$8:F$280,MATCH(0,COUNTIF(L$1:L45,F$8:F$280),0)),"")</f>
        <v>Spare 42</v>
      </c>
      <c r="M46" s="7" t="str" cm="1">
        <f t="array" ref="M46">_xlfn.IFNA(INDEX(G$8:G$100,MATCH(0,COUNTIF(M$3:M45,G$8:G$100),0)),"")</f>
        <v/>
      </c>
      <c r="O46" s="7" t="str">
        <f t="shared" si="2"/>
        <v>Spare 39</v>
      </c>
      <c r="Q46" s="7" t="str" cm="1">
        <f t="array" ref="Q46">_xlfn.IFNA(INDEX($O$8:$O$86,MATCH(0,COUNTIF(Q$3:Q45,$O$8:$O$86),0)),"")</f>
        <v/>
      </c>
    </row>
    <row r="47" spans="1:17" x14ac:dyDescent="0.25">
      <c r="A47" s="7" t="str">
        <f>' 1.0 Asset Data'!A47</f>
        <v>Spare 40</v>
      </c>
      <c r="B47" s="7" t="str">
        <f>IF(A47=0,"",CONCATENATE(' 1.0 Asset Data'!O47,' 1.0 Asset Data'!Q47))</f>
        <v>Mean Replacement</v>
      </c>
      <c r="C47" s="7" t="str">
        <f t="shared" si="3"/>
        <v/>
      </c>
      <c r="D47" s="7" t="str">
        <f t="shared" si="3"/>
        <v/>
      </c>
      <c r="E47" s="7" t="str">
        <f t="shared" si="3"/>
        <v>Spare 40</v>
      </c>
      <c r="F47" s="7" t="str">
        <f t="shared" si="3"/>
        <v/>
      </c>
      <c r="G47" s="7" t="str">
        <f t="shared" si="1"/>
        <v/>
      </c>
      <c r="I47" s="7" t="str" cm="1">
        <f t="array" ref="I47">_xlfn.IFNA(INDEX(C$8:C$100,MATCH(0,COUNTIF(I$3:I46,C$8:C$100),0)),"")</f>
        <v/>
      </c>
      <c r="J47" s="7" t="str" cm="1">
        <f t="array" ref="J47">_xlfn.IFNA(INDEX(D$8:D$100,MATCH(0,COUNTIF(J$3:J46,D$8:D$100),0)),"")</f>
        <v/>
      </c>
      <c r="K47" s="7" t="str" cm="1">
        <f t="array" ref="K47">_xlfn.IFNA(INDEX(E$8:E$100,MATCH(0,COUNTIF(K$3:K46,E$8:E$100),0)),"")</f>
        <v/>
      </c>
      <c r="L47" s="7" t="str" cm="1">
        <f t="array" ref="L47">_xlfn.IFNA(INDEX(F$8:F$280,MATCH(0,COUNTIF(L$1:L46,F$8:F$280),0)),"")</f>
        <v/>
      </c>
      <c r="M47" s="7" t="str" cm="1">
        <f t="array" ref="M47">_xlfn.IFNA(INDEX(G$8:G$100,MATCH(0,COUNTIF(M$3:M46,G$8:G$100),0)),"")</f>
        <v/>
      </c>
      <c r="O47" s="7" t="str">
        <f t="shared" si="2"/>
        <v>Spare 40</v>
      </c>
      <c r="Q47" s="7" t="str" cm="1">
        <f t="array" ref="Q47">_xlfn.IFNA(INDEX($O$8:$O$86,MATCH(0,COUNTIF(Q$3:Q46,$O$8:$O$86),0)),"")</f>
        <v/>
      </c>
    </row>
    <row r="48" spans="1:17" x14ac:dyDescent="0.25">
      <c r="A48" s="7" t="str">
        <f>' 1.0 Asset Data'!A48</f>
        <v>Spare 41</v>
      </c>
      <c r="B48" s="7" t="str">
        <f>IF(A48=0,"",CONCATENATE(' 1.0 Asset Data'!O48,' 1.0 Asset Data'!Q48))</f>
        <v>Mean Replacement</v>
      </c>
      <c r="C48" s="7" t="str">
        <f t="shared" si="3"/>
        <v/>
      </c>
      <c r="D48" s="7" t="str">
        <f t="shared" si="3"/>
        <v/>
      </c>
      <c r="E48" s="7" t="str">
        <f t="shared" si="3"/>
        <v>Spare 41</v>
      </c>
      <c r="F48" s="7" t="str">
        <f t="shared" si="3"/>
        <v/>
      </c>
      <c r="G48" s="7" t="str">
        <f t="shared" si="1"/>
        <v/>
      </c>
      <c r="I48" s="7" t="str" cm="1">
        <f t="array" ref="I48">_xlfn.IFNA(INDEX(C$8:C$100,MATCH(0,COUNTIF(I$3:I47,C$8:C$100),0)),"")</f>
        <v/>
      </c>
      <c r="J48" s="7" t="str" cm="1">
        <f t="array" ref="J48">_xlfn.IFNA(INDEX(D$8:D$100,MATCH(0,COUNTIF(J$3:J47,D$8:D$100),0)),"")</f>
        <v/>
      </c>
      <c r="K48" s="7" t="str" cm="1">
        <f t="array" ref="K48">_xlfn.IFNA(INDEX(E$8:E$100,MATCH(0,COUNTIF(K$3:K47,E$8:E$100),0)),"")</f>
        <v/>
      </c>
      <c r="L48" s="7" t="str" cm="1">
        <f t="array" ref="L48">_xlfn.IFNA(INDEX(F$8:F$280,MATCH(0,COUNTIF(L$1:L47,F$8:F$280),0)),"")</f>
        <v/>
      </c>
      <c r="M48" s="7" t="str" cm="1">
        <f t="array" ref="M48">_xlfn.IFNA(INDEX(G$8:G$100,MATCH(0,COUNTIF(M$3:M47,G$8:G$100),0)),"")</f>
        <v/>
      </c>
      <c r="O48" s="7" t="str">
        <f t="shared" si="2"/>
        <v>Spare 41</v>
      </c>
      <c r="Q48" s="7" t="str" cm="1">
        <f t="array" ref="Q48">_xlfn.IFNA(INDEX($O$8:$O$86,MATCH(0,COUNTIF(Q$3:Q47,$O$8:$O$86),0)),"")</f>
        <v/>
      </c>
    </row>
    <row r="49" spans="1:17" x14ac:dyDescent="0.25">
      <c r="A49" s="7" t="str">
        <f>' 1.0 Asset Data'!A49</f>
        <v>Spare 42</v>
      </c>
      <c r="B49" s="7" t="str">
        <f>IF(A49=0,"",CONCATENATE(' 1.0 Asset Data'!O49,' 1.0 Asset Data'!Q49))</f>
        <v>Mean Replacement</v>
      </c>
      <c r="C49" s="7" t="str">
        <f t="shared" si="3"/>
        <v/>
      </c>
      <c r="D49" s="7" t="str">
        <f t="shared" si="3"/>
        <v/>
      </c>
      <c r="E49" s="7" t="str">
        <f t="shared" si="3"/>
        <v>Spare 42</v>
      </c>
      <c r="F49" s="7" t="str">
        <f t="shared" si="3"/>
        <v/>
      </c>
      <c r="G49" s="7" t="str">
        <f t="shared" si="1"/>
        <v/>
      </c>
      <c r="I49" s="7" t="str" cm="1">
        <f t="array" ref="I49">_xlfn.IFNA(INDEX(C$8:C$100,MATCH(0,COUNTIF(I$3:I48,C$8:C$100),0)),"")</f>
        <v/>
      </c>
      <c r="J49" s="7" t="str" cm="1">
        <f t="array" ref="J49">_xlfn.IFNA(INDEX(D$8:D$100,MATCH(0,COUNTIF(J$3:J48,D$8:D$100),0)),"")</f>
        <v/>
      </c>
      <c r="K49" s="7" t="str" cm="1">
        <f t="array" ref="K49">_xlfn.IFNA(INDEX(E$8:E$100,MATCH(0,COUNTIF(K$3:K48,E$8:E$100),0)),"")</f>
        <v/>
      </c>
      <c r="L49" s="7" t="str" cm="1">
        <f t="array" ref="L49">_xlfn.IFNA(INDEX(F$8:F$280,MATCH(0,COUNTIF(L$1:L48,F$8:F$280),0)),"")</f>
        <v/>
      </c>
      <c r="M49" s="7" t="str" cm="1">
        <f t="array" ref="M49">_xlfn.IFNA(INDEX(G$8:G$100,MATCH(0,COUNTIF(M$3:M48,G$8:G$100),0)),"")</f>
        <v/>
      </c>
      <c r="O49" s="7" t="str">
        <f t="shared" si="2"/>
        <v>Spare 42</v>
      </c>
      <c r="Q49" s="7" t="str" cm="1">
        <f t="array" ref="Q49">_xlfn.IFNA(INDEX($O$8:$O$86,MATCH(0,COUNTIF(Q$3:Q48,$O$8:$O$86),0)),"")</f>
        <v/>
      </c>
    </row>
    <row r="50" spans="1:17" x14ac:dyDescent="0.25">
      <c r="A50" s="7" t="str">
        <f>' 1.0 Asset Data'!A50</f>
        <v>Spare 43</v>
      </c>
      <c r="B50" s="7" t="str">
        <f>IF(A50=0,"",CONCATENATE(' 1.0 Asset Data'!O50,' 1.0 Asset Data'!Q50))</f>
        <v>Mean Original</v>
      </c>
      <c r="C50" s="7" t="str">
        <f t="shared" si="3"/>
        <v/>
      </c>
      <c r="D50" s="7" t="str">
        <f t="shared" si="3"/>
        <v>Spare 43</v>
      </c>
      <c r="E50" s="7" t="str">
        <f t="shared" si="3"/>
        <v/>
      </c>
      <c r="F50" s="7" t="str">
        <f t="shared" si="3"/>
        <v/>
      </c>
      <c r="G50" s="7" t="str">
        <f t="shared" si="1"/>
        <v/>
      </c>
      <c r="I50" s="7" t="str" cm="1">
        <f t="array" ref="I50">_xlfn.IFNA(INDEX(C$8:C$100,MATCH(0,COUNTIF(I$3:I49,C$8:C$100),0)),"")</f>
        <v/>
      </c>
      <c r="J50" s="7" t="str" cm="1">
        <f t="array" ref="J50">_xlfn.IFNA(INDEX(D$8:D$100,MATCH(0,COUNTIF(J$3:J49,D$8:D$100),0)),"")</f>
        <v/>
      </c>
      <c r="K50" s="7" t="str" cm="1">
        <f t="array" ref="K50">_xlfn.IFNA(INDEX(E$8:E$100,MATCH(0,COUNTIF(K$3:K49,E$8:E$100),0)),"")</f>
        <v/>
      </c>
      <c r="L50" s="7" t="str" cm="1">
        <f t="array" ref="L50">_xlfn.IFNA(INDEX(F$8:F$280,MATCH(0,COUNTIF(L$1:L49,F$8:F$280),0)),"")</f>
        <v/>
      </c>
      <c r="M50" s="7" t="str" cm="1">
        <f t="array" ref="M50">_xlfn.IFNA(INDEX(G$8:G$100,MATCH(0,COUNTIF(M$3:M49,G$8:G$100),0)),"")</f>
        <v/>
      </c>
      <c r="O50" s="7" t="str">
        <f t="shared" si="2"/>
        <v>Spare 43</v>
      </c>
      <c r="Q50" s="7" t="str" cm="1">
        <f t="array" ref="Q50">_xlfn.IFNA(INDEX($O$8:$O$86,MATCH(0,COUNTIF(Q$3:Q49,$O$8:$O$86),0)),"")</f>
        <v/>
      </c>
    </row>
    <row r="51" spans="1:17" x14ac:dyDescent="0.25">
      <c r="A51" s="7" t="str">
        <f>' 1.0 Asset Data'!A51</f>
        <v>Spare 44</v>
      </c>
      <c r="B51" s="7" t="str">
        <f>IF(A51=0,"",CONCATENATE(' 1.0 Asset Data'!O51,' 1.0 Asset Data'!Q51))</f>
        <v>Mean Original</v>
      </c>
      <c r="C51" s="7" t="str">
        <f t="shared" si="3"/>
        <v/>
      </c>
      <c r="D51" s="7" t="str">
        <f t="shared" si="3"/>
        <v>Spare 44</v>
      </c>
      <c r="E51" s="7" t="str">
        <f t="shared" si="3"/>
        <v/>
      </c>
      <c r="F51" s="7" t="str">
        <f t="shared" si="3"/>
        <v/>
      </c>
      <c r="G51" s="7" t="str">
        <f t="shared" si="1"/>
        <v/>
      </c>
      <c r="I51" s="7" t="str" cm="1">
        <f t="array" ref="I51">_xlfn.IFNA(INDEX(C$8:C$100,MATCH(0,COUNTIF(I$3:I50,C$8:C$100),0)),"")</f>
        <v/>
      </c>
      <c r="J51" s="7" t="str" cm="1">
        <f t="array" ref="J51">_xlfn.IFNA(INDEX(D$8:D$100,MATCH(0,COUNTIF(J$3:J50,D$8:D$100),0)),"")</f>
        <v/>
      </c>
      <c r="K51" s="7" t="str" cm="1">
        <f t="array" ref="K51">_xlfn.IFNA(INDEX(E$8:E$100,MATCH(0,COUNTIF(K$3:K50,E$8:E$100),0)),"")</f>
        <v/>
      </c>
      <c r="L51" s="7" t="str" cm="1">
        <f t="array" ref="L51">_xlfn.IFNA(INDEX(F$8:F$280,MATCH(0,COUNTIF(L$1:L50,F$8:F$280),0)),"")</f>
        <v/>
      </c>
      <c r="M51" s="7" t="str" cm="1">
        <f t="array" ref="M51">_xlfn.IFNA(INDEX(G$8:G$100,MATCH(0,COUNTIF(M$3:M50,G$8:G$100),0)),"")</f>
        <v/>
      </c>
      <c r="O51" s="7" t="str">
        <f t="shared" si="2"/>
        <v>Spare 44</v>
      </c>
      <c r="Q51" s="7" t="str" cm="1">
        <f t="array" ref="Q51">_xlfn.IFNA(INDEX($O$8:$O$86,MATCH(0,COUNTIF(Q$3:Q50,$O$8:$O$86),0)),"")</f>
        <v/>
      </c>
    </row>
    <row r="52" spans="1:17" x14ac:dyDescent="0.25">
      <c r="A52" s="7" t="str">
        <f>' 1.0 Asset Data'!A52</f>
        <v>Spare 45</v>
      </c>
      <c r="B52" s="7" t="str">
        <f>IF(A52=0,"",CONCATENATE(' 1.0 Asset Data'!O52,' 1.0 Asset Data'!Q52))</f>
        <v>Mean Replacement</v>
      </c>
      <c r="C52" s="7" t="str">
        <f t="shared" si="3"/>
        <v/>
      </c>
      <c r="D52" s="7" t="str">
        <f t="shared" si="3"/>
        <v/>
      </c>
      <c r="E52" s="7" t="str">
        <f t="shared" si="3"/>
        <v>Spare 45</v>
      </c>
      <c r="F52" s="7" t="str">
        <f t="shared" si="3"/>
        <v/>
      </c>
      <c r="G52" s="7" t="str">
        <f t="shared" si="1"/>
        <v/>
      </c>
      <c r="I52" s="7" t="str" cm="1">
        <f t="array" ref="I52">_xlfn.IFNA(INDEX(C$8:C$100,MATCH(0,COUNTIF(I$3:I51,C$8:C$100),0)),"")</f>
        <v/>
      </c>
      <c r="J52" s="7" t="str" cm="1">
        <f t="array" ref="J52">_xlfn.IFNA(INDEX(D$8:D$100,MATCH(0,COUNTIF(J$3:J51,D$8:D$100),0)),"")</f>
        <v/>
      </c>
      <c r="K52" s="7" t="str" cm="1">
        <f t="array" ref="K52">_xlfn.IFNA(INDEX(E$8:E$100,MATCH(0,COUNTIF(K$3:K51,E$8:E$100),0)),"")</f>
        <v/>
      </c>
      <c r="L52" s="7" t="str" cm="1">
        <f t="array" ref="L52">_xlfn.IFNA(INDEX(F$8:F$280,MATCH(0,COUNTIF(L$1:L51,F$8:F$280),0)),"")</f>
        <v/>
      </c>
      <c r="M52" s="7" t="str" cm="1">
        <f t="array" ref="M52">_xlfn.IFNA(INDEX(G$8:G$100,MATCH(0,COUNTIF(M$3:M51,G$8:G$100),0)),"")</f>
        <v/>
      </c>
      <c r="O52" s="7" t="str">
        <f t="shared" si="2"/>
        <v>Spare 45</v>
      </c>
      <c r="Q52" s="7" t="str" cm="1">
        <f t="array" ref="Q52">_xlfn.IFNA(INDEX($O$8:$O$86,MATCH(0,COUNTIF(Q$3:Q51,$O$8:$O$86),0)),"")</f>
        <v/>
      </c>
    </row>
    <row r="53" spans="1:17" x14ac:dyDescent="0.25">
      <c r="A53" s="7" t="str">
        <f>' 1.0 Asset Data'!A53</f>
        <v>Spare 46</v>
      </c>
      <c r="B53" s="7" t="str">
        <f>IF(A53=0,"",CONCATENATE(' 1.0 Asset Data'!O53,' 1.0 Asset Data'!Q53))</f>
        <v>Mean Original</v>
      </c>
      <c r="C53" s="7" t="str">
        <f t="shared" si="3"/>
        <v/>
      </c>
      <c r="D53" s="7" t="str">
        <f t="shared" si="3"/>
        <v>Spare 46</v>
      </c>
      <c r="E53" s="7" t="str">
        <f t="shared" si="3"/>
        <v/>
      </c>
      <c r="F53" s="7" t="str">
        <f t="shared" si="3"/>
        <v/>
      </c>
      <c r="G53" s="7" t="str">
        <f t="shared" si="1"/>
        <v/>
      </c>
      <c r="I53" s="7" t="str" cm="1">
        <f t="array" ref="I53">_xlfn.IFNA(INDEX(C$8:C$100,MATCH(0,COUNTIF(I$3:I52,C$8:C$100),0)),"")</f>
        <v/>
      </c>
      <c r="J53" s="7" t="str" cm="1">
        <f t="array" ref="J53">_xlfn.IFNA(INDEX(D$8:D$100,MATCH(0,COUNTIF(J$3:J52,D$8:D$100),0)),"")</f>
        <v/>
      </c>
      <c r="K53" s="7" t="str" cm="1">
        <f t="array" ref="K53">_xlfn.IFNA(INDEX(E$8:E$100,MATCH(0,COUNTIF(K$3:K52,E$8:E$100),0)),"")</f>
        <v/>
      </c>
      <c r="L53" s="7" t="str" cm="1">
        <f t="array" ref="L53">_xlfn.IFNA(INDEX(F$8:F$280,MATCH(0,COUNTIF(L$1:L52,F$8:F$280),0)),"")</f>
        <v/>
      </c>
      <c r="M53" s="7" t="str" cm="1">
        <f t="array" ref="M53">_xlfn.IFNA(INDEX(G$8:G$100,MATCH(0,COUNTIF(M$3:M52,G$8:G$100),0)),"")</f>
        <v/>
      </c>
      <c r="O53" s="7" t="str">
        <f t="shared" si="2"/>
        <v>Spare 46</v>
      </c>
      <c r="Q53" s="7" t="str" cm="1">
        <f t="array" ref="Q53">_xlfn.IFNA(INDEX($O$8:$O$86,MATCH(0,COUNTIF(Q$3:Q52,$O$8:$O$86),0)),"")</f>
        <v/>
      </c>
    </row>
    <row r="54" spans="1:17" x14ac:dyDescent="0.25">
      <c r="A54" s="7" t="str">
        <f>' 1.0 Asset Data'!A54</f>
        <v>Spare 47</v>
      </c>
      <c r="B54" s="7" t="str">
        <f>IF(A54=0,"",CONCATENATE(' 1.0 Asset Data'!O54,' 1.0 Asset Data'!Q54))</f>
        <v>Mean Original</v>
      </c>
      <c r="C54" s="7" t="str">
        <f t="shared" si="3"/>
        <v/>
      </c>
      <c r="D54" s="7" t="str">
        <f t="shared" si="3"/>
        <v>Spare 47</v>
      </c>
      <c r="E54" s="7" t="str">
        <f t="shared" si="3"/>
        <v/>
      </c>
      <c r="F54" s="7" t="str">
        <f t="shared" si="3"/>
        <v/>
      </c>
      <c r="G54" s="7" t="str">
        <f t="shared" si="1"/>
        <v/>
      </c>
      <c r="I54" s="7" t="str" cm="1">
        <f t="array" ref="I54">_xlfn.IFNA(INDEX(C$8:C$100,MATCH(0,COUNTIF(I$3:I53,C$8:C$100),0)),"")</f>
        <v/>
      </c>
      <c r="J54" s="7" t="str" cm="1">
        <f t="array" ref="J54">_xlfn.IFNA(INDEX(D$8:D$100,MATCH(0,COUNTIF(J$3:J53,D$8:D$100),0)),"")</f>
        <v/>
      </c>
      <c r="K54" s="7" t="str" cm="1">
        <f t="array" ref="K54">_xlfn.IFNA(INDEX(E$8:E$100,MATCH(0,COUNTIF(K$3:K53,E$8:E$100),0)),"")</f>
        <v/>
      </c>
      <c r="L54" s="7" t="str" cm="1">
        <f t="array" ref="L54">_xlfn.IFNA(INDEX(F$8:F$280,MATCH(0,COUNTIF(L$1:L53,F$8:F$280),0)),"")</f>
        <v/>
      </c>
      <c r="M54" s="7" t="str" cm="1">
        <f t="array" ref="M54">_xlfn.IFNA(INDEX(G$8:G$100,MATCH(0,COUNTIF(M$3:M53,G$8:G$100),0)),"")</f>
        <v/>
      </c>
      <c r="O54" s="7" t="str">
        <f t="shared" si="2"/>
        <v>Spare 47</v>
      </c>
      <c r="Q54" s="7" t="str" cm="1">
        <f t="array" ref="Q54">_xlfn.IFNA(INDEX($O$8:$O$86,MATCH(0,COUNTIF(Q$3:Q53,$O$8:$O$86),0)),"")</f>
        <v/>
      </c>
    </row>
    <row r="55" spans="1:17" x14ac:dyDescent="0.25">
      <c r="A55" s="7" t="str">
        <f>' 1.0 Asset Data'!A55</f>
        <v>Spare 48</v>
      </c>
      <c r="B55" s="7" t="str">
        <f>IF(A55=0,"",CONCATENATE(' 1.0 Asset Data'!O55,' 1.0 Asset Data'!Q55))</f>
        <v>Mean Original</v>
      </c>
      <c r="C55" s="7" t="str">
        <f t="shared" si="3"/>
        <v/>
      </c>
      <c r="D55" s="7" t="str">
        <f t="shared" si="3"/>
        <v>Spare 48</v>
      </c>
      <c r="E55" s="7" t="str">
        <f t="shared" si="3"/>
        <v/>
      </c>
      <c r="F55" s="7" t="str">
        <f t="shared" si="3"/>
        <v/>
      </c>
      <c r="G55" s="7" t="str">
        <f t="shared" si="1"/>
        <v/>
      </c>
      <c r="I55" s="7" t="str" cm="1">
        <f t="array" ref="I55">_xlfn.IFNA(INDEX(C$8:C$100,MATCH(0,COUNTIF(I$3:I54,C$8:C$100),0)),"")</f>
        <v/>
      </c>
      <c r="J55" s="7" t="str" cm="1">
        <f t="array" ref="J55">_xlfn.IFNA(INDEX(D$8:D$100,MATCH(0,COUNTIF(J$3:J54,D$8:D$100),0)),"")</f>
        <v/>
      </c>
      <c r="K55" s="7" t="str" cm="1">
        <f t="array" ref="K55">_xlfn.IFNA(INDEX(E$8:E$100,MATCH(0,COUNTIF(K$3:K54,E$8:E$100),0)),"")</f>
        <v/>
      </c>
      <c r="L55" s="7" t="str" cm="1">
        <f t="array" ref="L55">_xlfn.IFNA(INDEX(F$8:F$280,MATCH(0,COUNTIF(L$1:L54,F$8:F$280),0)),"")</f>
        <v/>
      </c>
      <c r="M55" s="7" t="str" cm="1">
        <f t="array" ref="M55">_xlfn.IFNA(INDEX(G$8:G$100,MATCH(0,COUNTIF(M$3:M54,G$8:G$100),0)),"")</f>
        <v/>
      </c>
      <c r="O55" s="7" t="str">
        <f t="shared" si="2"/>
        <v>Spare 48</v>
      </c>
      <c r="Q55" s="7" t="str" cm="1">
        <f t="array" ref="Q55">_xlfn.IFNA(INDEX($O$8:$O$86,MATCH(0,COUNTIF(Q$3:Q54,$O$8:$O$86),0)),"")</f>
        <v/>
      </c>
    </row>
    <row r="56" spans="1:17" x14ac:dyDescent="0.25">
      <c r="A56" s="7" t="str">
        <f>' 1.0 Asset Data'!A56</f>
        <v>Spare 49</v>
      </c>
      <c r="B56" s="7" t="str">
        <f>IF(A56=0,"",CONCATENATE(' 1.0 Asset Data'!O56,' 1.0 Asset Data'!Q56))</f>
        <v>Mean Replacement</v>
      </c>
      <c r="C56" s="7" t="str">
        <f t="shared" si="3"/>
        <v/>
      </c>
      <c r="D56" s="7" t="str">
        <f t="shared" si="3"/>
        <v/>
      </c>
      <c r="E56" s="7" t="str">
        <f t="shared" si="3"/>
        <v>Spare 49</v>
      </c>
      <c r="F56" s="7" t="str">
        <f t="shared" si="3"/>
        <v/>
      </c>
      <c r="G56" s="7" t="str">
        <f t="shared" si="1"/>
        <v/>
      </c>
      <c r="I56" s="7" t="str" cm="1">
        <f t="array" ref="I56">_xlfn.IFNA(INDEX(C$8:C$100,MATCH(0,COUNTIF(I$3:I55,C$8:C$100),0)),"")</f>
        <v/>
      </c>
      <c r="J56" s="7" t="str" cm="1">
        <f t="array" ref="J56">_xlfn.IFNA(INDEX(D$8:D$100,MATCH(0,COUNTIF(J$3:J55,D$8:D$100),0)),"")</f>
        <v/>
      </c>
      <c r="K56" s="7" t="str" cm="1">
        <f t="array" ref="K56">_xlfn.IFNA(INDEX(E$8:E$100,MATCH(0,COUNTIF(K$3:K55,E$8:E$100),0)),"")</f>
        <v/>
      </c>
      <c r="L56" s="7" t="str" cm="1">
        <f t="array" ref="L56">_xlfn.IFNA(INDEX(F$8:F$280,MATCH(0,COUNTIF(L$1:L55,F$8:F$280),0)),"")</f>
        <v/>
      </c>
      <c r="M56" s="7" t="str" cm="1">
        <f t="array" ref="M56">_xlfn.IFNA(INDEX(G$8:G$100,MATCH(0,COUNTIF(M$3:M55,G$8:G$100),0)),"")</f>
        <v/>
      </c>
      <c r="O56" s="7" t="str">
        <f t="shared" si="2"/>
        <v>Spare 49</v>
      </c>
      <c r="Q56" s="7" t="str" cm="1">
        <f t="array" ref="Q56">_xlfn.IFNA(INDEX($O$8:$O$86,MATCH(0,COUNTIF(Q$3:Q55,$O$8:$O$86),0)),"")</f>
        <v/>
      </c>
    </row>
    <row r="57" spans="1:17" x14ac:dyDescent="0.25">
      <c r="A57" s="7" t="str">
        <f>' 1.0 Asset Data'!A57</f>
        <v>Spare 50</v>
      </c>
      <c r="B57" s="7" t="str">
        <f>IF(A57=0,"",CONCATENATE(' 1.0 Asset Data'!O57,' 1.0 Asset Data'!Q57))</f>
        <v>Mean Replacement</v>
      </c>
      <c r="C57" s="7" t="str">
        <f t="shared" si="3"/>
        <v/>
      </c>
      <c r="D57" s="7" t="str">
        <f t="shared" si="3"/>
        <v/>
      </c>
      <c r="E57" s="7" t="str">
        <f t="shared" si="3"/>
        <v>Spare 50</v>
      </c>
      <c r="F57" s="7" t="str">
        <f t="shared" si="3"/>
        <v/>
      </c>
      <c r="G57" s="7" t="str">
        <f t="shared" si="1"/>
        <v/>
      </c>
      <c r="I57" s="7" t="str" cm="1">
        <f t="array" ref="I57">_xlfn.IFNA(INDEX(C$8:C$100,MATCH(0,COUNTIF(I$3:I56,C$8:C$100),0)),"")</f>
        <v/>
      </c>
      <c r="J57" s="7" t="str" cm="1">
        <f t="array" ref="J57">_xlfn.IFNA(INDEX(D$8:D$100,MATCH(0,COUNTIF(J$3:J56,D$8:D$100),0)),"")</f>
        <v/>
      </c>
      <c r="K57" s="7" t="str" cm="1">
        <f t="array" ref="K57">_xlfn.IFNA(INDEX(E$8:E$100,MATCH(0,COUNTIF(K$3:K56,E$8:E$100),0)),"")</f>
        <v/>
      </c>
      <c r="L57" s="7" t="str" cm="1">
        <f t="array" ref="L57">_xlfn.IFNA(INDEX(F$8:F$280,MATCH(0,COUNTIF(L$1:L56,F$8:F$280),0)),"")</f>
        <v/>
      </c>
      <c r="M57" s="7" t="str" cm="1">
        <f t="array" ref="M57">_xlfn.IFNA(INDEX(G$8:G$100,MATCH(0,COUNTIF(M$3:M56,G$8:G$100),0)),"")</f>
        <v/>
      </c>
      <c r="O57" s="7" t="str">
        <f t="shared" si="2"/>
        <v>Spare 50</v>
      </c>
      <c r="Q57" s="7" t="str" cm="1">
        <f t="array" ref="Q57">_xlfn.IFNA(INDEX($O$8:$O$86,MATCH(0,COUNTIF(Q$3:Q56,$O$8:$O$86),0)),"")</f>
        <v/>
      </c>
    </row>
    <row r="58" spans="1:17" x14ac:dyDescent="0.25">
      <c r="A58" s="7" t="str">
        <f>' 1.0 Asset Data'!A58</f>
        <v>Spare 51</v>
      </c>
      <c r="B58" s="7" t="str">
        <f>IF(A58=0,"",CONCATENATE(' 1.0 Asset Data'!O58,' 1.0 Asset Data'!Q58))</f>
        <v>Mean Original</v>
      </c>
      <c r="C58" s="7" t="str">
        <f t="shared" si="3"/>
        <v/>
      </c>
      <c r="D58" s="7" t="str">
        <f t="shared" si="3"/>
        <v>Spare 51</v>
      </c>
      <c r="E58" s="7" t="str">
        <f t="shared" si="3"/>
        <v/>
      </c>
      <c r="F58" s="7" t="str">
        <f t="shared" si="3"/>
        <v/>
      </c>
      <c r="G58" s="7" t="str">
        <f t="shared" si="1"/>
        <v/>
      </c>
      <c r="I58" s="7" t="str" cm="1">
        <f t="array" ref="I58">_xlfn.IFNA(INDEX(C$8:C$100,MATCH(0,COUNTIF(I$3:I57,C$8:C$100),0)),"")</f>
        <v/>
      </c>
      <c r="J58" s="7" t="str" cm="1">
        <f t="array" ref="J58">_xlfn.IFNA(INDEX(D$8:D$100,MATCH(0,COUNTIF(J$3:J57,D$8:D$100),0)),"")</f>
        <v/>
      </c>
      <c r="K58" s="7" t="str" cm="1">
        <f t="array" ref="K58">_xlfn.IFNA(INDEX(E$8:E$100,MATCH(0,COUNTIF(K$3:K57,E$8:E$100),0)),"")</f>
        <v/>
      </c>
      <c r="L58" s="7" t="str" cm="1">
        <f t="array" ref="L58">_xlfn.IFNA(INDEX(F$8:F$280,MATCH(0,COUNTIF(L$1:L57,F$8:F$280),0)),"")</f>
        <v/>
      </c>
      <c r="M58" s="7" t="str" cm="1">
        <f t="array" ref="M58">_xlfn.IFNA(INDEX(G$8:G$100,MATCH(0,COUNTIF(M$3:M57,G$8:G$100),0)),"")</f>
        <v/>
      </c>
      <c r="O58" s="7" t="str">
        <f t="shared" si="2"/>
        <v>Spare 51</v>
      </c>
      <c r="Q58" s="7" t="str" cm="1">
        <f t="array" ref="Q58">_xlfn.IFNA(INDEX($O$8:$O$86,MATCH(0,COUNTIF(Q$3:Q57,$O$8:$O$86),0)),"")</f>
        <v/>
      </c>
    </row>
    <row r="59" spans="1:17" x14ac:dyDescent="0.25">
      <c r="A59" s="7" t="str">
        <f>' 1.0 Asset Data'!A59</f>
        <v>Spare 52</v>
      </c>
      <c r="B59" s="7" t="str">
        <f>IF(A59=0,"",CONCATENATE(' 1.0 Asset Data'!O59,' 1.0 Asset Data'!Q59))</f>
        <v>Mean Replacement</v>
      </c>
      <c r="C59" s="7" t="str">
        <f t="shared" si="3"/>
        <v/>
      </c>
      <c r="D59" s="7" t="str">
        <f t="shared" si="3"/>
        <v/>
      </c>
      <c r="E59" s="7" t="str">
        <f t="shared" si="3"/>
        <v>Spare 52</v>
      </c>
      <c r="F59" s="7" t="str">
        <f t="shared" si="3"/>
        <v/>
      </c>
      <c r="G59" s="7" t="str">
        <f t="shared" si="1"/>
        <v/>
      </c>
      <c r="I59" s="7" t="str" cm="1">
        <f t="array" ref="I59">_xlfn.IFNA(INDEX(C$8:C$100,MATCH(0,COUNTIF(I$3:I58,C$8:C$100),0)),"")</f>
        <v/>
      </c>
      <c r="J59" s="7" t="str" cm="1">
        <f t="array" ref="J59">_xlfn.IFNA(INDEX(D$8:D$100,MATCH(0,COUNTIF(J$3:J58,D$8:D$100),0)),"")</f>
        <v/>
      </c>
      <c r="K59" s="7" t="str" cm="1">
        <f t="array" ref="K59">_xlfn.IFNA(INDEX(E$8:E$100,MATCH(0,COUNTIF(K$3:K58,E$8:E$100),0)),"")</f>
        <v/>
      </c>
      <c r="L59" s="7" t="str" cm="1">
        <f t="array" ref="L59">_xlfn.IFNA(INDEX(F$8:F$280,MATCH(0,COUNTIF(L$1:L58,F$8:F$280),0)),"")</f>
        <v/>
      </c>
      <c r="M59" s="7" t="str" cm="1">
        <f t="array" ref="M59">_xlfn.IFNA(INDEX(G$8:G$100,MATCH(0,COUNTIF(M$3:M58,G$8:G$100),0)),"")</f>
        <v/>
      </c>
      <c r="O59" s="7" t="str">
        <f t="shared" si="2"/>
        <v>Spare 52</v>
      </c>
      <c r="Q59" s="7" t="str" cm="1">
        <f t="array" ref="Q59">_xlfn.IFNA(INDEX($O$8:$O$86,MATCH(0,COUNTIF(Q$3:Q58,$O$8:$O$86),0)),"")</f>
        <v/>
      </c>
    </row>
    <row r="60" spans="1:17" x14ac:dyDescent="0.25">
      <c r="A60" s="7" t="str">
        <f>' 1.0 Asset Data'!A60</f>
        <v>Spare 53</v>
      </c>
      <c r="B60" s="7" t="str">
        <f>IF(A60=0,"",CONCATENATE(' 1.0 Asset Data'!O60,' 1.0 Asset Data'!Q60))</f>
        <v>Mean Original</v>
      </c>
      <c r="C60" s="7" t="str">
        <f t="shared" si="3"/>
        <v/>
      </c>
      <c r="D60" s="7" t="str">
        <f t="shared" si="3"/>
        <v>Spare 53</v>
      </c>
      <c r="E60" s="7" t="str">
        <f t="shared" si="3"/>
        <v/>
      </c>
      <c r="F60" s="7" t="str">
        <f t="shared" si="3"/>
        <v/>
      </c>
      <c r="G60" s="7" t="str">
        <f t="shared" si="1"/>
        <v/>
      </c>
      <c r="I60" s="7" t="str" cm="1">
        <f t="array" ref="I60">_xlfn.IFNA(INDEX(C$8:C$100,MATCH(0,COUNTIF(I$3:I59,C$8:C$100),0)),"")</f>
        <v/>
      </c>
      <c r="J60" s="7" t="str" cm="1">
        <f t="array" ref="J60">_xlfn.IFNA(INDEX(D$8:D$100,MATCH(0,COUNTIF(J$3:J59,D$8:D$100),0)),"")</f>
        <v/>
      </c>
      <c r="K60" s="7" t="str" cm="1">
        <f t="array" ref="K60">_xlfn.IFNA(INDEX(E$8:E$100,MATCH(0,COUNTIF(K$3:K59,E$8:E$100),0)),"")</f>
        <v/>
      </c>
      <c r="L60" s="7" t="str" cm="1">
        <f t="array" ref="L60">_xlfn.IFNA(INDEX(F$8:F$280,MATCH(0,COUNTIF(L$1:L59,F$8:F$280),0)),"")</f>
        <v/>
      </c>
      <c r="M60" s="7" t="str" cm="1">
        <f t="array" ref="M60">_xlfn.IFNA(INDEX(G$8:G$100,MATCH(0,COUNTIF(M$3:M59,G$8:G$100),0)),"")</f>
        <v/>
      </c>
      <c r="O60" s="7" t="str">
        <f t="shared" si="2"/>
        <v>Spare 53</v>
      </c>
      <c r="Q60" s="7" t="str" cm="1">
        <f t="array" ref="Q60">_xlfn.IFNA(INDEX($O$8:$O$86,MATCH(0,COUNTIF(Q$3:Q59,$O$8:$O$86),0)),"")</f>
        <v/>
      </c>
    </row>
    <row r="61" spans="1:17" x14ac:dyDescent="0.25">
      <c r="A61" s="7" t="str">
        <f>' 1.0 Asset Data'!A61</f>
        <v>Spare 54</v>
      </c>
      <c r="B61" s="7" t="str">
        <f>IF(A61=0,"",CONCATENATE(' 1.0 Asset Data'!O61,' 1.0 Asset Data'!Q61))</f>
        <v>Mean Replacement</v>
      </c>
      <c r="C61" s="7" t="str">
        <f t="shared" si="3"/>
        <v/>
      </c>
      <c r="D61" s="7" t="str">
        <f t="shared" si="3"/>
        <v/>
      </c>
      <c r="E61" s="7" t="str">
        <f t="shared" si="3"/>
        <v>Spare 54</v>
      </c>
      <c r="F61" s="7" t="str">
        <f t="shared" si="3"/>
        <v/>
      </c>
      <c r="G61" s="7" t="str">
        <f t="shared" si="1"/>
        <v/>
      </c>
      <c r="I61" s="7" t="str" cm="1">
        <f t="array" ref="I61">_xlfn.IFNA(INDEX(C$8:C$100,MATCH(0,COUNTIF(I$3:I60,C$8:C$100),0)),"")</f>
        <v/>
      </c>
      <c r="J61" s="7" t="str" cm="1">
        <f t="array" ref="J61">_xlfn.IFNA(INDEX(D$8:D$100,MATCH(0,COUNTIF(J$3:J60,D$8:D$100),0)),"")</f>
        <v/>
      </c>
      <c r="K61" s="7" t="str" cm="1">
        <f t="array" ref="K61">_xlfn.IFNA(INDEX(E$8:E$100,MATCH(0,COUNTIF(K$3:K60,E$8:E$100),0)),"")</f>
        <v/>
      </c>
      <c r="L61" s="7" t="str" cm="1">
        <f t="array" ref="L61">_xlfn.IFNA(INDEX(F$8:F$280,MATCH(0,COUNTIF(L$1:L60,F$8:F$280),0)),"")</f>
        <v/>
      </c>
      <c r="M61" s="7" t="str" cm="1">
        <f t="array" ref="M61">_xlfn.IFNA(INDEX(G$8:G$100,MATCH(0,COUNTIF(M$3:M60,G$8:G$100),0)),"")</f>
        <v/>
      </c>
      <c r="O61" s="7" t="str">
        <f t="shared" si="2"/>
        <v>Spare 54</v>
      </c>
      <c r="Q61" s="7" t="str" cm="1">
        <f t="array" ref="Q61">_xlfn.IFNA(INDEX($O$8:$O$86,MATCH(0,COUNTIF(Q$3:Q60,$O$8:$O$86),0)),"")</f>
        <v/>
      </c>
    </row>
    <row r="62" spans="1:17" x14ac:dyDescent="0.25">
      <c r="A62" s="7" t="str">
        <f>' 1.0 Asset Data'!A62</f>
        <v>Spare 55</v>
      </c>
      <c r="B62" s="7" t="str">
        <f>IF(A62=0,"",CONCATENATE(' 1.0 Asset Data'!O62,' 1.0 Asset Data'!Q62))</f>
        <v>Mean Original</v>
      </c>
      <c r="C62" s="7" t="str">
        <f t="shared" si="3"/>
        <v/>
      </c>
      <c r="D62" s="7" t="str">
        <f t="shared" si="3"/>
        <v>Spare 55</v>
      </c>
      <c r="E62" s="7" t="str">
        <f t="shared" si="3"/>
        <v/>
      </c>
      <c r="F62" s="7" t="str">
        <f t="shared" si="3"/>
        <v/>
      </c>
      <c r="G62" s="7" t="str">
        <f t="shared" si="1"/>
        <v/>
      </c>
      <c r="I62" s="7" t="str" cm="1">
        <f t="array" ref="I62">_xlfn.IFNA(INDEX(C$8:C$100,MATCH(0,COUNTIF(I$3:I61,C$8:C$100),0)),"")</f>
        <v/>
      </c>
      <c r="J62" s="7" t="str" cm="1">
        <f t="array" ref="J62">_xlfn.IFNA(INDEX(D$8:D$100,MATCH(0,COUNTIF(J$3:J61,D$8:D$100),0)),"")</f>
        <v/>
      </c>
      <c r="K62" s="7" t="str" cm="1">
        <f t="array" ref="K62">_xlfn.IFNA(INDEX(E$8:E$100,MATCH(0,COUNTIF(K$3:K61,E$8:E$100),0)),"")</f>
        <v/>
      </c>
      <c r="L62" s="7" t="str" cm="1">
        <f t="array" ref="L62">_xlfn.IFNA(INDEX(F$8:F$280,MATCH(0,COUNTIF(L$1:L61,F$8:F$280),0)),"")</f>
        <v/>
      </c>
      <c r="M62" s="7" t="str" cm="1">
        <f t="array" ref="M62">_xlfn.IFNA(INDEX(G$8:G$100,MATCH(0,COUNTIF(M$3:M61,G$8:G$100),0)),"")</f>
        <v/>
      </c>
      <c r="O62" s="7" t="str">
        <f t="shared" si="2"/>
        <v>Spare 55</v>
      </c>
      <c r="Q62" s="7" t="str" cm="1">
        <f t="array" ref="Q62">_xlfn.IFNA(INDEX($O$8:$O$86,MATCH(0,COUNTIF(Q$3:Q61,$O$8:$O$86),0)),"")</f>
        <v/>
      </c>
    </row>
    <row r="63" spans="1:17" x14ac:dyDescent="0.25">
      <c r="A63" s="7" t="str">
        <f>' 1.0 Asset Data'!A63</f>
        <v>Spare 56</v>
      </c>
      <c r="B63" s="7" t="str">
        <f>IF(A63=0,"",CONCATENATE(' 1.0 Asset Data'!O63,' 1.0 Asset Data'!Q63))</f>
        <v>Mean Replacement</v>
      </c>
      <c r="C63" s="7" t="str">
        <f t="shared" si="3"/>
        <v/>
      </c>
      <c r="D63" s="7" t="str">
        <f t="shared" si="3"/>
        <v/>
      </c>
      <c r="E63" s="7" t="str">
        <f t="shared" si="3"/>
        <v>Spare 56</v>
      </c>
      <c r="F63" s="7" t="str">
        <f t="shared" si="3"/>
        <v/>
      </c>
      <c r="G63" s="7" t="str">
        <f t="shared" si="1"/>
        <v/>
      </c>
      <c r="I63" s="7" t="str" cm="1">
        <f t="array" ref="I63">_xlfn.IFNA(INDEX(C$8:C$100,MATCH(0,COUNTIF(I$3:I62,C$8:C$100),0)),"")</f>
        <v/>
      </c>
      <c r="J63" s="7" t="str" cm="1">
        <f t="array" ref="J63">_xlfn.IFNA(INDEX(D$8:D$100,MATCH(0,COUNTIF(J$3:J62,D$8:D$100),0)),"")</f>
        <v/>
      </c>
      <c r="K63" s="7" t="str" cm="1">
        <f t="array" ref="K63">_xlfn.IFNA(INDEX(E$8:E$100,MATCH(0,COUNTIF(K$3:K62,E$8:E$100),0)),"")</f>
        <v/>
      </c>
      <c r="L63" s="7" t="str" cm="1">
        <f t="array" ref="L63">_xlfn.IFNA(INDEX(F$8:F$280,MATCH(0,COUNTIF(L$1:L62,F$8:F$280),0)),"")</f>
        <v/>
      </c>
      <c r="M63" s="7" t="str" cm="1">
        <f t="array" ref="M63">_xlfn.IFNA(INDEX(G$8:G$100,MATCH(0,COUNTIF(M$3:M62,G$8:G$100),0)),"")</f>
        <v/>
      </c>
      <c r="O63" s="7" t="str">
        <f t="shared" si="2"/>
        <v>Spare 56</v>
      </c>
      <c r="Q63" s="7" t="str" cm="1">
        <f t="array" ref="Q63">_xlfn.IFNA(INDEX($O$8:$O$86,MATCH(0,COUNTIF(Q$3:Q62,$O$8:$O$86),0)),"")</f>
        <v/>
      </c>
    </row>
    <row r="64" spans="1:17" x14ac:dyDescent="0.25">
      <c r="A64" s="7" t="str">
        <f>' 1.0 Asset Data'!A64</f>
        <v>Spare 57</v>
      </c>
      <c r="B64" s="7" t="str">
        <f>IF(A64=0,"",CONCATENATE(' 1.0 Asset Data'!O64,' 1.0 Asset Data'!Q64))</f>
        <v>Lead</v>
      </c>
      <c r="C64" s="7" t="str">
        <f t="shared" si="3"/>
        <v/>
      </c>
      <c r="D64" s="7" t="str">
        <f t="shared" si="3"/>
        <v/>
      </c>
      <c r="E64" s="7" t="str">
        <f t="shared" si="3"/>
        <v/>
      </c>
      <c r="F64" s="7" t="str">
        <f t="shared" si="3"/>
        <v>Spare 57</v>
      </c>
      <c r="G64" s="7" t="str">
        <f t="shared" si="1"/>
        <v/>
      </c>
      <c r="I64" s="7" t="str" cm="1">
        <f t="array" ref="I64">_xlfn.IFNA(INDEX(C$8:C$100,MATCH(0,COUNTIF(I$3:I63,C$8:C$100),0)),"")</f>
        <v/>
      </c>
      <c r="J64" s="7" t="str" cm="1">
        <f t="array" ref="J64">_xlfn.IFNA(INDEX(D$8:D$100,MATCH(0,COUNTIF(J$3:J63,D$8:D$100),0)),"")</f>
        <v/>
      </c>
      <c r="K64" s="7" t="str" cm="1">
        <f t="array" ref="K64">_xlfn.IFNA(INDEX(E$8:E$100,MATCH(0,COUNTIF(K$3:K63,E$8:E$100),0)),"")</f>
        <v/>
      </c>
      <c r="L64" s="7" t="str" cm="1">
        <f t="array" ref="L64">_xlfn.IFNA(INDEX(F$8:F$280,MATCH(0,COUNTIF(L$1:L63,F$8:F$280),0)),"")</f>
        <v/>
      </c>
      <c r="M64" s="7" t="str" cm="1">
        <f t="array" ref="M64">_xlfn.IFNA(INDEX(G$8:G$100,MATCH(0,COUNTIF(M$3:M63,G$8:G$100),0)),"")</f>
        <v/>
      </c>
      <c r="O64" s="7" t="str">
        <f t="shared" si="2"/>
        <v/>
      </c>
      <c r="Q64" s="7" t="str" cm="1">
        <f t="array" ref="Q64">_xlfn.IFNA(INDEX($O$8:$O$86,MATCH(0,COUNTIF(Q$3:Q63,$O$8:$O$86),0)),"")</f>
        <v/>
      </c>
    </row>
    <row r="65" spans="1:17" x14ac:dyDescent="0.25">
      <c r="A65" s="7" t="str">
        <f>' 1.0 Asset Data'!A65</f>
        <v>Spare 58</v>
      </c>
      <c r="B65" s="7" t="str">
        <f>IF(A65=0,"",CONCATENATE(' 1.0 Asset Data'!O65,' 1.0 Asset Data'!Q65))</f>
        <v>Lead</v>
      </c>
      <c r="C65" s="7" t="str">
        <f t="shared" si="3"/>
        <v/>
      </c>
      <c r="D65" s="7" t="str">
        <f t="shared" si="3"/>
        <v/>
      </c>
      <c r="E65" s="7" t="str">
        <f t="shared" si="3"/>
        <v/>
      </c>
      <c r="F65" s="7" t="str">
        <f t="shared" si="3"/>
        <v>Spare 58</v>
      </c>
      <c r="G65" s="7" t="str">
        <f t="shared" si="1"/>
        <v/>
      </c>
      <c r="I65" s="7" t="str" cm="1">
        <f t="array" ref="I65">_xlfn.IFNA(INDEX(C$8:C$100,MATCH(0,COUNTIF(I$3:I64,C$8:C$100),0)),"")</f>
        <v/>
      </c>
      <c r="J65" s="7" t="str" cm="1">
        <f t="array" ref="J65">_xlfn.IFNA(INDEX(D$8:D$100,MATCH(0,COUNTIF(J$3:J64,D$8:D$100),0)),"")</f>
        <v/>
      </c>
      <c r="K65" s="7" t="str" cm="1">
        <f t="array" ref="K65">_xlfn.IFNA(INDEX(E$8:E$100,MATCH(0,COUNTIF(K$3:K64,E$8:E$100),0)),"")</f>
        <v/>
      </c>
      <c r="L65" s="7" t="str" cm="1">
        <f t="array" ref="L65">_xlfn.IFNA(INDEX(F$8:F$280,MATCH(0,COUNTIF(L$1:L64,F$8:F$280),0)),"")</f>
        <v/>
      </c>
      <c r="M65" s="7" t="str" cm="1">
        <f t="array" ref="M65">_xlfn.IFNA(INDEX(G$8:G$100,MATCH(0,COUNTIF(M$3:M64,G$8:G$100),0)),"")</f>
        <v/>
      </c>
      <c r="O65" s="7" t="str">
        <f t="shared" si="2"/>
        <v/>
      </c>
      <c r="Q65" s="7" t="str" cm="1">
        <f t="array" ref="Q65">_xlfn.IFNA(INDEX($O$8:$O$86,MATCH(0,COUNTIF(Q$3:Q64,$O$8:$O$86),0)),"")</f>
        <v/>
      </c>
    </row>
    <row r="66" spans="1:17" x14ac:dyDescent="0.25">
      <c r="A66" s="7" t="str">
        <f>' 1.0 Asset Data'!A66</f>
        <v>Spare 59</v>
      </c>
      <c r="B66" s="7" t="str">
        <f>IF(A66=0,"",CONCATENATE(' 1.0 Asset Data'!O66,' 1.0 Asset Data'!Q66))</f>
        <v>Lead</v>
      </c>
      <c r="C66" s="7" t="str">
        <f t="shared" si="3"/>
        <v/>
      </c>
      <c r="D66" s="7" t="str">
        <f t="shared" si="3"/>
        <v/>
      </c>
      <c r="E66" s="7" t="str">
        <f t="shared" si="3"/>
        <v/>
      </c>
      <c r="F66" s="7" t="str">
        <f t="shared" si="3"/>
        <v>Spare 59</v>
      </c>
      <c r="G66" s="7" t="str">
        <f t="shared" si="1"/>
        <v/>
      </c>
      <c r="I66" s="7" t="str" cm="1">
        <f t="array" ref="I66">_xlfn.IFNA(INDEX(C$8:C$100,MATCH(0,COUNTIF(I$3:I65,C$8:C$100),0)),"")</f>
        <v/>
      </c>
      <c r="J66" s="7" t="str" cm="1">
        <f t="array" ref="J66">_xlfn.IFNA(INDEX(D$8:D$100,MATCH(0,COUNTIF(J$3:J65,D$8:D$100),0)),"")</f>
        <v/>
      </c>
      <c r="K66" s="7" t="str" cm="1">
        <f t="array" ref="K66">_xlfn.IFNA(INDEX(E$8:E$100,MATCH(0,COUNTIF(K$3:K65,E$8:E$100),0)),"")</f>
        <v/>
      </c>
      <c r="L66" s="7" t="str" cm="1">
        <f t="array" ref="L66">_xlfn.IFNA(INDEX(F$8:F$280,MATCH(0,COUNTIF(L$1:L65,F$8:F$280),0)),"")</f>
        <v/>
      </c>
      <c r="M66" s="7" t="str" cm="1">
        <f t="array" ref="M66">_xlfn.IFNA(INDEX(G$8:G$100,MATCH(0,COUNTIF(M$3:M65,G$8:G$100),0)),"")</f>
        <v/>
      </c>
      <c r="O66" s="7" t="str">
        <f t="shared" si="2"/>
        <v/>
      </c>
      <c r="Q66" s="7" t="str" cm="1">
        <f t="array" ref="Q66">_xlfn.IFNA(INDEX($O$8:$O$86,MATCH(0,COUNTIF(Q$3:Q65,$O$8:$O$86),0)),"")</f>
        <v/>
      </c>
    </row>
    <row r="67" spans="1:17" x14ac:dyDescent="0.25">
      <c r="A67" s="7" t="str">
        <f>' 1.0 Asset Data'!A67</f>
        <v>Spare 60</v>
      </c>
      <c r="B67" s="7" t="str">
        <f>IF(A67=0,"",CONCATENATE(' 1.0 Asset Data'!O67,' 1.0 Asset Data'!Q67))</f>
        <v>Lead</v>
      </c>
      <c r="C67" s="7" t="str">
        <f t="shared" si="3"/>
        <v/>
      </c>
      <c r="D67" s="7" t="str">
        <f t="shared" si="3"/>
        <v/>
      </c>
      <c r="E67" s="7" t="str">
        <f t="shared" si="3"/>
        <v/>
      </c>
      <c r="F67" s="7" t="str">
        <f t="shared" si="3"/>
        <v>Spare 60</v>
      </c>
      <c r="G67" s="7" t="str">
        <f t="shared" si="1"/>
        <v/>
      </c>
      <c r="I67" s="7" t="str" cm="1">
        <f t="array" ref="I67">_xlfn.IFNA(INDEX(C$8:C$100,MATCH(0,COUNTIF(I$3:I66,C$8:C$100),0)),"")</f>
        <v/>
      </c>
      <c r="J67" s="7" t="str" cm="1">
        <f t="array" ref="J67">_xlfn.IFNA(INDEX(D$8:D$100,MATCH(0,COUNTIF(J$3:J66,D$8:D$100),0)),"")</f>
        <v/>
      </c>
      <c r="K67" s="7" t="str" cm="1">
        <f t="array" ref="K67">_xlfn.IFNA(INDEX(E$8:E$100,MATCH(0,COUNTIF(K$3:K66,E$8:E$100),0)),"")</f>
        <v/>
      </c>
      <c r="L67" s="7" t="str" cm="1">
        <f t="array" ref="L67">_xlfn.IFNA(INDEX(F$8:F$280,MATCH(0,COUNTIF(L$1:L66,F$8:F$280),0)),"")</f>
        <v/>
      </c>
      <c r="M67" s="7" t="str" cm="1">
        <f t="array" ref="M67">_xlfn.IFNA(INDEX(G$8:G$100,MATCH(0,COUNTIF(M$3:M66,G$8:G$100),0)),"")</f>
        <v/>
      </c>
      <c r="O67" s="7" t="str">
        <f t="shared" si="2"/>
        <v/>
      </c>
      <c r="Q67" s="7" t="str" cm="1">
        <f t="array" ref="Q67">_xlfn.IFNA(INDEX($O$8:$O$86,MATCH(0,COUNTIF(Q$3:Q66,$O$8:$O$86),0)),"")</f>
        <v/>
      </c>
    </row>
    <row r="68" spans="1:17" x14ac:dyDescent="0.25">
      <c r="A68" s="7" t="str">
        <f>' 1.0 Asset Data'!A68</f>
        <v>Spare 61</v>
      </c>
      <c r="B68" s="7" t="str">
        <f>IF(A68=0,"",CONCATENATE(' 1.0 Asset Data'!O68,' 1.0 Asset Data'!Q68))</f>
        <v>Lead</v>
      </c>
      <c r="C68" s="7" t="str">
        <f t="shared" si="3"/>
        <v/>
      </c>
      <c r="D68" s="7" t="str">
        <f t="shared" si="3"/>
        <v/>
      </c>
      <c r="E68" s="7" t="str">
        <f t="shared" si="3"/>
        <v/>
      </c>
      <c r="F68" s="7" t="str">
        <f t="shared" si="3"/>
        <v>Spare 61</v>
      </c>
      <c r="G68" s="7" t="str">
        <f t="shared" si="1"/>
        <v/>
      </c>
      <c r="I68" s="7" t="str" cm="1">
        <f t="array" ref="I68">_xlfn.IFNA(INDEX(C$8:C$100,MATCH(0,COUNTIF(I$3:I67,C$8:C$100),0)),"")</f>
        <v/>
      </c>
      <c r="J68" s="7" t="str" cm="1">
        <f t="array" ref="J68">_xlfn.IFNA(INDEX(D$8:D$100,MATCH(0,COUNTIF(J$3:J67,D$8:D$100),0)),"")</f>
        <v/>
      </c>
      <c r="K68" s="7" t="str" cm="1">
        <f t="array" ref="K68">_xlfn.IFNA(INDEX(E$8:E$100,MATCH(0,COUNTIF(K$3:K67,E$8:E$100),0)),"")</f>
        <v/>
      </c>
      <c r="L68" s="7" t="str" cm="1">
        <f t="array" ref="L68">_xlfn.IFNA(INDEX(F$8:F$280,MATCH(0,COUNTIF(L$1:L67,F$8:F$280),0)),"")</f>
        <v/>
      </c>
      <c r="M68" s="7" t="str" cm="1">
        <f t="array" ref="M68">_xlfn.IFNA(INDEX(G$8:G$100,MATCH(0,COUNTIF(M$3:M67,G$8:G$100),0)),"")</f>
        <v/>
      </c>
      <c r="O68" s="7" t="str">
        <f t="shared" si="2"/>
        <v/>
      </c>
      <c r="Q68" s="7" t="str" cm="1">
        <f t="array" ref="Q68">_xlfn.IFNA(INDEX($O$8:$O$86,MATCH(0,COUNTIF(Q$3:Q67,$O$8:$O$86),0)),"")</f>
        <v/>
      </c>
    </row>
    <row r="69" spans="1:17" x14ac:dyDescent="0.25">
      <c r="A69" s="7" t="str">
        <f>' 1.0 Asset Data'!A69</f>
        <v>Spare 62</v>
      </c>
      <c r="B69" s="7" t="str">
        <f>IF(A69=0,"",CONCATENATE(' 1.0 Asset Data'!O69,' 1.0 Asset Data'!Q69))</f>
        <v>Mean Replacement</v>
      </c>
      <c r="C69" s="7" t="str">
        <f t="shared" si="3"/>
        <v/>
      </c>
      <c r="D69" s="7" t="str">
        <f t="shared" si="3"/>
        <v/>
      </c>
      <c r="E69" s="7" t="str">
        <f t="shared" si="3"/>
        <v>Spare 62</v>
      </c>
      <c r="F69" s="7" t="str">
        <f t="shared" si="3"/>
        <v/>
      </c>
      <c r="G69" s="7" t="str">
        <f t="shared" si="1"/>
        <v/>
      </c>
      <c r="I69" s="7" t="str" cm="1">
        <f t="array" ref="I69">_xlfn.IFNA(INDEX(C$8:C$100,MATCH(0,COUNTIF(I$3:I68,C$8:C$100),0)),"")</f>
        <v/>
      </c>
      <c r="J69" s="7" t="str" cm="1">
        <f t="array" ref="J69">_xlfn.IFNA(INDEX(D$8:D$100,MATCH(0,COUNTIF(J$3:J68,D$8:D$100),0)),"")</f>
        <v/>
      </c>
      <c r="K69" s="7" t="str" cm="1">
        <f t="array" ref="K69">_xlfn.IFNA(INDEX(E$8:E$100,MATCH(0,COUNTIF(K$3:K68,E$8:E$100),0)),"")</f>
        <v/>
      </c>
      <c r="L69" s="7" t="str" cm="1">
        <f t="array" ref="L69">_xlfn.IFNA(INDEX(F$8:F$280,MATCH(0,COUNTIF(L$1:L68,F$8:F$280),0)),"")</f>
        <v/>
      </c>
      <c r="M69" s="7" t="str" cm="1">
        <f t="array" ref="M69">_xlfn.IFNA(INDEX(G$8:G$100,MATCH(0,COUNTIF(M$3:M68,G$8:G$100),0)),"")</f>
        <v/>
      </c>
      <c r="O69" s="7" t="str">
        <f t="shared" si="2"/>
        <v>Spare 62</v>
      </c>
      <c r="Q69" s="7" t="str" cm="1">
        <f t="array" ref="Q69">_xlfn.IFNA(INDEX($O$8:$O$86,MATCH(0,COUNTIF(Q$3:Q68,$O$8:$O$86),0)),"")</f>
        <v/>
      </c>
    </row>
    <row r="70" spans="1:17" x14ac:dyDescent="0.25">
      <c r="A70" s="7" t="str">
        <f>' 1.0 Asset Data'!A70</f>
        <v>Spare 63</v>
      </c>
      <c r="B70" s="7" t="str">
        <f>IF(A70=0,"",CONCATENATE(' 1.0 Asset Data'!O70,' 1.0 Asset Data'!Q70))</f>
        <v>Mean Replacement</v>
      </c>
      <c r="C70" s="7" t="str">
        <f t="shared" si="3"/>
        <v/>
      </c>
      <c r="D70" s="7" t="str">
        <f t="shared" si="3"/>
        <v/>
      </c>
      <c r="E70" s="7" t="str">
        <f t="shared" si="3"/>
        <v>Spare 63</v>
      </c>
      <c r="F70" s="7" t="str">
        <f t="shared" si="3"/>
        <v/>
      </c>
      <c r="G70" s="7" t="str">
        <f t="shared" si="1"/>
        <v/>
      </c>
      <c r="I70" s="7" t="str" cm="1">
        <f t="array" ref="I70">_xlfn.IFNA(INDEX(C$8:C$100,MATCH(0,COUNTIF(I$3:I69,C$8:C$100),0)),"")</f>
        <v/>
      </c>
      <c r="J70" s="7" t="str" cm="1">
        <f t="array" ref="J70">_xlfn.IFNA(INDEX(D$8:D$100,MATCH(0,COUNTIF(J$3:J69,D$8:D$100),0)),"")</f>
        <v/>
      </c>
      <c r="K70" s="7" t="str" cm="1">
        <f t="array" ref="K70">_xlfn.IFNA(INDEX(E$8:E$100,MATCH(0,COUNTIF(K$3:K69,E$8:E$100),0)),"")</f>
        <v/>
      </c>
      <c r="L70" s="7" t="str" cm="1">
        <f t="array" ref="L70">_xlfn.IFNA(INDEX(F$8:F$280,MATCH(0,COUNTIF(L$1:L69,F$8:F$280),0)),"")</f>
        <v/>
      </c>
      <c r="M70" s="7" t="str" cm="1">
        <f t="array" ref="M70">_xlfn.IFNA(INDEX(G$8:G$100,MATCH(0,COUNTIF(M$3:M69,G$8:G$100),0)),"")</f>
        <v/>
      </c>
      <c r="O70" s="7" t="str">
        <f t="shared" si="2"/>
        <v>Spare 63</v>
      </c>
      <c r="Q70" s="7" t="str" cm="1">
        <f t="array" ref="Q70">_xlfn.IFNA(INDEX($O$8:$O$86,MATCH(0,COUNTIF(Q$3:Q69,$O$8:$O$86),0)),"")</f>
        <v/>
      </c>
    </row>
    <row r="71" spans="1:17" x14ac:dyDescent="0.25">
      <c r="A71" s="7" t="str">
        <f>' 1.0 Asset Data'!A71</f>
        <v>Spare 64</v>
      </c>
      <c r="B71" s="7" t="str">
        <f>IF(A71=0,"",CONCATENATE(' 1.0 Asset Data'!O71,' 1.0 Asset Data'!Q71))</f>
        <v>Mean Replacement</v>
      </c>
      <c r="C71" s="7" t="str">
        <f t="shared" si="3"/>
        <v/>
      </c>
      <c r="D71" s="7" t="str">
        <f t="shared" si="3"/>
        <v/>
      </c>
      <c r="E71" s="7" t="str">
        <f t="shared" si="3"/>
        <v>Spare 64</v>
      </c>
      <c r="F71" s="7" t="str">
        <f t="shared" si="3"/>
        <v/>
      </c>
      <c r="G71" s="7" t="str">
        <f t="shared" si="1"/>
        <v/>
      </c>
      <c r="I71" s="7" t="str" cm="1">
        <f t="array" ref="I71">_xlfn.IFNA(INDEX(C$8:C$100,MATCH(0,COUNTIF(I$3:I70,C$8:C$100),0)),"")</f>
        <v/>
      </c>
      <c r="J71" s="7" t="str" cm="1">
        <f t="array" ref="J71">_xlfn.IFNA(INDEX(D$8:D$100,MATCH(0,COUNTIF(J$3:J70,D$8:D$100),0)),"")</f>
        <v/>
      </c>
      <c r="K71" s="7" t="str" cm="1">
        <f t="array" ref="K71">_xlfn.IFNA(INDEX(E$8:E$100,MATCH(0,COUNTIF(K$3:K70,E$8:E$100),0)),"")</f>
        <v/>
      </c>
      <c r="L71" s="7" t="str" cm="1">
        <f t="array" ref="L71">_xlfn.IFNA(INDEX(F$8:F$280,MATCH(0,COUNTIF(L$1:L70,F$8:F$280),0)),"")</f>
        <v/>
      </c>
      <c r="M71" s="7" t="str" cm="1">
        <f t="array" ref="M71">_xlfn.IFNA(INDEX(G$8:G$100,MATCH(0,COUNTIF(M$3:M70,G$8:G$100),0)),"")</f>
        <v/>
      </c>
      <c r="O71" s="7" t="str">
        <f t="shared" si="2"/>
        <v>Spare 64</v>
      </c>
      <c r="Q71" s="7" t="str" cm="1">
        <f t="array" ref="Q71">_xlfn.IFNA(INDEX($O$8:$O$86,MATCH(0,COUNTIF(Q$3:Q70,$O$8:$O$86),0)),"")</f>
        <v/>
      </c>
    </row>
    <row r="72" spans="1:17" x14ac:dyDescent="0.25">
      <c r="A72" s="7" t="str">
        <f>' 1.0 Asset Data'!A72</f>
        <v>Spare 65</v>
      </c>
      <c r="B72" s="7" t="str">
        <f>IF(A72=0,"",CONCATENATE(' 1.0 Asset Data'!O72,' 1.0 Asset Data'!Q72))</f>
        <v>Lead</v>
      </c>
      <c r="C72" s="7" t="str">
        <f t="shared" si="3"/>
        <v/>
      </c>
      <c r="D72" s="7" t="str">
        <f t="shared" si="3"/>
        <v/>
      </c>
      <c r="E72" s="7" t="str">
        <f t="shared" si="3"/>
        <v/>
      </c>
      <c r="F72" s="7" t="str">
        <f t="shared" si="3"/>
        <v>Spare 65</v>
      </c>
      <c r="G72" s="7" t="str">
        <f t="shared" si="1"/>
        <v/>
      </c>
      <c r="I72" s="7" t="str" cm="1">
        <f t="array" ref="I72">_xlfn.IFNA(INDEX(C$8:C$100,MATCH(0,COUNTIF(I$3:I71,C$8:C$100),0)),"")</f>
        <v/>
      </c>
      <c r="J72" s="7" t="str" cm="1">
        <f t="array" ref="J72">_xlfn.IFNA(INDEX(D$8:D$100,MATCH(0,COUNTIF(J$3:J71,D$8:D$100),0)),"")</f>
        <v/>
      </c>
      <c r="K72" s="7" t="str" cm="1">
        <f t="array" ref="K72">_xlfn.IFNA(INDEX(E$8:E$100,MATCH(0,COUNTIF(K$3:K71,E$8:E$100),0)),"")</f>
        <v/>
      </c>
      <c r="L72" s="7" t="str" cm="1">
        <f t="array" ref="L72">_xlfn.IFNA(INDEX(F$8:F$280,MATCH(0,COUNTIF(L$1:L71,F$8:F$280),0)),"")</f>
        <v/>
      </c>
      <c r="M72" s="7" t="str" cm="1">
        <f t="array" ref="M72">_xlfn.IFNA(INDEX(G$8:G$100,MATCH(0,COUNTIF(M$3:M71,G$8:G$100),0)),"")</f>
        <v/>
      </c>
      <c r="O72" s="7" t="str">
        <f t="shared" si="2"/>
        <v/>
      </c>
      <c r="Q72" s="7" t="str" cm="1">
        <f t="array" ref="Q72">_xlfn.IFNA(INDEX($O$8:$O$86,MATCH(0,COUNTIF(Q$3:Q71,$O$8:$O$86),0)),"")</f>
        <v/>
      </c>
    </row>
    <row r="73" spans="1:17" x14ac:dyDescent="0.25">
      <c r="A73" s="7" t="str">
        <f>' 1.0 Asset Data'!A73</f>
        <v>Spare 66</v>
      </c>
      <c r="B73" s="7" t="str">
        <f>IF(A73=0,"",CONCATENATE(' 1.0 Asset Data'!O73,' 1.0 Asset Data'!Q73))</f>
        <v>Lead</v>
      </c>
      <c r="C73" s="7" t="str">
        <f t="shared" si="3"/>
        <v/>
      </c>
      <c r="D73" s="7" t="str">
        <f t="shared" si="3"/>
        <v/>
      </c>
      <c r="E73" s="7" t="str">
        <f t="shared" si="3"/>
        <v/>
      </c>
      <c r="F73" s="7" t="str">
        <f t="shared" si="3"/>
        <v>Spare 66</v>
      </c>
      <c r="G73" s="7" t="str">
        <f t="shared" ref="G73:G86" si="4">IF(AND(C73="",D73="",E73="",F73=""),A73,"")</f>
        <v/>
      </c>
      <c r="I73" s="7" t="str" cm="1">
        <f t="array" ref="I73">_xlfn.IFNA(INDEX(C$8:C$100,MATCH(0,COUNTIF(I$3:I72,C$8:C$100),0)),"")</f>
        <v/>
      </c>
      <c r="J73" s="7" t="str" cm="1">
        <f t="array" ref="J73">_xlfn.IFNA(INDEX(D$8:D$100,MATCH(0,COUNTIF(J$3:J72,D$8:D$100),0)),"")</f>
        <v/>
      </c>
      <c r="K73" s="7" t="str" cm="1">
        <f t="array" ref="K73">_xlfn.IFNA(INDEX(E$8:E$100,MATCH(0,COUNTIF(K$3:K72,E$8:E$100),0)),"")</f>
        <v/>
      </c>
      <c r="L73" s="7" t="str" cm="1">
        <f t="array" ref="L73">_xlfn.IFNA(INDEX(F$8:F$280,MATCH(0,COUNTIF(L$1:L72,F$8:F$280),0)),"")</f>
        <v/>
      </c>
      <c r="M73" s="7" t="str" cm="1">
        <f t="array" ref="M73">_xlfn.IFNA(INDEX(G$8:G$100,MATCH(0,COUNTIF(M$3:M72,G$8:G$100),0)),"")</f>
        <v/>
      </c>
      <c r="O73" s="7" t="str">
        <f t="shared" ref="O73:O86" si="5">IF(OR(B73="Mean Original",B73="Mean Replacement"),A73,"")</f>
        <v/>
      </c>
      <c r="Q73" s="7" t="str" cm="1">
        <f t="array" ref="Q73">_xlfn.IFNA(INDEX($O$8:$O$86,MATCH(0,COUNTIF(Q$3:Q72,$O$8:$O$86),0)),"")</f>
        <v/>
      </c>
    </row>
    <row r="74" spans="1:17" x14ac:dyDescent="0.25">
      <c r="A74" s="7" t="str">
        <f>' 1.0 Asset Data'!A74</f>
        <v>Spare 68</v>
      </c>
      <c r="B74" s="7" t="str">
        <f>IF(A74=0,"",CONCATENATE(' 1.0 Asset Data'!O74,' 1.0 Asset Data'!Q74))</f>
        <v>Lead</v>
      </c>
      <c r="C74" s="7" t="str">
        <f t="shared" si="3"/>
        <v/>
      </c>
      <c r="D74" s="7" t="str">
        <f t="shared" si="3"/>
        <v/>
      </c>
      <c r="E74" s="7" t="str">
        <f t="shared" si="3"/>
        <v/>
      </c>
      <c r="F74" s="7" t="str">
        <f t="shared" si="3"/>
        <v>Spare 68</v>
      </c>
      <c r="G74" s="7" t="str">
        <f t="shared" si="4"/>
        <v/>
      </c>
      <c r="I74" s="7" t="str" cm="1">
        <f t="array" ref="I74">_xlfn.IFNA(INDEX(C$8:C$100,MATCH(0,COUNTIF(I$3:I73,C$8:C$100),0)),"")</f>
        <v/>
      </c>
      <c r="J74" s="7" t="str" cm="1">
        <f t="array" ref="J74">_xlfn.IFNA(INDEX(D$8:D$100,MATCH(0,COUNTIF(J$3:J73,D$8:D$100),0)),"")</f>
        <v/>
      </c>
      <c r="K74" s="7" t="str" cm="1">
        <f t="array" ref="K74">_xlfn.IFNA(INDEX(E$8:E$100,MATCH(0,COUNTIF(K$3:K73,E$8:E$100),0)),"")</f>
        <v/>
      </c>
      <c r="L74" s="7" t="str" cm="1">
        <f t="array" ref="L74">_xlfn.IFNA(INDEX(F$8:F$280,MATCH(0,COUNTIF(L$1:L73,F$8:F$280),0)),"")</f>
        <v/>
      </c>
      <c r="M74" s="7" t="str" cm="1">
        <f t="array" ref="M74">_xlfn.IFNA(INDEX(G$8:G$100,MATCH(0,COUNTIF(M$3:M73,G$8:G$100),0)),"")</f>
        <v/>
      </c>
      <c r="O74" s="7" t="str">
        <f t="shared" si="5"/>
        <v/>
      </c>
      <c r="Q74" s="7" t="str" cm="1">
        <f t="array" ref="Q74">_xlfn.IFNA(INDEX($O$8:$O$86,MATCH(0,COUNTIF(Q$3:Q73,$O$8:$O$86),0)),"")</f>
        <v/>
      </c>
    </row>
    <row r="75" spans="1:17" x14ac:dyDescent="0.25">
      <c r="A75" s="7" t="str">
        <f>' 1.0 Asset Data'!A75</f>
        <v>Spare 69</v>
      </c>
      <c r="B75" s="7" t="str">
        <f>IF(A75=0,"",CONCATENATE(' 1.0 Asset Data'!O75,' 1.0 Asset Data'!Q75))</f>
        <v>Failure</v>
      </c>
      <c r="C75" s="7" t="str">
        <f t="shared" si="3"/>
        <v>Spare 69</v>
      </c>
      <c r="D75" s="7" t="str">
        <f t="shared" si="3"/>
        <v/>
      </c>
      <c r="E75" s="7" t="str">
        <f t="shared" si="3"/>
        <v/>
      </c>
      <c r="F75" s="7" t="str">
        <f t="shared" si="3"/>
        <v/>
      </c>
      <c r="G75" s="7" t="str">
        <f t="shared" si="4"/>
        <v/>
      </c>
      <c r="I75" s="7" t="str" cm="1">
        <f t="array" ref="I75">_xlfn.IFNA(INDEX(C$8:C$100,MATCH(0,COUNTIF(I$3:I74,C$8:C$100),0)),"")</f>
        <v/>
      </c>
      <c r="J75" s="7" t="str" cm="1">
        <f t="array" ref="J75">_xlfn.IFNA(INDEX(D$8:D$100,MATCH(0,COUNTIF(J$3:J74,D$8:D$100),0)),"")</f>
        <v/>
      </c>
      <c r="K75" s="7" t="str" cm="1">
        <f t="array" ref="K75">_xlfn.IFNA(INDEX(E$8:E$100,MATCH(0,COUNTIF(K$3:K74,E$8:E$100),0)),"")</f>
        <v/>
      </c>
      <c r="L75" s="7" t="str" cm="1">
        <f t="array" ref="L75">_xlfn.IFNA(INDEX(F$8:F$280,MATCH(0,COUNTIF(L$1:L74,F$8:F$280),0)),"")</f>
        <v/>
      </c>
      <c r="M75" s="7" t="str" cm="1">
        <f t="array" ref="M75">_xlfn.IFNA(INDEX(G$8:G$100,MATCH(0,COUNTIF(M$3:M74,G$8:G$100),0)),"")</f>
        <v/>
      </c>
      <c r="O75" s="7" t="str">
        <f t="shared" si="5"/>
        <v/>
      </c>
      <c r="Q75" s="7" t="str" cm="1">
        <f t="array" ref="Q75">_xlfn.IFNA(INDEX($O$8:$O$86,MATCH(0,COUNTIF(Q$3:Q74,$O$8:$O$86),0)),"")</f>
        <v/>
      </c>
    </row>
    <row r="76" spans="1:17" x14ac:dyDescent="0.25">
      <c r="A76" s="7">
        <f>' 1.0 Asset Data'!A76</f>
        <v>0</v>
      </c>
      <c r="B76" s="7" t="str">
        <f>IF(A76=0,"",CONCATENATE(' 1.0 Asset Data'!O76,' 1.0 Asset Data'!Q76))</f>
        <v/>
      </c>
      <c r="C76" s="7" t="str">
        <f t="shared" si="3"/>
        <v/>
      </c>
      <c r="D76" s="7" t="str">
        <f t="shared" si="3"/>
        <v/>
      </c>
      <c r="E76" s="7" t="str">
        <f t="shared" si="3"/>
        <v/>
      </c>
      <c r="F76" s="7" t="str">
        <f t="shared" si="3"/>
        <v/>
      </c>
      <c r="G76" s="7">
        <f t="shared" si="4"/>
        <v>0</v>
      </c>
      <c r="I76" s="7" t="str" cm="1">
        <f t="array" ref="I76">_xlfn.IFNA(INDEX(C$8:C$100,MATCH(0,COUNTIF(I$3:I75,C$8:C$100),0)),"")</f>
        <v/>
      </c>
      <c r="J76" s="7" t="str" cm="1">
        <f t="array" ref="J76">_xlfn.IFNA(INDEX(D$8:D$100,MATCH(0,COUNTIF(J$3:J75,D$8:D$100),0)),"")</f>
        <v/>
      </c>
      <c r="K76" s="7" t="str" cm="1">
        <f t="array" ref="K76">_xlfn.IFNA(INDEX(E$8:E$100,MATCH(0,COUNTIF(K$3:K75,E$8:E$100),0)),"")</f>
        <v/>
      </c>
      <c r="L76" s="7" t="str" cm="1">
        <f t="array" ref="L76">_xlfn.IFNA(INDEX(F$8:F$280,MATCH(0,COUNTIF(L$1:L75,F$8:F$280),0)),"")</f>
        <v/>
      </c>
      <c r="M76" s="7" t="str" cm="1">
        <f t="array" ref="M76">_xlfn.IFNA(INDEX(G$8:G$100,MATCH(0,COUNTIF(M$3:M75,G$8:G$100),0)),"")</f>
        <v/>
      </c>
      <c r="O76" s="7" t="str">
        <f t="shared" si="5"/>
        <v/>
      </c>
      <c r="Q76" s="7" t="str" cm="1">
        <f t="array" ref="Q76">_xlfn.IFNA(INDEX($O$8:$O$86,MATCH(0,COUNTIF(Q$3:Q75,$O$8:$O$86),0)),"")</f>
        <v/>
      </c>
    </row>
    <row r="77" spans="1:17" x14ac:dyDescent="0.25">
      <c r="A77" s="7">
        <f>' 1.0 Asset Data'!A77</f>
        <v>0</v>
      </c>
      <c r="B77" s="7" t="str">
        <f>IF(A77=0,"",CONCATENATE(' 1.0 Asset Data'!O77,' 1.0 Asset Data'!Q77))</f>
        <v/>
      </c>
      <c r="C77" s="7" t="str">
        <f t="shared" si="3"/>
        <v/>
      </c>
      <c r="D77" s="7" t="str">
        <f t="shared" si="3"/>
        <v/>
      </c>
      <c r="E77" s="7" t="str">
        <f t="shared" si="3"/>
        <v/>
      </c>
      <c r="F77" s="7" t="str">
        <f t="shared" si="3"/>
        <v/>
      </c>
      <c r="G77" s="7">
        <f t="shared" si="4"/>
        <v>0</v>
      </c>
      <c r="I77" s="7" t="str" cm="1">
        <f t="array" ref="I77">_xlfn.IFNA(INDEX(C$8:C$100,MATCH(0,COUNTIF(I$3:I76,C$8:C$100),0)),"")</f>
        <v/>
      </c>
      <c r="J77" s="7" t="str" cm="1">
        <f t="array" ref="J77">_xlfn.IFNA(INDEX(D$8:D$100,MATCH(0,COUNTIF(J$3:J76,D$8:D$100),0)),"")</f>
        <v/>
      </c>
      <c r="K77" s="7" t="str" cm="1">
        <f t="array" ref="K77">_xlfn.IFNA(INDEX(E$8:E$100,MATCH(0,COUNTIF(K$3:K76,E$8:E$100),0)),"")</f>
        <v/>
      </c>
      <c r="L77" s="7" t="str" cm="1">
        <f t="array" ref="L77">_xlfn.IFNA(INDEX(F$8:F$280,MATCH(0,COUNTIF(L$1:L76,F$8:F$280),0)),"")</f>
        <v/>
      </c>
      <c r="M77" s="7" t="str" cm="1">
        <f t="array" ref="M77">_xlfn.IFNA(INDEX(G$8:G$100,MATCH(0,COUNTIF(M$3:M76,G$8:G$100),0)),"")</f>
        <v/>
      </c>
      <c r="O77" s="7" t="str">
        <f t="shared" si="5"/>
        <v/>
      </c>
      <c r="Q77" s="7" t="str" cm="1">
        <f t="array" ref="Q77">_xlfn.IFNA(INDEX($O$8:$O$86,MATCH(0,COUNTIF(Q$3:Q76,$O$8:$O$86),0)),"")</f>
        <v/>
      </c>
    </row>
    <row r="78" spans="1:17" x14ac:dyDescent="0.25">
      <c r="A78" s="7">
        <f>' 1.0 Asset Data'!A78</f>
        <v>0</v>
      </c>
      <c r="B78" s="7" t="str">
        <f>IF(A78=0,"",CONCATENATE(' 1.0 Asset Data'!O78,' 1.0 Asset Data'!Q78))</f>
        <v/>
      </c>
      <c r="C78" s="7" t="str">
        <f t="shared" si="3"/>
        <v/>
      </c>
      <c r="D78" s="7" t="str">
        <f t="shared" si="3"/>
        <v/>
      </c>
      <c r="E78" s="7" t="str">
        <f t="shared" si="3"/>
        <v/>
      </c>
      <c r="F78" s="7" t="str">
        <f t="shared" si="3"/>
        <v/>
      </c>
      <c r="G78" s="7">
        <f t="shared" si="4"/>
        <v>0</v>
      </c>
      <c r="I78" s="7" t="str" cm="1">
        <f t="array" ref="I78">_xlfn.IFNA(INDEX(C$8:C$100,MATCH(0,COUNTIF(I$3:I77,C$8:C$100),0)),"")</f>
        <v/>
      </c>
      <c r="J78" s="7" t="str" cm="1">
        <f t="array" ref="J78">_xlfn.IFNA(INDEX(D$8:D$100,MATCH(0,COUNTIF(J$3:J77,D$8:D$100),0)),"")</f>
        <v/>
      </c>
      <c r="K78" s="7" t="str" cm="1">
        <f t="array" ref="K78">_xlfn.IFNA(INDEX(E$8:E$100,MATCH(0,COUNTIF(K$3:K77,E$8:E$100),0)),"")</f>
        <v/>
      </c>
      <c r="L78" s="7" t="str" cm="1">
        <f t="array" ref="L78">_xlfn.IFNA(INDEX(F$8:F$280,MATCH(0,COUNTIF(L$1:L77,F$8:F$280),0)),"")</f>
        <v/>
      </c>
      <c r="M78" s="7" t="str" cm="1">
        <f t="array" ref="M78">_xlfn.IFNA(INDEX(G$8:G$100,MATCH(0,COUNTIF(M$3:M77,G$8:G$100),0)),"")</f>
        <v/>
      </c>
      <c r="O78" s="7" t="str">
        <f t="shared" si="5"/>
        <v/>
      </c>
      <c r="Q78" s="7" t="str" cm="1">
        <f t="array" ref="Q78">_xlfn.IFNA(INDEX($O$8:$O$86,MATCH(0,COUNTIF(Q$3:Q77,$O$8:$O$86),0)),"")</f>
        <v/>
      </c>
    </row>
    <row r="79" spans="1:17" x14ac:dyDescent="0.25">
      <c r="A79" s="7">
        <f>' 1.0 Asset Data'!A79</f>
        <v>0</v>
      </c>
      <c r="B79" s="7" t="str">
        <f>IF(A79=0,"",CONCATENATE(' 1.0 Asset Data'!O79,' 1.0 Asset Data'!Q79))</f>
        <v/>
      </c>
      <c r="C79" s="7" t="str">
        <f t="shared" si="3"/>
        <v/>
      </c>
      <c r="D79" s="7" t="str">
        <f t="shared" si="3"/>
        <v/>
      </c>
      <c r="E79" s="7" t="str">
        <f t="shared" si="3"/>
        <v/>
      </c>
      <c r="F79" s="7" t="str">
        <f t="shared" si="3"/>
        <v/>
      </c>
      <c r="G79" s="7">
        <f t="shared" si="4"/>
        <v>0</v>
      </c>
      <c r="I79" s="7" t="str" cm="1">
        <f t="array" ref="I79">_xlfn.IFNA(INDEX(C$8:C$100,MATCH(0,COUNTIF(I$3:I78,C$8:C$100),0)),"")</f>
        <v/>
      </c>
      <c r="J79" s="7" t="str" cm="1">
        <f t="array" ref="J79">_xlfn.IFNA(INDEX(D$8:D$100,MATCH(0,COUNTIF(J$3:J78,D$8:D$100),0)),"")</f>
        <v/>
      </c>
      <c r="K79" s="7" t="str" cm="1">
        <f t="array" ref="K79">_xlfn.IFNA(INDEX(E$8:E$100,MATCH(0,COUNTIF(K$3:K78,E$8:E$100),0)),"")</f>
        <v/>
      </c>
      <c r="L79" s="7" t="str" cm="1">
        <f t="array" ref="L79">_xlfn.IFNA(INDEX(F$8:F$280,MATCH(0,COUNTIF(L$1:L78,F$8:F$280),0)),"")</f>
        <v/>
      </c>
      <c r="M79" s="7" t="str" cm="1">
        <f t="array" ref="M79">_xlfn.IFNA(INDEX(G$8:G$100,MATCH(0,COUNTIF(M$3:M78,G$8:G$100),0)),"")</f>
        <v/>
      </c>
      <c r="O79" s="7" t="str">
        <f t="shared" si="5"/>
        <v/>
      </c>
      <c r="Q79" s="7" t="str" cm="1">
        <f t="array" ref="Q79">_xlfn.IFNA(INDEX($O$8:$O$86,MATCH(0,COUNTIF(Q$3:Q78,$O$8:$O$86),0)),"")</f>
        <v/>
      </c>
    </row>
    <row r="80" spans="1:17" x14ac:dyDescent="0.25">
      <c r="A80" s="7">
        <f>' 1.0 Asset Data'!A80</f>
        <v>0</v>
      </c>
      <c r="B80" s="7" t="str">
        <f>IF(A80=0,"",CONCATENATE(' 1.0 Asset Data'!O80,' 1.0 Asset Data'!Q80))</f>
        <v/>
      </c>
      <c r="C80" s="7" t="str">
        <f t="shared" si="3"/>
        <v/>
      </c>
      <c r="D80" s="7" t="str">
        <f t="shared" si="3"/>
        <v/>
      </c>
      <c r="E80" s="7" t="str">
        <f t="shared" si="3"/>
        <v/>
      </c>
      <c r="F80" s="7" t="str">
        <f t="shared" si="3"/>
        <v/>
      </c>
      <c r="G80" s="7">
        <f t="shared" si="4"/>
        <v>0</v>
      </c>
      <c r="I80" s="7" t="str" cm="1">
        <f t="array" ref="I80">_xlfn.IFNA(INDEX(C$8:C$100,MATCH(0,COUNTIF(I$3:I79,C$8:C$100),0)),"")</f>
        <v/>
      </c>
      <c r="J80" s="7" t="str" cm="1">
        <f t="array" ref="J80">_xlfn.IFNA(INDEX(D$8:D$100,MATCH(0,COUNTIF(J$3:J79,D$8:D$100),0)),"")</f>
        <v/>
      </c>
      <c r="K80" s="7" t="str" cm="1">
        <f t="array" ref="K80">_xlfn.IFNA(INDEX(E$8:E$100,MATCH(0,COUNTIF(K$3:K79,E$8:E$100),0)),"")</f>
        <v/>
      </c>
      <c r="L80" s="7" t="str" cm="1">
        <f t="array" ref="L80">_xlfn.IFNA(INDEX(F$8:F$280,MATCH(0,COUNTIF(L$1:L79,F$8:F$280),0)),"")</f>
        <v/>
      </c>
      <c r="M80" s="7" t="str" cm="1">
        <f t="array" ref="M80">_xlfn.IFNA(INDEX(G$8:G$100,MATCH(0,COUNTIF(M$3:M79,G$8:G$100),0)),"")</f>
        <v/>
      </c>
      <c r="O80" s="7" t="str">
        <f t="shared" si="5"/>
        <v/>
      </c>
      <c r="Q80" s="7" t="str" cm="1">
        <f t="array" ref="Q80">_xlfn.IFNA(INDEX($O$8:$O$86,MATCH(0,COUNTIF(Q$3:Q79,$O$8:$O$86),0)),"")</f>
        <v/>
      </c>
    </row>
    <row r="81" spans="1:17" x14ac:dyDescent="0.25">
      <c r="A81" s="7">
        <f>' 1.0 Asset Data'!A81</f>
        <v>0</v>
      </c>
      <c r="B81" s="7" t="str">
        <f>IF(A81=0,"",CONCATENATE(' 1.0 Asset Data'!O81,' 1.0 Asset Data'!Q81))</f>
        <v/>
      </c>
      <c r="C81" s="7" t="str">
        <f t="shared" si="3"/>
        <v/>
      </c>
      <c r="D81" s="7" t="str">
        <f t="shared" si="3"/>
        <v/>
      </c>
      <c r="E81" s="7" t="str">
        <f t="shared" si="3"/>
        <v/>
      </c>
      <c r="F81" s="7" t="str">
        <f t="shared" si="3"/>
        <v/>
      </c>
      <c r="G81" s="7">
        <f t="shared" si="4"/>
        <v>0</v>
      </c>
      <c r="I81" s="7" t="str" cm="1">
        <f t="array" ref="I81">_xlfn.IFNA(INDEX(C$8:C$100,MATCH(0,COUNTIF(I$3:I80,C$8:C$100),0)),"")</f>
        <v/>
      </c>
      <c r="J81" s="7" t="str" cm="1">
        <f t="array" ref="J81">_xlfn.IFNA(INDEX(D$8:D$100,MATCH(0,COUNTIF(J$3:J80,D$8:D$100),0)),"")</f>
        <v/>
      </c>
      <c r="K81" s="7" t="str" cm="1">
        <f t="array" ref="K81">_xlfn.IFNA(INDEX(E$8:E$100,MATCH(0,COUNTIF(K$3:K80,E$8:E$100),0)),"")</f>
        <v/>
      </c>
      <c r="L81" s="7" t="str" cm="1">
        <f t="array" ref="L81">_xlfn.IFNA(INDEX(F$8:F$280,MATCH(0,COUNTIF(L$1:L80,F$8:F$280),0)),"")</f>
        <v/>
      </c>
      <c r="M81" s="7" t="str" cm="1">
        <f t="array" ref="M81">_xlfn.IFNA(INDEX(G$8:G$100,MATCH(0,COUNTIF(M$3:M80,G$8:G$100),0)),"")</f>
        <v/>
      </c>
      <c r="O81" s="7" t="str">
        <f t="shared" si="5"/>
        <v/>
      </c>
      <c r="Q81" s="7" t="str" cm="1">
        <f t="array" ref="Q81">_xlfn.IFNA(INDEX($O$8:$O$86,MATCH(0,COUNTIF(Q$3:Q80,$O$8:$O$86),0)),"")</f>
        <v/>
      </c>
    </row>
    <row r="82" spans="1:17" x14ac:dyDescent="0.25">
      <c r="A82" s="7">
        <f>' 1.0 Asset Data'!A82</f>
        <v>0</v>
      </c>
      <c r="B82" s="7" t="str">
        <f>IF(A82=0,"",CONCATENATE(' 1.0 Asset Data'!O82,' 1.0 Asset Data'!Q82))</f>
        <v/>
      </c>
      <c r="C82" s="7" t="str">
        <f t="shared" si="3"/>
        <v/>
      </c>
      <c r="D82" s="7" t="str">
        <f t="shared" si="3"/>
        <v/>
      </c>
      <c r="E82" s="7" t="str">
        <f t="shared" si="3"/>
        <v/>
      </c>
      <c r="F82" s="7" t="str">
        <f t="shared" si="3"/>
        <v/>
      </c>
      <c r="G82" s="7">
        <f t="shared" si="4"/>
        <v>0</v>
      </c>
      <c r="I82" s="7" t="str" cm="1">
        <f t="array" ref="I82">_xlfn.IFNA(INDEX(C$8:C$100,MATCH(0,COUNTIF(I$3:I81,C$8:C$100),0)),"")</f>
        <v/>
      </c>
      <c r="J82" s="7" t="str" cm="1">
        <f t="array" ref="J82">_xlfn.IFNA(INDEX(D$8:D$100,MATCH(0,COUNTIF(J$3:J81,D$8:D$100),0)),"")</f>
        <v/>
      </c>
      <c r="K82" s="7" t="str" cm="1">
        <f t="array" ref="K82">_xlfn.IFNA(INDEX(E$8:E$100,MATCH(0,COUNTIF(K$3:K81,E$8:E$100),0)),"")</f>
        <v/>
      </c>
      <c r="L82" s="7" t="str" cm="1">
        <f t="array" ref="L82">_xlfn.IFNA(INDEX(F$8:F$280,MATCH(0,COUNTIF(L$1:L81,F$8:F$280),0)),"")</f>
        <v/>
      </c>
      <c r="M82" s="7" t="str" cm="1">
        <f t="array" ref="M82">_xlfn.IFNA(INDEX(G$8:G$100,MATCH(0,COUNTIF(M$3:M81,G$8:G$100),0)),"")</f>
        <v/>
      </c>
      <c r="O82" s="7" t="str">
        <f t="shared" si="5"/>
        <v/>
      </c>
      <c r="Q82" s="7" t="str" cm="1">
        <f t="array" ref="Q82">_xlfn.IFNA(INDEX($O$8:$O$86,MATCH(0,COUNTIF(Q$3:Q81,$O$8:$O$86),0)),"")</f>
        <v/>
      </c>
    </row>
    <row r="83" spans="1:17" x14ac:dyDescent="0.25">
      <c r="A83" s="7">
        <f>' 1.0 Asset Data'!A83</f>
        <v>0</v>
      </c>
      <c r="B83" s="7" t="str">
        <f>IF(A83=0,"",CONCATENATE(' 1.0 Asset Data'!O83,' 1.0 Asset Data'!Q83))</f>
        <v/>
      </c>
      <c r="C83" s="7" t="str">
        <f t="shared" si="3"/>
        <v/>
      </c>
      <c r="D83" s="7" t="str">
        <f t="shared" si="3"/>
        <v/>
      </c>
      <c r="E83" s="7" t="str">
        <f t="shared" si="3"/>
        <v/>
      </c>
      <c r="F83" s="7" t="str">
        <f t="shared" si="3"/>
        <v/>
      </c>
      <c r="G83" s="7">
        <f t="shared" si="4"/>
        <v>0</v>
      </c>
      <c r="I83" s="7" t="str" cm="1">
        <f t="array" ref="I83">_xlfn.IFNA(INDEX(C$8:C$100,MATCH(0,COUNTIF(I$3:I82,C$8:C$100),0)),"")</f>
        <v/>
      </c>
      <c r="J83" s="7" t="str" cm="1">
        <f t="array" ref="J83">_xlfn.IFNA(INDEX(D$8:D$100,MATCH(0,COUNTIF(J$3:J82,D$8:D$100),0)),"")</f>
        <v/>
      </c>
      <c r="K83" s="7" t="str" cm="1">
        <f t="array" ref="K83">_xlfn.IFNA(INDEX(E$8:E$100,MATCH(0,COUNTIF(K$3:K82,E$8:E$100),0)),"")</f>
        <v/>
      </c>
      <c r="L83" s="7" t="str" cm="1">
        <f t="array" ref="L83">_xlfn.IFNA(INDEX(F$8:F$280,MATCH(0,COUNTIF(L$1:L82,F$8:F$280),0)),"")</f>
        <v/>
      </c>
      <c r="M83" s="7" t="str" cm="1">
        <f t="array" ref="M83">_xlfn.IFNA(INDEX(G$8:G$100,MATCH(0,COUNTIF(M$3:M82,G$8:G$100),0)),"")</f>
        <v/>
      </c>
      <c r="O83" s="7" t="str">
        <f t="shared" si="5"/>
        <v/>
      </c>
      <c r="Q83" s="7" t="str" cm="1">
        <f t="array" ref="Q83">_xlfn.IFNA(INDEX($O$8:$O$86,MATCH(0,COUNTIF(Q$3:Q82,$O$8:$O$86),0)),"")</f>
        <v/>
      </c>
    </row>
    <row r="84" spans="1:17" x14ac:dyDescent="0.25">
      <c r="A84" s="7">
        <f>' 1.0 Asset Data'!A84</f>
        <v>0</v>
      </c>
      <c r="B84" s="7" t="str">
        <f>IF(A84=0,"",CONCATENATE(' 1.0 Asset Data'!O84,' 1.0 Asset Data'!Q84))</f>
        <v/>
      </c>
      <c r="C84" s="7" t="str">
        <f t="shared" si="3"/>
        <v/>
      </c>
      <c r="D84" s="7" t="str">
        <f t="shared" si="3"/>
        <v/>
      </c>
      <c r="E84" s="7" t="str">
        <f t="shared" si="3"/>
        <v/>
      </c>
      <c r="F84" s="7" t="str">
        <f t="shared" si="3"/>
        <v/>
      </c>
      <c r="G84" s="7">
        <f t="shared" si="4"/>
        <v>0</v>
      </c>
      <c r="I84" s="7" t="str" cm="1">
        <f t="array" ref="I84">_xlfn.IFNA(INDEX(C$8:C$100,MATCH(0,COUNTIF(I$3:I83,C$8:C$100),0)),"")</f>
        <v/>
      </c>
      <c r="J84" s="7" t="str" cm="1">
        <f t="array" ref="J84">_xlfn.IFNA(INDEX(D$8:D$100,MATCH(0,COUNTIF(J$3:J83,D$8:D$100),0)),"")</f>
        <v/>
      </c>
      <c r="K84" s="7" t="str" cm="1">
        <f t="array" ref="K84">_xlfn.IFNA(INDEX(E$8:E$100,MATCH(0,COUNTIF(K$3:K83,E$8:E$100),0)),"")</f>
        <v/>
      </c>
      <c r="L84" s="7" t="str" cm="1">
        <f t="array" ref="L84">_xlfn.IFNA(INDEX(F$8:F$280,MATCH(0,COUNTIF(L$1:L83,F$8:F$280),0)),"")</f>
        <v/>
      </c>
      <c r="M84" s="7" t="str" cm="1">
        <f t="array" ref="M84">_xlfn.IFNA(INDEX(G$8:G$100,MATCH(0,COUNTIF(M$3:M83,G$8:G$100),0)),"")</f>
        <v/>
      </c>
      <c r="O84" s="7" t="str">
        <f t="shared" si="5"/>
        <v/>
      </c>
      <c r="Q84" s="7" t="str" cm="1">
        <f t="array" ref="Q84">_xlfn.IFNA(INDEX($O$8:$O$86,MATCH(0,COUNTIF(Q$3:Q83,$O$8:$O$86),0)),"")</f>
        <v/>
      </c>
    </row>
    <row r="85" spans="1:17" x14ac:dyDescent="0.25">
      <c r="A85" s="7">
        <f>' 1.0 Asset Data'!A85</f>
        <v>0</v>
      </c>
      <c r="B85" s="7" t="str">
        <f>IF(A85=0,"",CONCATENATE(' 1.0 Asset Data'!O85,' 1.0 Asset Data'!Q85))</f>
        <v/>
      </c>
      <c r="C85" s="7" t="str">
        <f t="shared" si="3"/>
        <v/>
      </c>
      <c r="D85" s="7" t="str">
        <f t="shared" si="3"/>
        <v/>
      </c>
      <c r="E85" s="7" t="str">
        <f t="shared" si="3"/>
        <v/>
      </c>
      <c r="F85" s="7" t="str">
        <f t="shared" si="3"/>
        <v/>
      </c>
      <c r="G85" s="7">
        <f t="shared" si="4"/>
        <v>0</v>
      </c>
      <c r="I85" s="7" t="str" cm="1">
        <f t="array" ref="I85">_xlfn.IFNA(INDEX(C$8:C$100,MATCH(0,COUNTIF(I$3:I84,C$8:C$100),0)),"")</f>
        <v/>
      </c>
      <c r="J85" s="7" t="str" cm="1">
        <f t="array" ref="J85">_xlfn.IFNA(INDEX(D$8:D$100,MATCH(0,COUNTIF(J$3:J84,D$8:D$100),0)),"")</f>
        <v/>
      </c>
      <c r="K85" s="7" t="str" cm="1">
        <f t="array" ref="K85">_xlfn.IFNA(INDEX(E$8:E$100,MATCH(0,COUNTIF(K$3:K84,E$8:E$100),0)),"")</f>
        <v/>
      </c>
      <c r="L85" s="7" t="str" cm="1">
        <f t="array" ref="L85">_xlfn.IFNA(INDEX(F$8:F$280,MATCH(0,COUNTIF(L$1:L84,F$8:F$280),0)),"")</f>
        <v/>
      </c>
      <c r="M85" s="7" t="str" cm="1">
        <f t="array" ref="M85">_xlfn.IFNA(INDEX(G$8:G$100,MATCH(0,COUNTIF(M$3:M84,G$8:G$100),0)),"")</f>
        <v/>
      </c>
      <c r="O85" s="7" t="str">
        <f t="shared" si="5"/>
        <v/>
      </c>
      <c r="Q85" s="7" t="str" cm="1">
        <f t="array" ref="Q85">_xlfn.IFNA(INDEX($O$8:$O$86,MATCH(0,COUNTIF(Q$3:Q84,$O$8:$O$86),0)),"")</f>
        <v/>
      </c>
    </row>
    <row r="86" spans="1:17" x14ac:dyDescent="0.25">
      <c r="A86" s="7">
        <f>' 1.0 Asset Data'!A86</f>
        <v>0</v>
      </c>
      <c r="B86" s="7" t="str">
        <f>IF(A86=0,"",CONCATENATE(' 1.0 Asset Data'!O86,' 1.0 Asset Data'!Q86))</f>
        <v/>
      </c>
      <c r="C86" s="7" t="str">
        <f t="shared" si="3"/>
        <v/>
      </c>
      <c r="D86" s="7" t="str">
        <f t="shared" si="3"/>
        <v/>
      </c>
      <c r="E86" s="7" t="str">
        <f t="shared" si="3"/>
        <v/>
      </c>
      <c r="F86" s="7" t="str">
        <f t="shared" si="3"/>
        <v/>
      </c>
      <c r="G86" s="7">
        <f t="shared" si="4"/>
        <v>0</v>
      </c>
      <c r="O86" s="7" t="str">
        <f t="shared" si="5"/>
        <v/>
      </c>
      <c r="Q86" s="7" t="str" cm="1">
        <f t="array" ref="Q86">_xlfn.IFNA(INDEX($O$8:$O$86,MATCH(0,COUNTIF(Q$3:Q85,$O$8:$O$86),0)),"")</f>
        <v/>
      </c>
    </row>
    <row r="91" spans="1:17" x14ac:dyDescent="0.25">
      <c r="F91" s="7" t="str">
        <f>IF('2.0 Stable Failure Rate'!AA8="Don't buy spares",'2.0 Stable Failure Rate'!A8,"")</f>
        <v/>
      </c>
    </row>
    <row r="92" spans="1:17" x14ac:dyDescent="0.25">
      <c r="F92" s="7" t="str">
        <f>IF('2.0 Stable Failure Rate'!AA9="Don't buy spares",'2.0 Stable Failure Rate'!A9,"")</f>
        <v/>
      </c>
    </row>
    <row r="93" spans="1:17" x14ac:dyDescent="0.25">
      <c r="F93" s="7" t="str">
        <f>IF('2.0 Stable Failure Rate'!AA10="Don't buy spares",'2.0 Stable Failure Rate'!A10,"")</f>
        <v/>
      </c>
    </row>
    <row r="94" spans="1:17" x14ac:dyDescent="0.25">
      <c r="F94" s="7" t="str">
        <f>IF('2.0 Stable Failure Rate'!AA11="Don't buy spares",'2.0 Stable Failure Rate'!A11,"")</f>
        <v/>
      </c>
    </row>
    <row r="95" spans="1:17" x14ac:dyDescent="0.25">
      <c r="F95" s="7" t="str">
        <f>IF('2.0 Stable Failure Rate'!AA12="Don't buy spares",'2.0 Stable Failure Rate'!A12,"")</f>
        <v/>
      </c>
    </row>
    <row r="96" spans="1:17" x14ac:dyDescent="0.25">
      <c r="F96" s="7" t="str">
        <f>IF('2.0 Stable Failure Rate'!AA13="Don't buy spares",'2.0 Stable Failure Rate'!A13,"")</f>
        <v/>
      </c>
    </row>
    <row r="97" spans="6:6" x14ac:dyDescent="0.25">
      <c r="F97" s="7" t="str">
        <f>IF('2.0 Stable Failure Rate'!AA14="Don't buy spares",'2.0 Stable Failure Rate'!A14,"")</f>
        <v/>
      </c>
    </row>
    <row r="98" spans="6:6" x14ac:dyDescent="0.25">
      <c r="F98" s="7" t="str">
        <f>IF('2.0 Stable Failure Rate'!AA15="Don't buy spares",'2.0 Stable Failure Rate'!A15,"")</f>
        <v/>
      </c>
    </row>
    <row r="99" spans="6:6" x14ac:dyDescent="0.25">
      <c r="F99" s="7" t="str">
        <f>IF('2.0 Stable Failure Rate'!AA16="Don't buy spares",'2.0 Stable Failure Rate'!A16,"")</f>
        <v/>
      </c>
    </row>
    <row r="100" spans="6:6" x14ac:dyDescent="0.25">
      <c r="F100" s="7" t="str">
        <f>IF('2.0 Stable Failure Rate'!AA17="Don't buy spares",'2.0 Stable Failure Rate'!A17,"")</f>
        <v/>
      </c>
    </row>
    <row r="101" spans="6:6" x14ac:dyDescent="0.25">
      <c r="F101" s="7" t="str">
        <f>IF('2.0 Stable Failure Rate'!AA18="Don't buy spares",'2.0 Stable Failure Rate'!A18,"")</f>
        <v/>
      </c>
    </row>
    <row r="102" spans="6:6" x14ac:dyDescent="0.25">
      <c r="F102" s="7" t="str">
        <f>IF('2.0 Stable Failure Rate'!AA19="Don't buy spares",'2.0 Stable Failure Rate'!A19,"")</f>
        <v/>
      </c>
    </row>
    <row r="103" spans="6:6" x14ac:dyDescent="0.25">
      <c r="F103" s="7" t="str">
        <f>IF('2.0 Stable Failure Rate'!AA20="Don't buy spares",'2.0 Stable Failure Rate'!A20,"")</f>
        <v/>
      </c>
    </row>
    <row r="104" spans="6:6" x14ac:dyDescent="0.25">
      <c r="F104" s="7" t="str">
        <f>IF('2.0 Stable Failure Rate'!AA21="Don't buy spares",'2.0 Stable Failure Rate'!A21,"")</f>
        <v/>
      </c>
    </row>
    <row r="105" spans="6:6" x14ac:dyDescent="0.25">
      <c r="F105" s="7" t="str">
        <f>IF('2.0 Stable Failure Rate'!AA22="Don't buy spares",'2.0 Stable Failure Rate'!A22,"")</f>
        <v/>
      </c>
    </row>
    <row r="106" spans="6:6" x14ac:dyDescent="0.25">
      <c r="F106" s="7" t="str">
        <f>IF('2.0 Stable Failure Rate'!AA23="Don't buy spares",'2.0 Stable Failure Rate'!A23,"")</f>
        <v/>
      </c>
    </row>
    <row r="107" spans="6:6" x14ac:dyDescent="0.25">
      <c r="F107" s="7" t="str">
        <f>IF('2.0 Stable Failure Rate'!AA24="Don't buy spares",'2.0 Stable Failure Rate'!A24,"")</f>
        <v/>
      </c>
    </row>
    <row r="108" spans="6:6" x14ac:dyDescent="0.25">
      <c r="F108" s="7" t="str">
        <f>IF('2.0 Stable Failure Rate'!AA25="Don't buy spares",'2.0 Stable Failure Rate'!A25,"")</f>
        <v/>
      </c>
    </row>
    <row r="109" spans="6:6" x14ac:dyDescent="0.25">
      <c r="F109" s="7" t="str">
        <f>IF('2.0 Stable Failure Rate'!AA26="Don't buy spares",'2.0 Stable Failure Rate'!A26,"")</f>
        <v/>
      </c>
    </row>
    <row r="110" spans="6:6" x14ac:dyDescent="0.25">
      <c r="F110" s="7" t="str">
        <f>IF('2.0 Stable Failure Rate'!AA27="Don't buy spares",'2.0 Stable Failure Rate'!A27,"")</f>
        <v/>
      </c>
    </row>
    <row r="111" spans="6:6" x14ac:dyDescent="0.25">
      <c r="F111" s="7" t="str">
        <f>IF('2.0 Stable Failure Rate'!AA28="Don't buy spares",'2.0 Stable Failure Rate'!A28,"")</f>
        <v/>
      </c>
    </row>
    <row r="112" spans="6:6" x14ac:dyDescent="0.25">
      <c r="F112" s="7" t="str">
        <f>IF('2.0 Stable Failure Rate'!AA29="Don't buy spares",'2.0 Stable Failure Rate'!A29,"")</f>
        <v/>
      </c>
    </row>
    <row r="113" spans="6:6" x14ac:dyDescent="0.25">
      <c r="F113" s="7" t="str">
        <f>IF('2.0 Stable Failure Rate'!AA30="Don't buy spares",'2.0 Stable Failure Rate'!A30,"")</f>
        <v/>
      </c>
    </row>
    <row r="114" spans="6:6" x14ac:dyDescent="0.25">
      <c r="F114" s="7" t="str">
        <f>IF('2.0 Stable Failure Rate'!AA31="Don't buy spares",'2.0 Stable Failure Rate'!A31,"")</f>
        <v/>
      </c>
    </row>
    <row r="115" spans="6:6" x14ac:dyDescent="0.25">
      <c r="F115" s="7" t="str">
        <f>IF('2.0 Stable Failure Rate'!AA32="Don't buy spares",'2.0 Stable Failure Rate'!A32,"")</f>
        <v/>
      </c>
    </row>
    <row r="117" spans="6:6" x14ac:dyDescent="0.25">
      <c r="F117" s="7" t="str">
        <f>IF('3.1 Mean Time to failure Orig'!AN8=0,'3.1 Mean Time to failure Orig'!A8,"")</f>
        <v/>
      </c>
    </row>
    <row r="118" spans="6:6" x14ac:dyDescent="0.25">
      <c r="F118" s="7" t="str">
        <f>IF('3.1 Mean Time to failure Orig'!AN9=0,'3.1 Mean Time to failure Orig'!A9,"")</f>
        <v/>
      </c>
    </row>
    <row r="119" spans="6:6" x14ac:dyDescent="0.25">
      <c r="F119" s="7" t="str">
        <f>IF('3.1 Mean Time to failure Orig'!AN10=0,'3.1 Mean Time to failure Orig'!A10,"")</f>
        <v/>
      </c>
    </row>
    <row r="120" spans="6:6" x14ac:dyDescent="0.25">
      <c r="F120" s="7" t="str">
        <f>IF('3.1 Mean Time to failure Orig'!AN11=0,'3.1 Mean Time to failure Orig'!A11,"")</f>
        <v>Spare 32</v>
      </c>
    </row>
    <row r="121" spans="6:6" x14ac:dyDescent="0.25">
      <c r="F121" s="7" t="str">
        <f>IF('3.1 Mean Time to failure Orig'!AN12=0,'3.1 Mean Time to failure Orig'!A12,"")</f>
        <v/>
      </c>
    </row>
    <row r="122" spans="6:6" x14ac:dyDescent="0.25">
      <c r="F122" s="7" t="str">
        <f>IF('3.1 Mean Time to failure Orig'!AN13=0,'3.1 Mean Time to failure Orig'!A13,"")</f>
        <v/>
      </c>
    </row>
    <row r="123" spans="6:6" x14ac:dyDescent="0.25">
      <c r="F123" s="7" t="str">
        <f>IF('3.1 Mean Time to failure Orig'!AN14=0,'3.1 Mean Time to failure Orig'!A14,"")</f>
        <v/>
      </c>
    </row>
    <row r="124" spans="6:6" x14ac:dyDescent="0.25">
      <c r="F124" s="7" t="str">
        <f>IF('3.1 Mean Time to failure Orig'!AN15=0,'3.1 Mean Time to failure Orig'!A15,"")</f>
        <v>Spare 43</v>
      </c>
    </row>
    <row r="125" spans="6:6" x14ac:dyDescent="0.25">
      <c r="F125" s="7" t="str">
        <f>IF('3.1 Mean Time to failure Orig'!AN16=0,'3.1 Mean Time to failure Orig'!A16,"")</f>
        <v>Spare 44</v>
      </c>
    </row>
    <row r="126" spans="6:6" x14ac:dyDescent="0.25">
      <c r="F126" s="7" t="str">
        <f>IF('3.1 Mean Time to failure Orig'!AN17=0,'3.1 Mean Time to failure Orig'!A17,"")</f>
        <v>Spare 46</v>
      </c>
    </row>
    <row r="127" spans="6:6" x14ac:dyDescent="0.25">
      <c r="F127" s="7" t="str">
        <f>IF('3.1 Mean Time to failure Orig'!AN18=0,'3.1 Mean Time to failure Orig'!A18,"")</f>
        <v>Spare 47</v>
      </c>
    </row>
    <row r="128" spans="6:6" x14ac:dyDescent="0.25">
      <c r="F128" s="7" t="str">
        <f>IF('3.1 Mean Time to failure Orig'!AN19=0,'3.1 Mean Time to failure Orig'!A19,"")</f>
        <v>Spare 48</v>
      </c>
    </row>
    <row r="129" spans="6:6" x14ac:dyDescent="0.25">
      <c r="F129" s="7" t="str">
        <f>IF('3.1 Mean Time to failure Orig'!AN20=0,'3.1 Mean Time to failure Orig'!A20,"")</f>
        <v/>
      </c>
    </row>
    <row r="130" spans="6:6" x14ac:dyDescent="0.25">
      <c r="F130" s="7" t="str">
        <f>IF('3.1 Mean Time to failure Orig'!AN21=0,'3.1 Mean Time to failure Orig'!A21,"")</f>
        <v/>
      </c>
    </row>
    <row r="131" spans="6:6" x14ac:dyDescent="0.25">
      <c r="F131" s="7" t="str">
        <f>IF('3.1 Mean Time to failure Orig'!AN22=0,'3.1 Mean Time to failure Orig'!A22,"")</f>
        <v/>
      </c>
    </row>
    <row r="132" spans="6:6" x14ac:dyDescent="0.25">
      <c r="F132" s="7" t="str">
        <f>IF('3.1 Mean Time to failure Orig'!AN23=0,'3.1 Mean Time to failure Orig'!A23,"")</f>
        <v/>
      </c>
    </row>
    <row r="133" spans="6:6" x14ac:dyDescent="0.25">
      <c r="F133" s="7" t="str">
        <f>IF('3.1 Mean Time to failure Orig'!AN24=0,'3.1 Mean Time to failure Orig'!A24,"")</f>
        <v/>
      </c>
    </row>
    <row r="134" spans="6:6" x14ac:dyDescent="0.25">
      <c r="F134" s="7" t="str">
        <f>IF('3.1 Mean Time to failure Orig'!AN25=0,'3.1 Mean Time to failure Orig'!A25,"")</f>
        <v/>
      </c>
    </row>
    <row r="135" spans="6:6" x14ac:dyDescent="0.25">
      <c r="F135" s="7" t="str">
        <f>IF('3.1 Mean Time to failure Orig'!AN26=0,'3.1 Mean Time to failure Orig'!A26,"")</f>
        <v/>
      </c>
    </row>
    <row r="136" spans="6:6" x14ac:dyDescent="0.25">
      <c r="F136" s="7" t="str">
        <f>IF('3.1 Mean Time to failure Orig'!AN27=0,'3.1 Mean Time to failure Orig'!A27,"")</f>
        <v/>
      </c>
    </row>
    <row r="137" spans="6:6" x14ac:dyDescent="0.25">
      <c r="F137" s="7" t="str">
        <f>IF('3.1 Mean Time to failure Orig'!AN28=0,'3.1 Mean Time to failure Orig'!A28,"")</f>
        <v/>
      </c>
    </row>
    <row r="138" spans="6:6" x14ac:dyDescent="0.25">
      <c r="F138" s="7" t="str">
        <f>IF('3.1 Mean Time to failure Orig'!AN29=0,'3.1 Mean Time to failure Orig'!A29,"")</f>
        <v/>
      </c>
    </row>
    <row r="139" spans="6:6" x14ac:dyDescent="0.25">
      <c r="F139" s="7" t="str">
        <f>IF('3.1 Mean Time to failure Orig'!AN30=0,'3.1 Mean Time to failure Orig'!A30,"")</f>
        <v/>
      </c>
    </row>
    <row r="140" spans="6:6" x14ac:dyDescent="0.25">
      <c r="F140" s="7" t="str">
        <f>IF('3.1 Mean Time to failure Orig'!AN31=0,'3.1 Mean Time to failure Orig'!A31,"")</f>
        <v/>
      </c>
    </row>
    <row r="141" spans="6:6" x14ac:dyDescent="0.25">
      <c r="F141" s="7" t="str">
        <f>IF('3.1 Mean Time to failure Orig'!AN32=0,'3.1 Mean Time to failure Orig'!A32,"")</f>
        <v/>
      </c>
    </row>
    <row r="142" spans="6:6" x14ac:dyDescent="0.25">
      <c r="F142" s="7" t="str">
        <f>IF('3.1 Mean Time to failure Orig'!AN33=0,'3.1 Mean Time to failure Orig'!A33,"")</f>
        <v/>
      </c>
    </row>
    <row r="143" spans="6:6" x14ac:dyDescent="0.25">
      <c r="F143" s="7" t="str">
        <f>IF('3.1 Mean Time to failure Orig'!AN34=0,'3.1 Mean Time to failure Orig'!A34,"")</f>
        <v/>
      </c>
    </row>
    <row r="144" spans="6:6" x14ac:dyDescent="0.25">
      <c r="F144" s="7" t="str">
        <f>IF('3.1 Mean Time to failure Orig'!AN35=0,'3.1 Mean Time to failure Orig'!A35,"")</f>
        <v/>
      </c>
    </row>
    <row r="145" spans="6:6" x14ac:dyDescent="0.25">
      <c r="F145" s="7" t="str">
        <f>IF('3.1 Mean Time to failure Orig'!AN36=0,'3.1 Mean Time to failure Orig'!A36,"")</f>
        <v/>
      </c>
    </row>
    <row r="146" spans="6:6" x14ac:dyDescent="0.25">
      <c r="F146" s="7" t="str">
        <f>IF('3.1 Mean Time to failure Orig'!AN37=0,'3.1 Mean Time to failure Orig'!A37,"")</f>
        <v/>
      </c>
    </row>
    <row r="147" spans="6:6" x14ac:dyDescent="0.25">
      <c r="F147" s="7" t="str">
        <f>IF('3.1 Mean Time to failure Orig'!AN38=0,'3.1 Mean Time to failure Orig'!A38,"")</f>
        <v/>
      </c>
    </row>
    <row r="148" spans="6:6" x14ac:dyDescent="0.25">
      <c r="F148" s="7" t="str">
        <f>IF('3.1 Mean Time to failure Orig'!AN39=0,'3.1 Mean Time to failure Orig'!A39,"")</f>
        <v/>
      </c>
    </row>
    <row r="149" spans="6:6" x14ac:dyDescent="0.25">
      <c r="F149" s="7" t="str">
        <f>IF('3.1 Mean Time to failure Orig'!AN40=0,'3.1 Mean Time to failure Orig'!A40,"")</f>
        <v/>
      </c>
    </row>
    <row r="150" spans="6:6" x14ac:dyDescent="0.25">
      <c r="F150" s="7" t="str">
        <f>IF('3.1 Mean Time to failure Orig'!AN41=0,'3.1 Mean Time to failure Orig'!A41,"")</f>
        <v/>
      </c>
    </row>
    <row r="151" spans="6:6" x14ac:dyDescent="0.25">
      <c r="F151" s="7" t="str">
        <f>IF('3.1 Mean Time to failure Orig'!AN42=0,'3.1 Mean Time to failure Orig'!A42,"")</f>
        <v/>
      </c>
    </row>
    <row r="152" spans="6:6" x14ac:dyDescent="0.25">
      <c r="F152" s="7" t="str">
        <f>IF('3.1 Mean Time to failure Orig'!AN43=0,'3.1 Mean Time to failure Orig'!A43,"")</f>
        <v/>
      </c>
    </row>
    <row r="153" spans="6:6" x14ac:dyDescent="0.25">
      <c r="F153" s="7" t="str">
        <f>IF('3.1 Mean Time to failure Orig'!AN44=0,'3.1 Mean Time to failure Orig'!A44,"")</f>
        <v/>
      </c>
    </row>
    <row r="154" spans="6:6" x14ac:dyDescent="0.25">
      <c r="F154" s="7" t="str">
        <f>IF('3.1 Mean Time to failure Orig'!AN45=0,'3.1 Mean Time to failure Orig'!A45,"")</f>
        <v/>
      </c>
    </row>
    <row r="155" spans="6:6" x14ac:dyDescent="0.25">
      <c r="F155" s="7" t="str">
        <f>IF('3.1 Mean Time to failure Orig'!AN46=0,'3.1 Mean Time to failure Orig'!A46,"")</f>
        <v/>
      </c>
    </row>
    <row r="156" spans="6:6" x14ac:dyDescent="0.25">
      <c r="F156" s="7" t="str">
        <f>IF('3.1 Mean Time to failure Orig'!AN47=0,'3.1 Mean Time to failure Orig'!A47,"")</f>
        <v/>
      </c>
    </row>
    <row r="158" spans="6:6" x14ac:dyDescent="0.25">
      <c r="F158" s="7" t="str">
        <f>IF('3.2 Mean Time to failure Repl'!AI8=0,'3.2 Mean Time to failure Repl'!A8,"")</f>
        <v/>
      </c>
    </row>
    <row r="159" spans="6:6" x14ac:dyDescent="0.25">
      <c r="F159" s="7" t="str">
        <f>IF('3.2 Mean Time to failure Repl'!AI9=0,'3.2 Mean Time to failure Repl'!A9,"")</f>
        <v/>
      </c>
    </row>
    <row r="160" spans="6:6" x14ac:dyDescent="0.25">
      <c r="F160" s="7" t="str">
        <f>IF('3.2 Mean Time to failure Repl'!AI10=0,'3.2 Mean Time to failure Repl'!A10,"")</f>
        <v/>
      </c>
    </row>
    <row r="161" spans="6:6" x14ac:dyDescent="0.25">
      <c r="F161" s="7" t="str">
        <f>IF('3.2 Mean Time to failure Repl'!AI11=0,'3.2 Mean Time to failure Repl'!A11,"")</f>
        <v/>
      </c>
    </row>
    <row r="162" spans="6:6" x14ac:dyDescent="0.25">
      <c r="F162" s="7" t="str">
        <f>IF('3.2 Mean Time to failure Repl'!AI12=0,'3.2 Mean Time to failure Repl'!A12,"")</f>
        <v/>
      </c>
    </row>
    <row r="163" spans="6:6" x14ac:dyDescent="0.25">
      <c r="F163" s="7" t="str">
        <f>IF('3.2 Mean Time to failure Repl'!AI13=0,'3.2 Mean Time to failure Repl'!A13,"")</f>
        <v/>
      </c>
    </row>
    <row r="164" spans="6:6" x14ac:dyDescent="0.25">
      <c r="F164" s="7" t="str">
        <f>IF('3.2 Mean Time to failure Repl'!AI14=0,'3.2 Mean Time to failure Repl'!A14,"")</f>
        <v/>
      </c>
    </row>
    <row r="165" spans="6:6" x14ac:dyDescent="0.25">
      <c r="F165" s="7" t="str">
        <f>IF('3.2 Mean Time to failure Repl'!AI15=0,'3.2 Mean Time to failure Repl'!A15,"")</f>
        <v/>
      </c>
    </row>
    <row r="166" spans="6:6" x14ac:dyDescent="0.25">
      <c r="F166" s="7" t="str">
        <f>IF('3.2 Mean Time to failure Repl'!AI16=0,'3.2 Mean Time to failure Repl'!A16,"")</f>
        <v/>
      </c>
    </row>
    <row r="167" spans="6:6" x14ac:dyDescent="0.25">
      <c r="F167" s="7" t="str">
        <f>IF('3.2 Mean Time to failure Repl'!AI17=0,'3.2 Mean Time to failure Repl'!A17,"")</f>
        <v/>
      </c>
    </row>
    <row r="168" spans="6:6" x14ac:dyDescent="0.25">
      <c r="F168" s="7" t="str">
        <f>IF('3.2 Mean Time to failure Repl'!AI18=0,'3.2 Mean Time to failure Repl'!A18,"")</f>
        <v>Spare 41</v>
      </c>
    </row>
    <row r="169" spans="6:6" x14ac:dyDescent="0.25">
      <c r="F169" s="7" t="str">
        <f>IF('3.2 Mean Time to failure Repl'!AI19=0,'3.2 Mean Time to failure Repl'!A19,"")</f>
        <v>Spare 42</v>
      </c>
    </row>
    <row r="170" spans="6:6" x14ac:dyDescent="0.25">
      <c r="F170" s="7" t="str">
        <f>IF('3.2 Mean Time to failure Repl'!AI20=0,'3.2 Mean Time to failure Repl'!A20,"")</f>
        <v/>
      </c>
    </row>
    <row r="171" spans="6:6" x14ac:dyDescent="0.25">
      <c r="F171" s="7" t="str">
        <f>IF('3.2 Mean Time to failure Repl'!AI21=0,'3.2 Mean Time to failure Repl'!A21,"")</f>
        <v/>
      </c>
    </row>
    <row r="172" spans="6:6" x14ac:dyDescent="0.25">
      <c r="F172" s="7" t="str">
        <f>IF('3.2 Mean Time to failure Repl'!AI22=0,'3.2 Mean Time to failure Repl'!A22,"")</f>
        <v/>
      </c>
    </row>
    <row r="173" spans="6:6" x14ac:dyDescent="0.25">
      <c r="F173" s="7" t="str">
        <f>IF('3.2 Mean Time to failure Repl'!AI23=0,'3.2 Mean Time to failure Repl'!A23,"")</f>
        <v/>
      </c>
    </row>
    <row r="174" spans="6:6" x14ac:dyDescent="0.25">
      <c r="F174" s="7" t="str">
        <f>IF('3.2 Mean Time to failure Repl'!AI24=0,'3.2 Mean Time to failure Repl'!A24,"")</f>
        <v/>
      </c>
    </row>
    <row r="175" spans="6:6" x14ac:dyDescent="0.25">
      <c r="F175" s="7" t="str">
        <f>IF('3.2 Mean Time to failure Repl'!AI25=0,'3.2 Mean Time to failure Repl'!A25,"")</f>
        <v/>
      </c>
    </row>
    <row r="176" spans="6:6" x14ac:dyDescent="0.25">
      <c r="F176" s="7" t="str">
        <f>IF('3.2 Mean Time to failure Repl'!AI26=0,'3.2 Mean Time to failure Repl'!A26,"")</f>
        <v/>
      </c>
    </row>
    <row r="177" spans="6:6" x14ac:dyDescent="0.25">
      <c r="F177" s="7" t="str">
        <f>IF('3.2 Mean Time to failure Repl'!AI27=0,'3.2 Mean Time to failure Repl'!A27,"")</f>
        <v/>
      </c>
    </row>
    <row r="178" spans="6:6" x14ac:dyDescent="0.25">
      <c r="F178" s="7" t="str">
        <f>IF('3.2 Mean Time to failure Repl'!AI28=0,'3.2 Mean Time to failure Repl'!A28,"")</f>
        <v/>
      </c>
    </row>
    <row r="179" spans="6:6" x14ac:dyDescent="0.25">
      <c r="F179" s="7" t="str">
        <f>IF('3.2 Mean Time to failure Repl'!AI29=0,'3.2 Mean Time to failure Repl'!A29,"")</f>
        <v/>
      </c>
    </row>
    <row r="180" spans="6:6" x14ac:dyDescent="0.25">
      <c r="F180" s="7" t="str">
        <f>IF('3.2 Mean Time to failure Repl'!AI30=0,'3.2 Mean Time to failure Repl'!A30,"")</f>
        <v/>
      </c>
    </row>
    <row r="181" spans="6:6" x14ac:dyDescent="0.25">
      <c r="F181" s="7" t="str">
        <f>IF('3.2 Mean Time to failure Repl'!AI31=0,'3.2 Mean Time to failure Repl'!A31,"")</f>
        <v/>
      </c>
    </row>
    <row r="182" spans="6:6" x14ac:dyDescent="0.25">
      <c r="F182" s="7" t="str">
        <f>IF('3.2 Mean Time to failure Repl'!AI32=0,'3.2 Mean Time to failure Repl'!A32,"")</f>
        <v/>
      </c>
    </row>
    <row r="183" spans="6:6" x14ac:dyDescent="0.25">
      <c r="F183" s="7" t="str">
        <f>IF('3.2 Mean Time to failure Repl'!AI33=0,'3.2 Mean Time to failure Repl'!A33,"")</f>
        <v/>
      </c>
    </row>
    <row r="184" spans="6:6" x14ac:dyDescent="0.25">
      <c r="F184" s="7" t="str">
        <f>IF('3.2 Mean Time to failure Repl'!AI34=0,'3.2 Mean Time to failure Repl'!A34,"")</f>
        <v/>
      </c>
    </row>
    <row r="185" spans="6:6" x14ac:dyDescent="0.25">
      <c r="F185" s="7" t="str">
        <f>IF('3.2 Mean Time to failure Repl'!AI35=0,'3.2 Mean Time to failure Repl'!A35,"")</f>
        <v/>
      </c>
    </row>
    <row r="186" spans="6:6" x14ac:dyDescent="0.25">
      <c r="F186" s="7" t="str">
        <f>IF('3.2 Mean Time to failure Repl'!AI36=0,'3.2 Mean Time to failure Repl'!A36,"")</f>
        <v/>
      </c>
    </row>
    <row r="187" spans="6:6" x14ac:dyDescent="0.25">
      <c r="F187" s="7" t="str">
        <f>IF('3.2 Mean Time to failure Repl'!AI37=0,'3.2 Mean Time to failure Repl'!A37,"")</f>
        <v/>
      </c>
    </row>
    <row r="188" spans="6:6" x14ac:dyDescent="0.25">
      <c r="F188" s="7" t="str">
        <f>IF('3.2 Mean Time to failure Repl'!AI38=0,'3.2 Mean Time to failure Repl'!A38,"")</f>
        <v/>
      </c>
    </row>
    <row r="189" spans="6:6" x14ac:dyDescent="0.25">
      <c r="F189" s="7" t="str">
        <f>IF('3.2 Mean Time to failure Repl'!AI39=0,'3.2 Mean Time to failure Repl'!A39,"")</f>
        <v/>
      </c>
    </row>
    <row r="190" spans="6:6" x14ac:dyDescent="0.25">
      <c r="F190" s="7" t="str">
        <f>IF('3.2 Mean Time to failure Repl'!AI40=0,'3.2 Mean Time to failure Repl'!A40,"")</f>
        <v/>
      </c>
    </row>
    <row r="191" spans="6:6" x14ac:dyDescent="0.25">
      <c r="F191" s="7" t="str">
        <f>IF('3.2 Mean Time to failure Repl'!AI41=0,'3.2 Mean Time to failure Repl'!A41,"")</f>
        <v/>
      </c>
    </row>
    <row r="192" spans="6:6" x14ac:dyDescent="0.25">
      <c r="F192" s="7" t="str">
        <f>IF('3.2 Mean Time to failure Repl'!AI42=0,'3.2 Mean Time to failure Repl'!A42,"")</f>
        <v/>
      </c>
    </row>
    <row r="193" spans="6:6" x14ac:dyDescent="0.25">
      <c r="F193" s="7" t="str">
        <f>IF('3.2 Mean Time to failure Repl'!AI43=0,'3.2 Mean Time to failure Repl'!A43,"")</f>
        <v/>
      </c>
    </row>
    <row r="194" spans="6:6" x14ac:dyDescent="0.25">
      <c r="F194" s="7" t="str">
        <f>IF('3.2 Mean Time to failure Repl'!AI44=0,'3.2 Mean Time to failure Repl'!A44,"")</f>
        <v/>
      </c>
    </row>
    <row r="195" spans="6:6" x14ac:dyDescent="0.25">
      <c r="F195" s="7" t="str">
        <f>IF('3.2 Mean Time to failure Repl'!AI45=0,'3.2 Mean Time to failure Repl'!A45,"")</f>
        <v/>
      </c>
    </row>
    <row r="196" spans="6:6" x14ac:dyDescent="0.25">
      <c r="F196" s="7" t="str">
        <f>IF('3.2 Mean Time to failure Repl'!AI46=0,'3.2 Mean Time to failure Repl'!A46,"")</f>
        <v/>
      </c>
    </row>
    <row r="197" spans="6:6" x14ac:dyDescent="0.25">
      <c r="F197" s="7" t="str">
        <f>IF('3.2 Mean Time to failure Repl'!AI47=0,'3.2 Mean Time to failure Repl'!A47,"")</f>
        <v/>
      </c>
    </row>
    <row r="198" spans="6:6" x14ac:dyDescent="0.25">
      <c r="F198" s="7" t="str">
        <f>IF('3.2 Mean Time to failure Repl'!AI48=0,'3.2 Mean Time to failure Repl'!A48,"")</f>
        <v/>
      </c>
    </row>
    <row r="199" spans="6:6" x14ac:dyDescent="0.25">
      <c r="F199" s="7">
        <f>IF('3.2 Mean Time to failure Repl'!AI49=0,'3.2 Mean Time to failure Repl'!A49,"")</f>
        <v>0</v>
      </c>
    </row>
    <row r="200" spans="6:6" x14ac:dyDescent="0.25">
      <c r="F200" s="7"/>
    </row>
    <row r="201" spans="6:6" x14ac:dyDescent="0.25">
      <c r="F201" s="7"/>
    </row>
    <row r="202" spans="6:6" x14ac:dyDescent="0.25">
      <c r="F202" s="7"/>
    </row>
    <row r="203" spans="6:6" x14ac:dyDescent="0.25">
      <c r="F203" s="7"/>
    </row>
    <row r="204" spans="6:6" x14ac:dyDescent="0.25">
      <c r="F204" s="7"/>
    </row>
    <row r="205" spans="6:6" x14ac:dyDescent="0.25">
      <c r="F205" s="7"/>
    </row>
    <row r="206" spans="6:6" x14ac:dyDescent="0.25">
      <c r="F206" s="7"/>
    </row>
    <row r="207" spans="6:6" x14ac:dyDescent="0.25">
      <c r="F207" s="7"/>
    </row>
    <row r="208" spans="6:6" x14ac:dyDescent="0.25">
      <c r="F208" s="7"/>
    </row>
    <row r="209" spans="6:6" x14ac:dyDescent="0.25">
      <c r="F209" s="7"/>
    </row>
    <row r="210" spans="6:6" x14ac:dyDescent="0.25">
      <c r="F210" s="7"/>
    </row>
    <row r="211" spans="6:6" x14ac:dyDescent="0.25">
      <c r="F211" s="7"/>
    </row>
    <row r="212" spans="6:6" x14ac:dyDescent="0.25">
      <c r="F212" s="7"/>
    </row>
    <row r="213" spans="6:6" x14ac:dyDescent="0.25">
      <c r="F213" s="7"/>
    </row>
    <row r="214" spans="6:6" x14ac:dyDescent="0.25">
      <c r="F214" s="7"/>
    </row>
    <row r="215" spans="6:6" x14ac:dyDescent="0.25">
      <c r="F215" s="7"/>
    </row>
    <row r="216" spans="6:6" x14ac:dyDescent="0.25">
      <c r="F216" s="7"/>
    </row>
    <row r="217" spans="6:6" x14ac:dyDescent="0.25">
      <c r="F217" s="7"/>
    </row>
    <row r="218" spans="6:6" x14ac:dyDescent="0.25">
      <c r="F218" s="7"/>
    </row>
    <row r="219" spans="6:6" x14ac:dyDescent="0.25">
      <c r="F219" s="7"/>
    </row>
    <row r="220" spans="6:6" x14ac:dyDescent="0.25">
      <c r="F220" s="7"/>
    </row>
    <row r="221" spans="6:6" x14ac:dyDescent="0.25">
      <c r="F221" s="7"/>
    </row>
    <row r="222" spans="6:6" x14ac:dyDescent="0.25">
      <c r="F222" s="7"/>
    </row>
    <row r="223" spans="6:6" x14ac:dyDescent="0.25">
      <c r="F223" s="7"/>
    </row>
    <row r="224" spans="6:6" x14ac:dyDescent="0.25">
      <c r="F224" s="7"/>
    </row>
    <row r="225" spans="6:6" x14ac:dyDescent="0.25">
      <c r="F225" s="7"/>
    </row>
    <row r="226" spans="6:6" x14ac:dyDescent="0.25">
      <c r="F226" s="7"/>
    </row>
    <row r="227" spans="6:6" x14ac:dyDescent="0.25">
      <c r="F227" s="7"/>
    </row>
    <row r="228" spans="6:6" x14ac:dyDescent="0.25">
      <c r="F228" s="7"/>
    </row>
    <row r="229" spans="6:6" x14ac:dyDescent="0.25">
      <c r="F229" s="7"/>
    </row>
    <row r="230" spans="6:6" x14ac:dyDescent="0.25">
      <c r="F230" s="7"/>
    </row>
    <row r="231" spans="6:6" x14ac:dyDescent="0.25">
      <c r="F231" s="7"/>
    </row>
    <row r="232" spans="6:6" x14ac:dyDescent="0.25">
      <c r="F232" s="7"/>
    </row>
    <row r="233" spans="6:6" x14ac:dyDescent="0.25">
      <c r="F233" s="7"/>
    </row>
    <row r="234" spans="6:6" x14ac:dyDescent="0.25">
      <c r="F234" s="7"/>
    </row>
    <row r="235" spans="6:6" x14ac:dyDescent="0.25">
      <c r="F235" s="7"/>
    </row>
    <row r="236" spans="6:6" x14ac:dyDescent="0.25">
      <c r="F236" s="7"/>
    </row>
    <row r="237" spans="6:6" x14ac:dyDescent="0.25">
      <c r="F237" s="7"/>
    </row>
    <row r="238" spans="6:6" x14ac:dyDescent="0.25">
      <c r="F238" s="7"/>
    </row>
    <row r="239" spans="6:6" x14ac:dyDescent="0.25">
      <c r="F239" s="7"/>
    </row>
    <row r="240" spans="6:6" x14ac:dyDescent="0.25">
      <c r="F240" s="7"/>
    </row>
    <row r="241" spans="6:6" x14ac:dyDescent="0.25">
      <c r="F241" s="7"/>
    </row>
    <row r="242" spans="6:6" x14ac:dyDescent="0.25">
      <c r="F242" s="7"/>
    </row>
    <row r="243" spans="6:6" x14ac:dyDescent="0.25">
      <c r="F243" s="7"/>
    </row>
    <row r="244" spans="6:6" x14ac:dyDescent="0.25">
      <c r="F244" s="7"/>
    </row>
    <row r="245" spans="6:6" x14ac:dyDescent="0.25">
      <c r="F245" s="7"/>
    </row>
    <row r="246" spans="6:6" x14ac:dyDescent="0.25">
      <c r="F246" s="7"/>
    </row>
    <row r="247" spans="6:6" x14ac:dyDescent="0.25">
      <c r="F247" s="7"/>
    </row>
    <row r="248" spans="6:6" x14ac:dyDescent="0.25">
      <c r="F248" s="7"/>
    </row>
    <row r="249" spans="6:6" x14ac:dyDescent="0.25">
      <c r="F249" s="7"/>
    </row>
    <row r="250" spans="6:6" x14ac:dyDescent="0.25">
      <c r="F250" s="7"/>
    </row>
    <row r="251" spans="6:6" x14ac:dyDescent="0.25">
      <c r="F251" s="7"/>
    </row>
    <row r="252" spans="6:6" x14ac:dyDescent="0.25">
      <c r="F252" s="7"/>
    </row>
    <row r="253" spans="6:6" x14ac:dyDescent="0.25">
      <c r="F253" s="7"/>
    </row>
    <row r="254" spans="6:6" x14ac:dyDescent="0.25">
      <c r="F254" s="7"/>
    </row>
    <row r="255" spans="6:6" x14ac:dyDescent="0.25">
      <c r="F255" s="7"/>
    </row>
    <row r="256" spans="6:6" x14ac:dyDescent="0.25">
      <c r="F256" s="7"/>
    </row>
    <row r="257" spans="6:6" x14ac:dyDescent="0.25">
      <c r="F257" s="7"/>
    </row>
    <row r="258" spans="6:6" x14ac:dyDescent="0.25">
      <c r="F258" s="7"/>
    </row>
    <row r="259" spans="6:6" x14ac:dyDescent="0.25">
      <c r="F259" s="7"/>
    </row>
    <row r="260" spans="6:6" x14ac:dyDescent="0.25">
      <c r="F260" s="7"/>
    </row>
    <row r="261" spans="6:6" x14ac:dyDescent="0.25">
      <c r="F261" s="7"/>
    </row>
    <row r="262" spans="6:6" x14ac:dyDescent="0.25">
      <c r="F262" s="7"/>
    </row>
    <row r="263" spans="6:6" x14ac:dyDescent="0.25">
      <c r="F263" s="7"/>
    </row>
    <row r="264" spans="6:6" x14ac:dyDescent="0.25">
      <c r="F264" s="7"/>
    </row>
    <row r="265" spans="6:6" x14ac:dyDescent="0.25">
      <c r="F265" s="7"/>
    </row>
    <row r="266" spans="6:6" x14ac:dyDescent="0.25">
      <c r="F266" s="7"/>
    </row>
    <row r="267" spans="6:6" x14ac:dyDescent="0.25">
      <c r="F267" s="7"/>
    </row>
    <row r="268" spans="6:6" x14ac:dyDescent="0.25">
      <c r="F268" s="7"/>
    </row>
    <row r="269" spans="6:6" x14ac:dyDescent="0.25">
      <c r="F269" s="7"/>
    </row>
    <row r="270" spans="6:6" x14ac:dyDescent="0.25">
      <c r="F270" s="7"/>
    </row>
    <row r="271" spans="6:6" x14ac:dyDescent="0.25">
      <c r="F271" s="7"/>
    </row>
    <row r="272" spans="6:6" x14ac:dyDescent="0.25">
      <c r="F272" s="7"/>
    </row>
    <row r="273" spans="6:6" x14ac:dyDescent="0.25">
      <c r="F273" s="7"/>
    </row>
    <row r="274" spans="6:6" x14ac:dyDescent="0.25">
      <c r="F274" s="7"/>
    </row>
    <row r="275" spans="6:6" x14ac:dyDescent="0.25">
      <c r="F275" s="7"/>
    </row>
    <row r="276" spans="6:6" x14ac:dyDescent="0.25">
      <c r="F276" s="7"/>
    </row>
    <row r="277" spans="6:6" x14ac:dyDescent="0.25">
      <c r="F277" s="7"/>
    </row>
    <row r="278" spans="6:6" x14ac:dyDescent="0.25">
      <c r="F278" s="7"/>
    </row>
    <row r="279" spans="6:6" x14ac:dyDescent="0.25">
      <c r="F279" s="7"/>
    </row>
    <row r="280" spans="6:6" x14ac:dyDescent="0.25">
      <c r="F280" s="7"/>
    </row>
    <row r="281" spans="6:6" x14ac:dyDescent="0.25">
      <c r="F281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B791-606A-49B5-A7F1-5255020CFD8A}">
  <dimension ref="A3:BL30"/>
  <sheetViews>
    <sheetView zoomScale="85" zoomScaleNormal="85" workbookViewId="0">
      <selection activeCell="L3" sqref="L3"/>
    </sheetView>
  </sheetViews>
  <sheetFormatPr defaultRowHeight="15" x14ac:dyDescent="0.25"/>
  <cols>
    <col min="1" max="1" width="57.42578125" bestFit="1" customWidth="1"/>
    <col min="2" max="2" width="10.28515625" bestFit="1" customWidth="1"/>
    <col min="3" max="3" width="9" customWidth="1"/>
    <col min="4" max="6" width="10.5703125" customWidth="1"/>
    <col min="7" max="7" width="31.5703125" bestFit="1" customWidth="1"/>
    <col min="8" max="10" width="12.85546875" bestFit="1" customWidth="1"/>
    <col min="11" max="11" width="10.5703125" customWidth="1"/>
    <col min="12" max="12" width="17" bestFit="1" customWidth="1"/>
    <col min="13" max="17" width="10.5703125" customWidth="1"/>
    <col min="18" max="19" width="10.42578125" customWidth="1"/>
    <col min="20" max="20" width="12" bestFit="1" customWidth="1"/>
    <col min="21" max="22" width="12" customWidth="1"/>
    <col min="23" max="23" width="13.7109375" bestFit="1" customWidth="1"/>
    <col min="24" max="24" width="14.7109375" bestFit="1" customWidth="1"/>
    <col min="25" max="26" width="14.7109375" customWidth="1"/>
    <col min="27" max="29" width="13.7109375" customWidth="1"/>
    <col min="30" max="30" width="16" bestFit="1" customWidth="1"/>
    <col min="31" max="31" width="8.7109375" bestFit="1" customWidth="1"/>
    <col min="32" max="33" width="9.85546875" bestFit="1" customWidth="1"/>
    <col min="34" max="35" width="10.7109375" bestFit="1" customWidth="1"/>
    <col min="36" max="37" width="7.5703125" bestFit="1" customWidth="1"/>
    <col min="38" max="38" width="8.7109375" bestFit="1" customWidth="1"/>
    <col min="39" max="40" width="8.140625" bestFit="1" customWidth="1"/>
    <col min="41" max="41" width="9.85546875" bestFit="1" customWidth="1"/>
    <col min="42" max="42" width="11" bestFit="1" customWidth="1"/>
    <col min="43" max="44" width="10.7109375" bestFit="1" customWidth="1"/>
    <col min="45" max="45" width="15.7109375" bestFit="1" customWidth="1"/>
    <col min="46" max="46" width="11.28515625" bestFit="1" customWidth="1"/>
    <col min="51" max="51" width="9.85546875" bestFit="1" customWidth="1"/>
    <col min="52" max="53" width="10.7109375" bestFit="1" customWidth="1"/>
    <col min="60" max="60" width="11" bestFit="1" customWidth="1"/>
    <col min="61" max="62" width="10.7109375" bestFit="1" customWidth="1"/>
  </cols>
  <sheetData>
    <row r="3" spans="1:64" x14ac:dyDescent="0.25">
      <c r="F3" s="18"/>
      <c r="L3" s="4" t="s">
        <v>69</v>
      </c>
      <c r="M3" s="39">
        <v>0</v>
      </c>
      <c r="X3" s="4" t="s">
        <v>70</v>
      </c>
      <c r="Y3" s="39">
        <v>0</v>
      </c>
      <c r="AA3" s="21" t="s">
        <v>71</v>
      </c>
      <c r="AB3" s="21" t="s">
        <v>72</v>
      </c>
      <c r="AD3" s="4" t="s">
        <v>69</v>
      </c>
      <c r="AE3" s="39">
        <v>0.5</v>
      </c>
      <c r="AP3" s="4" t="s">
        <v>70</v>
      </c>
      <c r="AQ3" s="39">
        <v>0</v>
      </c>
      <c r="AV3" s="4" t="s">
        <v>69</v>
      </c>
      <c r="AW3" s="39">
        <v>0</v>
      </c>
      <c r="BH3" s="4" t="s">
        <v>70</v>
      </c>
      <c r="BI3" s="39">
        <v>0.5</v>
      </c>
    </row>
    <row r="4" spans="1:64" x14ac:dyDescent="0.25">
      <c r="AA4" s="21">
        <f>COUNTIF(AA8:AA30,"Buy Spares")</f>
        <v>1</v>
      </c>
      <c r="AB4" s="19">
        <f>SUM(AB8:AB23)</f>
        <v>1225205.0137954084</v>
      </c>
      <c r="AT4" s="19">
        <f>SUM(AT8:AT23)</f>
        <v>1845975.5541184153</v>
      </c>
      <c r="BL4" s="19">
        <f>SUM(BL8:BL23)</f>
        <v>1837807.5206931126</v>
      </c>
    </row>
    <row r="5" spans="1:64" ht="26.25" thickBot="1" x14ac:dyDescent="0.4">
      <c r="A5" s="32" t="str" cm="1">
        <f t="array" aca="1" ref="A5" ca="1">RIGHT(CELL("filename",A2),LEN(CELL("filename",A2))-FIND("]",CELL("filename",A2)))</f>
        <v>2.0 Stable Failure Rate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</row>
    <row r="6" spans="1:64" ht="17.25" thickTop="1" thickBot="1" x14ac:dyDescent="0.3">
      <c r="A6" s="65" t="s">
        <v>73</v>
      </c>
      <c r="B6" s="65"/>
      <c r="C6" s="65"/>
      <c r="D6" s="65"/>
      <c r="E6" s="65"/>
      <c r="F6" s="65"/>
      <c r="G6" s="65"/>
      <c r="H6" s="65"/>
      <c r="I6" s="65"/>
      <c r="J6" s="65"/>
      <c r="L6" s="64" t="s">
        <v>74</v>
      </c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D6" s="64" t="s">
        <v>75</v>
      </c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V6" s="64" t="s">
        <v>76</v>
      </c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62.25" thickTop="1" thickBot="1" x14ac:dyDescent="0.3">
      <c r="A7" s="6" t="s">
        <v>57</v>
      </c>
      <c r="B7" s="6" t="s">
        <v>77</v>
      </c>
      <c r="C7" s="6" t="s">
        <v>78</v>
      </c>
      <c r="D7" s="6" t="s">
        <v>79</v>
      </c>
      <c r="E7" s="6" t="s">
        <v>80</v>
      </c>
      <c r="F7" s="6" t="s">
        <v>81</v>
      </c>
      <c r="G7" s="6" t="s">
        <v>82</v>
      </c>
      <c r="H7" s="6" t="s">
        <v>83</v>
      </c>
      <c r="I7" s="6" t="s">
        <v>84</v>
      </c>
      <c r="J7" s="6" t="s">
        <v>85</v>
      </c>
      <c r="L7" s="6" t="s">
        <v>86</v>
      </c>
      <c r="M7" s="6" t="s">
        <v>87</v>
      </c>
      <c r="N7" s="6" t="s">
        <v>88</v>
      </c>
      <c r="O7" s="6" t="str">
        <f>"Alternative ("&amp;H7&amp;")"</f>
        <v>Alternative (Min)</v>
      </c>
      <c r="P7" s="6" t="str">
        <f>"Alternative ("&amp;I7&amp;")"</f>
        <v>Alternative (Mid Point)</v>
      </c>
      <c r="Q7" s="6" t="str">
        <f>"Alternative ("&amp;J7&amp;")"</f>
        <v>Alternative (Max)</v>
      </c>
      <c r="R7" s="6" t="s">
        <v>89</v>
      </c>
      <c r="S7" s="6" t="s">
        <v>90</v>
      </c>
      <c r="T7" s="6" t="s">
        <v>91</v>
      </c>
      <c r="U7" s="6" t="s">
        <v>92</v>
      </c>
      <c r="V7" s="6" t="s">
        <v>93</v>
      </c>
      <c r="W7" s="6" t="s">
        <v>94</v>
      </c>
      <c r="X7" s="6" t="str">
        <f>"Net expected Value ("&amp;H7&amp;")"</f>
        <v>Net expected Value (Min)</v>
      </c>
      <c r="Y7" s="6" t="str">
        <f>"Net expected Value ("&amp;I7&amp;")"</f>
        <v>Net expected Value (Mid Point)</v>
      </c>
      <c r="Z7" s="6" t="str">
        <f>"Net expected Value ("&amp;J7&amp;")"</f>
        <v>Net expected Value (Max)</v>
      </c>
      <c r="AA7" s="6" t="s">
        <v>95</v>
      </c>
      <c r="AB7" s="6" t="s">
        <v>96</v>
      </c>
      <c r="AD7" s="6" t="s">
        <v>97</v>
      </c>
      <c r="AE7" s="6" t="s">
        <v>87</v>
      </c>
      <c r="AF7" s="6" t="s">
        <v>88</v>
      </c>
      <c r="AG7" s="6" t="str">
        <f>"Alternative ("&amp;Z7&amp;")"</f>
        <v>Alternative (Net expected Value (Max))</v>
      </c>
      <c r="AH7" s="6" t="str">
        <f>"Alternative ("&amp;AA7&amp;")"</f>
        <v>Alternative (Decision)</v>
      </c>
      <c r="AI7" s="6" t="str">
        <f>"Alternative ("&amp;AB7&amp;")"</f>
        <v>Alternative (Capex)</v>
      </c>
      <c r="AJ7" s="6" t="s">
        <v>89</v>
      </c>
      <c r="AK7" s="6" t="s">
        <v>98</v>
      </c>
      <c r="AL7" s="6" t="s">
        <v>91</v>
      </c>
      <c r="AM7" s="6" t="s">
        <v>92</v>
      </c>
      <c r="AN7" s="6" t="s">
        <v>93</v>
      </c>
      <c r="AO7" s="6" t="s">
        <v>99</v>
      </c>
      <c r="AP7" s="6" t="str">
        <f>"Net expected Value ("&amp;Z7&amp;")"</f>
        <v>Net expected Value (Net expected Value (Max))</v>
      </c>
      <c r="AQ7" s="6" t="str">
        <f>"Net expected Value ("&amp;AA7&amp;")"</f>
        <v>Net expected Value (Decision)</v>
      </c>
      <c r="AR7" s="6" t="str">
        <f>"Net expected Value ("&amp;AB7&amp;")"</f>
        <v>Net expected Value (Capex)</v>
      </c>
      <c r="AS7" s="6" t="s">
        <v>95</v>
      </c>
      <c r="AT7" s="6" t="s">
        <v>96</v>
      </c>
      <c r="AV7" s="6" t="s">
        <v>97</v>
      </c>
      <c r="AW7" s="6" t="s">
        <v>87</v>
      </c>
      <c r="AX7" s="6" t="s">
        <v>88</v>
      </c>
      <c r="AY7" s="6" t="str">
        <f>"Alternative ("&amp;AR7&amp;")"</f>
        <v>Alternative (Net expected Value (Capex))</v>
      </c>
      <c r="AZ7" s="6" t="str">
        <f>"Alternative ("&amp;AS7&amp;")"</f>
        <v>Alternative (Decision)</v>
      </c>
      <c r="BA7" s="6" t="str">
        <f>"Alternative ("&amp;AT7&amp;")"</f>
        <v>Alternative (Capex)</v>
      </c>
      <c r="BB7" s="6" t="s">
        <v>89</v>
      </c>
      <c r="BC7" s="6" t="s">
        <v>98</v>
      </c>
      <c r="BD7" s="6" t="s">
        <v>91</v>
      </c>
      <c r="BE7" s="6" t="s">
        <v>92</v>
      </c>
      <c r="BF7" s="6" t="s">
        <v>93</v>
      </c>
      <c r="BG7" s="6" t="s">
        <v>99</v>
      </c>
      <c r="BH7" s="6" t="str">
        <f>"Net expected Value ("&amp;AR7&amp;")"</f>
        <v>Net expected Value (Net expected Value (Capex))</v>
      </c>
      <c r="BI7" s="6" t="str">
        <f>"Net expected Value ("&amp;AS7&amp;")"</f>
        <v>Net expected Value (Decision)</v>
      </c>
      <c r="BJ7" s="6" t="str">
        <f>"Net expected Value ("&amp;AT7&amp;")"</f>
        <v>Net expected Value (Capex)</v>
      </c>
      <c r="BK7" s="6" t="s">
        <v>95</v>
      </c>
      <c r="BL7" s="6" t="s">
        <v>96</v>
      </c>
    </row>
    <row r="8" spans="1:64" x14ac:dyDescent="0.25">
      <c r="A8" s="10" t="str">
        <f>'1.2 Sorting'!I8</f>
        <v>Spare 69</v>
      </c>
      <c r="B8" s="10" cm="1">
        <f t="array" ref="B8">IF(A8="",0,INDEX(' 1.0 Asset Data'!B$8:B$75,MATCH(A8,' 1.0 Asset Data'!$A$8:$A$75,0),0))</f>
        <v>1480</v>
      </c>
      <c r="C8" s="10" cm="1">
        <f t="array" ref="C8">IF(A8="",0,INDEX(' 1.0 Asset Data'!C$8:C$75,MATCH(A8,' 1.0 Asset Data'!$A$8:$A$75,0),0))</f>
        <v>0</v>
      </c>
      <c r="D8" s="14" cm="1">
        <f t="array" ref="D8">IF($A8="",0,INDEX(' 1.0 Asset Data'!F$8:F$75,MATCH($A8,' 1.0 Asset Data'!$A$8:$A$75,0),0))</f>
        <v>16336.066850605446</v>
      </c>
      <c r="E8" s="29" cm="1">
        <f t="array" ref="E8">IF($A8="",0,INDEX(' 1.0 Asset Data'!E$8:E$75,MATCH($A8,' 1.0 Asset Data'!$A$8:$A$75,0),0))</f>
        <v>4.1631504922644167</v>
      </c>
      <c r="F8" s="26">
        <f>RemaingLife*E8</f>
        <v>74.936708860759495</v>
      </c>
      <c r="G8" s="27" t="str" cm="1">
        <f t="array" ref="G8">IF(A8="","",INDEX(' 1.0 Asset Data'!$J$8:$J$80,MATCH(A8,' 1.0 Asset Data'!$A$8:$A$80,0),0))</f>
        <v>IGBT valve room upgrade</v>
      </c>
      <c r="H8" s="28" cm="1">
        <f t="array" ref="H8">IF($A8="",0,INDEX(' 1.0 Asset Data'!L$8:L$75,MATCH($A8,' 1.0 Asset Data'!$A$8:$A$75,0),0))</f>
        <v>25000000</v>
      </c>
      <c r="I8" s="28" cm="1">
        <f t="array" ref="I8">IF($A8="",0,INDEX(' 1.0 Asset Data'!N$8:N$75,MATCH($A8,' 1.0 Asset Data'!$A$8:$A$75,0),0))</f>
        <v>35000000</v>
      </c>
      <c r="J8" s="28" cm="1">
        <f t="array" ref="J8">IF($A8="",0,INDEX(' 1.0 Asset Data'!M$8:M$75,MATCH($A8,' 1.0 Asset Data'!$A$8:$A$75,0),0))</f>
        <v>45000000</v>
      </c>
      <c r="L8" s="48">
        <f>$E8*(1+M$3)</f>
        <v>4.1631504922644167</v>
      </c>
      <c r="M8" s="12">
        <f>IF($A8="",0,IF($C8-L8&lt;0,0,$C8-L8))</f>
        <v>0</v>
      </c>
      <c r="N8" s="12" t="str">
        <f>$G8</f>
        <v>IGBT valve room upgrade</v>
      </c>
      <c r="O8" s="12">
        <f>IF($A8="",0,$H8/(1+'1.1 Other Data'!$B$14)^$M8)</f>
        <v>25000000</v>
      </c>
      <c r="P8" s="12">
        <f>IF($A8="",0,$I8/(1+'1.1 Other Data'!$B$14)^$M8)</f>
        <v>35000000</v>
      </c>
      <c r="Q8" s="12">
        <f>IF($A8="",0,$J8/(1+'1.1 Other Data'!$B$14)^$M8)</f>
        <v>45000000</v>
      </c>
      <c r="R8" s="15">
        <f>IF($A8="",0,1/L8)</f>
        <v>0.24020270270270269</v>
      </c>
      <c r="S8" s="12">
        <f t="shared" ref="S8:S30" si="0">ROUNDUP($B8*CritMin,0)</f>
        <v>60</v>
      </c>
      <c r="T8" s="12">
        <f t="shared" ref="T8:T30" si="1">IFERROR(ROUNDUP(RemaingLife/R8,0),0)</f>
        <v>75</v>
      </c>
      <c r="U8" s="12">
        <f>SUM(S8:T8)</f>
        <v>135</v>
      </c>
      <c r="V8" s="12">
        <f t="shared" ref="V8:V24" si="2">U8-C8</f>
        <v>135</v>
      </c>
      <c r="W8" s="12">
        <f>T8*$D8*(1+Y$3)</f>
        <v>1225205.0137954084</v>
      </c>
      <c r="X8" s="12">
        <f>O8-W8</f>
        <v>23774794.986204591</v>
      </c>
      <c r="Y8" s="12">
        <f>P8-W8</f>
        <v>33774794.986204594</v>
      </c>
      <c r="Z8" s="12">
        <f>Q8-W8</f>
        <v>43774794.986204594</v>
      </c>
      <c r="AA8" s="19" t="str">
        <f>IF(A8="","",IF(SUM(X8:Z8)&lt;0,"Don't buy spares","Buy Spares"))</f>
        <v>Buy Spares</v>
      </c>
      <c r="AB8" s="19">
        <f t="shared" ref="AB8:AB24" si="3">IF(AA8="Don't buy spares",0,W8)</f>
        <v>1225205.0137954084</v>
      </c>
      <c r="AD8" s="48">
        <f>$E8*(1+AE$3)</f>
        <v>6.2447257383966246</v>
      </c>
      <c r="AE8" s="12">
        <f>IF($A8="",0,IF($C8-AD8&lt;0,0,$C8-AD8))</f>
        <v>0</v>
      </c>
      <c r="AF8" s="12" t="str">
        <f>$G8</f>
        <v>IGBT valve room upgrade</v>
      </c>
      <c r="AG8" s="12">
        <f>IF($A8="",0,$H8/(1+'1.1 Other Data'!$B$14)^AE8)</f>
        <v>25000000</v>
      </c>
      <c r="AH8" s="12">
        <f>IF(Q$8="",0,$I8/(1+'1.1 Other Data'!$B$14)^AE8)</f>
        <v>35000000</v>
      </c>
      <c r="AI8" s="12">
        <f>IF(Q$8="",0,$J8/(1+'1.1 Other Data'!$B$14)*AE8)</f>
        <v>0</v>
      </c>
      <c r="AJ8" s="15">
        <f>IF($A8="",0,1/AD8)</f>
        <v>0.16013513513513514</v>
      </c>
      <c r="AK8" s="12">
        <f t="shared" ref="AK8:AK30" si="4">ROUNDUP($B8*CritMin,0)</f>
        <v>60</v>
      </c>
      <c r="AL8" s="12">
        <f t="shared" ref="AL8:AL30" si="5">IFERROR(ROUNDUP(RemaingLife/AJ8,0),0)</f>
        <v>113</v>
      </c>
      <c r="AM8" s="12">
        <f>SUM(AK8:AL8)</f>
        <v>173</v>
      </c>
      <c r="AN8" s="12">
        <f>AM8-S8</f>
        <v>113</v>
      </c>
      <c r="AO8" s="12">
        <f>AL8*$D8*(1+AQ$3)</f>
        <v>1845975.5541184153</v>
      </c>
      <c r="AP8" s="12">
        <f>AG8-AO8</f>
        <v>23154024.445881583</v>
      </c>
      <c r="AQ8" s="12">
        <f>AH8-AO8</f>
        <v>33154024.445881583</v>
      </c>
      <c r="AR8" s="12">
        <f>AI8-AO8</f>
        <v>-1845975.5541184153</v>
      </c>
      <c r="AS8" s="19" t="str">
        <f>IF(A8="","",IF(SUM(AP8:AR8)&lt;0,"Don't buy spares","Buy Spares"))</f>
        <v>Buy Spares</v>
      </c>
      <c r="AT8" s="19">
        <f t="shared" ref="AT8:AT24" si="6">IF(AS8="Don't buy spares",0,AO8)</f>
        <v>1845975.5541184153</v>
      </c>
      <c r="AV8" s="48">
        <f>$E8*(1+AW$3)</f>
        <v>4.1631504922644167</v>
      </c>
      <c r="AW8" s="12">
        <f>IF($A8="",0,IF($C8-AV8&lt;0,0,$C8-AV8))</f>
        <v>0</v>
      </c>
      <c r="AX8" s="12" t="str">
        <f>$G8</f>
        <v>IGBT valve room upgrade</v>
      </c>
      <c r="AY8" s="12">
        <f>IF($A8="",0,$H8/(1+'1.1 Other Data'!$B$14)^AW8)</f>
        <v>25000000</v>
      </c>
      <c r="AZ8" s="12">
        <f>IF(A8="",0,$I8/(1+'1.1 Other Data'!$B$14)^AW8)</f>
        <v>35000000</v>
      </c>
      <c r="BA8" s="12">
        <f>IF(A8="",0,$J8/(1+'1.1 Other Data'!$B$14)*AW8)</f>
        <v>0</v>
      </c>
      <c r="BB8" s="15">
        <f>IF($A8="",0,1/AV8)</f>
        <v>0.24020270270270269</v>
      </c>
      <c r="BC8" s="12">
        <f t="shared" ref="BC8:BC30" si="7">ROUNDUP($B8*CritMin,0)</f>
        <v>60</v>
      </c>
      <c r="BD8" s="12">
        <f t="shared" ref="BD8:BD30" si="8">IFERROR(ROUNDUP(RemaingLife/BB8,0),0)</f>
        <v>75</v>
      </c>
      <c r="BE8" s="12">
        <f>SUM(BC8:BD8)</f>
        <v>135</v>
      </c>
      <c r="BF8" s="12">
        <f>BE8-AK8</f>
        <v>75</v>
      </c>
      <c r="BG8" s="12">
        <f>BD8*$D8*(1+BI$3)</f>
        <v>1837807.5206931126</v>
      </c>
      <c r="BH8" s="12">
        <f>AY8-BG8</f>
        <v>23162192.479306888</v>
      </c>
      <c r="BI8" s="12">
        <f>AZ8-BG8</f>
        <v>33162192.479306888</v>
      </c>
      <c r="BJ8" s="12">
        <f>BA8-BG8</f>
        <v>-1837807.5206931126</v>
      </c>
      <c r="BK8" s="19" t="str">
        <f>IF(SUM(BH8:BJ8)&lt;0,"Don't buy spares","Buy Spares")</f>
        <v>Buy Spares</v>
      </c>
      <c r="BL8" s="19">
        <f t="shared" ref="BL8:BL24" si="9">IF(BK8="Don't buy spares",0,BG8)</f>
        <v>1837807.5206931126</v>
      </c>
    </row>
    <row r="9" spans="1:64" x14ac:dyDescent="0.25">
      <c r="A9" s="10" t="str">
        <f>'1.2 Sorting'!I9</f>
        <v/>
      </c>
      <c r="B9" s="10" cm="1">
        <f t="array" ref="B9">IF(A9="",0,INDEX(' 1.0 Asset Data'!B$8:B$75,MATCH(A9,' 1.0 Asset Data'!$A$8:$A$75,0),0))</f>
        <v>0</v>
      </c>
      <c r="C9" s="10" cm="1">
        <f t="array" ref="C9">IF(A9="",0,INDEX(' 1.0 Asset Data'!C$8:C$75,MATCH(A9,' 1.0 Asset Data'!$A$8:$A$75,0),0))</f>
        <v>0</v>
      </c>
      <c r="D9" s="14" cm="1">
        <f t="array" ref="D9">IF($A9="",0,INDEX(' 1.0 Asset Data'!F$8:F$75,MATCH($A9,' 1.0 Asset Data'!$A$8:$A$75,0),0))</f>
        <v>0</v>
      </c>
      <c r="E9" s="29" cm="1">
        <f t="array" ref="E9">IF($A9="",0,INDEX(' 1.0 Asset Data'!E$8:E$75,MATCH($A9,' 1.0 Asset Data'!$A$8:$A$75,0),0))</f>
        <v>0</v>
      </c>
      <c r="F9" s="26">
        <f t="shared" ref="F9:F30" si="10">RemaingLife*E9</f>
        <v>0</v>
      </c>
      <c r="G9" s="27" t="str" cm="1">
        <f t="array" ref="G9">IF(A9="","",INDEX(' 1.0 Asset Data'!$J$8:$J$80,MATCH(A9,' 1.0 Asset Data'!$A$8:$A$80,0),0))</f>
        <v/>
      </c>
      <c r="H9" s="28" cm="1">
        <f t="array" ref="H9">IF($A9="",0,INDEX(' 1.0 Asset Data'!L$8:L$75,MATCH($A9,' 1.0 Asset Data'!$A$8:$A$75,0),0))</f>
        <v>0</v>
      </c>
      <c r="I9" s="28" cm="1">
        <f t="array" ref="I9">IF($A9="",0,INDEX(' 1.0 Asset Data'!N$8:N$75,MATCH($A9,' 1.0 Asset Data'!$A$8:$A$75,0),0))</f>
        <v>0</v>
      </c>
      <c r="J9" s="28" cm="1">
        <f t="array" ref="J9">IF($A9="",0,INDEX(' 1.0 Asset Data'!M$8:M$75,MATCH($A9,' 1.0 Asset Data'!$A$8:$A$75,0),0))</f>
        <v>0</v>
      </c>
      <c r="L9" s="48">
        <f t="shared" ref="L9:L30" si="11">$E9*(1+M$3)</f>
        <v>0</v>
      </c>
      <c r="M9" s="12">
        <f t="shared" ref="M9:M30" si="12">IF($A9="",0,IF($C9-L9&lt;0,0,$C9-L9))</f>
        <v>0</v>
      </c>
      <c r="N9" s="12" t="str">
        <f t="shared" ref="N9:N30" si="13">$G9</f>
        <v/>
      </c>
      <c r="O9" s="12">
        <f>IF($A9="",0,$H9/(1+'1.1 Other Data'!$B$14)^$M9)</f>
        <v>0</v>
      </c>
      <c r="P9" s="12">
        <f>IF($A9="",0,$I9/(1+'1.1 Other Data'!$B$14)^$M9)</f>
        <v>0</v>
      </c>
      <c r="Q9" s="12">
        <f>IF($A9="",0,$J9/(1+'1.1 Other Data'!$B$14)^$M9)</f>
        <v>0</v>
      </c>
      <c r="R9" s="15">
        <f t="shared" ref="R9:R24" si="14">IF($A9="",0,1/L9)</f>
        <v>0</v>
      </c>
      <c r="S9" s="12">
        <f t="shared" si="0"/>
        <v>0</v>
      </c>
      <c r="T9" s="12">
        <f t="shared" si="1"/>
        <v>0</v>
      </c>
      <c r="U9" s="12">
        <f t="shared" ref="U9:U24" si="15">SUM(S9:T9)</f>
        <v>0</v>
      </c>
      <c r="V9" s="12">
        <f t="shared" si="2"/>
        <v>0</v>
      </c>
      <c r="W9" s="12">
        <f t="shared" ref="W9:W24" si="16">T9*$D9*(1+Y$3)</f>
        <v>0</v>
      </c>
      <c r="X9" s="12">
        <f t="shared" ref="X9" si="17">O9-W9</f>
        <v>0</v>
      </c>
      <c r="Y9" s="12">
        <f t="shared" ref="Y9:Y24" si="18">P9-W9</f>
        <v>0</v>
      </c>
      <c r="Z9" s="12">
        <f t="shared" ref="Z9:Z24" si="19">Q9-W9</f>
        <v>0</v>
      </c>
      <c r="AA9" s="19" t="str">
        <f t="shared" ref="AA9:AA30" si="20">IF(A9="","",IF(SUM(X9:Z9)&lt;0,"Don't buy spares","Buy Spares"))</f>
        <v/>
      </c>
      <c r="AB9" s="19">
        <f t="shared" si="3"/>
        <v>0</v>
      </c>
      <c r="AD9" s="48">
        <f t="shared" ref="AD9:AD30" si="21">$E9*(1+AE$3)</f>
        <v>0</v>
      </c>
      <c r="AE9" s="12">
        <f t="shared" ref="AE9:AE30" si="22">IF($A9="",0,IF($C9-AD9&lt;0,0,$C9-AD9))</f>
        <v>0</v>
      </c>
      <c r="AF9" s="12" t="str">
        <f t="shared" ref="AF9:AF30" si="23">$G9</f>
        <v/>
      </c>
      <c r="AG9" s="12">
        <f>IF($A9="",0,$H9/(1+'1.1 Other Data'!$B$14)^AE9)</f>
        <v>0</v>
      </c>
      <c r="AH9" s="12">
        <f>IF(Q$8="",0,$I9/(1+'1.1 Other Data'!$B$14)^AE9)</f>
        <v>0</v>
      </c>
      <c r="AI9" s="12">
        <f>IF(Q$8="",0,$J9/(1+'1.1 Other Data'!$B$14)*AE9)</f>
        <v>0</v>
      </c>
      <c r="AJ9" s="15">
        <f t="shared" ref="AJ9:AJ24" si="24">IF($A9="",0,1/AD9)</f>
        <v>0</v>
      </c>
      <c r="AK9" s="12">
        <f t="shared" si="4"/>
        <v>0</v>
      </c>
      <c r="AL9" s="12">
        <f t="shared" si="5"/>
        <v>0</v>
      </c>
      <c r="AM9" s="12">
        <f t="shared" ref="AM9:AM24" si="25">SUM(AK9:AL9)</f>
        <v>0</v>
      </c>
      <c r="AN9" s="12">
        <f t="shared" ref="AN9:AN24" si="26">AM9-S9</f>
        <v>0</v>
      </c>
      <c r="AO9" s="12">
        <f t="shared" ref="AO9:AO24" si="27">AL9*$D9*(1+AQ$3)</f>
        <v>0</v>
      </c>
      <c r="AP9" s="12">
        <f t="shared" ref="AP9:AP24" si="28">AG9-AO9</f>
        <v>0</v>
      </c>
      <c r="AQ9" s="12">
        <f t="shared" ref="AQ9:AQ24" si="29">AH9-AO9</f>
        <v>0</v>
      </c>
      <c r="AR9" s="12">
        <f t="shared" ref="AR9:AR24" si="30">AI9-AO9</f>
        <v>0</v>
      </c>
      <c r="AS9" s="19" t="str">
        <f t="shared" ref="AS9:AS30" si="31">IF(A9="","",IF(SUM(AP9:AR9)&lt;0,"Don't buy spares","Buy Spares"))</f>
        <v/>
      </c>
      <c r="AT9" s="19">
        <f t="shared" si="6"/>
        <v>0</v>
      </c>
      <c r="AV9" s="48">
        <f t="shared" ref="AV9:AV30" si="32">$E9*(1+AW$3)</f>
        <v>0</v>
      </c>
      <c r="AW9" s="12">
        <f t="shared" ref="AW9:AW30" si="33">IF($A9="",0,IF($C9-AV9&lt;0,0,$C9-AV9))</f>
        <v>0</v>
      </c>
      <c r="AX9" s="12" t="str">
        <f t="shared" ref="AX9:AX30" si="34">$G9</f>
        <v/>
      </c>
      <c r="AY9" s="12">
        <f>IF($A9="",0,$H9/(1+'1.1 Other Data'!$B$14)^AW9)</f>
        <v>0</v>
      </c>
      <c r="AZ9" s="12">
        <f>IF(A9="",0,$I9/(1+'1.1 Other Data'!$B$14)^AW9)</f>
        <v>0</v>
      </c>
      <c r="BA9" s="12">
        <f>IF(A9="",0,$J9/(1+'1.1 Other Data'!$B$14)*AW9)</f>
        <v>0</v>
      </c>
      <c r="BB9" s="15">
        <f t="shared" ref="BB9:BB24" si="35">IF($A9="",0,1/AV9)</f>
        <v>0</v>
      </c>
      <c r="BC9" s="12">
        <f t="shared" si="7"/>
        <v>0</v>
      </c>
      <c r="BD9" s="12">
        <f t="shared" si="8"/>
        <v>0</v>
      </c>
      <c r="BE9" s="12">
        <f t="shared" ref="BE9:BE24" si="36">SUM(BC9:BD9)</f>
        <v>0</v>
      </c>
      <c r="BF9" s="12">
        <f t="shared" ref="BF9:BF24" si="37">BE9-AK9</f>
        <v>0</v>
      </c>
      <c r="BG9" s="12">
        <f t="shared" ref="BG9:BG24" si="38">BD9*$D9*(1+BI$3)</f>
        <v>0</v>
      </c>
      <c r="BH9" s="12">
        <f t="shared" ref="BH9:BH24" si="39">AY9-BG9</f>
        <v>0</v>
      </c>
      <c r="BI9" s="12">
        <f t="shared" ref="BI9:BI24" si="40">AZ9-BG9</f>
        <v>0</v>
      </c>
      <c r="BJ9" s="12">
        <f t="shared" ref="BJ9:BJ24" si="41">BA9-BG9</f>
        <v>0</v>
      </c>
      <c r="BK9" s="19" t="str">
        <f t="shared" ref="BK9:BK24" si="42">IF(SUM(BH9:BJ9)&lt;0,"Don't buy spares","Buy Spares")</f>
        <v>Buy Spares</v>
      </c>
      <c r="BL9" s="19">
        <f t="shared" si="9"/>
        <v>0</v>
      </c>
    </row>
    <row r="10" spans="1:64" x14ac:dyDescent="0.25">
      <c r="A10" s="10" t="str">
        <f>'1.2 Sorting'!I10</f>
        <v/>
      </c>
      <c r="B10" s="10" cm="1">
        <f t="array" ref="B10">IF(A10="",0,INDEX(' 1.0 Asset Data'!B$8:B$75,MATCH(A10,' 1.0 Asset Data'!$A$8:$A$75,0),0))</f>
        <v>0</v>
      </c>
      <c r="C10" s="10" cm="1">
        <f t="array" ref="C10">IF(A10="",0,INDEX(' 1.0 Asset Data'!C$8:C$75,MATCH(A10,' 1.0 Asset Data'!$A$8:$A$75,0),0))</f>
        <v>0</v>
      </c>
      <c r="D10" s="14" cm="1">
        <f t="array" ref="D10">IF($A10="",0,INDEX(' 1.0 Asset Data'!F$8:F$75,MATCH($A10,' 1.0 Asset Data'!$A$8:$A$75,0),0))</f>
        <v>0</v>
      </c>
      <c r="E10" s="29" cm="1">
        <f t="array" ref="E10">IF($A10="",0,INDEX(' 1.0 Asset Data'!E$8:E$75,MATCH($A10,' 1.0 Asset Data'!$A$8:$A$75,0),0))</f>
        <v>0</v>
      </c>
      <c r="F10" s="26">
        <f t="shared" si="10"/>
        <v>0</v>
      </c>
      <c r="G10" s="27" t="str" cm="1">
        <f t="array" ref="G10">IF(A10="","",INDEX(' 1.0 Asset Data'!$J$8:$J$80,MATCH(A10,' 1.0 Asset Data'!$A$8:$A$80,0),0))</f>
        <v/>
      </c>
      <c r="H10" s="28" cm="1">
        <f t="array" ref="H10">IF($A10="",0,INDEX(' 1.0 Asset Data'!L$8:L$75,MATCH($A10,' 1.0 Asset Data'!$A$8:$A$75,0),0))</f>
        <v>0</v>
      </c>
      <c r="I10" s="28" cm="1">
        <f t="array" ref="I10">IF($A10="",0,INDEX(' 1.0 Asset Data'!N$8:N$75,MATCH($A10,' 1.0 Asset Data'!$A$8:$A$75,0),0))</f>
        <v>0</v>
      </c>
      <c r="J10" s="28" cm="1">
        <f t="array" ref="J10">IF($A10="",0,INDEX(' 1.0 Asset Data'!M$8:M$75,MATCH($A10,' 1.0 Asset Data'!$A$8:$A$75,0),0))</f>
        <v>0</v>
      </c>
      <c r="L10" s="48">
        <f t="shared" si="11"/>
        <v>0</v>
      </c>
      <c r="M10" s="12">
        <f t="shared" si="12"/>
        <v>0</v>
      </c>
      <c r="N10" s="12" t="str">
        <f t="shared" si="13"/>
        <v/>
      </c>
      <c r="O10" s="12">
        <f>IF($A10="",0,$H10/(1+'1.1 Other Data'!$B$14)^$M10)</f>
        <v>0</v>
      </c>
      <c r="P10" s="12">
        <f>IF($A10="",0,$I10/(1+'1.1 Other Data'!$B$14)^$M10)</f>
        <v>0</v>
      </c>
      <c r="Q10" s="12">
        <f>IF($A10="",0,$J10/(1+'1.1 Other Data'!$B$14)^$M10)</f>
        <v>0</v>
      </c>
      <c r="R10" s="15">
        <f t="shared" si="14"/>
        <v>0</v>
      </c>
      <c r="S10" s="12">
        <f t="shared" si="0"/>
        <v>0</v>
      </c>
      <c r="T10" s="12">
        <f t="shared" si="1"/>
        <v>0</v>
      </c>
      <c r="U10" s="12">
        <f t="shared" si="15"/>
        <v>0</v>
      </c>
      <c r="V10" s="12">
        <f t="shared" si="2"/>
        <v>0</v>
      </c>
      <c r="W10" s="12">
        <f t="shared" si="16"/>
        <v>0</v>
      </c>
      <c r="X10" s="12">
        <f t="shared" ref="X10" si="43">O10-W10</f>
        <v>0</v>
      </c>
      <c r="Y10" s="12">
        <f t="shared" si="18"/>
        <v>0</v>
      </c>
      <c r="Z10" s="12">
        <f t="shared" si="19"/>
        <v>0</v>
      </c>
      <c r="AA10" s="19" t="str">
        <f t="shared" si="20"/>
        <v/>
      </c>
      <c r="AB10" s="19">
        <f t="shared" si="3"/>
        <v>0</v>
      </c>
      <c r="AD10" s="48">
        <f t="shared" si="21"/>
        <v>0</v>
      </c>
      <c r="AE10" s="12">
        <f t="shared" si="22"/>
        <v>0</v>
      </c>
      <c r="AF10" s="12" t="str">
        <f t="shared" si="23"/>
        <v/>
      </c>
      <c r="AG10" s="12">
        <f>IF($A10="",0,$H10/(1+'1.1 Other Data'!$B$14)^AE10)</f>
        <v>0</v>
      </c>
      <c r="AH10" s="12">
        <f>IF(Q$8="",0,$I10/(1+'1.1 Other Data'!$B$14)^AE10)</f>
        <v>0</v>
      </c>
      <c r="AI10" s="12">
        <f>IF(Q$8="",0,$J10/(1+'1.1 Other Data'!$B$14)*AE10)</f>
        <v>0</v>
      </c>
      <c r="AJ10" s="15">
        <f t="shared" si="24"/>
        <v>0</v>
      </c>
      <c r="AK10" s="12">
        <f t="shared" si="4"/>
        <v>0</v>
      </c>
      <c r="AL10" s="12">
        <f t="shared" si="5"/>
        <v>0</v>
      </c>
      <c r="AM10" s="12">
        <f t="shared" si="25"/>
        <v>0</v>
      </c>
      <c r="AN10" s="12">
        <f t="shared" si="26"/>
        <v>0</v>
      </c>
      <c r="AO10" s="12">
        <f t="shared" si="27"/>
        <v>0</v>
      </c>
      <c r="AP10" s="12">
        <f t="shared" si="28"/>
        <v>0</v>
      </c>
      <c r="AQ10" s="12">
        <f t="shared" si="29"/>
        <v>0</v>
      </c>
      <c r="AR10" s="12">
        <f t="shared" si="30"/>
        <v>0</v>
      </c>
      <c r="AS10" s="19" t="str">
        <f t="shared" si="31"/>
        <v/>
      </c>
      <c r="AT10" s="19">
        <f t="shared" si="6"/>
        <v>0</v>
      </c>
      <c r="AV10" s="48">
        <f t="shared" si="32"/>
        <v>0</v>
      </c>
      <c r="AW10" s="12">
        <f t="shared" si="33"/>
        <v>0</v>
      </c>
      <c r="AX10" s="12" t="str">
        <f t="shared" si="34"/>
        <v/>
      </c>
      <c r="AY10" s="12">
        <f>IF($A10="",0,$H10/(1+'1.1 Other Data'!$B$14)^AW10)</f>
        <v>0</v>
      </c>
      <c r="AZ10" s="12">
        <f>IF(A10="",0,$I10/(1+'1.1 Other Data'!$B$14)^AW10)</f>
        <v>0</v>
      </c>
      <c r="BA10" s="12">
        <f>IF(A10="",0,$J10/(1+'1.1 Other Data'!$B$14)*AW10)</f>
        <v>0</v>
      </c>
      <c r="BB10" s="15">
        <f t="shared" si="35"/>
        <v>0</v>
      </c>
      <c r="BC10" s="12">
        <f t="shared" si="7"/>
        <v>0</v>
      </c>
      <c r="BD10" s="12">
        <f t="shared" si="8"/>
        <v>0</v>
      </c>
      <c r="BE10" s="12">
        <f t="shared" si="36"/>
        <v>0</v>
      </c>
      <c r="BF10" s="12">
        <f t="shared" si="37"/>
        <v>0</v>
      </c>
      <c r="BG10" s="12">
        <f t="shared" si="38"/>
        <v>0</v>
      </c>
      <c r="BH10" s="12">
        <f t="shared" si="39"/>
        <v>0</v>
      </c>
      <c r="BI10" s="12">
        <f t="shared" si="40"/>
        <v>0</v>
      </c>
      <c r="BJ10" s="12">
        <f t="shared" si="41"/>
        <v>0</v>
      </c>
      <c r="BK10" s="19" t="str">
        <f t="shared" si="42"/>
        <v>Buy Spares</v>
      </c>
      <c r="BL10" s="19">
        <f t="shared" si="9"/>
        <v>0</v>
      </c>
    </row>
    <row r="11" spans="1:64" x14ac:dyDescent="0.25">
      <c r="A11" s="10" t="str">
        <f>'1.2 Sorting'!I11</f>
        <v/>
      </c>
      <c r="B11" s="10" cm="1">
        <f t="array" ref="B11">IF(A11="",0,INDEX(' 1.0 Asset Data'!B$8:B$75,MATCH(A11,' 1.0 Asset Data'!$A$8:$A$75,0),0))</f>
        <v>0</v>
      </c>
      <c r="C11" s="10" cm="1">
        <f t="array" ref="C11">IF(A11="",0,INDEX(' 1.0 Asset Data'!C$8:C$75,MATCH(A11,' 1.0 Asset Data'!$A$8:$A$75,0),0))</f>
        <v>0</v>
      </c>
      <c r="D11" s="14" cm="1">
        <f t="array" ref="D11">IF($A11="",0,INDEX(' 1.0 Asset Data'!F$8:F$75,MATCH($A11,' 1.0 Asset Data'!$A$8:$A$75,0),0))</f>
        <v>0</v>
      </c>
      <c r="E11" s="29" cm="1">
        <f t="array" ref="E11">IF($A11="",0,INDEX(' 1.0 Asset Data'!E$8:E$75,MATCH($A11,' 1.0 Asset Data'!$A$8:$A$75,0),0))</f>
        <v>0</v>
      </c>
      <c r="F11" s="26">
        <f t="shared" si="10"/>
        <v>0</v>
      </c>
      <c r="G11" s="27" t="str" cm="1">
        <f t="array" ref="G11">IF(A11="","",INDEX(' 1.0 Asset Data'!$J$8:$J$80,MATCH(A11,' 1.0 Asset Data'!$A$8:$A$80,0),0))</f>
        <v/>
      </c>
      <c r="H11" s="28" cm="1">
        <f t="array" ref="H11">IF($A11="",0,INDEX(' 1.0 Asset Data'!L$8:L$75,MATCH($A11,' 1.0 Asset Data'!$A$8:$A$75,0),0))</f>
        <v>0</v>
      </c>
      <c r="I11" s="28" cm="1">
        <f t="array" ref="I11">IF($A11="",0,INDEX(' 1.0 Asset Data'!N$8:N$75,MATCH($A11,' 1.0 Asset Data'!$A$8:$A$75,0),0))</f>
        <v>0</v>
      </c>
      <c r="J11" s="28" cm="1">
        <f t="array" ref="J11">IF($A11="",0,INDEX(' 1.0 Asset Data'!M$8:M$75,MATCH($A11,' 1.0 Asset Data'!$A$8:$A$75,0),0))</f>
        <v>0</v>
      </c>
      <c r="L11" s="48">
        <f t="shared" si="11"/>
        <v>0</v>
      </c>
      <c r="M11" s="12">
        <f t="shared" si="12"/>
        <v>0</v>
      </c>
      <c r="N11" s="12" t="str">
        <f t="shared" si="13"/>
        <v/>
      </c>
      <c r="O11" s="12">
        <f>IF($A11="",0,$H11/(1+'1.1 Other Data'!$B$14)^$M11)</f>
        <v>0</v>
      </c>
      <c r="P11" s="12">
        <f>IF($A11="",0,$I11/(1+'1.1 Other Data'!$B$14)^$M11)</f>
        <v>0</v>
      </c>
      <c r="Q11" s="12">
        <f>IF($A11="",0,$J11/(1+'1.1 Other Data'!$B$14)^$M11)</f>
        <v>0</v>
      </c>
      <c r="R11" s="15">
        <f t="shared" si="14"/>
        <v>0</v>
      </c>
      <c r="S11" s="12">
        <f t="shared" si="0"/>
        <v>0</v>
      </c>
      <c r="T11" s="12">
        <f t="shared" si="1"/>
        <v>0</v>
      </c>
      <c r="U11" s="12">
        <f t="shared" si="15"/>
        <v>0</v>
      </c>
      <c r="V11" s="12">
        <f t="shared" si="2"/>
        <v>0</v>
      </c>
      <c r="W11" s="12">
        <f t="shared" si="16"/>
        <v>0</v>
      </c>
      <c r="X11" s="12">
        <f t="shared" ref="X11" si="44">O11-W11</f>
        <v>0</v>
      </c>
      <c r="Y11" s="12">
        <f t="shared" si="18"/>
        <v>0</v>
      </c>
      <c r="Z11" s="12">
        <f t="shared" si="19"/>
        <v>0</v>
      </c>
      <c r="AA11" s="19" t="str">
        <f t="shared" si="20"/>
        <v/>
      </c>
      <c r="AB11" s="19">
        <f t="shared" si="3"/>
        <v>0</v>
      </c>
      <c r="AD11" s="48">
        <f t="shared" si="21"/>
        <v>0</v>
      </c>
      <c r="AE11" s="12">
        <f t="shared" si="22"/>
        <v>0</v>
      </c>
      <c r="AF11" s="12" t="str">
        <f t="shared" si="23"/>
        <v/>
      </c>
      <c r="AG11" s="12">
        <f>IF($A11="",0,$H11/(1+'1.1 Other Data'!$B$14)^AE11)</f>
        <v>0</v>
      </c>
      <c r="AH11" s="12">
        <f>IF(Q$8="",0,$I11/(1+'1.1 Other Data'!$B$14)^AE11)</f>
        <v>0</v>
      </c>
      <c r="AI11" s="12">
        <f>IF(Q$8="",0,$J11/(1+'1.1 Other Data'!$B$14)*AE11)</f>
        <v>0</v>
      </c>
      <c r="AJ11" s="15">
        <f t="shared" si="24"/>
        <v>0</v>
      </c>
      <c r="AK11" s="12">
        <f t="shared" si="4"/>
        <v>0</v>
      </c>
      <c r="AL11" s="12">
        <f t="shared" si="5"/>
        <v>0</v>
      </c>
      <c r="AM11" s="12">
        <f t="shared" si="25"/>
        <v>0</v>
      </c>
      <c r="AN11" s="12">
        <f t="shared" si="26"/>
        <v>0</v>
      </c>
      <c r="AO11" s="12">
        <f t="shared" si="27"/>
        <v>0</v>
      </c>
      <c r="AP11" s="12">
        <f t="shared" si="28"/>
        <v>0</v>
      </c>
      <c r="AQ11" s="12">
        <f t="shared" si="29"/>
        <v>0</v>
      </c>
      <c r="AR11" s="12">
        <f t="shared" si="30"/>
        <v>0</v>
      </c>
      <c r="AS11" s="19" t="str">
        <f t="shared" si="31"/>
        <v/>
      </c>
      <c r="AT11" s="19">
        <f t="shared" si="6"/>
        <v>0</v>
      </c>
      <c r="AV11" s="48">
        <f t="shared" si="32"/>
        <v>0</v>
      </c>
      <c r="AW11" s="12">
        <f t="shared" si="33"/>
        <v>0</v>
      </c>
      <c r="AX11" s="12" t="str">
        <f t="shared" si="34"/>
        <v/>
      </c>
      <c r="AY11" s="12">
        <f>IF($A11="",0,$H11/(1+'1.1 Other Data'!$B$14)^AW11)</f>
        <v>0</v>
      </c>
      <c r="AZ11" s="12">
        <f>IF(A11="",0,$I11/(1+'1.1 Other Data'!$B$14)^AW11)</f>
        <v>0</v>
      </c>
      <c r="BA11" s="12">
        <f>IF(A11="",0,$J11/(1+'1.1 Other Data'!$B$14)*AW11)</f>
        <v>0</v>
      </c>
      <c r="BB11" s="15">
        <f t="shared" si="35"/>
        <v>0</v>
      </c>
      <c r="BC11" s="12">
        <f t="shared" si="7"/>
        <v>0</v>
      </c>
      <c r="BD11" s="12">
        <f t="shared" si="8"/>
        <v>0</v>
      </c>
      <c r="BE11" s="12">
        <f t="shared" si="36"/>
        <v>0</v>
      </c>
      <c r="BF11" s="12">
        <f t="shared" si="37"/>
        <v>0</v>
      </c>
      <c r="BG11" s="12">
        <f t="shared" si="38"/>
        <v>0</v>
      </c>
      <c r="BH11" s="12">
        <f t="shared" si="39"/>
        <v>0</v>
      </c>
      <c r="BI11" s="12">
        <f t="shared" si="40"/>
        <v>0</v>
      </c>
      <c r="BJ11" s="12">
        <f t="shared" si="41"/>
        <v>0</v>
      </c>
      <c r="BK11" s="19" t="str">
        <f t="shared" si="42"/>
        <v>Buy Spares</v>
      </c>
      <c r="BL11" s="19">
        <f t="shared" si="9"/>
        <v>0</v>
      </c>
    </row>
    <row r="12" spans="1:64" x14ac:dyDescent="0.25">
      <c r="A12" s="10" t="str">
        <f>'1.2 Sorting'!I12</f>
        <v/>
      </c>
      <c r="B12" s="10" cm="1">
        <f t="array" ref="B12">IF(A12="",0,INDEX(' 1.0 Asset Data'!B$8:B$75,MATCH(A12,' 1.0 Asset Data'!$A$8:$A$75,0),0))</f>
        <v>0</v>
      </c>
      <c r="C12" s="10" cm="1">
        <f t="array" ref="C12">IF(A12="",0,INDEX(' 1.0 Asset Data'!C$8:C$75,MATCH(A12,' 1.0 Asset Data'!$A$8:$A$75,0),0))</f>
        <v>0</v>
      </c>
      <c r="D12" s="14" cm="1">
        <f t="array" ref="D12">IF($A12="",0,INDEX(' 1.0 Asset Data'!F$8:F$75,MATCH($A12,' 1.0 Asset Data'!$A$8:$A$75,0),0))</f>
        <v>0</v>
      </c>
      <c r="E12" s="29" cm="1">
        <f t="array" ref="E12">IF($A12="",0,INDEX(' 1.0 Asset Data'!E$8:E$75,MATCH($A12,' 1.0 Asset Data'!$A$8:$A$75,0),0))</f>
        <v>0</v>
      </c>
      <c r="F12" s="26">
        <f t="shared" si="10"/>
        <v>0</v>
      </c>
      <c r="G12" s="27" t="str" cm="1">
        <f t="array" ref="G12">IF(A12="","",INDEX(' 1.0 Asset Data'!$J$8:$J$80,MATCH(A12,' 1.0 Asset Data'!$A$8:$A$80,0),0))</f>
        <v/>
      </c>
      <c r="H12" s="28" cm="1">
        <f t="array" ref="H12">IF($A12="",0,INDEX(' 1.0 Asset Data'!L$8:L$75,MATCH($A12,' 1.0 Asset Data'!$A$8:$A$75,0),0))</f>
        <v>0</v>
      </c>
      <c r="I12" s="28" cm="1">
        <f t="array" ref="I12">IF($A12="",0,INDEX(' 1.0 Asset Data'!N$8:N$75,MATCH($A12,' 1.0 Asset Data'!$A$8:$A$75,0),0))</f>
        <v>0</v>
      </c>
      <c r="J12" s="28" cm="1">
        <f t="array" ref="J12">IF($A12="",0,INDEX(' 1.0 Asset Data'!M$8:M$75,MATCH($A12,' 1.0 Asset Data'!$A$8:$A$75,0),0))</f>
        <v>0</v>
      </c>
      <c r="L12" s="48">
        <f t="shared" si="11"/>
        <v>0</v>
      </c>
      <c r="M12" s="12">
        <f t="shared" si="12"/>
        <v>0</v>
      </c>
      <c r="N12" s="12" t="str">
        <f t="shared" si="13"/>
        <v/>
      </c>
      <c r="O12" s="12">
        <f>IF($A12="",0,$H12/(1+'1.1 Other Data'!$B$14)^$M12)</f>
        <v>0</v>
      </c>
      <c r="P12" s="12">
        <f>IF($A12="",0,$I12/(1+'1.1 Other Data'!$B$14)^$M12)</f>
        <v>0</v>
      </c>
      <c r="Q12" s="12">
        <f>IF($A12="",0,$J12/(1+'1.1 Other Data'!$B$14)^$M12)</f>
        <v>0</v>
      </c>
      <c r="R12" s="15">
        <f t="shared" si="14"/>
        <v>0</v>
      </c>
      <c r="S12" s="12">
        <f t="shared" si="0"/>
        <v>0</v>
      </c>
      <c r="T12" s="12">
        <f t="shared" si="1"/>
        <v>0</v>
      </c>
      <c r="U12" s="12">
        <f t="shared" si="15"/>
        <v>0</v>
      </c>
      <c r="V12" s="12">
        <f t="shared" si="2"/>
        <v>0</v>
      </c>
      <c r="W12" s="12">
        <f t="shared" si="16"/>
        <v>0</v>
      </c>
      <c r="X12" s="12">
        <f t="shared" ref="X12" si="45">O12-W12</f>
        <v>0</v>
      </c>
      <c r="Y12" s="12">
        <f t="shared" si="18"/>
        <v>0</v>
      </c>
      <c r="Z12" s="12">
        <f t="shared" si="19"/>
        <v>0</v>
      </c>
      <c r="AA12" s="19" t="str">
        <f t="shared" si="20"/>
        <v/>
      </c>
      <c r="AB12" s="19">
        <f t="shared" si="3"/>
        <v>0</v>
      </c>
      <c r="AD12" s="48">
        <f t="shared" si="21"/>
        <v>0</v>
      </c>
      <c r="AE12" s="12">
        <f t="shared" si="22"/>
        <v>0</v>
      </c>
      <c r="AF12" s="12" t="str">
        <f t="shared" si="23"/>
        <v/>
      </c>
      <c r="AG12" s="12">
        <f>IF($A12="",0,$H12/(1+'1.1 Other Data'!$B$14)^AE12)</f>
        <v>0</v>
      </c>
      <c r="AH12" s="12">
        <f>IF(Q$8="",0,$I12/(1+'1.1 Other Data'!$B$14)^AE12)</f>
        <v>0</v>
      </c>
      <c r="AI12" s="12">
        <f>IF(Q$8="",0,$J12/(1+'1.1 Other Data'!$B$14)*AE12)</f>
        <v>0</v>
      </c>
      <c r="AJ12" s="15">
        <f t="shared" si="24"/>
        <v>0</v>
      </c>
      <c r="AK12" s="12">
        <f t="shared" si="4"/>
        <v>0</v>
      </c>
      <c r="AL12" s="12">
        <f t="shared" si="5"/>
        <v>0</v>
      </c>
      <c r="AM12" s="12">
        <f t="shared" si="25"/>
        <v>0</v>
      </c>
      <c r="AN12" s="12">
        <f t="shared" si="26"/>
        <v>0</v>
      </c>
      <c r="AO12" s="12">
        <f t="shared" si="27"/>
        <v>0</v>
      </c>
      <c r="AP12" s="12">
        <f t="shared" si="28"/>
        <v>0</v>
      </c>
      <c r="AQ12" s="12">
        <f t="shared" si="29"/>
        <v>0</v>
      </c>
      <c r="AR12" s="12">
        <f t="shared" si="30"/>
        <v>0</v>
      </c>
      <c r="AS12" s="19" t="str">
        <f t="shared" si="31"/>
        <v/>
      </c>
      <c r="AT12" s="19">
        <f t="shared" si="6"/>
        <v>0</v>
      </c>
      <c r="AV12" s="48">
        <f t="shared" si="32"/>
        <v>0</v>
      </c>
      <c r="AW12" s="12">
        <f t="shared" si="33"/>
        <v>0</v>
      </c>
      <c r="AX12" s="12" t="str">
        <f t="shared" si="34"/>
        <v/>
      </c>
      <c r="AY12" s="12">
        <f>IF($A12="",0,$H12/(1+'1.1 Other Data'!$B$14)^AW12)</f>
        <v>0</v>
      </c>
      <c r="AZ12" s="12">
        <f>IF(A12="",0,$I12/(1+'1.1 Other Data'!$B$14)^AW12)</f>
        <v>0</v>
      </c>
      <c r="BA12" s="12">
        <f>IF(A12="",0,$J12/(1+'1.1 Other Data'!$B$14)*AW12)</f>
        <v>0</v>
      </c>
      <c r="BB12" s="15">
        <f t="shared" si="35"/>
        <v>0</v>
      </c>
      <c r="BC12" s="12">
        <f t="shared" si="7"/>
        <v>0</v>
      </c>
      <c r="BD12" s="12">
        <f t="shared" si="8"/>
        <v>0</v>
      </c>
      <c r="BE12" s="12">
        <f t="shared" si="36"/>
        <v>0</v>
      </c>
      <c r="BF12" s="12">
        <f t="shared" si="37"/>
        <v>0</v>
      </c>
      <c r="BG12" s="12">
        <f t="shared" si="38"/>
        <v>0</v>
      </c>
      <c r="BH12" s="12">
        <f t="shared" si="39"/>
        <v>0</v>
      </c>
      <c r="BI12" s="12">
        <f t="shared" si="40"/>
        <v>0</v>
      </c>
      <c r="BJ12" s="12">
        <f t="shared" si="41"/>
        <v>0</v>
      </c>
      <c r="BK12" s="19" t="str">
        <f t="shared" si="42"/>
        <v>Buy Spares</v>
      </c>
      <c r="BL12" s="19">
        <f t="shared" si="9"/>
        <v>0</v>
      </c>
    </row>
    <row r="13" spans="1:64" x14ac:dyDescent="0.25">
      <c r="A13" s="10" t="str">
        <f>'1.2 Sorting'!I13</f>
        <v/>
      </c>
      <c r="B13" s="10" cm="1">
        <f t="array" ref="B13">IF(A13="",0,INDEX(' 1.0 Asset Data'!B$8:B$75,MATCH(A13,' 1.0 Asset Data'!$A$8:$A$75,0),0))</f>
        <v>0</v>
      </c>
      <c r="C13" s="10" cm="1">
        <f t="array" ref="C13">IF(A13="",0,INDEX(' 1.0 Asset Data'!C$8:C$75,MATCH(A13,' 1.0 Asset Data'!$A$8:$A$75,0),0))</f>
        <v>0</v>
      </c>
      <c r="D13" s="14" cm="1">
        <f t="array" ref="D13">IF($A13="",0,INDEX(' 1.0 Asset Data'!F$8:F$75,MATCH($A13,' 1.0 Asset Data'!$A$8:$A$75,0),0))</f>
        <v>0</v>
      </c>
      <c r="E13" s="29" cm="1">
        <f t="array" ref="E13">IF($A13="",0,INDEX(' 1.0 Asset Data'!E$8:E$75,MATCH($A13,' 1.0 Asset Data'!$A$8:$A$75,0),0))</f>
        <v>0</v>
      </c>
      <c r="F13" s="26">
        <f t="shared" si="10"/>
        <v>0</v>
      </c>
      <c r="G13" s="27" t="str" cm="1">
        <f t="array" ref="G13">IF(A13="","",INDEX(' 1.0 Asset Data'!$J$8:$J$80,MATCH(A13,' 1.0 Asset Data'!$A$8:$A$80,0),0))</f>
        <v/>
      </c>
      <c r="H13" s="28" cm="1">
        <f t="array" ref="H13">IF($A13="",0,INDEX(' 1.0 Asset Data'!L$8:L$75,MATCH($A13,' 1.0 Asset Data'!$A$8:$A$75,0),0))</f>
        <v>0</v>
      </c>
      <c r="I13" s="28" cm="1">
        <f t="array" ref="I13">IF($A13="",0,INDEX(' 1.0 Asset Data'!N$8:N$75,MATCH($A13,' 1.0 Asset Data'!$A$8:$A$75,0),0))</f>
        <v>0</v>
      </c>
      <c r="J13" s="28" cm="1">
        <f t="array" ref="J13">IF($A13="",0,INDEX(' 1.0 Asset Data'!M$8:M$75,MATCH($A13,' 1.0 Asset Data'!$A$8:$A$75,0),0))</f>
        <v>0</v>
      </c>
      <c r="L13" s="48">
        <f t="shared" si="11"/>
        <v>0</v>
      </c>
      <c r="M13" s="12">
        <f t="shared" si="12"/>
        <v>0</v>
      </c>
      <c r="N13" s="12" t="str">
        <f t="shared" si="13"/>
        <v/>
      </c>
      <c r="O13" s="12">
        <f>IF($A13="",0,$H13/(1+'1.1 Other Data'!$B$14)^$M13)</f>
        <v>0</v>
      </c>
      <c r="P13" s="12">
        <f>IF($A13="",0,$I13/(1+'1.1 Other Data'!$B$14)^$M13)</f>
        <v>0</v>
      </c>
      <c r="Q13" s="12">
        <f>IF($A13="",0,$J13/(1+'1.1 Other Data'!$B$14)^$M13)</f>
        <v>0</v>
      </c>
      <c r="R13" s="15">
        <f t="shared" si="14"/>
        <v>0</v>
      </c>
      <c r="S13" s="12">
        <f t="shared" si="0"/>
        <v>0</v>
      </c>
      <c r="T13" s="12">
        <f t="shared" si="1"/>
        <v>0</v>
      </c>
      <c r="U13" s="12">
        <f t="shared" si="15"/>
        <v>0</v>
      </c>
      <c r="V13" s="12">
        <f t="shared" si="2"/>
        <v>0</v>
      </c>
      <c r="W13" s="12">
        <f t="shared" si="16"/>
        <v>0</v>
      </c>
      <c r="X13" s="12">
        <f t="shared" ref="X13" si="46">O13-W13</f>
        <v>0</v>
      </c>
      <c r="Y13" s="12">
        <f t="shared" si="18"/>
        <v>0</v>
      </c>
      <c r="Z13" s="12">
        <f t="shared" si="19"/>
        <v>0</v>
      </c>
      <c r="AA13" s="19" t="str">
        <f t="shared" si="20"/>
        <v/>
      </c>
      <c r="AB13" s="19">
        <f t="shared" si="3"/>
        <v>0</v>
      </c>
      <c r="AD13" s="48">
        <f t="shared" si="21"/>
        <v>0</v>
      </c>
      <c r="AE13" s="12">
        <f t="shared" si="22"/>
        <v>0</v>
      </c>
      <c r="AF13" s="12" t="str">
        <f t="shared" si="23"/>
        <v/>
      </c>
      <c r="AG13" s="12">
        <f>IF($A13="",0,$H13/(1+'1.1 Other Data'!$B$14)^AE13)</f>
        <v>0</v>
      </c>
      <c r="AH13" s="12">
        <f>IF(Q$8="",0,$I13/(1+'1.1 Other Data'!$B$14)^AE13)</f>
        <v>0</v>
      </c>
      <c r="AI13" s="12">
        <f>IF(Q$8="",0,$J13/(1+'1.1 Other Data'!$B$14)*AE13)</f>
        <v>0</v>
      </c>
      <c r="AJ13" s="15">
        <f t="shared" si="24"/>
        <v>0</v>
      </c>
      <c r="AK13" s="12">
        <f t="shared" si="4"/>
        <v>0</v>
      </c>
      <c r="AL13" s="12">
        <f t="shared" si="5"/>
        <v>0</v>
      </c>
      <c r="AM13" s="12">
        <f t="shared" si="25"/>
        <v>0</v>
      </c>
      <c r="AN13" s="12">
        <f t="shared" si="26"/>
        <v>0</v>
      </c>
      <c r="AO13" s="12">
        <f t="shared" si="27"/>
        <v>0</v>
      </c>
      <c r="AP13" s="12">
        <f t="shared" si="28"/>
        <v>0</v>
      </c>
      <c r="AQ13" s="12">
        <f t="shared" si="29"/>
        <v>0</v>
      </c>
      <c r="AR13" s="12">
        <f t="shared" si="30"/>
        <v>0</v>
      </c>
      <c r="AS13" s="19" t="str">
        <f t="shared" si="31"/>
        <v/>
      </c>
      <c r="AT13" s="19">
        <f t="shared" si="6"/>
        <v>0</v>
      </c>
      <c r="AV13" s="48">
        <f t="shared" si="32"/>
        <v>0</v>
      </c>
      <c r="AW13" s="12">
        <f t="shared" si="33"/>
        <v>0</v>
      </c>
      <c r="AX13" s="12" t="str">
        <f t="shared" si="34"/>
        <v/>
      </c>
      <c r="AY13" s="12">
        <f>IF($A13="",0,$H13/(1+'1.1 Other Data'!$B$14)^AW13)</f>
        <v>0</v>
      </c>
      <c r="AZ13" s="12">
        <f>IF(A13="",0,$I13/(1+'1.1 Other Data'!$B$14)^AW13)</f>
        <v>0</v>
      </c>
      <c r="BA13" s="12">
        <f>IF(A13="",0,$J13/(1+'1.1 Other Data'!$B$14)*AW13)</f>
        <v>0</v>
      </c>
      <c r="BB13" s="15">
        <f t="shared" si="35"/>
        <v>0</v>
      </c>
      <c r="BC13" s="12">
        <f t="shared" si="7"/>
        <v>0</v>
      </c>
      <c r="BD13" s="12">
        <f t="shared" si="8"/>
        <v>0</v>
      </c>
      <c r="BE13" s="12">
        <f t="shared" si="36"/>
        <v>0</v>
      </c>
      <c r="BF13" s="12">
        <f t="shared" si="37"/>
        <v>0</v>
      </c>
      <c r="BG13" s="12">
        <f t="shared" si="38"/>
        <v>0</v>
      </c>
      <c r="BH13" s="12">
        <f t="shared" si="39"/>
        <v>0</v>
      </c>
      <c r="BI13" s="12">
        <f t="shared" si="40"/>
        <v>0</v>
      </c>
      <c r="BJ13" s="12">
        <f t="shared" si="41"/>
        <v>0</v>
      </c>
      <c r="BK13" s="19" t="str">
        <f t="shared" si="42"/>
        <v>Buy Spares</v>
      </c>
      <c r="BL13" s="19">
        <f t="shared" si="9"/>
        <v>0</v>
      </c>
    </row>
    <row r="14" spans="1:64" x14ac:dyDescent="0.25">
      <c r="A14" s="10" t="str">
        <f>'1.2 Sorting'!I14</f>
        <v/>
      </c>
      <c r="B14" s="10" cm="1">
        <f t="array" ref="B14">IF(A14="",0,INDEX(' 1.0 Asset Data'!B$8:B$75,MATCH(A14,' 1.0 Asset Data'!$A$8:$A$75,0),0))</f>
        <v>0</v>
      </c>
      <c r="C14" s="10" cm="1">
        <f t="array" ref="C14">IF(A14="",0,INDEX(' 1.0 Asset Data'!C$8:C$75,MATCH(A14,' 1.0 Asset Data'!$A$8:$A$75,0),0))</f>
        <v>0</v>
      </c>
      <c r="D14" s="14" cm="1">
        <f t="array" ref="D14">IF($A14="",0,INDEX(' 1.0 Asset Data'!F$8:F$75,MATCH($A14,' 1.0 Asset Data'!$A$8:$A$75,0),0))</f>
        <v>0</v>
      </c>
      <c r="E14" s="29" cm="1">
        <f t="array" ref="E14">IF($A14="",0,INDEX(' 1.0 Asset Data'!E$8:E$75,MATCH($A14,' 1.0 Asset Data'!$A$8:$A$75,0),0))</f>
        <v>0</v>
      </c>
      <c r="F14" s="26">
        <f t="shared" si="10"/>
        <v>0</v>
      </c>
      <c r="G14" s="27" t="str" cm="1">
        <f t="array" ref="G14">IF(A14="","",INDEX(' 1.0 Asset Data'!$J$8:$J$80,MATCH(A14,' 1.0 Asset Data'!$A$8:$A$80,0),0))</f>
        <v/>
      </c>
      <c r="H14" s="28" cm="1">
        <f t="array" ref="H14">IF($A14="",0,INDEX(' 1.0 Asset Data'!L$8:L$75,MATCH($A14,' 1.0 Asset Data'!$A$8:$A$75,0),0))</f>
        <v>0</v>
      </c>
      <c r="I14" s="28" cm="1">
        <f t="array" ref="I14">IF($A14="",0,INDEX(' 1.0 Asset Data'!N$8:N$75,MATCH($A14,' 1.0 Asset Data'!$A$8:$A$75,0),0))</f>
        <v>0</v>
      </c>
      <c r="J14" s="28" cm="1">
        <f t="array" ref="J14">IF($A14="",0,INDEX(' 1.0 Asset Data'!M$8:M$75,MATCH($A14,' 1.0 Asset Data'!$A$8:$A$75,0),0))</f>
        <v>0</v>
      </c>
      <c r="L14" s="48">
        <f t="shared" si="11"/>
        <v>0</v>
      </c>
      <c r="M14" s="12">
        <f t="shared" si="12"/>
        <v>0</v>
      </c>
      <c r="N14" s="12" t="str">
        <f t="shared" si="13"/>
        <v/>
      </c>
      <c r="O14" s="12">
        <f>IF($A14="",0,$H14/(1+'1.1 Other Data'!$B$14)^$M14)</f>
        <v>0</v>
      </c>
      <c r="P14" s="12">
        <f>IF($A14="",0,$I14/(1+'1.1 Other Data'!$B$14)^$M14)</f>
        <v>0</v>
      </c>
      <c r="Q14" s="12">
        <f>IF($A14="",0,$J14/(1+'1.1 Other Data'!$B$14)^$M14)</f>
        <v>0</v>
      </c>
      <c r="R14" s="15">
        <f t="shared" si="14"/>
        <v>0</v>
      </c>
      <c r="S14" s="12">
        <f t="shared" si="0"/>
        <v>0</v>
      </c>
      <c r="T14" s="12">
        <f t="shared" si="1"/>
        <v>0</v>
      </c>
      <c r="U14" s="12">
        <f t="shared" si="15"/>
        <v>0</v>
      </c>
      <c r="V14" s="12">
        <f t="shared" si="2"/>
        <v>0</v>
      </c>
      <c r="W14" s="12">
        <f t="shared" si="16"/>
        <v>0</v>
      </c>
      <c r="X14" s="12">
        <f t="shared" ref="X14" si="47">O14-W14</f>
        <v>0</v>
      </c>
      <c r="Y14" s="12">
        <f t="shared" si="18"/>
        <v>0</v>
      </c>
      <c r="Z14" s="12">
        <f t="shared" si="19"/>
        <v>0</v>
      </c>
      <c r="AA14" s="19" t="str">
        <f t="shared" si="20"/>
        <v/>
      </c>
      <c r="AB14" s="19">
        <f t="shared" si="3"/>
        <v>0</v>
      </c>
      <c r="AD14" s="48">
        <f t="shared" si="21"/>
        <v>0</v>
      </c>
      <c r="AE14" s="12">
        <f t="shared" si="22"/>
        <v>0</v>
      </c>
      <c r="AF14" s="12" t="str">
        <f t="shared" si="23"/>
        <v/>
      </c>
      <c r="AG14" s="12">
        <f>IF($A14="",0,$H14/(1+'1.1 Other Data'!$B$14)^AE14)</f>
        <v>0</v>
      </c>
      <c r="AH14" s="12">
        <f>IF(Q$8="",0,$I14/(1+'1.1 Other Data'!$B$14)^AE14)</f>
        <v>0</v>
      </c>
      <c r="AI14" s="12">
        <f>IF(Q$8="",0,$J14/(1+'1.1 Other Data'!$B$14)*AE14)</f>
        <v>0</v>
      </c>
      <c r="AJ14" s="15">
        <f t="shared" si="24"/>
        <v>0</v>
      </c>
      <c r="AK14" s="12">
        <f t="shared" si="4"/>
        <v>0</v>
      </c>
      <c r="AL14" s="12">
        <f t="shared" si="5"/>
        <v>0</v>
      </c>
      <c r="AM14" s="12">
        <f t="shared" si="25"/>
        <v>0</v>
      </c>
      <c r="AN14" s="12">
        <f t="shared" si="26"/>
        <v>0</v>
      </c>
      <c r="AO14" s="12">
        <f t="shared" si="27"/>
        <v>0</v>
      </c>
      <c r="AP14" s="12">
        <f t="shared" si="28"/>
        <v>0</v>
      </c>
      <c r="AQ14" s="12">
        <f t="shared" si="29"/>
        <v>0</v>
      </c>
      <c r="AR14" s="12">
        <f t="shared" si="30"/>
        <v>0</v>
      </c>
      <c r="AS14" s="19" t="str">
        <f t="shared" si="31"/>
        <v/>
      </c>
      <c r="AT14" s="19">
        <f t="shared" si="6"/>
        <v>0</v>
      </c>
      <c r="AV14" s="48">
        <f t="shared" si="32"/>
        <v>0</v>
      </c>
      <c r="AW14" s="12">
        <f t="shared" si="33"/>
        <v>0</v>
      </c>
      <c r="AX14" s="12" t="str">
        <f t="shared" si="34"/>
        <v/>
      </c>
      <c r="AY14" s="12">
        <f>IF($A14="",0,$H14/(1+'1.1 Other Data'!$B$14)^AW14)</f>
        <v>0</v>
      </c>
      <c r="AZ14" s="12">
        <f>IF(A14="",0,$I14/(1+'1.1 Other Data'!$B$14)^AW14)</f>
        <v>0</v>
      </c>
      <c r="BA14" s="12">
        <f>IF(A14="",0,$J14/(1+'1.1 Other Data'!$B$14)*AW14)</f>
        <v>0</v>
      </c>
      <c r="BB14" s="15">
        <f t="shared" si="35"/>
        <v>0</v>
      </c>
      <c r="BC14" s="12">
        <f t="shared" si="7"/>
        <v>0</v>
      </c>
      <c r="BD14" s="12">
        <f t="shared" si="8"/>
        <v>0</v>
      </c>
      <c r="BE14" s="12">
        <f t="shared" si="36"/>
        <v>0</v>
      </c>
      <c r="BF14" s="12">
        <f t="shared" si="37"/>
        <v>0</v>
      </c>
      <c r="BG14" s="12">
        <f t="shared" si="38"/>
        <v>0</v>
      </c>
      <c r="BH14" s="12">
        <f t="shared" si="39"/>
        <v>0</v>
      </c>
      <c r="BI14" s="12">
        <f t="shared" si="40"/>
        <v>0</v>
      </c>
      <c r="BJ14" s="12">
        <f t="shared" si="41"/>
        <v>0</v>
      </c>
      <c r="BK14" s="19" t="str">
        <f t="shared" si="42"/>
        <v>Buy Spares</v>
      </c>
      <c r="BL14" s="19">
        <f t="shared" si="9"/>
        <v>0</v>
      </c>
    </row>
    <row r="15" spans="1:64" x14ac:dyDescent="0.25">
      <c r="A15" s="10" t="str">
        <f>'1.2 Sorting'!I15</f>
        <v/>
      </c>
      <c r="B15" s="10" cm="1">
        <f t="array" ref="B15">IF(A15="",0,INDEX(' 1.0 Asset Data'!B$8:B$75,MATCH(A15,' 1.0 Asset Data'!$A$8:$A$75,0),0))</f>
        <v>0</v>
      </c>
      <c r="C15" s="10" cm="1">
        <f t="array" ref="C15">IF(A15="",0,INDEX(' 1.0 Asset Data'!C$8:C$75,MATCH(A15,' 1.0 Asset Data'!$A$8:$A$75,0),0))</f>
        <v>0</v>
      </c>
      <c r="D15" s="14" cm="1">
        <f t="array" ref="D15">IF($A15="",0,INDEX(' 1.0 Asset Data'!F$8:F$75,MATCH($A15,' 1.0 Asset Data'!$A$8:$A$75,0),0))</f>
        <v>0</v>
      </c>
      <c r="E15" s="29" cm="1">
        <f t="array" ref="E15">IF($A15="",0,INDEX(' 1.0 Asset Data'!E$8:E$75,MATCH($A15,' 1.0 Asset Data'!$A$8:$A$75,0),0))</f>
        <v>0</v>
      </c>
      <c r="F15" s="26">
        <f t="shared" si="10"/>
        <v>0</v>
      </c>
      <c r="G15" s="27" t="str" cm="1">
        <f t="array" ref="G15">IF(A15="","",INDEX(' 1.0 Asset Data'!$J$8:$J$80,MATCH(A15,' 1.0 Asset Data'!$A$8:$A$80,0),0))</f>
        <v/>
      </c>
      <c r="H15" s="28" cm="1">
        <f t="array" ref="H15">IF($A15="",0,INDEX(' 1.0 Asset Data'!L$8:L$75,MATCH($A15,' 1.0 Asset Data'!$A$8:$A$75,0),0))</f>
        <v>0</v>
      </c>
      <c r="I15" s="28" cm="1">
        <f t="array" ref="I15">IF($A15="",0,INDEX(' 1.0 Asset Data'!N$8:N$75,MATCH($A15,' 1.0 Asset Data'!$A$8:$A$75,0),0))</f>
        <v>0</v>
      </c>
      <c r="J15" s="28" cm="1">
        <f t="array" ref="J15">IF($A15="",0,INDEX(' 1.0 Asset Data'!M$8:M$75,MATCH($A15,' 1.0 Asset Data'!$A$8:$A$75,0),0))</f>
        <v>0</v>
      </c>
      <c r="L15" s="48">
        <f t="shared" si="11"/>
        <v>0</v>
      </c>
      <c r="M15" s="12">
        <f t="shared" si="12"/>
        <v>0</v>
      </c>
      <c r="N15" s="12" t="str">
        <f t="shared" si="13"/>
        <v/>
      </c>
      <c r="O15" s="12">
        <f>IF($A15="",0,$H15/(1+'1.1 Other Data'!$B$14)^$M15)</f>
        <v>0</v>
      </c>
      <c r="P15" s="12">
        <f>IF($A15="",0,$I15/(1+'1.1 Other Data'!$B$14)^$M15)</f>
        <v>0</v>
      </c>
      <c r="Q15" s="12">
        <f>IF($A15="",0,$J15/(1+'1.1 Other Data'!$B$14)^$M15)</f>
        <v>0</v>
      </c>
      <c r="R15" s="15">
        <f t="shared" si="14"/>
        <v>0</v>
      </c>
      <c r="S15" s="12">
        <f t="shared" si="0"/>
        <v>0</v>
      </c>
      <c r="T15" s="12">
        <f t="shared" si="1"/>
        <v>0</v>
      </c>
      <c r="U15" s="12">
        <f t="shared" si="15"/>
        <v>0</v>
      </c>
      <c r="V15" s="12">
        <f t="shared" si="2"/>
        <v>0</v>
      </c>
      <c r="W15" s="12">
        <f t="shared" si="16"/>
        <v>0</v>
      </c>
      <c r="X15" s="12">
        <f t="shared" ref="X15" si="48">O15-W15</f>
        <v>0</v>
      </c>
      <c r="Y15" s="12">
        <f t="shared" si="18"/>
        <v>0</v>
      </c>
      <c r="Z15" s="12">
        <f t="shared" si="19"/>
        <v>0</v>
      </c>
      <c r="AA15" s="19" t="str">
        <f t="shared" si="20"/>
        <v/>
      </c>
      <c r="AB15" s="19">
        <f t="shared" si="3"/>
        <v>0</v>
      </c>
      <c r="AD15" s="48">
        <f t="shared" si="21"/>
        <v>0</v>
      </c>
      <c r="AE15" s="12">
        <f t="shared" si="22"/>
        <v>0</v>
      </c>
      <c r="AF15" s="12" t="str">
        <f t="shared" si="23"/>
        <v/>
      </c>
      <c r="AG15" s="12">
        <f>IF($A15="",0,$H15/(1+'1.1 Other Data'!$B$14)^AE15)</f>
        <v>0</v>
      </c>
      <c r="AH15" s="12">
        <f>IF(Q$8="",0,$I15/(1+'1.1 Other Data'!$B$14)^AE15)</f>
        <v>0</v>
      </c>
      <c r="AI15" s="12">
        <f>IF(Q$8="",0,$J15/(1+'1.1 Other Data'!$B$14)*AE15)</f>
        <v>0</v>
      </c>
      <c r="AJ15" s="15">
        <f t="shared" si="24"/>
        <v>0</v>
      </c>
      <c r="AK15" s="12">
        <f t="shared" si="4"/>
        <v>0</v>
      </c>
      <c r="AL15" s="12">
        <f t="shared" si="5"/>
        <v>0</v>
      </c>
      <c r="AM15" s="12">
        <f t="shared" si="25"/>
        <v>0</v>
      </c>
      <c r="AN15" s="12">
        <f t="shared" si="26"/>
        <v>0</v>
      </c>
      <c r="AO15" s="12">
        <f t="shared" si="27"/>
        <v>0</v>
      </c>
      <c r="AP15" s="12">
        <f t="shared" si="28"/>
        <v>0</v>
      </c>
      <c r="AQ15" s="12">
        <f t="shared" si="29"/>
        <v>0</v>
      </c>
      <c r="AR15" s="12">
        <f t="shared" si="30"/>
        <v>0</v>
      </c>
      <c r="AS15" s="19" t="str">
        <f t="shared" si="31"/>
        <v/>
      </c>
      <c r="AT15" s="19">
        <f t="shared" si="6"/>
        <v>0</v>
      </c>
      <c r="AV15" s="48">
        <f t="shared" si="32"/>
        <v>0</v>
      </c>
      <c r="AW15" s="12">
        <f t="shared" si="33"/>
        <v>0</v>
      </c>
      <c r="AX15" s="12" t="str">
        <f t="shared" si="34"/>
        <v/>
      </c>
      <c r="AY15" s="12">
        <f>IF($A15="",0,$H15/(1+'1.1 Other Data'!$B$14)^AW15)</f>
        <v>0</v>
      </c>
      <c r="AZ15" s="12">
        <f>IF(A15="",0,$I15/(1+'1.1 Other Data'!$B$14)^AW15)</f>
        <v>0</v>
      </c>
      <c r="BA15" s="12">
        <f>IF(A15="",0,$J15/(1+'1.1 Other Data'!$B$14)*AW15)</f>
        <v>0</v>
      </c>
      <c r="BB15" s="15">
        <f t="shared" si="35"/>
        <v>0</v>
      </c>
      <c r="BC15" s="12">
        <f t="shared" si="7"/>
        <v>0</v>
      </c>
      <c r="BD15" s="12">
        <f t="shared" si="8"/>
        <v>0</v>
      </c>
      <c r="BE15" s="12">
        <f t="shared" si="36"/>
        <v>0</v>
      </c>
      <c r="BF15" s="12">
        <f t="shared" si="37"/>
        <v>0</v>
      </c>
      <c r="BG15" s="12">
        <f t="shared" si="38"/>
        <v>0</v>
      </c>
      <c r="BH15" s="12">
        <f t="shared" si="39"/>
        <v>0</v>
      </c>
      <c r="BI15" s="12">
        <f t="shared" si="40"/>
        <v>0</v>
      </c>
      <c r="BJ15" s="12">
        <f t="shared" si="41"/>
        <v>0</v>
      </c>
      <c r="BK15" s="19" t="str">
        <f t="shared" si="42"/>
        <v>Buy Spares</v>
      </c>
      <c r="BL15" s="19">
        <f t="shared" si="9"/>
        <v>0</v>
      </c>
    </row>
    <row r="16" spans="1:64" x14ac:dyDescent="0.25">
      <c r="A16" s="10" t="str">
        <f>'1.2 Sorting'!I16</f>
        <v/>
      </c>
      <c r="B16" s="10" cm="1">
        <f t="array" ref="B16">IF(A16="",0,INDEX(' 1.0 Asset Data'!B$8:B$75,MATCH(A16,' 1.0 Asset Data'!$A$8:$A$75,0),0))</f>
        <v>0</v>
      </c>
      <c r="C16" s="10" cm="1">
        <f t="array" ref="C16">IF(A16="",0,INDEX(' 1.0 Asset Data'!C$8:C$75,MATCH(A16,' 1.0 Asset Data'!$A$8:$A$75,0),0))</f>
        <v>0</v>
      </c>
      <c r="D16" s="14" cm="1">
        <f t="array" ref="D16">IF($A16="",0,INDEX(' 1.0 Asset Data'!F$8:F$75,MATCH($A16,' 1.0 Asset Data'!$A$8:$A$75,0),0))</f>
        <v>0</v>
      </c>
      <c r="E16" s="29" cm="1">
        <f t="array" ref="E16">IF($A16="",0,INDEX(' 1.0 Asset Data'!E$8:E$75,MATCH($A16,' 1.0 Asset Data'!$A$8:$A$75,0),0))</f>
        <v>0</v>
      </c>
      <c r="F16" s="26">
        <f t="shared" si="10"/>
        <v>0</v>
      </c>
      <c r="G16" s="27" t="str" cm="1">
        <f t="array" ref="G16">IF(A16="","",INDEX(' 1.0 Asset Data'!$J$8:$J$80,MATCH(A16,' 1.0 Asset Data'!$A$8:$A$80,0),0))</f>
        <v/>
      </c>
      <c r="H16" s="28" cm="1">
        <f t="array" ref="H16">IF($A16="",0,INDEX(' 1.0 Asset Data'!L$8:L$75,MATCH($A16,' 1.0 Asset Data'!$A$8:$A$75,0),0))</f>
        <v>0</v>
      </c>
      <c r="I16" s="28" cm="1">
        <f t="array" ref="I16">IF($A16="",0,INDEX(' 1.0 Asset Data'!N$8:N$75,MATCH($A16,' 1.0 Asset Data'!$A$8:$A$75,0),0))</f>
        <v>0</v>
      </c>
      <c r="J16" s="28" cm="1">
        <f t="array" ref="J16">IF($A16="",0,INDEX(' 1.0 Asset Data'!M$8:M$75,MATCH($A16,' 1.0 Asset Data'!$A$8:$A$75,0),0))</f>
        <v>0</v>
      </c>
      <c r="L16" s="48">
        <f t="shared" si="11"/>
        <v>0</v>
      </c>
      <c r="M16" s="12">
        <f t="shared" si="12"/>
        <v>0</v>
      </c>
      <c r="N16" s="12" t="str">
        <f t="shared" si="13"/>
        <v/>
      </c>
      <c r="O16" s="12">
        <f>IF($A16="",0,$H16/(1+'1.1 Other Data'!$B$14)^$M16)</f>
        <v>0</v>
      </c>
      <c r="P16" s="12">
        <f>IF($A16="",0,$I16/(1+'1.1 Other Data'!$B$14)^$M16)</f>
        <v>0</v>
      </c>
      <c r="Q16" s="12">
        <f>IF($A16="",0,$J16/(1+'1.1 Other Data'!$B$14)^$M16)</f>
        <v>0</v>
      </c>
      <c r="R16" s="15">
        <f t="shared" si="14"/>
        <v>0</v>
      </c>
      <c r="S16" s="12">
        <f t="shared" si="0"/>
        <v>0</v>
      </c>
      <c r="T16" s="12">
        <f t="shared" si="1"/>
        <v>0</v>
      </c>
      <c r="U16" s="12">
        <f t="shared" si="15"/>
        <v>0</v>
      </c>
      <c r="V16" s="12">
        <f t="shared" si="2"/>
        <v>0</v>
      </c>
      <c r="W16" s="12">
        <f t="shared" si="16"/>
        <v>0</v>
      </c>
      <c r="X16" s="12">
        <f t="shared" ref="X16" si="49">O16-W16</f>
        <v>0</v>
      </c>
      <c r="Y16" s="12">
        <f t="shared" si="18"/>
        <v>0</v>
      </c>
      <c r="Z16" s="12">
        <f t="shared" si="19"/>
        <v>0</v>
      </c>
      <c r="AA16" s="19" t="str">
        <f t="shared" si="20"/>
        <v/>
      </c>
      <c r="AB16" s="19">
        <f t="shared" si="3"/>
        <v>0</v>
      </c>
      <c r="AD16" s="48">
        <f t="shared" si="21"/>
        <v>0</v>
      </c>
      <c r="AE16" s="12">
        <f t="shared" si="22"/>
        <v>0</v>
      </c>
      <c r="AF16" s="12" t="str">
        <f t="shared" si="23"/>
        <v/>
      </c>
      <c r="AG16" s="12">
        <f>IF($A16="",0,$H16/(1+'1.1 Other Data'!$B$14)^AE16)</f>
        <v>0</v>
      </c>
      <c r="AH16" s="12">
        <f>IF(Q$8="",0,$I16/(1+'1.1 Other Data'!$B$14)^AE16)</f>
        <v>0</v>
      </c>
      <c r="AI16" s="12">
        <f>IF(Q$8="",0,$J16/(1+'1.1 Other Data'!$B$14)*AE16)</f>
        <v>0</v>
      </c>
      <c r="AJ16" s="15">
        <f t="shared" si="24"/>
        <v>0</v>
      </c>
      <c r="AK16" s="12">
        <f t="shared" si="4"/>
        <v>0</v>
      </c>
      <c r="AL16" s="12">
        <f t="shared" si="5"/>
        <v>0</v>
      </c>
      <c r="AM16" s="12">
        <f t="shared" si="25"/>
        <v>0</v>
      </c>
      <c r="AN16" s="12">
        <f t="shared" si="26"/>
        <v>0</v>
      </c>
      <c r="AO16" s="12">
        <f t="shared" si="27"/>
        <v>0</v>
      </c>
      <c r="AP16" s="12">
        <f t="shared" si="28"/>
        <v>0</v>
      </c>
      <c r="AQ16" s="12">
        <f t="shared" si="29"/>
        <v>0</v>
      </c>
      <c r="AR16" s="12">
        <f t="shared" si="30"/>
        <v>0</v>
      </c>
      <c r="AS16" s="19" t="str">
        <f t="shared" si="31"/>
        <v/>
      </c>
      <c r="AT16" s="19">
        <f t="shared" si="6"/>
        <v>0</v>
      </c>
      <c r="AV16" s="48">
        <f t="shared" si="32"/>
        <v>0</v>
      </c>
      <c r="AW16" s="12">
        <f t="shared" si="33"/>
        <v>0</v>
      </c>
      <c r="AX16" s="12" t="str">
        <f t="shared" si="34"/>
        <v/>
      </c>
      <c r="AY16" s="12">
        <f>IF($A16="",0,$H16/(1+'1.1 Other Data'!$B$14)^AW16)</f>
        <v>0</v>
      </c>
      <c r="AZ16" s="12">
        <f>IF(A16="",0,$I16/(1+'1.1 Other Data'!$B$14)^AW16)</f>
        <v>0</v>
      </c>
      <c r="BA16" s="12">
        <f>IF(A16="",0,$J16/(1+'1.1 Other Data'!$B$14)*AW16)</f>
        <v>0</v>
      </c>
      <c r="BB16" s="15">
        <f t="shared" si="35"/>
        <v>0</v>
      </c>
      <c r="BC16" s="12">
        <f t="shared" si="7"/>
        <v>0</v>
      </c>
      <c r="BD16" s="12">
        <f t="shared" si="8"/>
        <v>0</v>
      </c>
      <c r="BE16" s="12">
        <f t="shared" si="36"/>
        <v>0</v>
      </c>
      <c r="BF16" s="12">
        <f t="shared" si="37"/>
        <v>0</v>
      </c>
      <c r="BG16" s="12">
        <f t="shared" si="38"/>
        <v>0</v>
      </c>
      <c r="BH16" s="12">
        <f t="shared" si="39"/>
        <v>0</v>
      </c>
      <c r="BI16" s="12">
        <f t="shared" si="40"/>
        <v>0</v>
      </c>
      <c r="BJ16" s="12">
        <f t="shared" si="41"/>
        <v>0</v>
      </c>
      <c r="BK16" s="19" t="str">
        <f t="shared" si="42"/>
        <v>Buy Spares</v>
      </c>
      <c r="BL16" s="19">
        <f t="shared" si="9"/>
        <v>0</v>
      </c>
    </row>
    <row r="17" spans="1:64" x14ac:dyDescent="0.25">
      <c r="A17" s="10" t="str">
        <f>'1.2 Sorting'!I17</f>
        <v/>
      </c>
      <c r="B17" s="10" cm="1">
        <f t="array" ref="B17">IF(A17="",0,INDEX(' 1.0 Asset Data'!B$8:B$75,MATCH(A17,' 1.0 Asset Data'!$A$8:$A$75,0),0))</f>
        <v>0</v>
      </c>
      <c r="C17" s="10" cm="1">
        <f t="array" ref="C17">IF(A17="",0,INDEX(' 1.0 Asset Data'!C$8:C$75,MATCH(A17,' 1.0 Asset Data'!$A$8:$A$75,0),0))</f>
        <v>0</v>
      </c>
      <c r="D17" s="14" cm="1">
        <f t="array" ref="D17">IF($A17="",0,INDEX(' 1.0 Asset Data'!F$8:F$75,MATCH($A17,' 1.0 Asset Data'!$A$8:$A$75,0),0))</f>
        <v>0</v>
      </c>
      <c r="E17" s="29" cm="1">
        <f t="array" ref="E17">IF($A17="",0,INDEX(' 1.0 Asset Data'!E$8:E$75,MATCH($A17,' 1.0 Asset Data'!$A$8:$A$75,0),0))</f>
        <v>0</v>
      </c>
      <c r="F17" s="26">
        <f t="shared" si="10"/>
        <v>0</v>
      </c>
      <c r="G17" s="27" t="str" cm="1">
        <f t="array" ref="G17">IF(A17="","",INDEX(' 1.0 Asset Data'!$J$8:$J$80,MATCH(A17,' 1.0 Asset Data'!$A$8:$A$80,0),0))</f>
        <v/>
      </c>
      <c r="H17" s="28" cm="1">
        <f t="array" ref="H17">IF($A17="",0,INDEX(' 1.0 Asset Data'!L$8:L$75,MATCH($A17,' 1.0 Asset Data'!$A$8:$A$75,0),0))</f>
        <v>0</v>
      </c>
      <c r="I17" s="28" cm="1">
        <f t="array" ref="I17">IF($A17="",0,INDEX(' 1.0 Asset Data'!N$8:N$75,MATCH($A17,' 1.0 Asset Data'!$A$8:$A$75,0),0))</f>
        <v>0</v>
      </c>
      <c r="J17" s="28" cm="1">
        <f t="array" ref="J17">IF($A17="",0,INDEX(' 1.0 Asset Data'!M$8:M$75,MATCH($A17,' 1.0 Asset Data'!$A$8:$A$75,0),0))</f>
        <v>0</v>
      </c>
      <c r="L17" s="48">
        <f t="shared" si="11"/>
        <v>0</v>
      </c>
      <c r="M17" s="12">
        <f t="shared" si="12"/>
        <v>0</v>
      </c>
      <c r="N17" s="12" t="str">
        <f t="shared" si="13"/>
        <v/>
      </c>
      <c r="O17" s="12">
        <f>IF($A17="",0,$H17/(1+'1.1 Other Data'!$B$14)^$M17)</f>
        <v>0</v>
      </c>
      <c r="P17" s="12">
        <f>IF($A17="",0,$I17/(1+'1.1 Other Data'!$B$14)^$M17)</f>
        <v>0</v>
      </c>
      <c r="Q17" s="12">
        <f>IF($A17="",0,$J17/(1+'1.1 Other Data'!$B$14)^$M17)</f>
        <v>0</v>
      </c>
      <c r="R17" s="15">
        <f t="shared" si="14"/>
        <v>0</v>
      </c>
      <c r="S17" s="12">
        <f t="shared" si="0"/>
        <v>0</v>
      </c>
      <c r="T17" s="12">
        <f t="shared" si="1"/>
        <v>0</v>
      </c>
      <c r="U17" s="12">
        <f t="shared" si="15"/>
        <v>0</v>
      </c>
      <c r="V17" s="12">
        <f t="shared" si="2"/>
        <v>0</v>
      </c>
      <c r="W17" s="12">
        <f t="shared" si="16"/>
        <v>0</v>
      </c>
      <c r="X17" s="12">
        <f t="shared" ref="X17" si="50">O17-W17</f>
        <v>0</v>
      </c>
      <c r="Y17" s="12">
        <f t="shared" si="18"/>
        <v>0</v>
      </c>
      <c r="Z17" s="12">
        <f t="shared" si="19"/>
        <v>0</v>
      </c>
      <c r="AA17" s="19" t="str">
        <f t="shared" si="20"/>
        <v/>
      </c>
      <c r="AB17" s="19">
        <f t="shared" si="3"/>
        <v>0</v>
      </c>
      <c r="AD17" s="48">
        <f t="shared" si="21"/>
        <v>0</v>
      </c>
      <c r="AE17" s="12">
        <f t="shared" si="22"/>
        <v>0</v>
      </c>
      <c r="AF17" s="12" t="str">
        <f t="shared" si="23"/>
        <v/>
      </c>
      <c r="AG17" s="12">
        <f>IF($A17="",0,$H17/(1+'1.1 Other Data'!$B$14)^AE17)</f>
        <v>0</v>
      </c>
      <c r="AH17" s="12">
        <f>IF(Q$8="",0,$I17/(1+'1.1 Other Data'!$B$14)^AE17)</f>
        <v>0</v>
      </c>
      <c r="AI17" s="12">
        <f>IF(Q$8="",0,$J17/(1+'1.1 Other Data'!$B$14)*AE17)</f>
        <v>0</v>
      </c>
      <c r="AJ17" s="15">
        <f t="shared" si="24"/>
        <v>0</v>
      </c>
      <c r="AK17" s="12">
        <f t="shared" si="4"/>
        <v>0</v>
      </c>
      <c r="AL17" s="12">
        <f t="shared" si="5"/>
        <v>0</v>
      </c>
      <c r="AM17" s="12">
        <f t="shared" si="25"/>
        <v>0</v>
      </c>
      <c r="AN17" s="12">
        <f t="shared" si="26"/>
        <v>0</v>
      </c>
      <c r="AO17" s="12">
        <f t="shared" si="27"/>
        <v>0</v>
      </c>
      <c r="AP17" s="12">
        <f t="shared" si="28"/>
        <v>0</v>
      </c>
      <c r="AQ17" s="12">
        <f t="shared" si="29"/>
        <v>0</v>
      </c>
      <c r="AR17" s="12">
        <f t="shared" si="30"/>
        <v>0</v>
      </c>
      <c r="AS17" s="19" t="str">
        <f t="shared" si="31"/>
        <v/>
      </c>
      <c r="AT17" s="19">
        <f t="shared" si="6"/>
        <v>0</v>
      </c>
      <c r="AV17" s="48">
        <f t="shared" si="32"/>
        <v>0</v>
      </c>
      <c r="AW17" s="12">
        <f t="shared" si="33"/>
        <v>0</v>
      </c>
      <c r="AX17" s="12" t="str">
        <f t="shared" si="34"/>
        <v/>
      </c>
      <c r="AY17" s="12">
        <f>IF($A17="",0,$H17/(1+'1.1 Other Data'!$B$14)^AW17)</f>
        <v>0</v>
      </c>
      <c r="AZ17" s="12">
        <f>IF(A17="",0,$I17/(1+'1.1 Other Data'!$B$14)^AW17)</f>
        <v>0</v>
      </c>
      <c r="BA17" s="12">
        <f>IF(A17="",0,$J17/(1+'1.1 Other Data'!$B$14)*AW17)</f>
        <v>0</v>
      </c>
      <c r="BB17" s="15">
        <f t="shared" si="35"/>
        <v>0</v>
      </c>
      <c r="BC17" s="12">
        <f t="shared" si="7"/>
        <v>0</v>
      </c>
      <c r="BD17" s="12">
        <f t="shared" si="8"/>
        <v>0</v>
      </c>
      <c r="BE17" s="12">
        <f t="shared" si="36"/>
        <v>0</v>
      </c>
      <c r="BF17" s="12">
        <f t="shared" si="37"/>
        <v>0</v>
      </c>
      <c r="BG17" s="12">
        <f t="shared" si="38"/>
        <v>0</v>
      </c>
      <c r="BH17" s="12">
        <f t="shared" si="39"/>
        <v>0</v>
      </c>
      <c r="BI17" s="12">
        <f t="shared" si="40"/>
        <v>0</v>
      </c>
      <c r="BJ17" s="12">
        <f t="shared" si="41"/>
        <v>0</v>
      </c>
      <c r="BK17" s="19" t="str">
        <f t="shared" si="42"/>
        <v>Buy Spares</v>
      </c>
      <c r="BL17" s="19">
        <f t="shared" si="9"/>
        <v>0</v>
      </c>
    </row>
    <row r="18" spans="1:64" x14ac:dyDescent="0.25">
      <c r="A18" s="10" t="str">
        <f>'1.2 Sorting'!I18</f>
        <v/>
      </c>
      <c r="B18" s="10" cm="1">
        <f t="array" ref="B18">IF(A18="",0,INDEX(' 1.0 Asset Data'!B$8:B$75,MATCH(A18,' 1.0 Asset Data'!$A$8:$A$75,0),0))</f>
        <v>0</v>
      </c>
      <c r="C18" s="10" cm="1">
        <f t="array" ref="C18">IF(A18="",0,INDEX(' 1.0 Asset Data'!C$8:C$75,MATCH(A18,' 1.0 Asset Data'!$A$8:$A$75,0),0))</f>
        <v>0</v>
      </c>
      <c r="D18" s="14" cm="1">
        <f t="array" ref="D18">IF($A18="",0,INDEX(' 1.0 Asset Data'!F$8:F$75,MATCH($A18,' 1.0 Asset Data'!$A$8:$A$75,0),0))</f>
        <v>0</v>
      </c>
      <c r="E18" s="29" cm="1">
        <f t="array" ref="E18">IF($A18="",0,INDEX(' 1.0 Asset Data'!E$8:E$75,MATCH($A18,' 1.0 Asset Data'!$A$8:$A$75,0),0))</f>
        <v>0</v>
      </c>
      <c r="F18" s="26">
        <f t="shared" si="10"/>
        <v>0</v>
      </c>
      <c r="G18" s="27" t="str" cm="1">
        <f t="array" ref="G18">IF(A18="","",INDEX(' 1.0 Asset Data'!$J$8:$J$80,MATCH(A18,' 1.0 Asset Data'!$A$8:$A$80,0),0))</f>
        <v/>
      </c>
      <c r="H18" s="28" cm="1">
        <f t="array" ref="H18">IF($A18="",0,INDEX(' 1.0 Asset Data'!L$8:L$75,MATCH($A18,' 1.0 Asset Data'!$A$8:$A$75,0),0))</f>
        <v>0</v>
      </c>
      <c r="I18" s="28" cm="1">
        <f t="array" ref="I18">IF($A18="",0,INDEX(' 1.0 Asset Data'!N$8:N$75,MATCH($A18,' 1.0 Asset Data'!$A$8:$A$75,0),0))</f>
        <v>0</v>
      </c>
      <c r="J18" s="28" cm="1">
        <f t="array" ref="J18">IF($A18="",0,INDEX(' 1.0 Asset Data'!M$8:M$75,MATCH($A18,' 1.0 Asset Data'!$A$8:$A$75,0),0))</f>
        <v>0</v>
      </c>
      <c r="L18" s="48">
        <f t="shared" si="11"/>
        <v>0</v>
      </c>
      <c r="M18" s="12">
        <f t="shared" si="12"/>
        <v>0</v>
      </c>
      <c r="N18" s="12" t="str">
        <f t="shared" si="13"/>
        <v/>
      </c>
      <c r="O18" s="12">
        <f>IF($A18="",0,$H18/(1+'1.1 Other Data'!$B$14)^$M18)</f>
        <v>0</v>
      </c>
      <c r="P18" s="12">
        <f>IF($A18="",0,$I18/(1+'1.1 Other Data'!$B$14)^$M18)</f>
        <v>0</v>
      </c>
      <c r="Q18" s="12">
        <f>IF($A18="",0,$J18/(1+'1.1 Other Data'!$B$14)^$M18)</f>
        <v>0</v>
      </c>
      <c r="R18" s="15">
        <f t="shared" si="14"/>
        <v>0</v>
      </c>
      <c r="S18" s="12">
        <f t="shared" si="0"/>
        <v>0</v>
      </c>
      <c r="T18" s="12">
        <f t="shared" si="1"/>
        <v>0</v>
      </c>
      <c r="U18" s="12">
        <f t="shared" si="15"/>
        <v>0</v>
      </c>
      <c r="V18" s="12">
        <f t="shared" si="2"/>
        <v>0</v>
      </c>
      <c r="W18" s="12">
        <f t="shared" si="16"/>
        <v>0</v>
      </c>
      <c r="X18" s="12">
        <f t="shared" ref="X18" si="51">O18-W18</f>
        <v>0</v>
      </c>
      <c r="Y18" s="12">
        <f t="shared" si="18"/>
        <v>0</v>
      </c>
      <c r="Z18" s="12">
        <f t="shared" si="19"/>
        <v>0</v>
      </c>
      <c r="AA18" s="19" t="str">
        <f t="shared" si="20"/>
        <v/>
      </c>
      <c r="AB18" s="19">
        <f t="shared" si="3"/>
        <v>0</v>
      </c>
      <c r="AD18" s="48">
        <f t="shared" si="21"/>
        <v>0</v>
      </c>
      <c r="AE18" s="12">
        <f t="shared" si="22"/>
        <v>0</v>
      </c>
      <c r="AF18" s="12" t="str">
        <f t="shared" si="23"/>
        <v/>
      </c>
      <c r="AG18" s="12">
        <f>IF($A18="",0,$H18/(1+'1.1 Other Data'!$B$14)^AE18)</f>
        <v>0</v>
      </c>
      <c r="AH18" s="12">
        <f>IF(Q$8="",0,$I18/(1+'1.1 Other Data'!$B$14)^AE18)</f>
        <v>0</v>
      </c>
      <c r="AI18" s="12">
        <f>IF(Q$8="",0,$J18/(1+'1.1 Other Data'!$B$14)*AE18)</f>
        <v>0</v>
      </c>
      <c r="AJ18" s="15">
        <f t="shared" si="24"/>
        <v>0</v>
      </c>
      <c r="AK18" s="12">
        <f t="shared" si="4"/>
        <v>0</v>
      </c>
      <c r="AL18" s="12">
        <f t="shared" si="5"/>
        <v>0</v>
      </c>
      <c r="AM18" s="12">
        <f t="shared" si="25"/>
        <v>0</v>
      </c>
      <c r="AN18" s="12">
        <f t="shared" si="26"/>
        <v>0</v>
      </c>
      <c r="AO18" s="12">
        <f t="shared" si="27"/>
        <v>0</v>
      </c>
      <c r="AP18" s="12">
        <f t="shared" si="28"/>
        <v>0</v>
      </c>
      <c r="AQ18" s="12">
        <f t="shared" si="29"/>
        <v>0</v>
      </c>
      <c r="AR18" s="12">
        <f t="shared" si="30"/>
        <v>0</v>
      </c>
      <c r="AS18" s="19" t="str">
        <f t="shared" si="31"/>
        <v/>
      </c>
      <c r="AT18" s="19">
        <f t="shared" si="6"/>
        <v>0</v>
      </c>
      <c r="AV18" s="48">
        <f t="shared" si="32"/>
        <v>0</v>
      </c>
      <c r="AW18" s="12">
        <f t="shared" si="33"/>
        <v>0</v>
      </c>
      <c r="AX18" s="12" t="str">
        <f t="shared" si="34"/>
        <v/>
      </c>
      <c r="AY18" s="12">
        <f>IF($A18="",0,$H18/(1+'1.1 Other Data'!$B$14)^AW18)</f>
        <v>0</v>
      </c>
      <c r="AZ18" s="12">
        <f>IF(A18="",0,$I18/(1+'1.1 Other Data'!$B$14)^AW18)</f>
        <v>0</v>
      </c>
      <c r="BA18" s="12">
        <f>IF(A18="",0,$J18/(1+'1.1 Other Data'!$B$14)*AW18)</f>
        <v>0</v>
      </c>
      <c r="BB18" s="15">
        <f t="shared" si="35"/>
        <v>0</v>
      </c>
      <c r="BC18" s="12">
        <f t="shared" si="7"/>
        <v>0</v>
      </c>
      <c r="BD18" s="12">
        <f t="shared" si="8"/>
        <v>0</v>
      </c>
      <c r="BE18" s="12">
        <f t="shared" si="36"/>
        <v>0</v>
      </c>
      <c r="BF18" s="12">
        <f t="shared" si="37"/>
        <v>0</v>
      </c>
      <c r="BG18" s="12">
        <f t="shared" si="38"/>
        <v>0</v>
      </c>
      <c r="BH18" s="12">
        <f t="shared" si="39"/>
        <v>0</v>
      </c>
      <c r="BI18" s="12">
        <f t="shared" si="40"/>
        <v>0</v>
      </c>
      <c r="BJ18" s="12">
        <f t="shared" si="41"/>
        <v>0</v>
      </c>
      <c r="BK18" s="19" t="str">
        <f t="shared" si="42"/>
        <v>Buy Spares</v>
      </c>
      <c r="BL18" s="19">
        <f t="shared" si="9"/>
        <v>0</v>
      </c>
    </row>
    <row r="19" spans="1:64" x14ac:dyDescent="0.25">
      <c r="A19" s="10" t="str">
        <f>'1.2 Sorting'!I19</f>
        <v/>
      </c>
      <c r="B19" s="10" cm="1">
        <f t="array" ref="B19">IF(A19="",0,INDEX(' 1.0 Asset Data'!B$8:B$75,MATCH(A19,' 1.0 Asset Data'!$A$8:$A$75,0),0))</f>
        <v>0</v>
      </c>
      <c r="C19" s="10" cm="1">
        <f t="array" ref="C19">IF(A19="",0,INDEX(' 1.0 Asset Data'!C$8:C$75,MATCH(A19,' 1.0 Asset Data'!$A$8:$A$75,0),0))</f>
        <v>0</v>
      </c>
      <c r="D19" s="14" cm="1">
        <f t="array" ref="D19">IF($A19="",0,INDEX(' 1.0 Asset Data'!F$8:F$75,MATCH($A19,' 1.0 Asset Data'!$A$8:$A$75,0),0))</f>
        <v>0</v>
      </c>
      <c r="E19" s="29" cm="1">
        <f t="array" ref="E19">IF($A19="",0,INDEX(' 1.0 Asset Data'!E$8:E$75,MATCH($A19,' 1.0 Asset Data'!$A$8:$A$75,0),0))</f>
        <v>0</v>
      </c>
      <c r="F19" s="26">
        <f t="shared" si="10"/>
        <v>0</v>
      </c>
      <c r="G19" s="27" t="str" cm="1">
        <f t="array" ref="G19">IF(A19="","",INDEX(' 1.0 Asset Data'!$J$8:$J$80,MATCH(A19,' 1.0 Asset Data'!$A$8:$A$80,0),0))</f>
        <v/>
      </c>
      <c r="H19" s="28" cm="1">
        <f t="array" ref="H19">IF($A19="",0,INDEX(' 1.0 Asset Data'!L$8:L$75,MATCH($A19,' 1.0 Asset Data'!$A$8:$A$75,0),0))</f>
        <v>0</v>
      </c>
      <c r="I19" s="28" cm="1">
        <f t="array" ref="I19">IF($A19="",0,INDEX(' 1.0 Asset Data'!N$8:N$75,MATCH($A19,' 1.0 Asset Data'!$A$8:$A$75,0),0))</f>
        <v>0</v>
      </c>
      <c r="J19" s="28" cm="1">
        <f t="array" ref="J19">IF($A19="",0,INDEX(' 1.0 Asset Data'!M$8:M$75,MATCH($A19,' 1.0 Asset Data'!$A$8:$A$75,0),0))</f>
        <v>0</v>
      </c>
      <c r="L19" s="48">
        <f t="shared" si="11"/>
        <v>0</v>
      </c>
      <c r="M19" s="12">
        <f t="shared" si="12"/>
        <v>0</v>
      </c>
      <c r="N19" s="12" t="str">
        <f t="shared" si="13"/>
        <v/>
      </c>
      <c r="O19" s="12">
        <f>IF($A19="",0,$H19/(1+'1.1 Other Data'!$B$14)^$M19)</f>
        <v>0</v>
      </c>
      <c r="P19" s="12">
        <f>IF($A19="",0,$I19/(1+'1.1 Other Data'!$B$14)^$M19)</f>
        <v>0</v>
      </c>
      <c r="Q19" s="12">
        <f>IF($A19="",0,$J19/(1+'1.1 Other Data'!$B$14)^$M19)</f>
        <v>0</v>
      </c>
      <c r="R19" s="15">
        <f t="shared" si="14"/>
        <v>0</v>
      </c>
      <c r="S19" s="12">
        <f t="shared" si="0"/>
        <v>0</v>
      </c>
      <c r="T19" s="12">
        <f t="shared" si="1"/>
        <v>0</v>
      </c>
      <c r="U19" s="12">
        <f t="shared" si="15"/>
        <v>0</v>
      </c>
      <c r="V19" s="12">
        <f t="shared" si="2"/>
        <v>0</v>
      </c>
      <c r="W19" s="12">
        <f t="shared" si="16"/>
        <v>0</v>
      </c>
      <c r="X19" s="12">
        <f t="shared" ref="X19" si="52">O19-W19</f>
        <v>0</v>
      </c>
      <c r="Y19" s="12">
        <f t="shared" si="18"/>
        <v>0</v>
      </c>
      <c r="Z19" s="12">
        <f t="shared" si="19"/>
        <v>0</v>
      </c>
      <c r="AA19" s="19" t="str">
        <f t="shared" si="20"/>
        <v/>
      </c>
      <c r="AB19" s="19">
        <f t="shared" si="3"/>
        <v>0</v>
      </c>
      <c r="AD19" s="48">
        <f t="shared" si="21"/>
        <v>0</v>
      </c>
      <c r="AE19" s="12">
        <f t="shared" si="22"/>
        <v>0</v>
      </c>
      <c r="AF19" s="12" t="str">
        <f t="shared" si="23"/>
        <v/>
      </c>
      <c r="AG19" s="12">
        <f>IF($A19="",0,$H19/(1+'1.1 Other Data'!$B$14)^AE19)</f>
        <v>0</v>
      </c>
      <c r="AH19" s="12">
        <f>IF(Q$8="",0,$I19/(1+'1.1 Other Data'!$B$14)^AE19)</f>
        <v>0</v>
      </c>
      <c r="AI19" s="12">
        <f>IF(Q$8="",0,$J19/(1+'1.1 Other Data'!$B$14)*AE19)</f>
        <v>0</v>
      </c>
      <c r="AJ19" s="15">
        <f t="shared" si="24"/>
        <v>0</v>
      </c>
      <c r="AK19" s="12">
        <f t="shared" si="4"/>
        <v>0</v>
      </c>
      <c r="AL19" s="12">
        <f t="shared" si="5"/>
        <v>0</v>
      </c>
      <c r="AM19" s="12">
        <f t="shared" si="25"/>
        <v>0</v>
      </c>
      <c r="AN19" s="12">
        <f t="shared" si="26"/>
        <v>0</v>
      </c>
      <c r="AO19" s="12">
        <f t="shared" si="27"/>
        <v>0</v>
      </c>
      <c r="AP19" s="12">
        <f t="shared" si="28"/>
        <v>0</v>
      </c>
      <c r="AQ19" s="12">
        <f t="shared" si="29"/>
        <v>0</v>
      </c>
      <c r="AR19" s="12">
        <f t="shared" si="30"/>
        <v>0</v>
      </c>
      <c r="AS19" s="19" t="str">
        <f t="shared" si="31"/>
        <v/>
      </c>
      <c r="AT19" s="19">
        <f t="shared" si="6"/>
        <v>0</v>
      </c>
      <c r="AV19" s="48">
        <f t="shared" si="32"/>
        <v>0</v>
      </c>
      <c r="AW19" s="12">
        <f t="shared" si="33"/>
        <v>0</v>
      </c>
      <c r="AX19" s="12" t="str">
        <f t="shared" si="34"/>
        <v/>
      </c>
      <c r="AY19" s="12">
        <f>IF($A19="",0,$H19/(1+'1.1 Other Data'!$B$14)^AW19)</f>
        <v>0</v>
      </c>
      <c r="AZ19" s="12">
        <f>IF(A19="",0,$I19/(1+'1.1 Other Data'!$B$14)^AW19)</f>
        <v>0</v>
      </c>
      <c r="BA19" s="12">
        <f>IF(A19="",0,$J19/(1+'1.1 Other Data'!$B$14)*AW19)</f>
        <v>0</v>
      </c>
      <c r="BB19" s="15">
        <f t="shared" si="35"/>
        <v>0</v>
      </c>
      <c r="BC19" s="12">
        <f t="shared" si="7"/>
        <v>0</v>
      </c>
      <c r="BD19" s="12">
        <f t="shared" si="8"/>
        <v>0</v>
      </c>
      <c r="BE19" s="12">
        <f t="shared" si="36"/>
        <v>0</v>
      </c>
      <c r="BF19" s="12">
        <f t="shared" si="37"/>
        <v>0</v>
      </c>
      <c r="BG19" s="12">
        <f t="shared" si="38"/>
        <v>0</v>
      </c>
      <c r="BH19" s="12">
        <f t="shared" si="39"/>
        <v>0</v>
      </c>
      <c r="BI19" s="12">
        <f t="shared" si="40"/>
        <v>0</v>
      </c>
      <c r="BJ19" s="12">
        <f t="shared" si="41"/>
        <v>0</v>
      </c>
      <c r="BK19" s="19" t="str">
        <f t="shared" si="42"/>
        <v>Buy Spares</v>
      </c>
      <c r="BL19" s="19">
        <f t="shared" si="9"/>
        <v>0</v>
      </c>
    </row>
    <row r="20" spans="1:64" x14ac:dyDescent="0.25">
      <c r="A20" s="10" t="str">
        <f>'1.2 Sorting'!I20</f>
        <v/>
      </c>
      <c r="B20" s="10" cm="1">
        <f t="array" ref="B20">IF(A20="",0,INDEX(' 1.0 Asset Data'!B$8:B$75,MATCH(A20,' 1.0 Asset Data'!$A$8:$A$75,0),0))</f>
        <v>0</v>
      </c>
      <c r="C20" s="10" cm="1">
        <f t="array" ref="C20">IF(A20="",0,INDEX(' 1.0 Asset Data'!C$8:C$75,MATCH(A20,' 1.0 Asset Data'!$A$8:$A$75,0),0))</f>
        <v>0</v>
      </c>
      <c r="D20" s="14" cm="1">
        <f t="array" ref="D20">IF($A20="",0,INDEX(' 1.0 Asset Data'!F$8:F$75,MATCH($A20,' 1.0 Asset Data'!$A$8:$A$75,0),0))</f>
        <v>0</v>
      </c>
      <c r="E20" s="29" cm="1">
        <f t="array" ref="E20">IF($A20="",0,INDEX(' 1.0 Asset Data'!E$8:E$75,MATCH($A20,' 1.0 Asset Data'!$A$8:$A$75,0),0))</f>
        <v>0</v>
      </c>
      <c r="F20" s="26">
        <f t="shared" si="10"/>
        <v>0</v>
      </c>
      <c r="G20" s="27" t="str" cm="1">
        <f t="array" ref="G20">IF(A20="","",INDEX(' 1.0 Asset Data'!$J$8:$J$80,MATCH(A20,' 1.0 Asset Data'!$A$8:$A$80,0),0))</f>
        <v/>
      </c>
      <c r="H20" s="28" cm="1">
        <f t="array" ref="H20">IF($A20="",0,INDEX(' 1.0 Asset Data'!L$8:L$75,MATCH($A20,' 1.0 Asset Data'!$A$8:$A$75,0),0))</f>
        <v>0</v>
      </c>
      <c r="I20" s="28" cm="1">
        <f t="array" ref="I20">IF($A20="",0,INDEX(' 1.0 Asset Data'!N$8:N$75,MATCH($A20,' 1.0 Asset Data'!$A$8:$A$75,0),0))</f>
        <v>0</v>
      </c>
      <c r="J20" s="28" cm="1">
        <f t="array" ref="J20">IF($A20="",0,INDEX(' 1.0 Asset Data'!M$8:M$75,MATCH($A20,' 1.0 Asset Data'!$A$8:$A$75,0),0))</f>
        <v>0</v>
      </c>
      <c r="L20" s="48">
        <f t="shared" si="11"/>
        <v>0</v>
      </c>
      <c r="M20" s="12">
        <f t="shared" si="12"/>
        <v>0</v>
      </c>
      <c r="N20" s="12" t="str">
        <f t="shared" si="13"/>
        <v/>
      </c>
      <c r="O20" s="12">
        <f>IF($A20="",0,$H20/(1+'1.1 Other Data'!$B$14)^$M20)</f>
        <v>0</v>
      </c>
      <c r="P20" s="12">
        <f>IF($A20="",0,$I20/(1+'1.1 Other Data'!$B$14)^$M20)</f>
        <v>0</v>
      </c>
      <c r="Q20" s="12">
        <f>IF($A20="",0,$J20/(1+'1.1 Other Data'!$B$14)^$M20)</f>
        <v>0</v>
      </c>
      <c r="R20" s="15">
        <f t="shared" si="14"/>
        <v>0</v>
      </c>
      <c r="S20" s="12">
        <f t="shared" si="0"/>
        <v>0</v>
      </c>
      <c r="T20" s="12">
        <f t="shared" si="1"/>
        <v>0</v>
      </c>
      <c r="U20" s="12">
        <f t="shared" si="15"/>
        <v>0</v>
      </c>
      <c r="V20" s="12">
        <f t="shared" si="2"/>
        <v>0</v>
      </c>
      <c r="W20" s="12">
        <f t="shared" si="16"/>
        <v>0</v>
      </c>
      <c r="X20" s="12">
        <f t="shared" ref="X20" si="53">O20-W20</f>
        <v>0</v>
      </c>
      <c r="Y20" s="12">
        <f t="shared" si="18"/>
        <v>0</v>
      </c>
      <c r="Z20" s="12">
        <f t="shared" si="19"/>
        <v>0</v>
      </c>
      <c r="AA20" s="19" t="str">
        <f t="shared" si="20"/>
        <v/>
      </c>
      <c r="AB20" s="19">
        <f t="shared" si="3"/>
        <v>0</v>
      </c>
      <c r="AD20" s="48">
        <f t="shared" si="21"/>
        <v>0</v>
      </c>
      <c r="AE20" s="12">
        <f t="shared" si="22"/>
        <v>0</v>
      </c>
      <c r="AF20" s="12" t="str">
        <f t="shared" si="23"/>
        <v/>
      </c>
      <c r="AG20" s="12">
        <f>IF($A20="",0,$H20/(1+'1.1 Other Data'!$B$14)^AE20)</f>
        <v>0</v>
      </c>
      <c r="AH20" s="12">
        <f>IF(Q$8="",0,$I20/(1+'1.1 Other Data'!$B$14)^AE20)</f>
        <v>0</v>
      </c>
      <c r="AI20" s="12">
        <f>IF(Q$8="",0,$J20/(1+'1.1 Other Data'!$B$14)*AE20)</f>
        <v>0</v>
      </c>
      <c r="AJ20" s="15">
        <f t="shared" si="24"/>
        <v>0</v>
      </c>
      <c r="AK20" s="12">
        <f t="shared" si="4"/>
        <v>0</v>
      </c>
      <c r="AL20" s="12">
        <f t="shared" si="5"/>
        <v>0</v>
      </c>
      <c r="AM20" s="12">
        <f t="shared" si="25"/>
        <v>0</v>
      </c>
      <c r="AN20" s="12">
        <f t="shared" si="26"/>
        <v>0</v>
      </c>
      <c r="AO20" s="12">
        <f t="shared" si="27"/>
        <v>0</v>
      </c>
      <c r="AP20" s="12">
        <f t="shared" si="28"/>
        <v>0</v>
      </c>
      <c r="AQ20" s="12">
        <f t="shared" si="29"/>
        <v>0</v>
      </c>
      <c r="AR20" s="12">
        <f t="shared" si="30"/>
        <v>0</v>
      </c>
      <c r="AS20" s="19" t="str">
        <f t="shared" si="31"/>
        <v/>
      </c>
      <c r="AT20" s="19">
        <f t="shared" si="6"/>
        <v>0</v>
      </c>
      <c r="AV20" s="48">
        <f t="shared" si="32"/>
        <v>0</v>
      </c>
      <c r="AW20" s="12">
        <f t="shared" si="33"/>
        <v>0</v>
      </c>
      <c r="AX20" s="12" t="str">
        <f t="shared" si="34"/>
        <v/>
      </c>
      <c r="AY20" s="12">
        <f>IF($A20="",0,$H20/(1+'1.1 Other Data'!$B$14)^AW20)</f>
        <v>0</v>
      </c>
      <c r="AZ20" s="12">
        <f>IF(A20="",0,$I20/(1+'1.1 Other Data'!$B$14)^AW20)</f>
        <v>0</v>
      </c>
      <c r="BA20" s="12">
        <f>IF(A20="",0,$J20/(1+'1.1 Other Data'!$B$14)*AW20)</f>
        <v>0</v>
      </c>
      <c r="BB20" s="15">
        <f t="shared" si="35"/>
        <v>0</v>
      </c>
      <c r="BC20" s="12">
        <f t="shared" si="7"/>
        <v>0</v>
      </c>
      <c r="BD20" s="12">
        <f t="shared" si="8"/>
        <v>0</v>
      </c>
      <c r="BE20" s="12">
        <f t="shared" si="36"/>
        <v>0</v>
      </c>
      <c r="BF20" s="12">
        <f t="shared" si="37"/>
        <v>0</v>
      </c>
      <c r="BG20" s="12">
        <f t="shared" si="38"/>
        <v>0</v>
      </c>
      <c r="BH20" s="12">
        <f t="shared" si="39"/>
        <v>0</v>
      </c>
      <c r="BI20" s="12">
        <f t="shared" si="40"/>
        <v>0</v>
      </c>
      <c r="BJ20" s="12">
        <f t="shared" si="41"/>
        <v>0</v>
      </c>
      <c r="BK20" s="19" t="str">
        <f t="shared" si="42"/>
        <v>Buy Spares</v>
      </c>
      <c r="BL20" s="19">
        <f t="shared" si="9"/>
        <v>0</v>
      </c>
    </row>
    <row r="21" spans="1:64" x14ac:dyDescent="0.25">
      <c r="A21" s="10" t="str">
        <f>'1.2 Sorting'!I21</f>
        <v/>
      </c>
      <c r="B21" s="10" cm="1">
        <f t="array" ref="B21">IF(A21="",0,INDEX(' 1.0 Asset Data'!B$8:B$75,MATCH(A21,' 1.0 Asset Data'!$A$8:$A$75,0),0))</f>
        <v>0</v>
      </c>
      <c r="C21" s="10" cm="1">
        <f t="array" ref="C21">IF(A21="",0,INDEX(' 1.0 Asset Data'!C$8:C$75,MATCH(A21,' 1.0 Asset Data'!$A$8:$A$75,0),0))</f>
        <v>0</v>
      </c>
      <c r="D21" s="14" cm="1">
        <f t="array" ref="D21">IF($A21="",0,INDEX(' 1.0 Asset Data'!F$8:F$75,MATCH($A21,' 1.0 Asset Data'!$A$8:$A$75,0),0))</f>
        <v>0</v>
      </c>
      <c r="E21" s="29" cm="1">
        <f t="array" ref="E21">IF($A21="",0,INDEX(' 1.0 Asset Data'!E$8:E$75,MATCH($A21,' 1.0 Asset Data'!$A$8:$A$75,0),0))</f>
        <v>0</v>
      </c>
      <c r="F21" s="26">
        <f t="shared" si="10"/>
        <v>0</v>
      </c>
      <c r="G21" s="27" t="str" cm="1">
        <f t="array" ref="G21">IF(A21="","",INDEX(' 1.0 Asset Data'!$J$8:$J$80,MATCH(A21,' 1.0 Asset Data'!$A$8:$A$80,0),0))</f>
        <v/>
      </c>
      <c r="H21" s="28" cm="1">
        <f t="array" ref="H21">IF($A21="",0,INDEX(' 1.0 Asset Data'!L$8:L$75,MATCH($A21,' 1.0 Asset Data'!$A$8:$A$75,0),0))</f>
        <v>0</v>
      </c>
      <c r="I21" s="28" cm="1">
        <f t="array" ref="I21">IF($A21="",0,INDEX(' 1.0 Asset Data'!N$8:N$75,MATCH($A21,' 1.0 Asset Data'!$A$8:$A$75,0),0))</f>
        <v>0</v>
      </c>
      <c r="J21" s="28" cm="1">
        <f t="array" ref="J21">IF($A21="",0,INDEX(' 1.0 Asset Data'!M$8:M$75,MATCH($A21,' 1.0 Asset Data'!$A$8:$A$75,0),0))</f>
        <v>0</v>
      </c>
      <c r="L21" s="48">
        <f t="shared" si="11"/>
        <v>0</v>
      </c>
      <c r="M21" s="12">
        <f t="shared" si="12"/>
        <v>0</v>
      </c>
      <c r="N21" s="12" t="str">
        <f t="shared" si="13"/>
        <v/>
      </c>
      <c r="O21" s="12">
        <f>IF($A21="",0,$H21/(1+'1.1 Other Data'!$B$14)^$M21)</f>
        <v>0</v>
      </c>
      <c r="P21" s="12">
        <f>IF($A21="",0,$I21/(1+'1.1 Other Data'!$B$14)^$M21)</f>
        <v>0</v>
      </c>
      <c r="Q21" s="12">
        <f>IF($A21="",0,$J21/(1+'1.1 Other Data'!$B$14)^$M21)</f>
        <v>0</v>
      </c>
      <c r="R21" s="15">
        <f t="shared" si="14"/>
        <v>0</v>
      </c>
      <c r="S21" s="12">
        <f t="shared" si="0"/>
        <v>0</v>
      </c>
      <c r="T21" s="12">
        <f t="shared" si="1"/>
        <v>0</v>
      </c>
      <c r="U21" s="12">
        <f t="shared" si="15"/>
        <v>0</v>
      </c>
      <c r="V21" s="12">
        <f t="shared" si="2"/>
        <v>0</v>
      </c>
      <c r="W21" s="12">
        <f t="shared" si="16"/>
        <v>0</v>
      </c>
      <c r="X21" s="12">
        <f t="shared" ref="X21" si="54">O21-W21</f>
        <v>0</v>
      </c>
      <c r="Y21" s="12">
        <f t="shared" si="18"/>
        <v>0</v>
      </c>
      <c r="Z21" s="12">
        <f t="shared" si="19"/>
        <v>0</v>
      </c>
      <c r="AA21" s="19" t="str">
        <f t="shared" si="20"/>
        <v/>
      </c>
      <c r="AB21" s="19">
        <f t="shared" si="3"/>
        <v>0</v>
      </c>
      <c r="AD21" s="48">
        <f t="shared" si="21"/>
        <v>0</v>
      </c>
      <c r="AE21" s="12">
        <f t="shared" si="22"/>
        <v>0</v>
      </c>
      <c r="AF21" s="12" t="str">
        <f t="shared" si="23"/>
        <v/>
      </c>
      <c r="AG21" s="12">
        <f>IF($A21="",0,$H21/(1+'1.1 Other Data'!$B$14)^AE21)</f>
        <v>0</v>
      </c>
      <c r="AH21" s="12">
        <f>IF(Q$8="",0,$I21/(1+'1.1 Other Data'!$B$14)^AE21)</f>
        <v>0</v>
      </c>
      <c r="AI21" s="12">
        <f>IF(Q$8="",0,$J21/(1+'1.1 Other Data'!$B$14)*AE21)</f>
        <v>0</v>
      </c>
      <c r="AJ21" s="15">
        <f t="shared" si="24"/>
        <v>0</v>
      </c>
      <c r="AK21" s="12">
        <f t="shared" si="4"/>
        <v>0</v>
      </c>
      <c r="AL21" s="12">
        <f t="shared" si="5"/>
        <v>0</v>
      </c>
      <c r="AM21" s="12">
        <f t="shared" si="25"/>
        <v>0</v>
      </c>
      <c r="AN21" s="12">
        <f t="shared" si="26"/>
        <v>0</v>
      </c>
      <c r="AO21" s="12">
        <f t="shared" si="27"/>
        <v>0</v>
      </c>
      <c r="AP21" s="12">
        <f t="shared" si="28"/>
        <v>0</v>
      </c>
      <c r="AQ21" s="12">
        <f t="shared" si="29"/>
        <v>0</v>
      </c>
      <c r="AR21" s="12">
        <f t="shared" si="30"/>
        <v>0</v>
      </c>
      <c r="AS21" s="19" t="str">
        <f t="shared" si="31"/>
        <v/>
      </c>
      <c r="AT21" s="19">
        <f t="shared" si="6"/>
        <v>0</v>
      </c>
      <c r="AV21" s="48">
        <f t="shared" si="32"/>
        <v>0</v>
      </c>
      <c r="AW21" s="12">
        <f t="shared" si="33"/>
        <v>0</v>
      </c>
      <c r="AX21" s="12" t="str">
        <f t="shared" si="34"/>
        <v/>
      </c>
      <c r="AY21" s="12">
        <f>IF($A21="",0,$H21/(1+'1.1 Other Data'!$B$14)^AW21)</f>
        <v>0</v>
      </c>
      <c r="AZ21" s="12">
        <f>IF(A21="",0,$I21/(1+'1.1 Other Data'!$B$14)^AW21)</f>
        <v>0</v>
      </c>
      <c r="BA21" s="12">
        <f>IF(A21="",0,$J21/(1+'1.1 Other Data'!$B$14)*AW21)</f>
        <v>0</v>
      </c>
      <c r="BB21" s="15">
        <f t="shared" si="35"/>
        <v>0</v>
      </c>
      <c r="BC21" s="12">
        <f t="shared" si="7"/>
        <v>0</v>
      </c>
      <c r="BD21" s="12">
        <f t="shared" si="8"/>
        <v>0</v>
      </c>
      <c r="BE21" s="12">
        <f t="shared" si="36"/>
        <v>0</v>
      </c>
      <c r="BF21" s="12">
        <f t="shared" si="37"/>
        <v>0</v>
      </c>
      <c r="BG21" s="12">
        <f t="shared" si="38"/>
        <v>0</v>
      </c>
      <c r="BH21" s="12">
        <f t="shared" si="39"/>
        <v>0</v>
      </c>
      <c r="BI21" s="12">
        <f t="shared" si="40"/>
        <v>0</v>
      </c>
      <c r="BJ21" s="12">
        <f t="shared" si="41"/>
        <v>0</v>
      </c>
      <c r="BK21" s="19" t="str">
        <f t="shared" si="42"/>
        <v>Buy Spares</v>
      </c>
      <c r="BL21" s="19">
        <f t="shared" si="9"/>
        <v>0</v>
      </c>
    </row>
    <row r="22" spans="1:64" x14ac:dyDescent="0.25">
      <c r="A22" s="10" t="str">
        <f>'1.2 Sorting'!I22</f>
        <v/>
      </c>
      <c r="B22" s="10" cm="1">
        <f t="array" ref="B22">IF(A22="",0,INDEX(' 1.0 Asset Data'!B$8:B$75,MATCH(A22,' 1.0 Asset Data'!$A$8:$A$75,0),0))</f>
        <v>0</v>
      </c>
      <c r="C22" s="10" cm="1">
        <f t="array" ref="C22">IF(A22="",0,INDEX(' 1.0 Asset Data'!C$8:C$75,MATCH(A22,' 1.0 Asset Data'!$A$8:$A$75,0),0))</f>
        <v>0</v>
      </c>
      <c r="D22" s="14" cm="1">
        <f t="array" ref="D22">IF($A22="",0,INDEX(' 1.0 Asset Data'!F$8:F$75,MATCH($A22,' 1.0 Asset Data'!$A$8:$A$75,0),0))</f>
        <v>0</v>
      </c>
      <c r="E22" s="29" cm="1">
        <f t="array" ref="E22">IF($A22="",0,INDEX(' 1.0 Asset Data'!E$8:E$75,MATCH($A22,' 1.0 Asset Data'!$A$8:$A$75,0),0))</f>
        <v>0</v>
      </c>
      <c r="F22" s="26">
        <f t="shared" si="10"/>
        <v>0</v>
      </c>
      <c r="G22" s="27" t="str" cm="1">
        <f t="array" ref="G22">IF(A22="","",INDEX(' 1.0 Asset Data'!$J$8:$J$80,MATCH(A22,' 1.0 Asset Data'!$A$8:$A$80,0),0))</f>
        <v/>
      </c>
      <c r="H22" s="28" cm="1">
        <f t="array" ref="H22">IF($A22="",0,INDEX(' 1.0 Asset Data'!L$8:L$75,MATCH($A22,' 1.0 Asset Data'!$A$8:$A$75,0),0))</f>
        <v>0</v>
      </c>
      <c r="I22" s="28" cm="1">
        <f t="array" ref="I22">IF($A22="",0,INDEX(' 1.0 Asset Data'!N$8:N$75,MATCH($A22,' 1.0 Asset Data'!$A$8:$A$75,0),0))</f>
        <v>0</v>
      </c>
      <c r="J22" s="28" cm="1">
        <f t="array" ref="J22">IF($A22="",0,INDEX(' 1.0 Asset Data'!M$8:M$75,MATCH($A22,' 1.0 Asset Data'!$A$8:$A$75,0),0))</f>
        <v>0</v>
      </c>
      <c r="L22" s="48">
        <f t="shared" si="11"/>
        <v>0</v>
      </c>
      <c r="M22" s="12">
        <f t="shared" si="12"/>
        <v>0</v>
      </c>
      <c r="N22" s="12" t="str">
        <f t="shared" si="13"/>
        <v/>
      </c>
      <c r="O22" s="12">
        <f>IF($A22="",0,$H22/(1+'1.1 Other Data'!$B$14)^$M22)</f>
        <v>0</v>
      </c>
      <c r="P22" s="12">
        <f>IF($A22="",0,$I22/(1+'1.1 Other Data'!$B$14)^$M22)</f>
        <v>0</v>
      </c>
      <c r="Q22" s="12">
        <f>IF($A22="",0,$J22/(1+'1.1 Other Data'!$B$14)^$M22)</f>
        <v>0</v>
      </c>
      <c r="R22" s="15">
        <f t="shared" si="14"/>
        <v>0</v>
      </c>
      <c r="S22" s="12">
        <f t="shared" si="0"/>
        <v>0</v>
      </c>
      <c r="T22" s="12">
        <f t="shared" si="1"/>
        <v>0</v>
      </c>
      <c r="U22" s="12">
        <f t="shared" si="15"/>
        <v>0</v>
      </c>
      <c r="V22" s="12">
        <f t="shared" si="2"/>
        <v>0</v>
      </c>
      <c r="W22" s="12">
        <f t="shared" si="16"/>
        <v>0</v>
      </c>
      <c r="X22" s="12">
        <f t="shared" ref="X22" si="55">O22-W22</f>
        <v>0</v>
      </c>
      <c r="Y22" s="12">
        <f t="shared" si="18"/>
        <v>0</v>
      </c>
      <c r="Z22" s="12">
        <f t="shared" si="19"/>
        <v>0</v>
      </c>
      <c r="AA22" s="19" t="str">
        <f t="shared" si="20"/>
        <v/>
      </c>
      <c r="AB22" s="19">
        <f t="shared" si="3"/>
        <v>0</v>
      </c>
      <c r="AD22" s="48">
        <f t="shared" si="21"/>
        <v>0</v>
      </c>
      <c r="AE22" s="12">
        <f t="shared" si="22"/>
        <v>0</v>
      </c>
      <c r="AF22" s="12" t="str">
        <f t="shared" si="23"/>
        <v/>
      </c>
      <c r="AG22" s="12">
        <f>IF($A22="",0,$H22/(1+'1.1 Other Data'!$B$14)^AE22)</f>
        <v>0</v>
      </c>
      <c r="AH22" s="12">
        <f>IF(Q$8="",0,$I22/(1+'1.1 Other Data'!$B$14)^AE22)</f>
        <v>0</v>
      </c>
      <c r="AI22" s="12">
        <f>IF(Q$8="",0,$J22/(1+'1.1 Other Data'!$B$14)*AE22)</f>
        <v>0</v>
      </c>
      <c r="AJ22" s="15">
        <f t="shared" si="24"/>
        <v>0</v>
      </c>
      <c r="AK22" s="12">
        <f t="shared" si="4"/>
        <v>0</v>
      </c>
      <c r="AL22" s="12">
        <f t="shared" si="5"/>
        <v>0</v>
      </c>
      <c r="AM22" s="12">
        <f t="shared" si="25"/>
        <v>0</v>
      </c>
      <c r="AN22" s="12">
        <f t="shared" si="26"/>
        <v>0</v>
      </c>
      <c r="AO22" s="12">
        <f t="shared" si="27"/>
        <v>0</v>
      </c>
      <c r="AP22" s="12">
        <f t="shared" si="28"/>
        <v>0</v>
      </c>
      <c r="AQ22" s="12">
        <f t="shared" si="29"/>
        <v>0</v>
      </c>
      <c r="AR22" s="12">
        <f t="shared" si="30"/>
        <v>0</v>
      </c>
      <c r="AS22" s="19" t="str">
        <f t="shared" si="31"/>
        <v/>
      </c>
      <c r="AT22" s="19">
        <f t="shared" si="6"/>
        <v>0</v>
      </c>
      <c r="AV22" s="48">
        <f t="shared" si="32"/>
        <v>0</v>
      </c>
      <c r="AW22" s="12">
        <f t="shared" si="33"/>
        <v>0</v>
      </c>
      <c r="AX22" s="12" t="str">
        <f t="shared" si="34"/>
        <v/>
      </c>
      <c r="AY22" s="12">
        <f>IF($A22="",0,$H22/(1+'1.1 Other Data'!$B$14)^AW22)</f>
        <v>0</v>
      </c>
      <c r="AZ22" s="12">
        <f>IF(A22="",0,$I22/(1+'1.1 Other Data'!$B$14)^AW22)</f>
        <v>0</v>
      </c>
      <c r="BA22" s="12">
        <f>IF(A22="",0,$J22/(1+'1.1 Other Data'!$B$14)*AW22)</f>
        <v>0</v>
      </c>
      <c r="BB22" s="15">
        <f t="shared" si="35"/>
        <v>0</v>
      </c>
      <c r="BC22" s="12">
        <f t="shared" si="7"/>
        <v>0</v>
      </c>
      <c r="BD22" s="12">
        <f t="shared" si="8"/>
        <v>0</v>
      </c>
      <c r="BE22" s="12">
        <f t="shared" si="36"/>
        <v>0</v>
      </c>
      <c r="BF22" s="12">
        <f t="shared" si="37"/>
        <v>0</v>
      </c>
      <c r="BG22" s="12">
        <f t="shared" si="38"/>
        <v>0</v>
      </c>
      <c r="BH22" s="12">
        <f t="shared" si="39"/>
        <v>0</v>
      </c>
      <c r="BI22" s="12">
        <f t="shared" si="40"/>
        <v>0</v>
      </c>
      <c r="BJ22" s="12">
        <f t="shared" si="41"/>
        <v>0</v>
      </c>
      <c r="BK22" s="19" t="str">
        <f t="shared" si="42"/>
        <v>Buy Spares</v>
      </c>
      <c r="BL22" s="19">
        <f t="shared" si="9"/>
        <v>0</v>
      </c>
    </row>
    <row r="23" spans="1:64" x14ac:dyDescent="0.25">
      <c r="A23" s="10" t="str">
        <f>'1.2 Sorting'!I23</f>
        <v/>
      </c>
      <c r="B23" s="10" cm="1">
        <f t="array" ref="B23">IF(A23="",0,INDEX(' 1.0 Asset Data'!B$8:B$75,MATCH(A23,' 1.0 Asset Data'!$A$8:$A$75,0),0))</f>
        <v>0</v>
      </c>
      <c r="C23" s="10" cm="1">
        <f t="array" ref="C23">IF(A23="",0,INDEX(' 1.0 Asset Data'!C$8:C$75,MATCH(A23,' 1.0 Asset Data'!$A$8:$A$75,0),0))</f>
        <v>0</v>
      </c>
      <c r="D23" s="14" cm="1">
        <f t="array" ref="D23">IF($A23="",0,INDEX(' 1.0 Asset Data'!F$8:F$75,MATCH($A23,' 1.0 Asset Data'!$A$8:$A$75,0),0))</f>
        <v>0</v>
      </c>
      <c r="E23" s="29" cm="1">
        <f t="array" ref="E23">IF($A23="",0,INDEX(' 1.0 Asset Data'!E$8:E$75,MATCH($A23,' 1.0 Asset Data'!$A$8:$A$75,0),0))</f>
        <v>0</v>
      </c>
      <c r="F23" s="26">
        <f t="shared" si="10"/>
        <v>0</v>
      </c>
      <c r="G23" s="27" t="str" cm="1">
        <f t="array" ref="G23">IF(A23="","",INDEX(' 1.0 Asset Data'!$J$8:$J$80,MATCH(A23,' 1.0 Asset Data'!$A$8:$A$80,0),0))</f>
        <v/>
      </c>
      <c r="H23" s="28" cm="1">
        <f t="array" ref="H23">IF($A23="",0,INDEX(' 1.0 Asset Data'!L$8:L$75,MATCH($A23,' 1.0 Asset Data'!$A$8:$A$75,0),0))</f>
        <v>0</v>
      </c>
      <c r="I23" s="28" cm="1">
        <f t="array" ref="I23">IF($A23="",0,INDEX(' 1.0 Asset Data'!N$8:N$75,MATCH($A23,' 1.0 Asset Data'!$A$8:$A$75,0),0))</f>
        <v>0</v>
      </c>
      <c r="J23" s="28" cm="1">
        <f t="array" ref="J23">IF($A23="",0,INDEX(' 1.0 Asset Data'!M$8:M$75,MATCH($A23,' 1.0 Asset Data'!$A$8:$A$75,0),0))</f>
        <v>0</v>
      </c>
      <c r="L23" s="48">
        <f t="shared" si="11"/>
        <v>0</v>
      </c>
      <c r="M23" s="12">
        <f t="shared" si="12"/>
        <v>0</v>
      </c>
      <c r="N23" s="12" t="str">
        <f t="shared" si="13"/>
        <v/>
      </c>
      <c r="O23" s="12">
        <f>IF($A23="",0,$H23/(1+'1.1 Other Data'!$B$14)^$M23)</f>
        <v>0</v>
      </c>
      <c r="P23" s="12">
        <f>IF($A23="",0,$I23/(1+'1.1 Other Data'!$B$14)^$M23)</f>
        <v>0</v>
      </c>
      <c r="Q23" s="12">
        <f>IF($A23="",0,$J23/(1+'1.1 Other Data'!$B$14)^$M23)</f>
        <v>0</v>
      </c>
      <c r="R23" s="15">
        <f t="shared" si="14"/>
        <v>0</v>
      </c>
      <c r="S23" s="12">
        <f t="shared" si="0"/>
        <v>0</v>
      </c>
      <c r="T23" s="12">
        <f t="shared" si="1"/>
        <v>0</v>
      </c>
      <c r="U23" s="12">
        <f t="shared" si="15"/>
        <v>0</v>
      </c>
      <c r="V23" s="12">
        <f t="shared" si="2"/>
        <v>0</v>
      </c>
      <c r="W23" s="12">
        <f t="shared" si="16"/>
        <v>0</v>
      </c>
      <c r="X23" s="12">
        <f t="shared" ref="X23" si="56">O23-W23</f>
        <v>0</v>
      </c>
      <c r="Y23" s="12">
        <f t="shared" si="18"/>
        <v>0</v>
      </c>
      <c r="Z23" s="12">
        <f t="shared" si="19"/>
        <v>0</v>
      </c>
      <c r="AA23" s="19" t="str">
        <f t="shared" si="20"/>
        <v/>
      </c>
      <c r="AB23" s="19">
        <f t="shared" si="3"/>
        <v>0</v>
      </c>
      <c r="AD23" s="48">
        <f t="shared" si="21"/>
        <v>0</v>
      </c>
      <c r="AE23" s="12">
        <f t="shared" si="22"/>
        <v>0</v>
      </c>
      <c r="AF23" s="12" t="str">
        <f t="shared" si="23"/>
        <v/>
      </c>
      <c r="AG23" s="12">
        <f>IF($A23="",0,$H23/(1+'1.1 Other Data'!$B$14)^AE23)</f>
        <v>0</v>
      </c>
      <c r="AH23" s="12">
        <f>IF(Q$8="",0,$I23/(1+'1.1 Other Data'!$B$14)^AE23)</f>
        <v>0</v>
      </c>
      <c r="AI23" s="12">
        <f>IF(Q$8="",0,$J23/(1+'1.1 Other Data'!$B$14)*AE23)</f>
        <v>0</v>
      </c>
      <c r="AJ23" s="15">
        <f t="shared" si="24"/>
        <v>0</v>
      </c>
      <c r="AK23" s="12">
        <f t="shared" si="4"/>
        <v>0</v>
      </c>
      <c r="AL23" s="12">
        <f t="shared" si="5"/>
        <v>0</v>
      </c>
      <c r="AM23" s="12">
        <f t="shared" si="25"/>
        <v>0</v>
      </c>
      <c r="AN23" s="12">
        <f t="shared" si="26"/>
        <v>0</v>
      </c>
      <c r="AO23" s="12">
        <f t="shared" si="27"/>
        <v>0</v>
      </c>
      <c r="AP23" s="12">
        <f t="shared" si="28"/>
        <v>0</v>
      </c>
      <c r="AQ23" s="12">
        <f t="shared" si="29"/>
        <v>0</v>
      </c>
      <c r="AR23" s="12">
        <f t="shared" si="30"/>
        <v>0</v>
      </c>
      <c r="AS23" s="19" t="str">
        <f t="shared" si="31"/>
        <v/>
      </c>
      <c r="AT23" s="19">
        <f t="shared" si="6"/>
        <v>0</v>
      </c>
      <c r="AV23" s="48">
        <f t="shared" si="32"/>
        <v>0</v>
      </c>
      <c r="AW23" s="12">
        <f t="shared" si="33"/>
        <v>0</v>
      </c>
      <c r="AX23" s="12" t="str">
        <f t="shared" si="34"/>
        <v/>
      </c>
      <c r="AY23" s="12">
        <f>IF($A23="",0,$H23/(1+'1.1 Other Data'!$B$14)^AW23)</f>
        <v>0</v>
      </c>
      <c r="AZ23" s="12">
        <f>IF(A23="",0,$I23/(1+'1.1 Other Data'!$B$14)^AW23)</f>
        <v>0</v>
      </c>
      <c r="BA23" s="12">
        <f>IF(A23="",0,$J23/(1+'1.1 Other Data'!$B$14)*AW23)</f>
        <v>0</v>
      </c>
      <c r="BB23" s="15">
        <f t="shared" si="35"/>
        <v>0</v>
      </c>
      <c r="BC23" s="12">
        <f t="shared" si="7"/>
        <v>0</v>
      </c>
      <c r="BD23" s="12">
        <f t="shared" si="8"/>
        <v>0</v>
      </c>
      <c r="BE23" s="12">
        <f t="shared" si="36"/>
        <v>0</v>
      </c>
      <c r="BF23" s="12">
        <f t="shared" si="37"/>
        <v>0</v>
      </c>
      <c r="BG23" s="12">
        <f t="shared" si="38"/>
        <v>0</v>
      </c>
      <c r="BH23" s="12">
        <f t="shared" si="39"/>
        <v>0</v>
      </c>
      <c r="BI23" s="12">
        <f t="shared" si="40"/>
        <v>0</v>
      </c>
      <c r="BJ23" s="12">
        <f t="shared" si="41"/>
        <v>0</v>
      </c>
      <c r="BK23" s="19" t="str">
        <f t="shared" si="42"/>
        <v>Buy Spares</v>
      </c>
      <c r="BL23" s="19">
        <f t="shared" si="9"/>
        <v>0</v>
      </c>
    </row>
    <row r="24" spans="1:64" x14ac:dyDescent="0.25">
      <c r="A24" s="10" t="str">
        <f>'1.2 Sorting'!I24</f>
        <v/>
      </c>
      <c r="B24" s="10" cm="1">
        <f t="array" ref="B24">IF(A24="",0,INDEX(' 1.0 Asset Data'!B$8:B$75,MATCH(A24,' 1.0 Asset Data'!$A$8:$A$75,0),0))</f>
        <v>0</v>
      </c>
      <c r="C24" s="10" cm="1">
        <f t="array" ref="C24">IF(A24="",0,INDEX(' 1.0 Asset Data'!C$8:C$75,MATCH(A24,' 1.0 Asset Data'!$A$8:$A$75,0),0))</f>
        <v>0</v>
      </c>
      <c r="D24" s="14" cm="1">
        <f t="array" ref="D24">IF($A24="",0,INDEX(' 1.0 Asset Data'!F$8:F$75,MATCH($A24,' 1.0 Asset Data'!$A$8:$A$75,0),0))</f>
        <v>0</v>
      </c>
      <c r="E24" s="29" cm="1">
        <f t="array" ref="E24">IF($A24="",0,INDEX(' 1.0 Asset Data'!E$8:E$75,MATCH($A24,' 1.0 Asset Data'!$A$8:$A$75,0),0))</f>
        <v>0</v>
      </c>
      <c r="F24" s="26">
        <f t="shared" si="10"/>
        <v>0</v>
      </c>
      <c r="G24" s="27" t="str" cm="1">
        <f t="array" ref="G24">IF(A24="","",INDEX(' 1.0 Asset Data'!$J$8:$J$80,MATCH(A24,' 1.0 Asset Data'!$A$8:$A$80,0),0))</f>
        <v/>
      </c>
      <c r="H24" s="28" cm="1">
        <f t="array" ref="H24">IF($A24="",0,INDEX(' 1.0 Asset Data'!L$8:L$75,MATCH($A24,' 1.0 Asset Data'!$A$8:$A$75,0),0))</f>
        <v>0</v>
      </c>
      <c r="I24" s="28" cm="1">
        <f t="array" ref="I24">IF($A24="",0,INDEX(' 1.0 Asset Data'!N$8:N$75,MATCH($A24,' 1.0 Asset Data'!$A$8:$A$75,0),0))</f>
        <v>0</v>
      </c>
      <c r="J24" s="28" cm="1">
        <f t="array" ref="J24">IF($A24="",0,INDEX(' 1.0 Asset Data'!M$8:M$75,MATCH($A24,' 1.0 Asset Data'!$A$8:$A$75,0),0))</f>
        <v>0</v>
      </c>
      <c r="L24" s="48">
        <f t="shared" si="11"/>
        <v>0</v>
      </c>
      <c r="M24" s="12">
        <f t="shared" si="12"/>
        <v>0</v>
      </c>
      <c r="N24" s="12" t="str">
        <f t="shared" si="13"/>
        <v/>
      </c>
      <c r="O24" s="12">
        <f>IF($A24="",0,$H24/(1+'1.1 Other Data'!$B$14)^$M24)</f>
        <v>0</v>
      </c>
      <c r="P24" s="12">
        <f>IF($A24="",0,$I24/(1+'1.1 Other Data'!$B$14)^$M24)</f>
        <v>0</v>
      </c>
      <c r="Q24" s="12">
        <f>IF($A24="",0,$J24/(1+'1.1 Other Data'!$B$14)^$M24)</f>
        <v>0</v>
      </c>
      <c r="R24" s="15">
        <f t="shared" si="14"/>
        <v>0</v>
      </c>
      <c r="S24" s="12">
        <f t="shared" si="0"/>
        <v>0</v>
      </c>
      <c r="T24" s="12">
        <f t="shared" si="1"/>
        <v>0</v>
      </c>
      <c r="U24" s="12">
        <f t="shared" si="15"/>
        <v>0</v>
      </c>
      <c r="V24" s="12">
        <f t="shared" si="2"/>
        <v>0</v>
      </c>
      <c r="W24" s="12">
        <f t="shared" si="16"/>
        <v>0</v>
      </c>
      <c r="X24" s="12">
        <f t="shared" ref="X24" si="57">O24-W24</f>
        <v>0</v>
      </c>
      <c r="Y24" s="12">
        <f t="shared" si="18"/>
        <v>0</v>
      </c>
      <c r="Z24" s="12">
        <f t="shared" si="19"/>
        <v>0</v>
      </c>
      <c r="AA24" s="19" t="str">
        <f t="shared" si="20"/>
        <v/>
      </c>
      <c r="AB24" s="19">
        <f t="shared" si="3"/>
        <v>0</v>
      </c>
      <c r="AD24" s="48">
        <f t="shared" si="21"/>
        <v>0</v>
      </c>
      <c r="AE24" s="12">
        <f t="shared" si="22"/>
        <v>0</v>
      </c>
      <c r="AF24" s="12" t="str">
        <f t="shared" si="23"/>
        <v/>
      </c>
      <c r="AG24" s="12">
        <f>IF($A24="",0,$H24/(1+'1.1 Other Data'!$B$14)^AE24)</f>
        <v>0</v>
      </c>
      <c r="AH24" s="12">
        <f>IF(Q$8="",0,$I24/(1+'1.1 Other Data'!$B$14)^AE24)</f>
        <v>0</v>
      </c>
      <c r="AI24" s="12">
        <f>IF(Q$8="",0,$J24/(1+'1.1 Other Data'!$B$14)*AE24)</f>
        <v>0</v>
      </c>
      <c r="AJ24" s="15">
        <f t="shared" si="24"/>
        <v>0</v>
      </c>
      <c r="AK24" s="12">
        <f t="shared" si="4"/>
        <v>0</v>
      </c>
      <c r="AL24" s="12">
        <f t="shared" si="5"/>
        <v>0</v>
      </c>
      <c r="AM24" s="12">
        <f t="shared" si="25"/>
        <v>0</v>
      </c>
      <c r="AN24" s="12">
        <f t="shared" si="26"/>
        <v>0</v>
      </c>
      <c r="AO24" s="12">
        <f t="shared" si="27"/>
        <v>0</v>
      </c>
      <c r="AP24" s="12">
        <f t="shared" si="28"/>
        <v>0</v>
      </c>
      <c r="AQ24" s="12">
        <f t="shared" si="29"/>
        <v>0</v>
      </c>
      <c r="AR24" s="12">
        <f t="shared" si="30"/>
        <v>0</v>
      </c>
      <c r="AS24" s="19" t="str">
        <f t="shared" si="31"/>
        <v/>
      </c>
      <c r="AT24" s="19">
        <f t="shared" si="6"/>
        <v>0</v>
      </c>
      <c r="AV24" s="48">
        <f t="shared" si="32"/>
        <v>0</v>
      </c>
      <c r="AW24" s="12">
        <f t="shared" si="33"/>
        <v>0</v>
      </c>
      <c r="AX24" s="12" t="str">
        <f t="shared" si="34"/>
        <v/>
      </c>
      <c r="AY24" s="12">
        <f>IF($A24="",0,$H24/(1+'1.1 Other Data'!$B$14)^AW24)</f>
        <v>0</v>
      </c>
      <c r="AZ24" s="12">
        <f>IF(A24="",0,$I24/(1+'1.1 Other Data'!$B$14)^AW24)</f>
        <v>0</v>
      </c>
      <c r="BA24" s="12">
        <f>IF(A24="",0,$J24/(1+'1.1 Other Data'!$B$14)*AW24)</f>
        <v>0</v>
      </c>
      <c r="BB24" s="15">
        <f t="shared" si="35"/>
        <v>0</v>
      </c>
      <c r="BC24" s="12">
        <f t="shared" si="7"/>
        <v>0</v>
      </c>
      <c r="BD24" s="12">
        <f t="shared" si="8"/>
        <v>0</v>
      </c>
      <c r="BE24" s="12">
        <f t="shared" si="36"/>
        <v>0</v>
      </c>
      <c r="BF24" s="12">
        <f t="shared" si="37"/>
        <v>0</v>
      </c>
      <c r="BG24" s="12">
        <f t="shared" si="38"/>
        <v>0</v>
      </c>
      <c r="BH24" s="12">
        <f t="shared" si="39"/>
        <v>0</v>
      </c>
      <c r="BI24" s="12">
        <f t="shared" si="40"/>
        <v>0</v>
      </c>
      <c r="BJ24" s="12">
        <f t="shared" si="41"/>
        <v>0</v>
      </c>
      <c r="BK24" s="19" t="str">
        <f t="shared" si="42"/>
        <v>Buy Spares</v>
      </c>
      <c r="BL24" s="19">
        <f t="shared" si="9"/>
        <v>0</v>
      </c>
    </row>
    <row r="25" spans="1:64" x14ac:dyDescent="0.25">
      <c r="A25" s="10" t="str">
        <f>'1.2 Sorting'!I25</f>
        <v/>
      </c>
      <c r="B25" s="10" cm="1">
        <f t="array" ref="B25">IF(A25="",0,INDEX(' 1.0 Asset Data'!B$8:B$75,MATCH(A25,' 1.0 Asset Data'!$A$8:$A$75,0),0))</f>
        <v>0</v>
      </c>
      <c r="C25" s="10" cm="1">
        <f t="array" ref="C25">IF(A25="",0,INDEX(' 1.0 Asset Data'!C$8:C$75,MATCH(A25,' 1.0 Asset Data'!$A$8:$A$75,0),0))</f>
        <v>0</v>
      </c>
      <c r="D25" s="14" cm="1">
        <f t="array" ref="D25">IF($A25="",0,INDEX(' 1.0 Asset Data'!F$8:F$75,MATCH($A25,' 1.0 Asset Data'!$A$8:$A$75,0),0))</f>
        <v>0</v>
      </c>
      <c r="E25" s="29" cm="1">
        <f t="array" ref="E25">IF($A25="",0,INDEX(' 1.0 Asset Data'!E$8:E$75,MATCH($A25,' 1.0 Asset Data'!$A$8:$A$75,0),0))</f>
        <v>0</v>
      </c>
      <c r="F25" s="26">
        <f t="shared" si="10"/>
        <v>0</v>
      </c>
      <c r="G25" s="27" t="str" cm="1">
        <f t="array" ref="G25">IF(A25="","",INDEX(' 1.0 Asset Data'!$J$8:$J$80,MATCH(A25,' 1.0 Asset Data'!$A$8:$A$80,0),0))</f>
        <v/>
      </c>
      <c r="H25" s="28" cm="1">
        <f t="array" ref="H25">IF($A25="",0,INDEX(' 1.0 Asset Data'!L$8:L$75,MATCH($A25,' 1.0 Asset Data'!$A$8:$A$75,0),0))</f>
        <v>0</v>
      </c>
      <c r="I25" s="28" cm="1">
        <f t="array" ref="I25">IF($A25="",0,INDEX(' 1.0 Asset Data'!N$8:N$75,MATCH($A25,' 1.0 Asset Data'!$A$8:$A$75,0),0))</f>
        <v>0</v>
      </c>
      <c r="J25" s="28" cm="1">
        <f t="array" ref="J25">IF($A25="",0,INDEX(' 1.0 Asset Data'!M$8:M$75,MATCH($A25,' 1.0 Asset Data'!$A$8:$A$75,0),0))</f>
        <v>0</v>
      </c>
      <c r="L25" s="48">
        <f t="shared" si="11"/>
        <v>0</v>
      </c>
      <c r="M25" s="12">
        <f t="shared" si="12"/>
        <v>0</v>
      </c>
      <c r="N25" s="12" t="str">
        <f t="shared" si="13"/>
        <v/>
      </c>
      <c r="O25" s="12">
        <f>IF($A25="",0,$H25/(1+'1.1 Other Data'!$B$14)^$M25)</f>
        <v>0</v>
      </c>
      <c r="P25" s="12">
        <f>IF($A25="",0,$I25/(1+'1.1 Other Data'!$B$14)^$M25)</f>
        <v>0</v>
      </c>
      <c r="Q25" s="12">
        <f>IF($A25="",0,$J25/(1+'1.1 Other Data'!$B$14)^$M25)</f>
        <v>0</v>
      </c>
      <c r="R25" s="15">
        <f t="shared" ref="R25:R30" si="58">IF($A25="",0,1/L25)</f>
        <v>0</v>
      </c>
      <c r="S25" s="12">
        <f t="shared" si="0"/>
        <v>0</v>
      </c>
      <c r="T25" s="12">
        <f t="shared" si="1"/>
        <v>0</v>
      </c>
      <c r="U25" s="12">
        <f t="shared" ref="U25:U30" si="59">SUM(S25:T25)</f>
        <v>0</v>
      </c>
      <c r="V25" s="12">
        <f t="shared" ref="V25:V30" si="60">U25-C25</f>
        <v>0</v>
      </c>
      <c r="W25" s="12">
        <f t="shared" ref="W25:W30" si="61">T25*$D25*(1+Y$3)</f>
        <v>0</v>
      </c>
      <c r="X25" s="12">
        <f t="shared" ref="X25:X30" si="62">O25-W25</f>
        <v>0</v>
      </c>
      <c r="Y25" s="12">
        <f t="shared" ref="Y25:Y30" si="63">P25-W25</f>
        <v>0</v>
      </c>
      <c r="Z25" s="12">
        <f t="shared" ref="Z25:Z30" si="64">Q25-W25</f>
        <v>0</v>
      </c>
      <c r="AA25" s="19" t="str">
        <f t="shared" si="20"/>
        <v/>
      </c>
      <c r="AB25" s="19">
        <f t="shared" ref="AB25:AB30" si="65">IF(AA25="Don't buy spares",0,W25)</f>
        <v>0</v>
      </c>
      <c r="AD25" s="48">
        <f t="shared" si="21"/>
        <v>0</v>
      </c>
      <c r="AE25" s="12">
        <f t="shared" si="22"/>
        <v>0</v>
      </c>
      <c r="AF25" s="12" t="str">
        <f t="shared" si="23"/>
        <v/>
      </c>
      <c r="AG25" s="12">
        <f>IF($A25="",0,$H25/(1+'1.1 Other Data'!$B$14)^AE25)</f>
        <v>0</v>
      </c>
      <c r="AH25" s="12">
        <f>IF(Q$8="",0,$I25/(1+'1.1 Other Data'!$B$14)^AE25)</f>
        <v>0</v>
      </c>
      <c r="AI25" s="12">
        <f>IF(Q$8="",0,$J25/(1+'1.1 Other Data'!$B$14)*AE25)</f>
        <v>0</v>
      </c>
      <c r="AJ25" s="15">
        <f t="shared" ref="AJ25:AJ30" si="66">IF($A25="",0,1/AD25)</f>
        <v>0</v>
      </c>
      <c r="AK25" s="12">
        <f t="shared" si="4"/>
        <v>0</v>
      </c>
      <c r="AL25" s="12">
        <f t="shared" si="5"/>
        <v>0</v>
      </c>
      <c r="AM25" s="12">
        <f t="shared" ref="AM25:AM30" si="67">SUM(AK25:AL25)</f>
        <v>0</v>
      </c>
      <c r="AN25" s="12">
        <f t="shared" ref="AN25:AN30" si="68">AM25-S25</f>
        <v>0</v>
      </c>
      <c r="AO25" s="12">
        <f t="shared" ref="AO25:AO30" si="69">AL25*$D25*(1+AQ$3)</f>
        <v>0</v>
      </c>
      <c r="AP25" s="12">
        <f t="shared" ref="AP25:AP30" si="70">AG25-AO25</f>
        <v>0</v>
      </c>
      <c r="AQ25" s="12">
        <f t="shared" ref="AQ25:AQ30" si="71">AH25-AO25</f>
        <v>0</v>
      </c>
      <c r="AR25" s="12">
        <f t="shared" ref="AR25:AR30" si="72">AI25-AO25</f>
        <v>0</v>
      </c>
      <c r="AS25" s="19" t="str">
        <f t="shared" si="31"/>
        <v/>
      </c>
      <c r="AT25" s="19">
        <f t="shared" ref="AT25:AT30" si="73">IF(AS25="Don't buy spares",0,AO25)</f>
        <v>0</v>
      </c>
      <c r="AV25" s="48">
        <f t="shared" si="32"/>
        <v>0</v>
      </c>
      <c r="AW25" s="12">
        <f t="shared" si="33"/>
        <v>0</v>
      </c>
      <c r="AX25" s="12" t="str">
        <f t="shared" si="34"/>
        <v/>
      </c>
      <c r="AY25" s="12">
        <f>IF($A25="",0,$H25/(1+'1.1 Other Data'!$B$14)^AW25)</f>
        <v>0</v>
      </c>
      <c r="AZ25" s="12">
        <f>IF(A25="",0,$I25/(1+'1.1 Other Data'!$B$14)^AW25)</f>
        <v>0</v>
      </c>
      <c r="BA25" s="12">
        <f>IF(A25="",0,$J25/(1+'1.1 Other Data'!$B$14)*AW25)</f>
        <v>0</v>
      </c>
      <c r="BB25" s="15">
        <f t="shared" ref="BB25:BB30" si="74">IF($A25="",0,1/AV25)</f>
        <v>0</v>
      </c>
      <c r="BC25" s="12">
        <f t="shared" si="7"/>
        <v>0</v>
      </c>
      <c r="BD25" s="12">
        <f t="shared" si="8"/>
        <v>0</v>
      </c>
      <c r="BE25" s="12">
        <f t="shared" ref="BE25:BE30" si="75">SUM(BC25:BD25)</f>
        <v>0</v>
      </c>
      <c r="BF25" s="12">
        <f t="shared" ref="BF25:BF30" si="76">BE25-AK25</f>
        <v>0</v>
      </c>
      <c r="BG25" s="12">
        <f t="shared" ref="BG25:BG30" si="77">BD25*$D25*(1+BI$3)</f>
        <v>0</v>
      </c>
      <c r="BH25" s="12">
        <f t="shared" ref="BH25:BH30" si="78">AY25-BG25</f>
        <v>0</v>
      </c>
      <c r="BI25" s="12">
        <f t="shared" ref="BI25:BI30" si="79">AZ25-BG25</f>
        <v>0</v>
      </c>
      <c r="BJ25" s="12">
        <f t="shared" ref="BJ25:BJ30" si="80">BA25-BG25</f>
        <v>0</v>
      </c>
      <c r="BK25" s="19" t="str">
        <f t="shared" ref="BK25:BK30" si="81">IF(SUM(BH25:BJ25)&lt;0,"Don't buy spares","Buy Spares")</f>
        <v>Buy Spares</v>
      </c>
      <c r="BL25" s="19">
        <f t="shared" ref="BL25:BL30" si="82">IF(BK25="Don't buy spares",0,BG25)</f>
        <v>0</v>
      </c>
    </row>
    <row r="26" spans="1:64" x14ac:dyDescent="0.25">
      <c r="A26" s="10" t="str">
        <f>'1.2 Sorting'!I26</f>
        <v/>
      </c>
      <c r="B26" s="10" cm="1">
        <f t="array" ref="B26">IF(A26="",0,INDEX(' 1.0 Asset Data'!B$8:B$75,MATCH(A26,' 1.0 Asset Data'!$A$8:$A$75,0),0))</f>
        <v>0</v>
      </c>
      <c r="C26" s="10" cm="1">
        <f t="array" ref="C26">IF(A26="",0,INDEX(' 1.0 Asset Data'!C$8:C$75,MATCH(A26,' 1.0 Asset Data'!$A$8:$A$75,0),0))</f>
        <v>0</v>
      </c>
      <c r="D26" s="14" cm="1">
        <f t="array" ref="D26">IF($A26="",0,INDEX(' 1.0 Asset Data'!F$8:F$75,MATCH($A26,' 1.0 Asset Data'!$A$8:$A$75,0),0))</f>
        <v>0</v>
      </c>
      <c r="E26" s="29" cm="1">
        <f t="array" ref="E26">IF($A26="",0,INDEX(' 1.0 Asset Data'!E$8:E$75,MATCH($A26,' 1.0 Asset Data'!$A$8:$A$75,0),0))</f>
        <v>0</v>
      </c>
      <c r="F26" s="26">
        <f t="shared" si="10"/>
        <v>0</v>
      </c>
      <c r="G26" s="27" t="str" cm="1">
        <f t="array" ref="G26">IF(A26="","",INDEX(' 1.0 Asset Data'!$J$8:$J$80,MATCH(A26,' 1.0 Asset Data'!$A$8:$A$80,0),0))</f>
        <v/>
      </c>
      <c r="H26" s="28" cm="1">
        <f t="array" ref="H26">IF($A26="",0,INDEX(' 1.0 Asset Data'!L$8:L$75,MATCH($A26,' 1.0 Asset Data'!$A$8:$A$75,0),0))</f>
        <v>0</v>
      </c>
      <c r="I26" s="28" cm="1">
        <f t="array" ref="I26">IF($A26="",0,INDEX(' 1.0 Asset Data'!N$8:N$75,MATCH($A26,' 1.0 Asset Data'!$A$8:$A$75,0),0))</f>
        <v>0</v>
      </c>
      <c r="J26" s="28" cm="1">
        <f t="array" ref="J26">IF($A26="",0,INDEX(' 1.0 Asset Data'!M$8:M$75,MATCH($A26,' 1.0 Asset Data'!$A$8:$A$75,0),0))</f>
        <v>0</v>
      </c>
      <c r="L26" s="48">
        <f t="shared" si="11"/>
        <v>0</v>
      </c>
      <c r="M26" s="12">
        <f t="shared" si="12"/>
        <v>0</v>
      </c>
      <c r="N26" s="12" t="str">
        <f t="shared" si="13"/>
        <v/>
      </c>
      <c r="O26" s="12">
        <f>IF($A26="",0,$H26/(1+'1.1 Other Data'!$B$14)^$M26)</f>
        <v>0</v>
      </c>
      <c r="P26" s="12">
        <f>IF($A26="",0,$I26/(1+'1.1 Other Data'!$B$14)^$M26)</f>
        <v>0</v>
      </c>
      <c r="Q26" s="12">
        <f>IF($A26="",0,$J26/(1+'1.1 Other Data'!$B$14)^$M26)</f>
        <v>0</v>
      </c>
      <c r="R26" s="15">
        <f t="shared" si="58"/>
        <v>0</v>
      </c>
      <c r="S26" s="12">
        <f t="shared" si="0"/>
        <v>0</v>
      </c>
      <c r="T26" s="12">
        <f t="shared" si="1"/>
        <v>0</v>
      </c>
      <c r="U26" s="12">
        <f t="shared" si="59"/>
        <v>0</v>
      </c>
      <c r="V26" s="12">
        <f t="shared" si="60"/>
        <v>0</v>
      </c>
      <c r="W26" s="12">
        <f t="shared" si="61"/>
        <v>0</v>
      </c>
      <c r="X26" s="12">
        <f t="shared" si="62"/>
        <v>0</v>
      </c>
      <c r="Y26" s="12">
        <f t="shared" si="63"/>
        <v>0</v>
      </c>
      <c r="Z26" s="12">
        <f t="shared" si="64"/>
        <v>0</v>
      </c>
      <c r="AA26" s="19" t="str">
        <f t="shared" si="20"/>
        <v/>
      </c>
      <c r="AB26" s="19">
        <f t="shared" si="65"/>
        <v>0</v>
      </c>
      <c r="AD26" s="48">
        <f t="shared" si="21"/>
        <v>0</v>
      </c>
      <c r="AE26" s="12">
        <f t="shared" si="22"/>
        <v>0</v>
      </c>
      <c r="AF26" s="12" t="str">
        <f t="shared" si="23"/>
        <v/>
      </c>
      <c r="AG26" s="12">
        <f>IF($A26="",0,$H26/(1+'1.1 Other Data'!$B$14)^AE26)</f>
        <v>0</v>
      </c>
      <c r="AH26" s="12">
        <f>IF(Q$8="",0,$I26/(1+'1.1 Other Data'!$B$14)^AE26)</f>
        <v>0</v>
      </c>
      <c r="AI26" s="12">
        <f>IF(Q$8="",0,$J26/(1+'1.1 Other Data'!$B$14)*AE26)</f>
        <v>0</v>
      </c>
      <c r="AJ26" s="15">
        <f t="shared" si="66"/>
        <v>0</v>
      </c>
      <c r="AK26" s="12">
        <f t="shared" si="4"/>
        <v>0</v>
      </c>
      <c r="AL26" s="12">
        <f t="shared" si="5"/>
        <v>0</v>
      </c>
      <c r="AM26" s="12">
        <f t="shared" si="67"/>
        <v>0</v>
      </c>
      <c r="AN26" s="12">
        <f t="shared" si="68"/>
        <v>0</v>
      </c>
      <c r="AO26" s="12">
        <f t="shared" si="69"/>
        <v>0</v>
      </c>
      <c r="AP26" s="12">
        <f t="shared" si="70"/>
        <v>0</v>
      </c>
      <c r="AQ26" s="12">
        <f t="shared" si="71"/>
        <v>0</v>
      </c>
      <c r="AR26" s="12">
        <f t="shared" si="72"/>
        <v>0</v>
      </c>
      <c r="AS26" s="19" t="str">
        <f t="shared" si="31"/>
        <v/>
      </c>
      <c r="AT26" s="19">
        <f t="shared" si="73"/>
        <v>0</v>
      </c>
      <c r="AV26" s="48">
        <f t="shared" si="32"/>
        <v>0</v>
      </c>
      <c r="AW26" s="12">
        <f t="shared" si="33"/>
        <v>0</v>
      </c>
      <c r="AX26" s="12" t="str">
        <f t="shared" si="34"/>
        <v/>
      </c>
      <c r="AY26" s="12">
        <f>IF($A26="",0,$H26/(1+'1.1 Other Data'!$B$14)^AW26)</f>
        <v>0</v>
      </c>
      <c r="AZ26" s="12">
        <f>IF(A26="",0,$I26/(1+'1.1 Other Data'!$B$14)^AW26)</f>
        <v>0</v>
      </c>
      <c r="BA26" s="12">
        <f>IF(A26="",0,$J26/(1+'1.1 Other Data'!$B$14)*AW26)</f>
        <v>0</v>
      </c>
      <c r="BB26" s="15">
        <f t="shared" si="74"/>
        <v>0</v>
      </c>
      <c r="BC26" s="12">
        <f t="shared" si="7"/>
        <v>0</v>
      </c>
      <c r="BD26" s="12">
        <f t="shared" si="8"/>
        <v>0</v>
      </c>
      <c r="BE26" s="12">
        <f t="shared" si="75"/>
        <v>0</v>
      </c>
      <c r="BF26" s="12">
        <f t="shared" si="76"/>
        <v>0</v>
      </c>
      <c r="BG26" s="12">
        <f t="shared" si="77"/>
        <v>0</v>
      </c>
      <c r="BH26" s="12">
        <f t="shared" si="78"/>
        <v>0</v>
      </c>
      <c r="BI26" s="12">
        <f t="shared" si="79"/>
        <v>0</v>
      </c>
      <c r="BJ26" s="12">
        <f t="shared" si="80"/>
        <v>0</v>
      </c>
      <c r="BK26" s="19" t="str">
        <f t="shared" si="81"/>
        <v>Buy Spares</v>
      </c>
      <c r="BL26" s="19">
        <f t="shared" si="82"/>
        <v>0</v>
      </c>
    </row>
    <row r="27" spans="1:64" x14ac:dyDescent="0.25">
      <c r="A27" s="10" t="str">
        <f>'1.2 Sorting'!I27</f>
        <v/>
      </c>
      <c r="B27" s="10" cm="1">
        <f t="array" ref="B27">IF(A27="",0,INDEX(' 1.0 Asset Data'!B$8:B$75,MATCH(A27,' 1.0 Asset Data'!$A$8:$A$75,0),0))</f>
        <v>0</v>
      </c>
      <c r="C27" s="10" cm="1">
        <f t="array" ref="C27">IF(A27="",0,INDEX(' 1.0 Asset Data'!C$8:C$75,MATCH(A27,' 1.0 Asset Data'!$A$8:$A$75,0),0))</f>
        <v>0</v>
      </c>
      <c r="D27" s="14" cm="1">
        <f t="array" ref="D27">IF($A27="",0,INDEX(' 1.0 Asset Data'!F$8:F$75,MATCH($A27,' 1.0 Asset Data'!$A$8:$A$75,0),0))</f>
        <v>0</v>
      </c>
      <c r="E27" s="29" cm="1">
        <f t="array" ref="E27">IF($A27="",0,INDEX(' 1.0 Asset Data'!E$8:E$75,MATCH($A27,' 1.0 Asset Data'!$A$8:$A$75,0),0))</f>
        <v>0</v>
      </c>
      <c r="F27" s="26">
        <f t="shared" si="10"/>
        <v>0</v>
      </c>
      <c r="G27" s="27" t="str" cm="1">
        <f t="array" ref="G27">IF(A27="","",INDEX(' 1.0 Asset Data'!$J$8:$J$80,MATCH(A27,' 1.0 Asset Data'!$A$8:$A$80,0),0))</f>
        <v/>
      </c>
      <c r="H27" s="28" cm="1">
        <f t="array" ref="H27">IF($A27="",0,INDEX(' 1.0 Asset Data'!L$8:L$75,MATCH($A27,' 1.0 Asset Data'!$A$8:$A$75,0),0))</f>
        <v>0</v>
      </c>
      <c r="I27" s="28" cm="1">
        <f t="array" ref="I27">IF($A27="",0,INDEX(' 1.0 Asset Data'!N$8:N$75,MATCH($A27,' 1.0 Asset Data'!$A$8:$A$75,0),0))</f>
        <v>0</v>
      </c>
      <c r="J27" s="28" cm="1">
        <f t="array" ref="J27">IF($A27="",0,INDEX(' 1.0 Asset Data'!M$8:M$75,MATCH($A27,' 1.0 Asset Data'!$A$8:$A$75,0),0))</f>
        <v>0</v>
      </c>
      <c r="L27" s="48">
        <f t="shared" si="11"/>
        <v>0</v>
      </c>
      <c r="M27" s="12">
        <f t="shared" si="12"/>
        <v>0</v>
      </c>
      <c r="N27" s="12" t="str">
        <f t="shared" si="13"/>
        <v/>
      </c>
      <c r="O27" s="12">
        <f>IF($A27="",0,$H27/(1+'1.1 Other Data'!$B$14)^$M27)</f>
        <v>0</v>
      </c>
      <c r="P27" s="12">
        <f>IF($A27="",0,$I27/(1+'1.1 Other Data'!$B$14)^$M27)</f>
        <v>0</v>
      </c>
      <c r="Q27" s="12">
        <f>IF($A27="",0,$J27/(1+'1.1 Other Data'!$B$14)^$M27)</f>
        <v>0</v>
      </c>
      <c r="R27" s="15">
        <f t="shared" si="58"/>
        <v>0</v>
      </c>
      <c r="S27" s="12">
        <f t="shared" si="0"/>
        <v>0</v>
      </c>
      <c r="T27" s="12">
        <f t="shared" si="1"/>
        <v>0</v>
      </c>
      <c r="U27" s="12">
        <f t="shared" si="59"/>
        <v>0</v>
      </c>
      <c r="V27" s="12">
        <f t="shared" si="60"/>
        <v>0</v>
      </c>
      <c r="W27" s="12">
        <f t="shared" si="61"/>
        <v>0</v>
      </c>
      <c r="X27" s="12">
        <f t="shared" si="62"/>
        <v>0</v>
      </c>
      <c r="Y27" s="12">
        <f t="shared" si="63"/>
        <v>0</v>
      </c>
      <c r="Z27" s="12">
        <f t="shared" si="64"/>
        <v>0</v>
      </c>
      <c r="AA27" s="19" t="str">
        <f t="shared" si="20"/>
        <v/>
      </c>
      <c r="AB27" s="19">
        <f t="shared" si="65"/>
        <v>0</v>
      </c>
      <c r="AD27" s="48">
        <f t="shared" si="21"/>
        <v>0</v>
      </c>
      <c r="AE27" s="12">
        <f t="shared" si="22"/>
        <v>0</v>
      </c>
      <c r="AF27" s="12" t="str">
        <f t="shared" si="23"/>
        <v/>
      </c>
      <c r="AG27" s="12">
        <f>IF($A27="",0,$H27/(1+'1.1 Other Data'!$B$14)^AE27)</f>
        <v>0</v>
      </c>
      <c r="AH27" s="12">
        <f>IF(Q$8="",0,$I27/(1+'1.1 Other Data'!$B$14)^AE27)</f>
        <v>0</v>
      </c>
      <c r="AI27" s="12">
        <f>IF(Q$8="",0,$J27/(1+'1.1 Other Data'!$B$14)*AE27)</f>
        <v>0</v>
      </c>
      <c r="AJ27" s="15">
        <f t="shared" si="66"/>
        <v>0</v>
      </c>
      <c r="AK27" s="12">
        <f t="shared" si="4"/>
        <v>0</v>
      </c>
      <c r="AL27" s="12">
        <f t="shared" si="5"/>
        <v>0</v>
      </c>
      <c r="AM27" s="12">
        <f t="shared" si="67"/>
        <v>0</v>
      </c>
      <c r="AN27" s="12">
        <f t="shared" si="68"/>
        <v>0</v>
      </c>
      <c r="AO27" s="12">
        <f t="shared" si="69"/>
        <v>0</v>
      </c>
      <c r="AP27" s="12">
        <f t="shared" si="70"/>
        <v>0</v>
      </c>
      <c r="AQ27" s="12">
        <f t="shared" si="71"/>
        <v>0</v>
      </c>
      <c r="AR27" s="12">
        <f t="shared" si="72"/>
        <v>0</v>
      </c>
      <c r="AS27" s="19" t="str">
        <f t="shared" si="31"/>
        <v/>
      </c>
      <c r="AT27" s="19">
        <f t="shared" si="73"/>
        <v>0</v>
      </c>
      <c r="AV27" s="48">
        <f t="shared" si="32"/>
        <v>0</v>
      </c>
      <c r="AW27" s="12">
        <f t="shared" si="33"/>
        <v>0</v>
      </c>
      <c r="AX27" s="12" t="str">
        <f t="shared" si="34"/>
        <v/>
      </c>
      <c r="AY27" s="12">
        <f>IF($A27="",0,$H27/(1+'1.1 Other Data'!$B$14)^AW27)</f>
        <v>0</v>
      </c>
      <c r="AZ27" s="12">
        <f>IF(A27="",0,$I27/(1+'1.1 Other Data'!$B$14)^AW27)</f>
        <v>0</v>
      </c>
      <c r="BA27" s="12">
        <f>IF(A27="",0,$J27/(1+'1.1 Other Data'!$B$14)*AW27)</f>
        <v>0</v>
      </c>
      <c r="BB27" s="15">
        <f t="shared" si="74"/>
        <v>0</v>
      </c>
      <c r="BC27" s="12">
        <f t="shared" si="7"/>
        <v>0</v>
      </c>
      <c r="BD27" s="12">
        <f t="shared" si="8"/>
        <v>0</v>
      </c>
      <c r="BE27" s="12">
        <f t="shared" si="75"/>
        <v>0</v>
      </c>
      <c r="BF27" s="12">
        <f t="shared" si="76"/>
        <v>0</v>
      </c>
      <c r="BG27" s="12">
        <f t="shared" si="77"/>
        <v>0</v>
      </c>
      <c r="BH27" s="12">
        <f t="shared" si="78"/>
        <v>0</v>
      </c>
      <c r="BI27" s="12">
        <f t="shared" si="79"/>
        <v>0</v>
      </c>
      <c r="BJ27" s="12">
        <f t="shared" si="80"/>
        <v>0</v>
      </c>
      <c r="BK27" s="19" t="str">
        <f t="shared" si="81"/>
        <v>Buy Spares</v>
      </c>
      <c r="BL27" s="19">
        <f t="shared" si="82"/>
        <v>0</v>
      </c>
    </row>
    <row r="28" spans="1:64" x14ac:dyDescent="0.25">
      <c r="A28" s="10" t="str">
        <f>'1.2 Sorting'!I28</f>
        <v/>
      </c>
      <c r="B28" s="10" cm="1">
        <f t="array" ref="B28">IF(A28="",0,INDEX(' 1.0 Asset Data'!B$8:B$75,MATCH(A28,' 1.0 Asset Data'!$A$8:$A$75,0),0))</f>
        <v>0</v>
      </c>
      <c r="C28" s="10" cm="1">
        <f t="array" ref="C28">IF(A28="",0,INDEX(' 1.0 Asset Data'!C$8:C$75,MATCH(A28,' 1.0 Asset Data'!$A$8:$A$75,0),0))</f>
        <v>0</v>
      </c>
      <c r="D28" s="14" cm="1">
        <f t="array" ref="D28">IF($A28="",0,INDEX(' 1.0 Asset Data'!F$8:F$75,MATCH($A28,' 1.0 Asset Data'!$A$8:$A$75,0),0))</f>
        <v>0</v>
      </c>
      <c r="E28" s="29" cm="1">
        <f t="array" ref="E28">IF($A28="",0,INDEX(' 1.0 Asset Data'!E$8:E$75,MATCH($A28,' 1.0 Asset Data'!$A$8:$A$75,0),0))</f>
        <v>0</v>
      </c>
      <c r="F28" s="26">
        <f t="shared" si="10"/>
        <v>0</v>
      </c>
      <c r="G28" s="27" t="str" cm="1">
        <f t="array" ref="G28">IF(A28="","",INDEX(' 1.0 Asset Data'!$J$8:$J$80,MATCH(A28,' 1.0 Asset Data'!$A$8:$A$80,0),0))</f>
        <v/>
      </c>
      <c r="H28" s="28" cm="1">
        <f t="array" ref="H28">IF($A28="",0,INDEX(' 1.0 Asset Data'!L$8:L$75,MATCH($A28,' 1.0 Asset Data'!$A$8:$A$75,0),0))</f>
        <v>0</v>
      </c>
      <c r="I28" s="28" cm="1">
        <f t="array" ref="I28">IF($A28="",0,INDEX(' 1.0 Asset Data'!N$8:N$75,MATCH($A28,' 1.0 Asset Data'!$A$8:$A$75,0),0))</f>
        <v>0</v>
      </c>
      <c r="J28" s="28" cm="1">
        <f t="array" ref="J28">IF($A28="",0,INDEX(' 1.0 Asset Data'!M$8:M$75,MATCH($A28,' 1.0 Asset Data'!$A$8:$A$75,0),0))</f>
        <v>0</v>
      </c>
      <c r="L28" s="48">
        <f t="shared" si="11"/>
        <v>0</v>
      </c>
      <c r="M28" s="12">
        <f t="shared" si="12"/>
        <v>0</v>
      </c>
      <c r="N28" s="12" t="str">
        <f t="shared" si="13"/>
        <v/>
      </c>
      <c r="O28" s="12">
        <f>IF($A28="",0,$H28/(1+'1.1 Other Data'!$B$14)^$M28)</f>
        <v>0</v>
      </c>
      <c r="P28" s="12">
        <f>IF($A28="",0,$I28/(1+'1.1 Other Data'!$B$14)^$M28)</f>
        <v>0</v>
      </c>
      <c r="Q28" s="12">
        <f>IF($A28="",0,$J28/(1+'1.1 Other Data'!$B$14)^$M28)</f>
        <v>0</v>
      </c>
      <c r="R28" s="15">
        <f t="shared" si="58"/>
        <v>0</v>
      </c>
      <c r="S28" s="12">
        <f t="shared" si="0"/>
        <v>0</v>
      </c>
      <c r="T28" s="12">
        <f t="shared" si="1"/>
        <v>0</v>
      </c>
      <c r="U28" s="12">
        <f t="shared" si="59"/>
        <v>0</v>
      </c>
      <c r="V28" s="12">
        <f t="shared" si="60"/>
        <v>0</v>
      </c>
      <c r="W28" s="12">
        <f t="shared" si="61"/>
        <v>0</v>
      </c>
      <c r="X28" s="12">
        <f t="shared" si="62"/>
        <v>0</v>
      </c>
      <c r="Y28" s="12">
        <f t="shared" si="63"/>
        <v>0</v>
      </c>
      <c r="Z28" s="12">
        <f t="shared" si="64"/>
        <v>0</v>
      </c>
      <c r="AA28" s="19" t="str">
        <f t="shared" si="20"/>
        <v/>
      </c>
      <c r="AB28" s="19">
        <f t="shared" si="65"/>
        <v>0</v>
      </c>
      <c r="AD28" s="48">
        <f t="shared" si="21"/>
        <v>0</v>
      </c>
      <c r="AE28" s="12">
        <f t="shared" si="22"/>
        <v>0</v>
      </c>
      <c r="AF28" s="12" t="str">
        <f t="shared" si="23"/>
        <v/>
      </c>
      <c r="AG28" s="12">
        <f>IF($A28="",0,$H28/(1+'1.1 Other Data'!$B$14)^AE28)</f>
        <v>0</v>
      </c>
      <c r="AH28" s="12">
        <f>IF(Q$8="",0,$I28/(1+'1.1 Other Data'!$B$14)^AE28)</f>
        <v>0</v>
      </c>
      <c r="AI28" s="12">
        <f>IF(Q$8="",0,$J28/(1+'1.1 Other Data'!$B$14)*AE28)</f>
        <v>0</v>
      </c>
      <c r="AJ28" s="15">
        <f t="shared" si="66"/>
        <v>0</v>
      </c>
      <c r="AK28" s="12">
        <f t="shared" si="4"/>
        <v>0</v>
      </c>
      <c r="AL28" s="12">
        <f t="shared" si="5"/>
        <v>0</v>
      </c>
      <c r="AM28" s="12">
        <f t="shared" si="67"/>
        <v>0</v>
      </c>
      <c r="AN28" s="12">
        <f t="shared" si="68"/>
        <v>0</v>
      </c>
      <c r="AO28" s="12">
        <f t="shared" si="69"/>
        <v>0</v>
      </c>
      <c r="AP28" s="12">
        <f t="shared" si="70"/>
        <v>0</v>
      </c>
      <c r="AQ28" s="12">
        <f t="shared" si="71"/>
        <v>0</v>
      </c>
      <c r="AR28" s="12">
        <f t="shared" si="72"/>
        <v>0</v>
      </c>
      <c r="AS28" s="19" t="str">
        <f t="shared" si="31"/>
        <v/>
      </c>
      <c r="AT28" s="19">
        <f t="shared" si="73"/>
        <v>0</v>
      </c>
      <c r="AV28" s="48">
        <f t="shared" si="32"/>
        <v>0</v>
      </c>
      <c r="AW28" s="12">
        <f t="shared" si="33"/>
        <v>0</v>
      </c>
      <c r="AX28" s="12" t="str">
        <f t="shared" si="34"/>
        <v/>
      </c>
      <c r="AY28" s="12">
        <f>IF($A28="",0,$H28/(1+'1.1 Other Data'!$B$14)^AW28)</f>
        <v>0</v>
      </c>
      <c r="AZ28" s="12">
        <f>IF(A28="",0,$I28/(1+'1.1 Other Data'!$B$14)^AW28)</f>
        <v>0</v>
      </c>
      <c r="BA28" s="12">
        <f>IF(A28="",0,$J28/(1+'1.1 Other Data'!$B$14)*AW28)</f>
        <v>0</v>
      </c>
      <c r="BB28" s="15">
        <f t="shared" si="74"/>
        <v>0</v>
      </c>
      <c r="BC28" s="12">
        <f t="shared" si="7"/>
        <v>0</v>
      </c>
      <c r="BD28" s="12">
        <f t="shared" si="8"/>
        <v>0</v>
      </c>
      <c r="BE28" s="12">
        <f t="shared" si="75"/>
        <v>0</v>
      </c>
      <c r="BF28" s="12">
        <f t="shared" si="76"/>
        <v>0</v>
      </c>
      <c r="BG28" s="12">
        <f t="shared" si="77"/>
        <v>0</v>
      </c>
      <c r="BH28" s="12">
        <f t="shared" si="78"/>
        <v>0</v>
      </c>
      <c r="BI28" s="12">
        <f t="shared" si="79"/>
        <v>0</v>
      </c>
      <c r="BJ28" s="12">
        <f t="shared" si="80"/>
        <v>0</v>
      </c>
      <c r="BK28" s="19" t="str">
        <f t="shared" si="81"/>
        <v>Buy Spares</v>
      </c>
      <c r="BL28" s="19">
        <f t="shared" si="82"/>
        <v>0</v>
      </c>
    </row>
    <row r="29" spans="1:64" x14ac:dyDescent="0.25">
      <c r="A29" s="10" t="str">
        <f>'1.2 Sorting'!I29</f>
        <v/>
      </c>
      <c r="B29" s="10" cm="1">
        <f t="array" ref="B29">IF(A29="",0,INDEX(' 1.0 Asset Data'!B$8:B$75,MATCH(A29,' 1.0 Asset Data'!$A$8:$A$75,0),0))</f>
        <v>0</v>
      </c>
      <c r="C29" s="10" cm="1">
        <f t="array" ref="C29">IF(A29="",0,INDEX(' 1.0 Asset Data'!C$8:C$75,MATCH(A29,' 1.0 Asset Data'!$A$8:$A$75,0),0))</f>
        <v>0</v>
      </c>
      <c r="D29" s="14" cm="1">
        <f t="array" ref="D29">IF($A29="",0,INDEX(' 1.0 Asset Data'!F$8:F$75,MATCH($A29,' 1.0 Asset Data'!$A$8:$A$75,0),0))</f>
        <v>0</v>
      </c>
      <c r="E29" s="29" cm="1">
        <f t="array" ref="E29">IF($A29="",0,INDEX(' 1.0 Asset Data'!E$8:E$75,MATCH($A29,' 1.0 Asset Data'!$A$8:$A$75,0),0))</f>
        <v>0</v>
      </c>
      <c r="F29" s="26">
        <f t="shared" si="10"/>
        <v>0</v>
      </c>
      <c r="G29" s="27" t="str" cm="1">
        <f t="array" ref="G29">IF(A29="","",INDEX(' 1.0 Asset Data'!$J$8:$J$80,MATCH(A29,' 1.0 Asset Data'!$A$8:$A$80,0),0))</f>
        <v/>
      </c>
      <c r="H29" s="28" cm="1">
        <f t="array" ref="H29">IF($A29="",0,INDEX(' 1.0 Asset Data'!L$8:L$75,MATCH($A29,' 1.0 Asset Data'!$A$8:$A$75,0),0))</f>
        <v>0</v>
      </c>
      <c r="I29" s="28" cm="1">
        <f t="array" ref="I29">IF($A29="",0,INDEX(' 1.0 Asset Data'!N$8:N$75,MATCH($A29,' 1.0 Asset Data'!$A$8:$A$75,0),0))</f>
        <v>0</v>
      </c>
      <c r="J29" s="28" cm="1">
        <f t="array" ref="J29">IF($A29="",0,INDEX(' 1.0 Asset Data'!M$8:M$75,MATCH($A29,' 1.0 Asset Data'!$A$8:$A$75,0),0))</f>
        <v>0</v>
      </c>
      <c r="L29" s="48">
        <f t="shared" si="11"/>
        <v>0</v>
      </c>
      <c r="M29" s="12">
        <f t="shared" si="12"/>
        <v>0</v>
      </c>
      <c r="N29" s="12" t="str">
        <f t="shared" si="13"/>
        <v/>
      </c>
      <c r="O29" s="12">
        <f>IF($A29="",0,$H29/(1+'1.1 Other Data'!$B$14)^$M29)</f>
        <v>0</v>
      </c>
      <c r="P29" s="12">
        <f>IF($A29="",0,$I29/(1+'1.1 Other Data'!$B$14)^$M29)</f>
        <v>0</v>
      </c>
      <c r="Q29" s="12">
        <f>IF($A29="",0,$J29/(1+'1.1 Other Data'!$B$14)^$M29)</f>
        <v>0</v>
      </c>
      <c r="R29" s="15">
        <f t="shared" si="58"/>
        <v>0</v>
      </c>
      <c r="S29" s="12">
        <f t="shared" si="0"/>
        <v>0</v>
      </c>
      <c r="T29" s="12">
        <f t="shared" si="1"/>
        <v>0</v>
      </c>
      <c r="U29" s="12">
        <f t="shared" si="59"/>
        <v>0</v>
      </c>
      <c r="V29" s="12">
        <f t="shared" si="60"/>
        <v>0</v>
      </c>
      <c r="W29" s="12">
        <f t="shared" si="61"/>
        <v>0</v>
      </c>
      <c r="X29" s="12">
        <f t="shared" si="62"/>
        <v>0</v>
      </c>
      <c r="Y29" s="12">
        <f t="shared" si="63"/>
        <v>0</v>
      </c>
      <c r="Z29" s="12">
        <f t="shared" si="64"/>
        <v>0</v>
      </c>
      <c r="AA29" s="19" t="str">
        <f t="shared" si="20"/>
        <v/>
      </c>
      <c r="AB29" s="19">
        <f t="shared" si="65"/>
        <v>0</v>
      </c>
      <c r="AD29" s="48">
        <f t="shared" si="21"/>
        <v>0</v>
      </c>
      <c r="AE29" s="12">
        <f t="shared" si="22"/>
        <v>0</v>
      </c>
      <c r="AF29" s="12" t="str">
        <f t="shared" si="23"/>
        <v/>
      </c>
      <c r="AG29" s="12">
        <f>IF($A29="",0,$H29/(1+'1.1 Other Data'!$B$14)^AE29)</f>
        <v>0</v>
      </c>
      <c r="AH29" s="12">
        <f>IF(Q$8="",0,$I29/(1+'1.1 Other Data'!$B$14)^AE29)</f>
        <v>0</v>
      </c>
      <c r="AI29" s="12">
        <f>IF(Q$8="",0,$J29/(1+'1.1 Other Data'!$B$14)*AE29)</f>
        <v>0</v>
      </c>
      <c r="AJ29" s="15">
        <f t="shared" si="66"/>
        <v>0</v>
      </c>
      <c r="AK29" s="12">
        <f t="shared" si="4"/>
        <v>0</v>
      </c>
      <c r="AL29" s="12">
        <f t="shared" si="5"/>
        <v>0</v>
      </c>
      <c r="AM29" s="12">
        <f t="shared" si="67"/>
        <v>0</v>
      </c>
      <c r="AN29" s="12">
        <f t="shared" si="68"/>
        <v>0</v>
      </c>
      <c r="AO29" s="12">
        <f t="shared" si="69"/>
        <v>0</v>
      </c>
      <c r="AP29" s="12">
        <f t="shared" si="70"/>
        <v>0</v>
      </c>
      <c r="AQ29" s="12">
        <f t="shared" si="71"/>
        <v>0</v>
      </c>
      <c r="AR29" s="12">
        <f t="shared" si="72"/>
        <v>0</v>
      </c>
      <c r="AS29" s="19" t="str">
        <f t="shared" si="31"/>
        <v/>
      </c>
      <c r="AT29" s="19">
        <f t="shared" si="73"/>
        <v>0</v>
      </c>
      <c r="AV29" s="48">
        <f t="shared" si="32"/>
        <v>0</v>
      </c>
      <c r="AW29" s="12">
        <f t="shared" si="33"/>
        <v>0</v>
      </c>
      <c r="AX29" s="12" t="str">
        <f t="shared" si="34"/>
        <v/>
      </c>
      <c r="AY29" s="12">
        <f>IF($A29="",0,$H29/(1+'1.1 Other Data'!$B$14)^AW29)</f>
        <v>0</v>
      </c>
      <c r="AZ29" s="12">
        <f>IF(A29="",0,$I29/(1+'1.1 Other Data'!$B$14)^AW29)</f>
        <v>0</v>
      </c>
      <c r="BA29" s="12">
        <f>IF(A29="",0,$J29/(1+'1.1 Other Data'!$B$14)*AW29)</f>
        <v>0</v>
      </c>
      <c r="BB29" s="15">
        <f t="shared" si="74"/>
        <v>0</v>
      </c>
      <c r="BC29" s="12">
        <f t="shared" si="7"/>
        <v>0</v>
      </c>
      <c r="BD29" s="12">
        <f t="shared" si="8"/>
        <v>0</v>
      </c>
      <c r="BE29" s="12">
        <f t="shared" si="75"/>
        <v>0</v>
      </c>
      <c r="BF29" s="12">
        <f t="shared" si="76"/>
        <v>0</v>
      </c>
      <c r="BG29" s="12">
        <f t="shared" si="77"/>
        <v>0</v>
      </c>
      <c r="BH29" s="12">
        <f t="shared" si="78"/>
        <v>0</v>
      </c>
      <c r="BI29" s="12">
        <f t="shared" si="79"/>
        <v>0</v>
      </c>
      <c r="BJ29" s="12">
        <f t="shared" si="80"/>
        <v>0</v>
      </c>
      <c r="BK29" s="19" t="str">
        <f t="shared" si="81"/>
        <v>Buy Spares</v>
      </c>
      <c r="BL29" s="19">
        <f t="shared" si="82"/>
        <v>0</v>
      </c>
    </row>
    <row r="30" spans="1:64" x14ac:dyDescent="0.25">
      <c r="A30" s="10" t="str">
        <f>'1.2 Sorting'!I30</f>
        <v/>
      </c>
      <c r="B30" s="10" cm="1">
        <f t="array" ref="B30">IF(A30="",0,INDEX(' 1.0 Asset Data'!B$8:B$75,MATCH(A30,' 1.0 Asset Data'!$A$8:$A$75,0),0))</f>
        <v>0</v>
      </c>
      <c r="C30" s="10" cm="1">
        <f t="array" ref="C30">IF(A30="",0,INDEX(' 1.0 Asset Data'!C$8:C$75,MATCH(A30,' 1.0 Asset Data'!$A$8:$A$75,0),0))</f>
        <v>0</v>
      </c>
      <c r="D30" s="14" cm="1">
        <f t="array" ref="D30">IF($A30="",0,INDEX(' 1.0 Asset Data'!F$8:F$75,MATCH($A30,' 1.0 Asset Data'!$A$8:$A$75,0),0))</f>
        <v>0</v>
      </c>
      <c r="E30" s="29" cm="1">
        <f t="array" ref="E30">IF($A30="",0,INDEX(' 1.0 Asset Data'!E$8:E$75,MATCH($A30,' 1.0 Asset Data'!$A$8:$A$75,0),0))</f>
        <v>0</v>
      </c>
      <c r="F30" s="26">
        <f t="shared" si="10"/>
        <v>0</v>
      </c>
      <c r="G30" s="27" t="str" cm="1">
        <f t="array" ref="G30">IF(A30="","",INDEX(' 1.0 Asset Data'!$J$8:$J$80,MATCH(A30,' 1.0 Asset Data'!$A$8:$A$80,0),0))</f>
        <v/>
      </c>
      <c r="H30" s="28" cm="1">
        <f t="array" ref="H30">IF($A30="",0,INDEX(' 1.0 Asset Data'!L$8:L$75,MATCH($A30,' 1.0 Asset Data'!$A$8:$A$75,0),0))</f>
        <v>0</v>
      </c>
      <c r="I30" s="28" cm="1">
        <f t="array" ref="I30">IF($A30="",0,INDEX(' 1.0 Asset Data'!N$8:N$75,MATCH($A30,' 1.0 Asset Data'!$A$8:$A$75,0),0))</f>
        <v>0</v>
      </c>
      <c r="J30" s="28" cm="1">
        <f t="array" ref="J30">IF($A30="",0,INDEX(' 1.0 Asset Data'!M$8:M$75,MATCH($A30,' 1.0 Asset Data'!$A$8:$A$75,0),0))</f>
        <v>0</v>
      </c>
      <c r="L30" s="48">
        <f t="shared" si="11"/>
        <v>0</v>
      </c>
      <c r="M30" s="12">
        <f t="shared" si="12"/>
        <v>0</v>
      </c>
      <c r="N30" s="12" t="str">
        <f t="shared" si="13"/>
        <v/>
      </c>
      <c r="O30" s="12">
        <f>IF($A30="",0,$H30/(1+'1.1 Other Data'!$B$14)^$M30)</f>
        <v>0</v>
      </c>
      <c r="P30" s="12">
        <f>IF($A30="",0,$I30/(1+'1.1 Other Data'!$B$14)^$M30)</f>
        <v>0</v>
      </c>
      <c r="Q30" s="12">
        <f>IF($A30="",0,$J30/(1+'1.1 Other Data'!$B$14)^$M30)</f>
        <v>0</v>
      </c>
      <c r="R30" s="15">
        <f t="shared" si="58"/>
        <v>0</v>
      </c>
      <c r="S30" s="12">
        <f t="shared" si="0"/>
        <v>0</v>
      </c>
      <c r="T30" s="12">
        <f t="shared" si="1"/>
        <v>0</v>
      </c>
      <c r="U30" s="12">
        <f t="shared" si="59"/>
        <v>0</v>
      </c>
      <c r="V30" s="12">
        <f t="shared" si="60"/>
        <v>0</v>
      </c>
      <c r="W30" s="12">
        <f t="shared" si="61"/>
        <v>0</v>
      </c>
      <c r="X30" s="12">
        <f t="shared" si="62"/>
        <v>0</v>
      </c>
      <c r="Y30" s="12">
        <f t="shared" si="63"/>
        <v>0</v>
      </c>
      <c r="Z30" s="12">
        <f t="shared" si="64"/>
        <v>0</v>
      </c>
      <c r="AA30" s="19" t="str">
        <f t="shared" si="20"/>
        <v/>
      </c>
      <c r="AB30" s="19">
        <f t="shared" si="65"/>
        <v>0</v>
      </c>
      <c r="AD30" s="48">
        <f t="shared" si="21"/>
        <v>0</v>
      </c>
      <c r="AE30" s="12">
        <f t="shared" si="22"/>
        <v>0</v>
      </c>
      <c r="AF30" s="12" t="str">
        <f t="shared" si="23"/>
        <v/>
      </c>
      <c r="AG30" s="12">
        <f>IF($A30="",0,$H30/(1+'1.1 Other Data'!$B$14)^AE30)</f>
        <v>0</v>
      </c>
      <c r="AH30" s="12">
        <f>IF(Q$8="",0,$I30/(1+'1.1 Other Data'!$B$14)^AE30)</f>
        <v>0</v>
      </c>
      <c r="AI30" s="12">
        <f>IF(Q$8="",0,$J30/(1+'1.1 Other Data'!$B$14)*AE30)</f>
        <v>0</v>
      </c>
      <c r="AJ30" s="15">
        <f t="shared" si="66"/>
        <v>0</v>
      </c>
      <c r="AK30" s="12">
        <f t="shared" si="4"/>
        <v>0</v>
      </c>
      <c r="AL30" s="12">
        <f t="shared" si="5"/>
        <v>0</v>
      </c>
      <c r="AM30" s="12">
        <f t="shared" si="67"/>
        <v>0</v>
      </c>
      <c r="AN30" s="12">
        <f t="shared" si="68"/>
        <v>0</v>
      </c>
      <c r="AO30" s="12">
        <f t="shared" si="69"/>
        <v>0</v>
      </c>
      <c r="AP30" s="12">
        <f t="shared" si="70"/>
        <v>0</v>
      </c>
      <c r="AQ30" s="12">
        <f t="shared" si="71"/>
        <v>0</v>
      </c>
      <c r="AR30" s="12">
        <f t="shared" si="72"/>
        <v>0</v>
      </c>
      <c r="AS30" s="19" t="str">
        <f t="shared" si="31"/>
        <v/>
      </c>
      <c r="AT30" s="19">
        <f t="shared" si="73"/>
        <v>0</v>
      </c>
      <c r="AV30" s="48">
        <f t="shared" si="32"/>
        <v>0</v>
      </c>
      <c r="AW30" s="12">
        <f t="shared" si="33"/>
        <v>0</v>
      </c>
      <c r="AX30" s="12" t="str">
        <f t="shared" si="34"/>
        <v/>
      </c>
      <c r="AY30" s="12">
        <f>IF($A30="",0,$H30/(1+'1.1 Other Data'!$B$14)^AW30)</f>
        <v>0</v>
      </c>
      <c r="AZ30" s="12">
        <f>IF(A30="",0,$I30/(1+'1.1 Other Data'!$B$14)^AW30)</f>
        <v>0</v>
      </c>
      <c r="BA30" s="12">
        <f>IF(A30="",0,$J30/(1+'1.1 Other Data'!$B$14)*AW30)</f>
        <v>0</v>
      </c>
      <c r="BB30" s="15">
        <f t="shared" si="74"/>
        <v>0</v>
      </c>
      <c r="BC30" s="12">
        <f t="shared" si="7"/>
        <v>0</v>
      </c>
      <c r="BD30" s="12">
        <f t="shared" si="8"/>
        <v>0</v>
      </c>
      <c r="BE30" s="12">
        <f t="shared" si="75"/>
        <v>0</v>
      </c>
      <c r="BF30" s="12">
        <f t="shared" si="76"/>
        <v>0</v>
      </c>
      <c r="BG30" s="12">
        <f t="shared" si="77"/>
        <v>0</v>
      </c>
      <c r="BH30" s="12">
        <f t="shared" si="78"/>
        <v>0</v>
      </c>
      <c r="BI30" s="12">
        <f t="shared" si="79"/>
        <v>0</v>
      </c>
      <c r="BJ30" s="12">
        <f t="shared" si="80"/>
        <v>0</v>
      </c>
      <c r="BK30" s="19" t="str">
        <f t="shared" si="81"/>
        <v>Buy Spares</v>
      </c>
      <c r="BL30" s="19">
        <f t="shared" si="82"/>
        <v>0</v>
      </c>
    </row>
  </sheetData>
  <mergeCells count="4">
    <mergeCell ref="L6:AB6"/>
    <mergeCell ref="AD6:AT6"/>
    <mergeCell ref="AV6:BL6"/>
    <mergeCell ref="A6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9CF0-E4DA-400A-B98B-82D52FFCBB89}">
  <dimension ref="A4:AQ50"/>
  <sheetViews>
    <sheetView topLeftCell="AB5" zoomScaleNormal="100" workbookViewId="0">
      <selection activeCell="AQ8" sqref="AQ8"/>
    </sheetView>
  </sheetViews>
  <sheetFormatPr defaultRowHeight="15" x14ac:dyDescent="0.25"/>
  <cols>
    <col min="1" max="1" width="57.42578125" bestFit="1" customWidth="1"/>
    <col min="2" max="2" width="11.5703125" bestFit="1" customWidth="1"/>
    <col min="3" max="3" width="5.85546875" bestFit="1" customWidth="1"/>
    <col min="4" max="4" width="9" bestFit="1" customWidth="1"/>
    <col min="5" max="5" width="15.140625" bestFit="1" customWidth="1"/>
    <col min="7" max="7" width="27" bestFit="1" customWidth="1"/>
    <col min="8" max="10" width="9.85546875" bestFit="1" customWidth="1"/>
    <col min="12" max="12" width="10.85546875" customWidth="1"/>
    <col min="15" max="15" width="9" bestFit="1" customWidth="1"/>
    <col min="16" max="16" width="8.7109375" customWidth="1"/>
    <col min="17" max="17" width="12.28515625" bestFit="1" customWidth="1"/>
    <col min="19" max="19" width="11.140625" bestFit="1" customWidth="1"/>
    <col min="20" max="21" width="12" bestFit="1" customWidth="1"/>
    <col min="23" max="23" width="9.85546875" bestFit="1" customWidth="1"/>
    <col min="24" max="24" width="9.85546875" customWidth="1"/>
    <col min="25" max="25" width="12.28515625" customWidth="1"/>
    <col min="26" max="28" width="9.85546875" customWidth="1"/>
    <col min="29" max="29" width="10.7109375" bestFit="1" customWidth="1"/>
    <col min="30" max="30" width="10.5703125" bestFit="1" customWidth="1"/>
    <col min="31" max="32" width="10.5703125" customWidth="1"/>
    <col min="33" max="33" width="9.85546875" bestFit="1" customWidth="1"/>
    <col min="34" max="34" width="10.7109375" bestFit="1" customWidth="1"/>
    <col min="35" max="36" width="10.7109375" customWidth="1"/>
    <col min="37" max="38" width="12" bestFit="1" customWidth="1"/>
    <col min="40" max="40" width="10.85546875" customWidth="1"/>
    <col min="42" max="42" width="46.5703125" bestFit="1" customWidth="1"/>
    <col min="43" max="43" width="10.5703125" bestFit="1" customWidth="1"/>
    <col min="44" max="44" width="14.7109375" bestFit="1" customWidth="1"/>
  </cols>
  <sheetData>
    <row r="4" spans="1:43" x14ac:dyDescent="0.25">
      <c r="E4" s="4" t="s">
        <v>100</v>
      </c>
      <c r="F4" s="36">
        <v>37438</v>
      </c>
      <c r="R4" s="55"/>
    </row>
    <row r="5" spans="1:43" ht="26.25" thickBot="1" x14ac:dyDescent="0.4">
      <c r="A5" s="32" t="str" cm="1">
        <f t="array" aca="1" ref="A5" ca="1">RIGHT(CELL("filename",A2),LEN(CELL("filename",A2))-FIND("]",CELL("filename",A2)))</f>
        <v>3.1 Mean Time to failure Orig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1:43" ht="17.25" thickTop="1" thickBot="1" x14ac:dyDescent="0.3">
      <c r="A6" s="65" t="s">
        <v>73</v>
      </c>
      <c r="B6" s="65"/>
      <c r="C6" s="65"/>
      <c r="D6" s="65"/>
      <c r="E6" s="65"/>
      <c r="F6" s="65"/>
      <c r="G6" s="65"/>
      <c r="H6" s="65"/>
      <c r="I6" s="65"/>
      <c r="J6" s="65"/>
      <c r="L6" s="64" t="s">
        <v>101</v>
      </c>
      <c r="M6" s="64"/>
      <c r="N6" s="64"/>
      <c r="O6" s="64"/>
      <c r="P6" s="64"/>
      <c r="Q6" s="64"/>
      <c r="R6" s="64"/>
      <c r="S6" s="64"/>
      <c r="T6" s="64"/>
      <c r="U6" s="64"/>
      <c r="W6" s="65" t="s">
        <v>102</v>
      </c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J6" s="64" t="s">
        <v>103</v>
      </c>
      <c r="AK6" s="64"/>
      <c r="AL6" s="64"/>
      <c r="AM6" s="21" t="s">
        <v>104</v>
      </c>
      <c r="AN6" s="19">
        <f>SUM(AN8:AN50)</f>
        <v>1345971.5385150241</v>
      </c>
      <c r="AP6">
        <f>COUNTIF(AP8:AP50,"-")</f>
        <v>9</v>
      </c>
    </row>
    <row r="7" spans="1:43" ht="62.25" thickTop="1" thickBot="1" x14ac:dyDescent="0.3">
      <c r="A7" s="6" t="s">
        <v>57</v>
      </c>
      <c r="B7" s="6" t="s">
        <v>105</v>
      </c>
      <c r="C7" s="6" t="s">
        <v>106</v>
      </c>
      <c r="D7" s="6" t="str">
        <f>' 1.0 Asset Data'!F7</f>
        <v>Cost Estimate per Unit</v>
      </c>
      <c r="E7" s="6" t="s">
        <v>107</v>
      </c>
      <c r="F7" s="6" t="s">
        <v>108</v>
      </c>
      <c r="G7" s="6" t="s">
        <v>88</v>
      </c>
      <c r="H7" s="6" t="s">
        <v>109</v>
      </c>
      <c r="I7" s="6" t="s">
        <v>110</v>
      </c>
      <c r="J7" s="6" t="s">
        <v>111</v>
      </c>
      <c r="L7" s="6" t="s">
        <v>112</v>
      </c>
      <c r="M7" s="6" t="s">
        <v>113</v>
      </c>
      <c r="N7" s="6" t="s">
        <v>114</v>
      </c>
      <c r="O7" s="6" t="s">
        <v>115</v>
      </c>
      <c r="P7" s="6" t="s">
        <v>116</v>
      </c>
      <c r="Q7" s="6" t="s">
        <v>117</v>
      </c>
      <c r="R7" s="6" t="s">
        <v>118</v>
      </c>
      <c r="S7" s="6" t="s">
        <v>119</v>
      </c>
      <c r="T7" s="6" t="s">
        <v>120</v>
      </c>
      <c r="U7" s="6" t="s">
        <v>121</v>
      </c>
      <c r="W7" s="20" t="s">
        <v>122</v>
      </c>
      <c r="X7" s="20" t="s">
        <v>123</v>
      </c>
      <c r="Y7" s="20" t="s">
        <v>124</v>
      </c>
      <c r="Z7" s="20" t="s">
        <v>125</v>
      </c>
      <c r="AA7" s="20" t="s">
        <v>126</v>
      </c>
      <c r="AB7" s="20" t="s">
        <v>127</v>
      </c>
      <c r="AC7" s="20" t="s">
        <v>128</v>
      </c>
      <c r="AD7" s="20" t="s">
        <v>129</v>
      </c>
      <c r="AE7" s="20" t="s">
        <v>130</v>
      </c>
      <c r="AF7" s="20" t="s">
        <v>131</v>
      </c>
      <c r="AG7" s="20" t="s">
        <v>132</v>
      </c>
      <c r="AH7" s="20" t="s">
        <v>94</v>
      </c>
      <c r="AJ7" s="20" t="s">
        <v>133</v>
      </c>
      <c r="AK7" s="20" t="s">
        <v>134</v>
      </c>
      <c r="AL7" s="20" t="s">
        <v>135</v>
      </c>
      <c r="AN7" s="20" t="s">
        <v>136</v>
      </c>
      <c r="AP7" s="20" t="s">
        <v>137</v>
      </c>
    </row>
    <row r="8" spans="1:43" x14ac:dyDescent="0.25">
      <c r="A8" s="10" t="str">
        <f>'1.2 Sorting'!J8</f>
        <v>Spare 19</v>
      </c>
      <c r="B8" s="10" cm="1">
        <f t="array" ref="B8">_xlfn.IFNA(INDEX(' 1.0 Asset Data'!B$8:B$80,MATCH($A8,' 1.0 Asset Data'!$A$8:$A$80,0),0),0)</f>
        <v>6</v>
      </c>
      <c r="C8" s="10" cm="1">
        <f t="array" ref="C8">_xlfn.IFNA(INDEX(' 1.0 Asset Data'!C$8:C$80,MATCH($A8,' 1.0 Asset Data'!$A$8:$A$80,0),0),0)</f>
        <v>1</v>
      </c>
      <c r="D8" s="31" cm="1">
        <f t="array" ref="D8">_xlfn.IFNA(INDEX(' 1.0 Asset Data'!F$8:F$80,MATCH($A8,' 1.0 Asset Data'!$A$8:$A$80,0),0),0)</f>
        <v>11668.619179003888</v>
      </c>
      <c r="E8" s="33" cm="1">
        <f t="array" ref="E8">_xlfn.IFNA(INDEX(' 1.0 Asset Data'!E$8:E$80,MATCH($A8,' 1.0 Asset Data'!$A$8:$A$80,0),0),0)</f>
        <v>2.8908000000000003E-2</v>
      </c>
      <c r="F8" s="42" cm="1">
        <f t="array" ref="F8">_xlfn.IFNA(INDEX(' 1.0 Asset Data'!P$8:P$80,MATCH($A8,' 1.0 Asset Data'!$A$8:$A$80,0),0),0)</f>
        <v>34.592500345924996</v>
      </c>
      <c r="G8" s="37" t="str" cm="1">
        <f t="array" ref="G8">IF($A8="",0,INDEX(' 1.0 Asset Data'!J$8:J$75,MATCH($A8,' 1.0 Asset Data'!$A$8:$A$75,0),0))</f>
        <v>Re-engineer, asset offline for lead time (at least)</v>
      </c>
      <c r="H8" s="31" cm="1">
        <f t="array" ref="H8">IF($A8="",0,INDEX(' 1.0 Asset Data'!L$8:L$75,MATCH($A8,' 1.0 Asset Data'!$A$8:$A$75,0),0))</f>
        <v>500000</v>
      </c>
      <c r="I8" s="31" cm="1">
        <f t="array" ref="I8">IF($A8="",0,INDEX(' 1.0 Asset Data'!N$8:N$75,MATCH($A8,' 1.0 Asset Data'!$A$8:$A$75,0),0))</f>
        <v>750000</v>
      </c>
      <c r="J8" s="31" cm="1">
        <f t="array" ref="J8">IF($A8="",0,INDEX(' 1.0 Asset Data'!M$8:M$75,MATCH($A8,' 1.0 Asset Data'!$A$8:$A$75,0),0))</f>
        <v>1000000</v>
      </c>
      <c r="L8" s="35">
        <f t="shared" ref="L8:L50" si="0">OriginalDate+(F8*365.25)</f>
        <v>50072.910751349104</v>
      </c>
      <c r="M8" s="56">
        <f t="shared" ref="M8:M50" si="1">F8*Range/3</f>
        <v>1.1530833448641666</v>
      </c>
      <c r="N8" s="17">
        <f>ROUNDDOWN(M8*3*365.25,0)</f>
        <v>1263</v>
      </c>
      <c r="O8" s="24">
        <f>IF(A8="",0,(50%/E8)^(1/N8)-1)</f>
        <v>2.2594685745482845E-3</v>
      </c>
      <c r="P8" s="34">
        <f t="shared" ref="P8:P50" si="2">IF(A8="",0,LN(FailureThreshold/E8)/LN(1+O8))</f>
        <v>549.8874195281486</v>
      </c>
      <c r="Q8" s="35">
        <f>L8-N8+P8</f>
        <v>49359.79817087725</v>
      </c>
      <c r="R8" s="38">
        <f t="shared" ref="R8:R50" si="3">_xlfn.DAYS(Q8,CalcDate)/365.25</f>
        <v>10.639288158795345</v>
      </c>
      <c r="S8" s="17">
        <f>H8/(1+'1.1 Other Data'!$F$14)^'3.1 Mean Time to failure Orig'!$R8</f>
        <v>341467.12546968018</v>
      </c>
      <c r="T8" s="17">
        <f>I8/(1+'1.1 Other Data'!$F$14)^'3.1 Mean Time to failure Orig'!$R8</f>
        <v>512200.68820452027</v>
      </c>
      <c r="U8" s="17">
        <f>J8/(1+'1.1 Other Data'!$F$14)^'3.1 Mean Time to failure Orig'!$R8</f>
        <v>682934.25093936035</v>
      </c>
      <c r="W8" s="12">
        <f>ROUNDDOWN(F8*365.25,0)+N8</f>
        <v>13897</v>
      </c>
      <c r="X8" s="38">
        <f>ROUNDDOWN(W8/365.25,0)</f>
        <v>38</v>
      </c>
      <c r="Y8" s="12">
        <f>IF(A8="",0,'1.1 Other Data'!$B$38-OriginalDate-W8)</f>
        <v>531</v>
      </c>
      <c r="Z8" s="15">
        <f>ROUNDDOWN(Y8/365.25,2)</f>
        <v>1.45</v>
      </c>
      <c r="AA8" s="24">
        <f>E8*(1+O8)^(Z8)</f>
        <v>2.900275736884891E-2</v>
      </c>
      <c r="AB8" s="24">
        <f>AA8*Z8</f>
        <v>4.2053998184830917E-2</v>
      </c>
      <c r="AC8" s="12">
        <f>ROUNDUP(AB8,0)</f>
        <v>1</v>
      </c>
      <c r="AD8" s="12">
        <f>IF(AC8+B8&lt;1,1,AC8+B8)</f>
        <v>7</v>
      </c>
      <c r="AE8" s="12">
        <f>C8</f>
        <v>1</v>
      </c>
      <c r="AF8" s="12">
        <f>AD8-AE8</f>
        <v>6</v>
      </c>
      <c r="AG8" s="12">
        <f>D8</f>
        <v>11668.619179003888</v>
      </c>
      <c r="AH8" s="17">
        <f>AG8*AF8</f>
        <v>70011.715074023334</v>
      </c>
      <c r="AJ8" s="17">
        <f>S8-$AH8</f>
        <v>271455.41039565683</v>
      </c>
      <c r="AK8" s="17">
        <f>T8-$AH8</f>
        <v>442188.97313049692</v>
      </c>
      <c r="AL8" s="17">
        <f>U8-$AH8</f>
        <v>612922.53586533701</v>
      </c>
      <c r="AN8" s="23">
        <f>IF(SUM(AJ8:AL8)&lt;0,0,AH8)</f>
        <v>70011.715074023334</v>
      </c>
      <c r="AP8" s="21" t="str">
        <f>IF(AN8=0,A8,"-")</f>
        <v>-</v>
      </c>
      <c r="AQ8" s="21" t="str" cm="1">
        <f t="array" ref="AQ8">_xlfn.IFNA(INDEX('3.0 Lead Time'!$U$8:$U$65,MATCH(AP8,'3.0 Lead Time'!$A$8:$A$65,0),0),"")</f>
        <v/>
      </c>
    </row>
    <row r="9" spans="1:43" x14ac:dyDescent="0.25">
      <c r="A9" s="10" t="str">
        <f>'1.2 Sorting'!J9</f>
        <v>Spare 20</v>
      </c>
      <c r="B9" s="10" cm="1">
        <f t="array" ref="B9">_xlfn.IFNA(INDEX(' 1.0 Asset Data'!B$8:B$80,MATCH($A9,' 1.0 Asset Data'!$A$8:$A$80,0),0),0)</f>
        <v>6</v>
      </c>
      <c r="C9" s="10" cm="1">
        <f t="array" ref="C9">_xlfn.IFNA(INDEX(' 1.0 Asset Data'!C$8:C$80,MATCH($A9,' 1.0 Asset Data'!$A$8:$A$80,0),0),0)</f>
        <v>1</v>
      </c>
      <c r="D9" s="31" cm="1">
        <f t="array" ref="D9">_xlfn.IFNA(INDEX(' 1.0 Asset Data'!F$8:F$80,MATCH($A9,' 1.0 Asset Data'!$A$8:$A$80,0),0),0)</f>
        <v>11668.619179003888</v>
      </c>
      <c r="E9" s="33" cm="1">
        <f t="array" ref="E9">_xlfn.IFNA(INDEX(' 1.0 Asset Data'!E$8:E$80,MATCH($A9,' 1.0 Asset Data'!$A$8:$A$80,0),0),0)</f>
        <v>2.8908000000000003E-2</v>
      </c>
      <c r="F9" s="42" cm="1">
        <f t="array" ref="F9">_xlfn.IFNA(INDEX(' 1.0 Asset Data'!P$8:P$80,MATCH($A9,' 1.0 Asset Data'!$A$8:$A$80,0),0),0)</f>
        <v>34.592500345924996</v>
      </c>
      <c r="G9" s="37" t="str" cm="1">
        <f t="array" ref="G9">IF($A9="",0,INDEX(' 1.0 Asset Data'!$J$8:$J$75,MATCH($A9,' 1.0 Asset Data'!$A$8:$A$75,0),0))</f>
        <v>Re-engineer, asset offline for lead time (at least)</v>
      </c>
      <c r="H9" s="31" cm="1">
        <f t="array" ref="H9">IF($A9="",0,INDEX(' 1.0 Asset Data'!L$8:L$75,MATCH($A9,' 1.0 Asset Data'!$A$8:$A$75,0),0))</f>
        <v>500000</v>
      </c>
      <c r="I9" s="31" cm="1">
        <f t="array" ref="I9">IF($A9="",0,INDEX(' 1.0 Asset Data'!N$8:N$75,MATCH($A9,' 1.0 Asset Data'!$A$8:$A$75,0),0))</f>
        <v>750000</v>
      </c>
      <c r="J9" s="31" cm="1">
        <f t="array" ref="J9">IF($A9="",0,INDEX(' 1.0 Asset Data'!M$8:M$75,MATCH($A9,' 1.0 Asset Data'!$A$8:$A$75,0),0))</f>
        <v>1000000</v>
      </c>
      <c r="L9" s="35">
        <f t="shared" si="0"/>
        <v>50072.910751349104</v>
      </c>
      <c r="M9" s="56">
        <f t="shared" si="1"/>
        <v>1.1530833448641666</v>
      </c>
      <c r="N9" s="17">
        <f t="shared" ref="N9:N50" si="4">ROUNDDOWN(M9*3*365.25,0)</f>
        <v>1263</v>
      </c>
      <c r="O9" s="24">
        <f t="shared" ref="O9:O50" si="5">IF(A9="",0,(50%/E9)^(1/N9)-1)</f>
        <v>2.2594685745482845E-3</v>
      </c>
      <c r="P9" s="34">
        <f t="shared" si="2"/>
        <v>549.8874195281486</v>
      </c>
      <c r="Q9" s="35">
        <f t="shared" ref="Q9:Q20" si="6">L9-N9+P9</f>
        <v>49359.79817087725</v>
      </c>
      <c r="R9" s="38">
        <f t="shared" si="3"/>
        <v>10.639288158795345</v>
      </c>
      <c r="S9" s="17">
        <f>H9/(1+'1.1 Other Data'!$F$14)^'3.1 Mean Time to failure Orig'!$R9</f>
        <v>341467.12546968018</v>
      </c>
      <c r="T9" s="17">
        <f>I9/(1+'1.1 Other Data'!$F$14)^'3.1 Mean Time to failure Orig'!$R9</f>
        <v>512200.68820452027</v>
      </c>
      <c r="U9" s="17">
        <f>J9/(1+'1.1 Other Data'!$F$14)^'3.1 Mean Time to failure Orig'!$R9</f>
        <v>682934.25093936035</v>
      </c>
      <c r="W9" s="12">
        <f t="shared" ref="W9:W50" si="7">ROUNDDOWN(F9*365.25,0)+N9</f>
        <v>13897</v>
      </c>
      <c r="X9" s="38">
        <f t="shared" ref="X9:X50" si="8">ROUNDDOWN(W9/365.25,0)</f>
        <v>38</v>
      </c>
      <c r="Y9" s="12">
        <f>IF(A9="",0,'1.1 Other Data'!$B$38-OriginalDate-W9)</f>
        <v>531</v>
      </c>
      <c r="Z9" s="15">
        <f t="shared" ref="Z9:Z50" si="9">ROUNDDOWN(Y9/365.25,2)</f>
        <v>1.45</v>
      </c>
      <c r="AA9" s="24">
        <f t="shared" ref="AA9:AA50" si="10">E9*(1+O9)^(Z9)</f>
        <v>2.900275736884891E-2</v>
      </c>
      <c r="AB9" s="24">
        <f t="shared" ref="AB9:AB50" si="11">AA9*Z9</f>
        <v>4.2053998184830917E-2</v>
      </c>
      <c r="AC9" s="12">
        <f t="shared" ref="AC9:AC50" si="12">ROUNDUP(AB9,0)</f>
        <v>1</v>
      </c>
      <c r="AD9" s="12">
        <f t="shared" ref="AD9:AD50" si="13">IF(AC9+B9&lt;1,1,AC9+B9)</f>
        <v>7</v>
      </c>
      <c r="AE9" s="12">
        <f t="shared" ref="AE9:AE50" si="14">C9</f>
        <v>1</v>
      </c>
      <c r="AF9" s="12">
        <f t="shared" ref="AF9:AF50" si="15">AD9-AE9</f>
        <v>6</v>
      </c>
      <c r="AG9" s="12">
        <f t="shared" ref="AG9:AG50" si="16">D9</f>
        <v>11668.619179003888</v>
      </c>
      <c r="AH9" s="17">
        <f t="shared" ref="AH9:AH50" si="17">AG9*AF9</f>
        <v>70011.715074023334</v>
      </c>
      <c r="AJ9" s="17">
        <f t="shared" ref="AJ9:AJ50" si="18">S9-$AH9</f>
        <v>271455.41039565683</v>
      </c>
      <c r="AK9" s="17">
        <f t="shared" ref="AK9:AK50" si="19">T9-$AH9</f>
        <v>442188.97313049692</v>
      </c>
      <c r="AL9" s="17">
        <f t="shared" ref="AL9:AL50" si="20">U9-$AH9</f>
        <v>612922.53586533701</v>
      </c>
      <c r="AN9" s="23">
        <f t="shared" ref="AN9:AN50" si="21">IF(SUM(AJ9:AL9)&lt;0,0,AH9)</f>
        <v>70011.715074023334</v>
      </c>
      <c r="AP9" s="21" t="str">
        <f t="shared" ref="AP9:AP50" si="22">IF(AN9=0,A9,"-")</f>
        <v>-</v>
      </c>
      <c r="AQ9" s="21" t="str" cm="1">
        <f t="array" ref="AQ9">_xlfn.IFNA(INDEX('3.0 Lead Time'!$U$8:$U$65,MATCH(AP9,'3.0 Lead Time'!$A$8:$A$65,0),0),"")</f>
        <v/>
      </c>
    </row>
    <row r="10" spans="1:43" x14ac:dyDescent="0.25">
      <c r="A10" s="10" t="str">
        <f>'1.2 Sorting'!J10</f>
        <v>Spare 30</v>
      </c>
      <c r="B10" s="10" cm="1">
        <f t="array" ref="B10">_xlfn.IFNA(INDEX(' 1.0 Asset Data'!B$8:B$80,MATCH($A10,' 1.0 Asset Data'!$A$8:$A$80,0),0),0)</f>
        <v>15</v>
      </c>
      <c r="C10" s="10" cm="1">
        <f t="array" ref="C10">_xlfn.IFNA(INDEX(' 1.0 Asset Data'!C$8:C$80,MATCH($A10,' 1.0 Asset Data'!$A$8:$A$80,0),0),0)</f>
        <v>0</v>
      </c>
      <c r="D10" s="31" cm="1">
        <f t="array" ref="D10">_xlfn.IFNA(INDEX(' 1.0 Asset Data'!F$8:F$80,MATCH($A10,' 1.0 Asset Data'!$A$8:$A$80,0),0),0)</f>
        <v>11822.64495216674</v>
      </c>
      <c r="E10" s="33" cm="1">
        <f t="array" ref="E10">_xlfn.IFNA(INDEX(' 1.0 Asset Data'!E$8:E$80,MATCH($A10,' 1.0 Asset Data'!$A$8:$A$80,0),0),0)</f>
        <v>1.8527399999999999E-2</v>
      </c>
      <c r="F10" s="42" cm="1">
        <f t="array" ref="F10">_xlfn.IFNA(INDEX(' 1.0 Asset Data'!P$8:P$80,MATCH($A10,' 1.0 Asset Data'!$A$8:$A$80,0),0),0)</f>
        <v>53.974114014918449</v>
      </c>
      <c r="G10" s="37" t="str" cm="1">
        <f t="array" ref="G10">IF($A10="",0,INDEX(' 1.0 Asset Data'!$J$8:$J$75,MATCH($A10,' 1.0 Asset Data'!$A$8:$A$75,0),0))</f>
        <v>Re-engineer, asset offline for lead time (at least)</v>
      </c>
      <c r="H10" s="31" cm="1">
        <f t="array" ref="H10">IF($A10="",0,INDEX(' 1.0 Asset Data'!L$8:L$75,MATCH($A10,' 1.0 Asset Data'!$A$8:$A$75,0),0))</f>
        <v>500000</v>
      </c>
      <c r="I10" s="31" cm="1">
        <f t="array" ref="I10">IF($A10="",0,INDEX(' 1.0 Asset Data'!N$8:N$75,MATCH($A10,' 1.0 Asset Data'!$A$8:$A$75,0),0))</f>
        <v>750000</v>
      </c>
      <c r="J10" s="31" cm="1">
        <f t="array" ref="J10">IF($A10="",0,INDEX(' 1.0 Asset Data'!M$8:M$75,MATCH($A10,' 1.0 Asset Data'!$A$8:$A$75,0),0))</f>
        <v>1000000</v>
      </c>
      <c r="L10" s="35">
        <f t="shared" si="0"/>
        <v>57152.045143948963</v>
      </c>
      <c r="M10" s="56">
        <f t="shared" si="1"/>
        <v>1.799137133830615</v>
      </c>
      <c r="N10" s="17">
        <f t="shared" si="4"/>
        <v>1971</v>
      </c>
      <c r="O10" s="24">
        <f t="shared" si="5"/>
        <v>1.6733199930982767E-3</v>
      </c>
      <c r="P10" s="34">
        <f t="shared" si="2"/>
        <v>1008.3723518665803</v>
      </c>
      <c r="Q10" s="35">
        <f t="shared" si="6"/>
        <v>56189.417495815542</v>
      </c>
      <c r="R10" s="38">
        <f t="shared" si="3"/>
        <v>29.338809034907598</v>
      </c>
      <c r="S10" s="17">
        <f>H10/(1+'1.1 Other Data'!$F$14)^'3.1 Mean Time to failure Orig'!$R10</f>
        <v>174684.62230361273</v>
      </c>
      <c r="T10" s="17">
        <f>I10/(1+'1.1 Other Data'!$F$14)^'3.1 Mean Time to failure Orig'!$R10</f>
        <v>262026.93345541909</v>
      </c>
      <c r="U10" s="17">
        <f>J10/(1+'1.1 Other Data'!$F$14)^'3.1 Mean Time to failure Orig'!$R10</f>
        <v>349369.24460722547</v>
      </c>
      <c r="W10" s="12">
        <f t="shared" si="7"/>
        <v>21685</v>
      </c>
      <c r="X10" s="38">
        <f t="shared" si="8"/>
        <v>59</v>
      </c>
      <c r="Y10" s="12">
        <f>IF(A10="",0,'1.1 Other Data'!$B$38-OriginalDate-W10)</f>
        <v>-7257</v>
      </c>
      <c r="Z10" s="15">
        <f t="shared" si="9"/>
        <v>-19.86</v>
      </c>
      <c r="AA10" s="24">
        <f t="shared" si="10"/>
        <v>1.7922310894587564E-2</v>
      </c>
      <c r="AB10" s="24">
        <f t="shared" si="11"/>
        <v>-0.355937094366509</v>
      </c>
      <c r="AC10" s="12">
        <f t="shared" si="12"/>
        <v>-1</v>
      </c>
      <c r="AD10" s="12">
        <f t="shared" si="13"/>
        <v>14</v>
      </c>
      <c r="AE10" s="12">
        <f t="shared" si="14"/>
        <v>0</v>
      </c>
      <c r="AF10" s="12">
        <f t="shared" si="15"/>
        <v>14</v>
      </c>
      <c r="AG10" s="12">
        <f t="shared" si="16"/>
        <v>11822.64495216674</v>
      </c>
      <c r="AH10" s="17">
        <f t="shared" si="17"/>
        <v>165517.02933033436</v>
      </c>
      <c r="AJ10" s="17">
        <f t="shared" si="18"/>
        <v>9167.5929732783698</v>
      </c>
      <c r="AK10" s="17">
        <f t="shared" si="19"/>
        <v>96509.904125084722</v>
      </c>
      <c r="AL10" s="17">
        <f t="shared" si="20"/>
        <v>183852.2152768911</v>
      </c>
      <c r="AN10" s="23">
        <f t="shared" si="21"/>
        <v>165517.02933033436</v>
      </c>
      <c r="AP10" s="21" t="str">
        <f t="shared" si="22"/>
        <v>-</v>
      </c>
      <c r="AQ10" s="21" t="str" cm="1">
        <f t="array" ref="AQ10">_xlfn.IFNA(INDEX('3.0 Lead Time'!$U$8:$U$65,MATCH(AP10,'3.0 Lead Time'!$A$8:$A$65,0),0),"")</f>
        <v/>
      </c>
    </row>
    <row r="11" spans="1:43" x14ac:dyDescent="0.25">
      <c r="A11" s="10" t="str">
        <f>'1.2 Sorting'!J11</f>
        <v>Spare 32</v>
      </c>
      <c r="B11" s="10" cm="1">
        <f t="array" ref="B11">_xlfn.IFNA(INDEX(' 1.0 Asset Data'!B$8:B$80,MATCH($A11,' 1.0 Asset Data'!$A$8:$A$80,0),0),0)</f>
        <v>3</v>
      </c>
      <c r="C11" s="10" cm="1">
        <f t="array" ref="C11">_xlfn.IFNA(INDEX(' 1.0 Asset Data'!C$8:C$80,MATCH($A11,' 1.0 Asset Data'!$A$8:$A$80,0),0),0)</f>
        <v>1</v>
      </c>
      <c r="D11" s="31" cm="1">
        <f t="array" ref="D11">_xlfn.IFNA(INDEX(' 1.0 Asset Data'!F$8:F$80,MATCH($A11,' 1.0 Asset Data'!$A$8:$A$80,0),0),0)</f>
        <v>21031.898204987549</v>
      </c>
      <c r="E11" s="33" cm="1">
        <f t="array" ref="E11">_xlfn.IFNA(INDEX(' 1.0 Asset Data'!E$8:E$80,MATCH($A11,' 1.0 Asset Data'!$A$8:$A$80,0),0),0)</f>
        <v>3.7054799999999993E-3</v>
      </c>
      <c r="F11" s="42" cm="1">
        <f t="array" ref="F11">_xlfn.IFNA(INDEX(' 1.0 Asset Data'!P$8:P$80,MATCH($A11,' 1.0 Asset Data'!$A$8:$A$80,0),0),0)</f>
        <v>269.87057007459225</v>
      </c>
      <c r="G11" s="37" t="str" cm="1">
        <f t="array" ref="G11">IF($A11="",0,INDEX(' 1.0 Asset Data'!$J$8:$J$75,MATCH($A11,' 1.0 Asset Data'!$A$8:$A$75,0),0))</f>
        <v>Re-engineer, asset offline for lead time (at least)</v>
      </c>
      <c r="H11" s="31" cm="1">
        <f t="array" ref="H11">IF($A11="",0,INDEX(' 1.0 Asset Data'!L$8:L$75,MATCH($A11,' 1.0 Asset Data'!$A$8:$A$75,0),0))</f>
        <v>200000</v>
      </c>
      <c r="I11" s="31" cm="1">
        <f t="array" ref="I11">IF($A11="",0,INDEX(' 1.0 Asset Data'!N$8:N$75,MATCH($A11,' 1.0 Asset Data'!$A$8:$A$75,0),0))</f>
        <v>300000</v>
      </c>
      <c r="J11" s="31" cm="1">
        <f t="array" ref="J11">IF($A11="",0,INDEX(' 1.0 Asset Data'!M$8:M$75,MATCH($A11,' 1.0 Asset Data'!$A$8:$A$75,0),0))</f>
        <v>400000</v>
      </c>
      <c r="L11" s="35">
        <f t="shared" si="0"/>
        <v>136008.22571974481</v>
      </c>
      <c r="M11" s="56">
        <f t="shared" si="1"/>
        <v>8.995685669153076</v>
      </c>
      <c r="N11" s="17">
        <f t="shared" si="4"/>
        <v>9857</v>
      </c>
      <c r="O11" s="24">
        <f t="shared" si="5"/>
        <v>4.9771896083905531E-4</v>
      </c>
      <c r="P11" s="34">
        <f t="shared" si="2"/>
        <v>6622.5674592207542</v>
      </c>
      <c r="Q11" s="35">
        <f t="shared" si="6"/>
        <v>132773.79317896557</v>
      </c>
      <c r="R11" s="38">
        <f t="shared" si="3"/>
        <v>239.01437371663243</v>
      </c>
      <c r="S11" s="17">
        <f>H11/(1+'1.1 Other Data'!$F$14)^'3.1 Mean Time to failure Orig'!$R11</f>
        <v>38.045982978840179</v>
      </c>
      <c r="T11" s="17">
        <f>I11/(1+'1.1 Other Data'!$F$14)^'3.1 Mean Time to failure Orig'!$R11</f>
        <v>57.068974468260265</v>
      </c>
      <c r="U11" s="17">
        <f>J11/(1+'1.1 Other Data'!$F$14)^'3.1 Mean Time to failure Orig'!$R11</f>
        <v>76.091965957680358</v>
      </c>
      <c r="W11" s="12">
        <f t="shared" si="7"/>
        <v>108427</v>
      </c>
      <c r="X11" s="38">
        <f t="shared" si="8"/>
        <v>296</v>
      </c>
      <c r="Y11" s="12">
        <f>IF(A11="",0,'1.1 Other Data'!$B$38-OriginalDate-W11)</f>
        <v>-93999</v>
      </c>
      <c r="Z11" s="15">
        <f t="shared" si="9"/>
        <v>-257.35000000000002</v>
      </c>
      <c r="AA11" s="24">
        <f t="shared" si="10"/>
        <v>3.2600961727089046E-3</v>
      </c>
      <c r="AB11" s="24">
        <f t="shared" si="11"/>
        <v>-0.83898575004663667</v>
      </c>
      <c r="AC11" s="12">
        <f t="shared" si="12"/>
        <v>-1</v>
      </c>
      <c r="AD11" s="12">
        <f t="shared" si="13"/>
        <v>2</v>
      </c>
      <c r="AE11" s="12">
        <f t="shared" si="14"/>
        <v>1</v>
      </c>
      <c r="AF11" s="12">
        <f t="shared" si="15"/>
        <v>1</v>
      </c>
      <c r="AG11" s="12">
        <f t="shared" si="16"/>
        <v>21031.898204987549</v>
      </c>
      <c r="AH11" s="17">
        <f t="shared" si="17"/>
        <v>21031.898204987549</v>
      </c>
      <c r="AJ11" s="17">
        <f t="shared" si="18"/>
        <v>-20993.852222008707</v>
      </c>
      <c r="AK11" s="17">
        <f t="shared" si="19"/>
        <v>-20974.829230519288</v>
      </c>
      <c r="AL11" s="17">
        <f t="shared" si="20"/>
        <v>-20955.806239029869</v>
      </c>
      <c r="AN11" s="23">
        <f t="shared" si="21"/>
        <v>0</v>
      </c>
      <c r="AP11" s="21" t="str">
        <f t="shared" si="22"/>
        <v>Spare 32</v>
      </c>
      <c r="AQ11" s="21" cm="1">
        <f t="array" ref="AQ11">_xlfn.IFNA(INDEX('3.0 Lead Time'!$U$8:$U$65,MATCH(AP11,'3.0 Lead Time'!$A$8:$A$65,0),0),"")</f>
        <v>21031.898204987549</v>
      </c>
    </row>
    <row r="12" spans="1:43" x14ac:dyDescent="0.25">
      <c r="A12" s="10" t="str">
        <f>'1.2 Sorting'!J12</f>
        <v>Spare 33</v>
      </c>
      <c r="B12" s="10" cm="1">
        <f t="array" ref="B12">_xlfn.IFNA(INDEX(' 1.0 Asset Data'!B$8:B$80,MATCH($A12,' 1.0 Asset Data'!$A$8:$A$80,0),0),0)</f>
        <v>9</v>
      </c>
      <c r="C12" s="10" cm="1">
        <f t="array" ref="C12">_xlfn.IFNA(INDEX(' 1.0 Asset Data'!C$8:C$80,MATCH($A12,' 1.0 Asset Data'!$A$8:$A$80,0),0),0)</f>
        <v>0</v>
      </c>
      <c r="D12" s="31" cm="1">
        <f t="array" ref="D12">_xlfn.IFNA(INDEX(' 1.0 Asset Data'!F$8:F$80,MATCH($A12,' 1.0 Asset Data'!$A$8:$A$80,0),0),0)</f>
        <v>21031.898204987549</v>
      </c>
      <c r="E12" s="33" cm="1">
        <f t="array" ref="E12">_xlfn.IFNA(INDEX(' 1.0 Asset Data'!E$8:E$80,MATCH($A12,' 1.0 Asset Data'!$A$8:$A$80,0),0),0)</f>
        <v>3.3349320000000002E-2</v>
      </c>
      <c r="F12" s="42" cm="1">
        <f t="array" ref="F12">_xlfn.IFNA(INDEX(' 1.0 Asset Data'!P$8:P$80,MATCH($A12,' 1.0 Asset Data'!$A$8:$A$80,0),0),0)</f>
        <v>29.985618897176913</v>
      </c>
      <c r="G12" s="37" t="str" cm="1">
        <f t="array" ref="G12">IF($A12="",0,INDEX(' 1.0 Asset Data'!$J$8:$J$75,MATCH($A12,' 1.0 Asset Data'!$A$8:$A$75,0),0))</f>
        <v>Re-engineer, asset offline for lead time (at least)</v>
      </c>
      <c r="H12" s="31" cm="1">
        <f t="array" ref="H12">IF($A12="",0,INDEX(' 1.0 Asset Data'!L$8:L$75,MATCH($A12,' 1.0 Asset Data'!$A$8:$A$75,0),0))</f>
        <v>200000</v>
      </c>
      <c r="I12" s="31" cm="1">
        <f t="array" ref="I12">IF($A12="",0,INDEX(' 1.0 Asset Data'!N$8:N$75,MATCH($A12,' 1.0 Asset Data'!$A$8:$A$75,0),0))</f>
        <v>300000</v>
      </c>
      <c r="J12" s="31" cm="1">
        <f t="array" ref="J12">IF($A12="",0,INDEX(' 1.0 Asset Data'!M$8:M$75,MATCH($A12,' 1.0 Asset Data'!$A$8:$A$75,0),0))</f>
        <v>400000</v>
      </c>
      <c r="L12" s="35">
        <f t="shared" si="0"/>
        <v>48390.247302193864</v>
      </c>
      <c r="M12" s="56">
        <f t="shared" si="1"/>
        <v>0.99952062990589718</v>
      </c>
      <c r="N12" s="17">
        <f t="shared" si="4"/>
        <v>1095</v>
      </c>
      <c r="O12" s="24">
        <f t="shared" si="5"/>
        <v>2.4757268836952395E-3</v>
      </c>
      <c r="P12" s="34">
        <f t="shared" si="2"/>
        <v>444.10859256481939</v>
      </c>
      <c r="Q12" s="35">
        <f t="shared" si="6"/>
        <v>47739.355894758686</v>
      </c>
      <c r="R12" s="38">
        <f t="shared" si="3"/>
        <v>6.2039698836413413</v>
      </c>
      <c r="S12" s="17">
        <f>H12/(1+'1.1 Other Data'!$F$14)^'3.1 Mean Time to failure Orig'!$R12</f>
        <v>160122.8091377953</v>
      </c>
      <c r="T12" s="17">
        <f>I12/(1+'1.1 Other Data'!$F$14)^'3.1 Mean Time to failure Orig'!$R12</f>
        <v>240184.21370669294</v>
      </c>
      <c r="U12" s="17">
        <f>J12/(1+'1.1 Other Data'!$F$14)^'3.1 Mean Time to failure Orig'!$R12</f>
        <v>320245.61827559059</v>
      </c>
      <c r="W12" s="12">
        <f t="shared" si="7"/>
        <v>12047</v>
      </c>
      <c r="X12" s="38">
        <f t="shared" si="8"/>
        <v>32</v>
      </c>
      <c r="Y12" s="12">
        <f>IF(A12="",0,'1.1 Other Data'!$B$38-OriginalDate-W12)</f>
        <v>2381</v>
      </c>
      <c r="Z12" s="15">
        <f t="shared" si="9"/>
        <v>6.51</v>
      </c>
      <c r="AA12" s="24">
        <f t="shared" si="10"/>
        <v>3.389049008638978E-2</v>
      </c>
      <c r="AB12" s="24">
        <f t="shared" si="11"/>
        <v>0.22062709046239745</v>
      </c>
      <c r="AC12" s="12">
        <f t="shared" si="12"/>
        <v>1</v>
      </c>
      <c r="AD12" s="12">
        <f t="shared" si="13"/>
        <v>10</v>
      </c>
      <c r="AE12" s="12">
        <f t="shared" si="14"/>
        <v>0</v>
      </c>
      <c r="AF12" s="12">
        <f t="shared" si="15"/>
        <v>10</v>
      </c>
      <c r="AG12" s="12">
        <f t="shared" si="16"/>
        <v>21031.898204987549</v>
      </c>
      <c r="AH12" s="17">
        <f t="shared" si="17"/>
        <v>210318.98204987549</v>
      </c>
      <c r="AJ12" s="17">
        <f t="shared" si="18"/>
        <v>-50196.17291208019</v>
      </c>
      <c r="AK12" s="17">
        <f t="shared" si="19"/>
        <v>29865.231656817457</v>
      </c>
      <c r="AL12" s="17">
        <f t="shared" si="20"/>
        <v>109926.6362257151</v>
      </c>
      <c r="AN12" s="23">
        <f t="shared" si="21"/>
        <v>210318.98204987549</v>
      </c>
      <c r="AP12" s="21" t="str">
        <f t="shared" si="22"/>
        <v>-</v>
      </c>
      <c r="AQ12" s="21" t="str" cm="1">
        <f t="array" ref="AQ12">_xlfn.IFNA(INDEX('3.0 Lead Time'!$U$8:$U$65,MATCH(AP12,'3.0 Lead Time'!$A$8:$A$65,0),0),"")</f>
        <v/>
      </c>
    </row>
    <row r="13" spans="1:43" x14ac:dyDescent="0.25">
      <c r="A13" s="10" t="str">
        <f>'1.2 Sorting'!J13</f>
        <v>Spare 36</v>
      </c>
      <c r="B13" s="10" cm="1">
        <f t="array" ref="B13">_xlfn.IFNA(INDEX(' 1.0 Asset Data'!B$8:B$80,MATCH($A13,' 1.0 Asset Data'!$A$8:$A$80,0),0),0)</f>
        <v>15</v>
      </c>
      <c r="C13" s="10" cm="1">
        <f t="array" ref="C13">_xlfn.IFNA(INDEX(' 1.0 Asset Data'!C$8:C$80,MATCH($A13,' 1.0 Asset Data'!$A$8:$A$80,0),0),0)</f>
        <v>1</v>
      </c>
      <c r="D13" s="31" cm="1">
        <f t="array" ref="D13">_xlfn.IFNA(INDEX(' 1.0 Asset Data'!F$8:F$80,MATCH($A13,' 1.0 Asset Data'!$A$8:$A$80,0),0),0)</f>
        <v>12972.145131590691</v>
      </c>
      <c r="E13" s="33" cm="1">
        <f t="array" ref="E13">_xlfn.IFNA(INDEX(' 1.0 Asset Data'!E$8:E$80,MATCH($A13,' 1.0 Asset Data'!$A$8:$A$80,0),0),0)</f>
        <v>4.4347499999999998E-2</v>
      </c>
      <c r="F13" s="42" cm="1">
        <f t="array" ref="F13">_xlfn.IFNA(INDEX(' 1.0 Asset Data'!P$8:P$80,MATCH($A13,' 1.0 Asset Data'!$A$8:$A$80,0),0),0)</f>
        <v>22.54918541067704</v>
      </c>
      <c r="G13" s="37" t="str" cm="1">
        <f t="array" ref="G13">IF($A13="",0,INDEX(' 1.0 Asset Data'!$J$8:$J$75,MATCH($A13,' 1.0 Asset Data'!$A$8:$A$75,0),0))</f>
        <v>Re-engineer, asset offline for lead time (at least)</v>
      </c>
      <c r="H13" s="31" cm="1">
        <f t="array" ref="H13">IF($A13="",0,INDEX(' 1.0 Asset Data'!L$8:L$75,MATCH($A13,' 1.0 Asset Data'!$A$8:$A$75,0),0))</f>
        <v>200000</v>
      </c>
      <c r="I13" s="31" cm="1">
        <f t="array" ref="I13">IF($A13="",0,INDEX(' 1.0 Asset Data'!N$8:N$75,MATCH($A13,' 1.0 Asset Data'!$A$8:$A$75,0),0))</f>
        <v>300000</v>
      </c>
      <c r="J13" s="31" cm="1">
        <f t="array" ref="J13">IF($A13="",0,INDEX(' 1.0 Asset Data'!M$8:M$75,MATCH($A13,' 1.0 Asset Data'!$A$8:$A$75,0),0))</f>
        <v>400000</v>
      </c>
      <c r="L13" s="35">
        <f t="shared" si="0"/>
        <v>45674.089971249792</v>
      </c>
      <c r="M13" s="56">
        <f t="shared" si="1"/>
        <v>0.75163951368923465</v>
      </c>
      <c r="N13" s="17">
        <f t="shared" si="4"/>
        <v>823</v>
      </c>
      <c r="O13" s="24">
        <f t="shared" si="5"/>
        <v>2.9478988189635125E-3</v>
      </c>
      <c r="P13" s="34">
        <f t="shared" si="2"/>
        <v>276.23463331740697</v>
      </c>
      <c r="Q13" s="35">
        <f t="shared" si="6"/>
        <v>45127.324604567199</v>
      </c>
      <c r="R13" s="38">
        <f t="shared" si="3"/>
        <v>-0.94729637234770703</v>
      </c>
      <c r="S13" s="17">
        <f>H13/(1+'1.1 Other Data'!$F$14)^'3.1 Mean Time to failure Orig'!$R13</f>
        <v>206907.6254386442</v>
      </c>
      <c r="T13" s="17">
        <f>I13/(1+'1.1 Other Data'!$F$14)^'3.1 Mean Time to failure Orig'!$R13</f>
        <v>310361.4381579663</v>
      </c>
      <c r="U13" s="17">
        <f>J13/(1+'1.1 Other Data'!$F$14)^'3.1 Mean Time to failure Orig'!$R13</f>
        <v>413815.2508772884</v>
      </c>
      <c r="W13" s="12">
        <f t="shared" si="7"/>
        <v>9059</v>
      </c>
      <c r="X13" s="38">
        <f t="shared" si="8"/>
        <v>24</v>
      </c>
      <c r="Y13" s="12">
        <f>IF(A13="",0,'1.1 Other Data'!$B$38-OriginalDate-W13)</f>
        <v>5369</v>
      </c>
      <c r="Z13" s="15">
        <f t="shared" si="9"/>
        <v>14.69</v>
      </c>
      <c r="AA13" s="24">
        <f t="shared" si="10"/>
        <v>4.6307191238435498E-2</v>
      </c>
      <c r="AB13" s="24">
        <f t="shared" si="11"/>
        <v>0.68025263929261748</v>
      </c>
      <c r="AC13" s="12">
        <f t="shared" si="12"/>
        <v>1</v>
      </c>
      <c r="AD13" s="12">
        <f t="shared" si="13"/>
        <v>16</v>
      </c>
      <c r="AE13" s="12">
        <f t="shared" si="14"/>
        <v>1</v>
      </c>
      <c r="AF13" s="12">
        <f t="shared" si="15"/>
        <v>15</v>
      </c>
      <c r="AG13" s="12">
        <f t="shared" si="16"/>
        <v>12972.145131590691</v>
      </c>
      <c r="AH13" s="17">
        <f t="shared" si="17"/>
        <v>194582.17697386036</v>
      </c>
      <c r="AJ13" s="17">
        <f t="shared" si="18"/>
        <v>12325.44846478384</v>
      </c>
      <c r="AK13" s="17">
        <f t="shared" si="19"/>
        <v>115779.26118410594</v>
      </c>
      <c r="AL13" s="17">
        <f t="shared" si="20"/>
        <v>219233.07390342804</v>
      </c>
      <c r="AN13" s="23">
        <f t="shared" si="21"/>
        <v>194582.17697386036</v>
      </c>
      <c r="AP13" s="21" t="str">
        <f t="shared" si="22"/>
        <v>-</v>
      </c>
      <c r="AQ13" s="21" t="str" cm="1">
        <f t="array" ref="AQ13">_xlfn.IFNA(INDEX('3.0 Lead Time'!$U$8:$U$65,MATCH(AP13,'3.0 Lead Time'!$A$8:$A$65,0),0),"")</f>
        <v/>
      </c>
    </row>
    <row r="14" spans="1:43" x14ac:dyDescent="0.25">
      <c r="A14" s="10" t="str">
        <f>'1.2 Sorting'!J14</f>
        <v>Spare 38</v>
      </c>
      <c r="B14" s="10" cm="1">
        <f t="array" ref="B14">_xlfn.IFNA(INDEX(' 1.0 Asset Data'!B$8:B$80,MATCH($A14,' 1.0 Asset Data'!$A$8:$A$80,0),0),0)</f>
        <v>12</v>
      </c>
      <c r="C14" s="10" cm="1">
        <f t="array" ref="C14">_xlfn.IFNA(INDEX(' 1.0 Asset Data'!C$8:C$80,MATCH($A14,' 1.0 Asset Data'!$A$8:$A$80,0),0),0)</f>
        <v>1</v>
      </c>
      <c r="D14" s="31" cm="1">
        <f t="array" ref="D14">_xlfn.IFNA(INDEX(' 1.0 Asset Data'!F$8:F$80,MATCH($A14,' 1.0 Asset Data'!$A$8:$A$80,0),0),0)</f>
        <v>10313.980006965381</v>
      </c>
      <c r="E14" s="33" cm="1">
        <f t="array" ref="E14">_xlfn.IFNA(INDEX(' 1.0 Asset Data'!E$8:E$80,MATCH($A14,' 1.0 Asset Data'!$A$8:$A$80,0),0),0)</f>
        <v>2.8382400000000006E-2</v>
      </c>
      <c r="F14" s="42" cm="1">
        <f t="array" ref="F14">_xlfn.IFNA(INDEX(' 1.0 Asset Data'!P$8:P$80,MATCH($A14,' 1.0 Asset Data'!$A$8:$A$80,0),0),0)</f>
        <v>35.23310220418287</v>
      </c>
      <c r="G14" s="37" t="str" cm="1">
        <f t="array" ref="G14">IF($A14="",0,INDEX(' 1.0 Asset Data'!$J$8:$J$75,MATCH($A14,' 1.0 Asset Data'!$A$8:$A$75,0),0))</f>
        <v>Re-engineer, asset offline for lead time (at least)</v>
      </c>
      <c r="H14" s="31" cm="1">
        <f t="array" ref="H14">IF($A14="",0,INDEX(' 1.0 Asset Data'!L$8:L$75,MATCH($A14,' 1.0 Asset Data'!$A$8:$A$75,0),0))</f>
        <v>200000</v>
      </c>
      <c r="I14" s="31" cm="1">
        <f t="array" ref="I14">IF($A14="",0,INDEX(' 1.0 Asset Data'!N$8:N$75,MATCH($A14,' 1.0 Asset Data'!$A$8:$A$75,0),0))</f>
        <v>300000</v>
      </c>
      <c r="J14" s="31" cm="1">
        <f t="array" ref="J14">IF($A14="",0,INDEX(' 1.0 Asset Data'!M$8:M$75,MATCH($A14,' 1.0 Asset Data'!$A$8:$A$75,0),0))</f>
        <v>400000</v>
      </c>
      <c r="L14" s="35">
        <f t="shared" si="0"/>
        <v>50306.890580077794</v>
      </c>
      <c r="M14" s="56">
        <f t="shared" si="1"/>
        <v>1.1744367401394291</v>
      </c>
      <c r="N14" s="17">
        <f t="shared" si="4"/>
        <v>1286</v>
      </c>
      <c r="O14" s="24">
        <f t="shared" si="5"/>
        <v>2.2333135154719574E-3</v>
      </c>
      <c r="P14" s="34">
        <f t="shared" si="2"/>
        <v>564.54534404110427</v>
      </c>
      <c r="Q14" s="35">
        <f t="shared" si="6"/>
        <v>49585.435924118901</v>
      </c>
      <c r="R14" s="38">
        <f t="shared" si="3"/>
        <v>11.2580424366872</v>
      </c>
      <c r="S14" s="17">
        <f>H14/(1+'1.1 Other Data'!$F$14)^'3.1 Mean Time to failure Orig'!$R14</f>
        <v>133590.87129986208</v>
      </c>
      <c r="T14" s="17">
        <f>I14/(1+'1.1 Other Data'!$F$14)^'3.1 Mean Time to failure Orig'!$R14</f>
        <v>200386.3069497931</v>
      </c>
      <c r="U14" s="17">
        <f>J14/(1+'1.1 Other Data'!$F$14)^'3.1 Mean Time to failure Orig'!$R14</f>
        <v>267181.74259972415</v>
      </c>
      <c r="W14" s="12">
        <f t="shared" si="7"/>
        <v>14154</v>
      </c>
      <c r="X14" s="38">
        <f t="shared" si="8"/>
        <v>38</v>
      </c>
      <c r="Y14" s="12">
        <f>IF(A14="",0,'1.1 Other Data'!$B$38-OriginalDate-W14)</f>
        <v>274</v>
      </c>
      <c r="Z14" s="15">
        <f t="shared" si="9"/>
        <v>0.75</v>
      </c>
      <c r="AA14" s="24">
        <f t="shared" si="10"/>
        <v>2.8429926838982447E-2</v>
      </c>
      <c r="AB14" s="24">
        <f t="shared" si="11"/>
        <v>2.1322445129236835E-2</v>
      </c>
      <c r="AC14" s="12">
        <f t="shared" si="12"/>
        <v>1</v>
      </c>
      <c r="AD14" s="12">
        <f t="shared" si="13"/>
        <v>13</v>
      </c>
      <c r="AE14" s="12">
        <f t="shared" si="14"/>
        <v>1</v>
      </c>
      <c r="AF14" s="12">
        <f t="shared" si="15"/>
        <v>12</v>
      </c>
      <c r="AG14" s="12">
        <f t="shared" si="16"/>
        <v>10313.980006965381</v>
      </c>
      <c r="AH14" s="17">
        <f t="shared" si="17"/>
        <v>123767.76008358458</v>
      </c>
      <c r="AJ14" s="17">
        <f t="shared" si="18"/>
        <v>9823.1112162774953</v>
      </c>
      <c r="AK14" s="17">
        <f t="shared" si="19"/>
        <v>76618.546866208519</v>
      </c>
      <c r="AL14" s="17">
        <f t="shared" si="20"/>
        <v>143413.98251613957</v>
      </c>
      <c r="AN14" s="23">
        <f t="shared" si="21"/>
        <v>123767.76008358458</v>
      </c>
      <c r="AP14" s="21" t="str">
        <f t="shared" si="22"/>
        <v>-</v>
      </c>
      <c r="AQ14" s="21" t="str" cm="1">
        <f t="array" ref="AQ14">_xlfn.IFNA(INDEX('3.0 Lead Time'!$U$8:$U$65,MATCH(AP14,'3.0 Lead Time'!$A$8:$A$65,0),0),"")</f>
        <v/>
      </c>
    </row>
    <row r="15" spans="1:43" x14ac:dyDescent="0.25">
      <c r="A15" s="10" t="str">
        <f>'1.2 Sorting'!J15</f>
        <v>Spare 43</v>
      </c>
      <c r="B15" s="10" cm="1">
        <f t="array" ref="B15">_xlfn.IFNA(INDEX(' 1.0 Asset Data'!B$8:B$80,MATCH($A15,' 1.0 Asset Data'!$A$8:$A$80,0),0),0)</f>
        <v>18</v>
      </c>
      <c r="C15" s="10" cm="1">
        <f t="array" ref="C15">_xlfn.IFNA(INDEX(' 1.0 Asset Data'!C$8:C$80,MATCH($A15,' 1.0 Asset Data'!$A$8:$A$80,0),0),0)</f>
        <v>0</v>
      </c>
      <c r="D15" s="31" cm="1">
        <f t="array" ref="D15">_xlfn.IFNA(INDEX(' 1.0 Asset Data'!F$8:F$80,MATCH($A15,' 1.0 Asset Data'!$A$8:$A$80,0),0),0)</f>
        <v>13949.60085611557</v>
      </c>
      <c r="E15" s="33" cm="1">
        <f t="array" ref="E15">_xlfn.IFNA(INDEX(' 1.0 Asset Data'!E$8:E$80,MATCH($A15,' 1.0 Asset Data'!$A$8:$A$80,0),0),0)</f>
        <v>3.1536000000000002E-2</v>
      </c>
      <c r="F15" s="42" cm="1">
        <f t="array" ref="F15">_xlfn.IFNA(INDEX(' 1.0 Asset Data'!P$8:P$80,MATCH($A15,' 1.0 Asset Data'!$A$8:$A$80,0),0),0)</f>
        <v>31.709791983764585</v>
      </c>
      <c r="G15" s="37" t="str" cm="1">
        <f t="array" ref="G15">IF($A15="",0,INDEX(' 1.0 Asset Data'!$J$8:$J$75,MATCH($A15,' 1.0 Asset Data'!$A$8:$A$75,0),0))</f>
        <v>Re-engineer, asset offline for lead time (at least)</v>
      </c>
      <c r="H15" s="31" cm="1">
        <f t="array" ref="H15">IF($A15="",0,INDEX(' 1.0 Asset Data'!L$8:L$75,MATCH($A15,' 1.0 Asset Data'!$A$8:$A$75,0),0))</f>
        <v>200000</v>
      </c>
      <c r="I15" s="31" cm="1">
        <f t="array" ref="I15">IF($A15="",0,INDEX(' 1.0 Asset Data'!N$8:N$75,MATCH($A15,' 1.0 Asset Data'!$A$8:$A$75,0),0))</f>
        <v>300000</v>
      </c>
      <c r="J15" s="31" cm="1">
        <f t="array" ref="J15">IF($A15="",0,INDEX(' 1.0 Asset Data'!M$8:M$75,MATCH($A15,' 1.0 Asset Data'!$A$8:$A$75,0),0))</f>
        <v>400000</v>
      </c>
      <c r="L15" s="35">
        <f t="shared" si="0"/>
        <v>49020.001522070015</v>
      </c>
      <c r="M15" s="56">
        <f t="shared" si="1"/>
        <v>1.0569930661254863</v>
      </c>
      <c r="N15" s="17">
        <f t="shared" si="4"/>
        <v>1158</v>
      </c>
      <c r="O15" s="24">
        <f t="shared" si="5"/>
        <v>2.3892732187780208E-3</v>
      </c>
      <c r="P15" s="34">
        <f t="shared" si="2"/>
        <v>483.58577709156231</v>
      </c>
      <c r="Q15" s="35">
        <f t="shared" si="6"/>
        <v>48345.587299161576</v>
      </c>
      <c r="R15" s="38">
        <f t="shared" si="3"/>
        <v>7.8631074606433948</v>
      </c>
      <c r="S15" s="17">
        <f>H15/(1+'1.1 Other Data'!$F$14)^'3.1 Mean Time to failure Orig'!$R15</f>
        <v>150877.85946844661</v>
      </c>
      <c r="T15" s="17">
        <f>I15/(1+'1.1 Other Data'!$F$14)^'3.1 Mean Time to failure Orig'!$R15</f>
        <v>226316.7892026699</v>
      </c>
      <c r="U15" s="17">
        <f>J15/(1+'1.1 Other Data'!$F$14)^'3.1 Mean Time to failure Orig'!$R15</f>
        <v>301755.71893689322</v>
      </c>
      <c r="W15" s="12">
        <f t="shared" si="7"/>
        <v>12740</v>
      </c>
      <c r="X15" s="38">
        <f t="shared" si="8"/>
        <v>34</v>
      </c>
      <c r="Y15" s="12">
        <f>IF(A15="",0,'1.1 Other Data'!$B$38-OriginalDate-W15)</f>
        <v>1688</v>
      </c>
      <c r="Z15" s="15">
        <f t="shared" si="9"/>
        <v>4.62</v>
      </c>
      <c r="AA15" s="24">
        <f t="shared" si="10"/>
        <v>3.18856168835909E-2</v>
      </c>
      <c r="AB15" s="24">
        <f t="shared" si="11"/>
        <v>0.14731155000218996</v>
      </c>
      <c r="AC15" s="12">
        <f t="shared" si="12"/>
        <v>1</v>
      </c>
      <c r="AD15" s="12">
        <f t="shared" si="13"/>
        <v>19</v>
      </c>
      <c r="AE15" s="12">
        <f t="shared" si="14"/>
        <v>0</v>
      </c>
      <c r="AF15" s="12">
        <f t="shared" si="15"/>
        <v>19</v>
      </c>
      <c r="AG15" s="12">
        <f t="shared" si="16"/>
        <v>13949.60085611557</v>
      </c>
      <c r="AH15" s="17">
        <f t="shared" si="17"/>
        <v>265042.41626619583</v>
      </c>
      <c r="AJ15" s="17">
        <f t="shared" si="18"/>
        <v>-114164.55679774922</v>
      </c>
      <c r="AK15" s="17">
        <f t="shared" si="19"/>
        <v>-38725.627063525928</v>
      </c>
      <c r="AL15" s="17">
        <f t="shared" si="20"/>
        <v>36713.302670697391</v>
      </c>
      <c r="AN15" s="23">
        <f t="shared" si="21"/>
        <v>0</v>
      </c>
      <c r="AP15" s="21" t="str">
        <f t="shared" si="22"/>
        <v>Spare 43</v>
      </c>
      <c r="AQ15" s="21" cm="1">
        <f t="array" ref="AQ15">_xlfn.IFNA(INDEX('3.0 Lead Time'!$U$8:$U$65,MATCH(AP15,'3.0 Lead Time'!$A$8:$A$65,0),0),"")</f>
        <v>27899.201712231141</v>
      </c>
    </row>
    <row r="16" spans="1:43" x14ac:dyDescent="0.25">
      <c r="A16" s="10" t="str">
        <f>'1.2 Sorting'!J16</f>
        <v>Spare 44</v>
      </c>
      <c r="B16" s="10" cm="1">
        <f t="array" ref="B16">_xlfn.IFNA(INDEX(' 1.0 Asset Data'!B$8:B$80,MATCH($A16,' 1.0 Asset Data'!$A$8:$A$80,0),0),0)</f>
        <v>18</v>
      </c>
      <c r="C16" s="10" cm="1">
        <f t="array" ref="C16">_xlfn.IFNA(INDEX(' 1.0 Asset Data'!C$8:C$80,MATCH($A16,' 1.0 Asset Data'!$A$8:$A$80,0),0),0)</f>
        <v>0</v>
      </c>
      <c r="D16" s="31" cm="1">
        <f t="array" ref="D16">_xlfn.IFNA(INDEX(' 1.0 Asset Data'!F$8:F$80,MATCH($A16,' 1.0 Asset Data'!$A$8:$A$80,0),0),0)</f>
        <v>13949.60085611557</v>
      </c>
      <c r="E16" s="33" cm="1">
        <f t="array" ref="E16">_xlfn.IFNA(INDEX(' 1.0 Asset Data'!E$8:E$80,MATCH($A16,' 1.0 Asset Data'!$A$8:$A$80,0),0),0)</f>
        <v>3.1536000000000002E-2</v>
      </c>
      <c r="F16" s="42" cm="1">
        <f t="array" ref="F16">_xlfn.IFNA(INDEX(' 1.0 Asset Data'!P$8:P$80,MATCH($A16,' 1.0 Asset Data'!$A$8:$A$80,0),0),0)</f>
        <v>31.709791983764585</v>
      </c>
      <c r="G16" s="37" t="str" cm="1">
        <f t="array" ref="G16">IF($A16="",0,INDEX(' 1.0 Asset Data'!$J$8:$J$75,MATCH($A16,' 1.0 Asset Data'!$A$8:$A$75,0),0))</f>
        <v>Re-engineer, asset offline for lead time (at least)</v>
      </c>
      <c r="H16" s="31" cm="1">
        <f t="array" ref="H16">IF($A16="",0,INDEX(' 1.0 Asset Data'!L$8:L$75,MATCH($A16,' 1.0 Asset Data'!$A$8:$A$75,0),0))</f>
        <v>200000</v>
      </c>
      <c r="I16" s="31" cm="1">
        <f t="array" ref="I16">IF($A16="",0,INDEX(' 1.0 Asset Data'!N$8:N$75,MATCH($A16,' 1.0 Asset Data'!$A$8:$A$75,0),0))</f>
        <v>300000</v>
      </c>
      <c r="J16" s="31" cm="1">
        <f t="array" ref="J16">IF($A16="",0,INDEX(' 1.0 Asset Data'!M$8:M$75,MATCH($A16,' 1.0 Asset Data'!$A$8:$A$75,0),0))</f>
        <v>400000</v>
      </c>
      <c r="L16" s="35">
        <f t="shared" si="0"/>
        <v>49020.001522070015</v>
      </c>
      <c r="M16" s="56">
        <f t="shared" si="1"/>
        <v>1.0569930661254863</v>
      </c>
      <c r="N16" s="17">
        <f t="shared" si="4"/>
        <v>1158</v>
      </c>
      <c r="O16" s="24">
        <f t="shared" si="5"/>
        <v>2.3892732187780208E-3</v>
      </c>
      <c r="P16" s="34">
        <f t="shared" si="2"/>
        <v>483.58577709156231</v>
      </c>
      <c r="Q16" s="35">
        <f t="shared" si="6"/>
        <v>48345.587299161576</v>
      </c>
      <c r="R16" s="38">
        <f t="shared" si="3"/>
        <v>7.8631074606433948</v>
      </c>
      <c r="S16" s="17">
        <f>H16/(1+'1.1 Other Data'!$F$14)^'3.1 Mean Time to failure Orig'!$R16</f>
        <v>150877.85946844661</v>
      </c>
      <c r="T16" s="17">
        <f>I16/(1+'1.1 Other Data'!$F$14)^'3.1 Mean Time to failure Orig'!$R16</f>
        <v>226316.7892026699</v>
      </c>
      <c r="U16" s="17">
        <f>J16/(1+'1.1 Other Data'!$F$14)^'3.1 Mean Time to failure Orig'!$R16</f>
        <v>301755.71893689322</v>
      </c>
      <c r="W16" s="12">
        <f t="shared" si="7"/>
        <v>12740</v>
      </c>
      <c r="X16" s="38">
        <f t="shared" si="8"/>
        <v>34</v>
      </c>
      <c r="Y16" s="12">
        <f>IF(A16="",0,'1.1 Other Data'!$B$38-OriginalDate-W16)</f>
        <v>1688</v>
      </c>
      <c r="Z16" s="15">
        <f t="shared" si="9"/>
        <v>4.62</v>
      </c>
      <c r="AA16" s="24">
        <f t="shared" si="10"/>
        <v>3.18856168835909E-2</v>
      </c>
      <c r="AB16" s="24">
        <f t="shared" si="11"/>
        <v>0.14731155000218996</v>
      </c>
      <c r="AC16" s="12">
        <f t="shared" si="12"/>
        <v>1</v>
      </c>
      <c r="AD16" s="12">
        <f t="shared" si="13"/>
        <v>19</v>
      </c>
      <c r="AE16" s="12">
        <f t="shared" si="14"/>
        <v>0</v>
      </c>
      <c r="AF16" s="12">
        <f t="shared" si="15"/>
        <v>19</v>
      </c>
      <c r="AG16" s="12">
        <f t="shared" si="16"/>
        <v>13949.60085611557</v>
      </c>
      <c r="AH16" s="17">
        <f t="shared" si="17"/>
        <v>265042.41626619583</v>
      </c>
      <c r="AJ16" s="17">
        <f t="shared" si="18"/>
        <v>-114164.55679774922</v>
      </c>
      <c r="AK16" s="17">
        <f t="shared" si="19"/>
        <v>-38725.627063525928</v>
      </c>
      <c r="AL16" s="17">
        <f t="shared" si="20"/>
        <v>36713.302670697391</v>
      </c>
      <c r="AN16" s="23">
        <f t="shared" si="21"/>
        <v>0</v>
      </c>
      <c r="AP16" s="21" t="str">
        <f t="shared" si="22"/>
        <v>Spare 44</v>
      </c>
      <c r="AQ16" s="21" cm="1">
        <f t="array" ref="AQ16">_xlfn.IFNA(INDEX('3.0 Lead Time'!$U$8:$U$65,MATCH(AP16,'3.0 Lead Time'!$A$8:$A$65,0),0),"")</f>
        <v>27899.201712231141</v>
      </c>
    </row>
    <row r="17" spans="1:43" x14ac:dyDescent="0.25">
      <c r="A17" s="10" t="str">
        <f>'1.2 Sorting'!J17</f>
        <v>Spare 46</v>
      </c>
      <c r="B17" s="10" cm="1">
        <f t="array" ref="B17">_xlfn.IFNA(INDEX(' 1.0 Asset Data'!B$8:B$80,MATCH($A17,' 1.0 Asset Data'!$A$8:$A$80,0),0),0)</f>
        <v>15</v>
      </c>
      <c r="C17" s="10" cm="1">
        <f t="array" ref="C17">_xlfn.IFNA(INDEX(' 1.0 Asset Data'!C$8:C$80,MATCH($A17,' 1.0 Asset Data'!$A$8:$A$80,0),0),0)</f>
        <v>1</v>
      </c>
      <c r="D17" s="31" cm="1">
        <f t="array" ref="D17">_xlfn.IFNA(INDEX(' 1.0 Asset Data'!F$8:F$80,MATCH($A17,' 1.0 Asset Data'!$A$8:$A$80,0),0),0)</f>
        <v>334177.58466749237</v>
      </c>
      <c r="E17" s="33" cm="1">
        <f t="array" ref="E17">_xlfn.IFNA(INDEX(' 1.0 Asset Data'!E$8:E$80,MATCH($A17,' 1.0 Asset Data'!$A$8:$A$80,0),0),0)</f>
        <v>9.920700000000001E-3</v>
      </c>
      <c r="F17" s="42" cm="1">
        <f t="array" ref="F17">_xlfn.IFNA(INDEX(' 1.0 Asset Data'!P$8:P$80,MATCH($A17,' 1.0 Asset Data'!$A$8:$A$80,0),0),0)</f>
        <v>100.79933875633775</v>
      </c>
      <c r="G17" s="37" t="str" cm="1">
        <f t="array" ref="G17">IF($A17="",0,INDEX(' 1.0 Asset Data'!$J$8:$J$75,MATCH($A17,' 1.0 Asset Data'!$A$8:$A$75,0),0))</f>
        <v>Re-engineer, asset offline for lead time (at least)</v>
      </c>
      <c r="H17" s="31" cm="1">
        <f t="array" ref="H17">IF($A17="",0,INDEX(' 1.0 Asset Data'!L$8:L$75,MATCH($A17,' 1.0 Asset Data'!$A$8:$A$75,0),0))</f>
        <v>1000000</v>
      </c>
      <c r="I17" s="31" cm="1">
        <f t="array" ref="I17">IF($A17="",0,INDEX(' 1.0 Asset Data'!N$8:N$75,MATCH($A17,' 1.0 Asset Data'!$A$8:$A$75,0),0))</f>
        <v>1500000</v>
      </c>
      <c r="J17" s="31" cm="1">
        <f t="array" ref="J17">IF($A17="",0,INDEX(' 1.0 Asset Data'!M$8:M$75,MATCH($A17,' 1.0 Asset Data'!$A$8:$A$75,0),0))</f>
        <v>2000000</v>
      </c>
      <c r="L17" s="35">
        <f t="shared" si="0"/>
        <v>74254.958480752364</v>
      </c>
      <c r="M17" s="56">
        <f t="shared" si="1"/>
        <v>3.3599779585445919</v>
      </c>
      <c r="N17" s="17">
        <f t="shared" si="4"/>
        <v>3681</v>
      </c>
      <c r="O17" s="24">
        <f t="shared" si="5"/>
        <v>1.0654910618657087E-3</v>
      </c>
      <c r="P17" s="34">
        <f t="shared" si="2"/>
        <v>2169.6826002196085</v>
      </c>
      <c r="Q17" s="35">
        <f t="shared" si="6"/>
        <v>72743.641080971967</v>
      </c>
      <c r="R17" s="38">
        <f t="shared" si="3"/>
        <v>74.661190965092402</v>
      </c>
      <c r="S17" s="17">
        <f>H17/(1+'1.1 Other Data'!$F$14)^'3.1 Mean Time to failure Orig'!$R17</f>
        <v>68826.249363009541</v>
      </c>
      <c r="T17" s="17">
        <f>I17/(1+'1.1 Other Data'!$F$14)^'3.1 Mean Time to failure Orig'!$R17</f>
        <v>103239.3740445143</v>
      </c>
      <c r="U17" s="17">
        <f>J17/(1+'1.1 Other Data'!$F$14)^'3.1 Mean Time to failure Orig'!$R17</f>
        <v>137652.49872601908</v>
      </c>
      <c r="W17" s="12">
        <f t="shared" si="7"/>
        <v>40497</v>
      </c>
      <c r="X17" s="38">
        <f t="shared" si="8"/>
        <v>110</v>
      </c>
      <c r="Y17" s="12">
        <f>IF(A17="",0,'1.1 Other Data'!$B$38-OriginalDate-W17)</f>
        <v>-26069</v>
      </c>
      <c r="Z17" s="15">
        <f t="shared" si="9"/>
        <v>-71.37</v>
      </c>
      <c r="AA17" s="24">
        <f t="shared" si="10"/>
        <v>9.1946323138359359E-3</v>
      </c>
      <c r="AB17" s="24">
        <f t="shared" si="11"/>
        <v>-0.65622090823847079</v>
      </c>
      <c r="AC17" s="12">
        <f t="shared" si="12"/>
        <v>-1</v>
      </c>
      <c r="AD17" s="12">
        <f t="shared" si="13"/>
        <v>14</v>
      </c>
      <c r="AE17" s="12">
        <f t="shared" si="14"/>
        <v>1</v>
      </c>
      <c r="AF17" s="12">
        <f t="shared" si="15"/>
        <v>13</v>
      </c>
      <c r="AG17" s="12">
        <f t="shared" si="16"/>
        <v>334177.58466749237</v>
      </c>
      <c r="AH17" s="17">
        <f t="shared" si="17"/>
        <v>4344308.6006774008</v>
      </c>
      <c r="AJ17" s="17">
        <f t="shared" si="18"/>
        <v>-4275482.351314391</v>
      </c>
      <c r="AK17" s="17">
        <f t="shared" si="19"/>
        <v>-4241069.2266328866</v>
      </c>
      <c r="AL17" s="17">
        <f t="shared" si="20"/>
        <v>-4206656.1019513821</v>
      </c>
      <c r="AN17" s="23">
        <f t="shared" si="21"/>
        <v>0</v>
      </c>
      <c r="AP17" s="21" t="str">
        <f t="shared" si="22"/>
        <v>Spare 46</v>
      </c>
      <c r="AQ17" s="21" cm="1">
        <f t="array" ref="AQ17">_xlfn.IFNA(INDEX('3.0 Lead Time'!$U$8:$U$65,MATCH(AP17,'3.0 Lead Time'!$A$8:$A$65,0),0),"")</f>
        <v>334177.58466749237</v>
      </c>
    </row>
    <row r="18" spans="1:43" x14ac:dyDescent="0.25">
      <c r="A18" s="10" t="str">
        <f>'1.2 Sorting'!J18</f>
        <v>Spare 47</v>
      </c>
      <c r="B18" s="10" cm="1">
        <f t="array" ref="B18">_xlfn.IFNA(INDEX(' 1.0 Asset Data'!B$8:B$80,MATCH($A18,' 1.0 Asset Data'!$A$8:$A$80,0),0),0)</f>
        <v>3</v>
      </c>
      <c r="C18" s="10" cm="1">
        <f t="array" ref="C18">_xlfn.IFNA(INDEX(' 1.0 Asset Data'!C$8:C$80,MATCH($A18,' 1.0 Asset Data'!$A$8:$A$80,0),0),0)</f>
        <v>1</v>
      </c>
      <c r="D18" s="31" cm="1">
        <f t="array" ref="D18">_xlfn.IFNA(INDEX(' 1.0 Asset Data'!F$8:F$80,MATCH($A18,' 1.0 Asset Data'!$A$8:$A$80,0),0),0)</f>
        <v>334177.58466749237</v>
      </c>
      <c r="E18" s="33" cm="1">
        <f t="array" ref="E18">_xlfn.IFNA(INDEX(' 1.0 Asset Data'!E$8:E$80,MATCH($A18,' 1.0 Asset Data'!$A$8:$A$80,0),0),0)</f>
        <v>1.9841400000000001E-3</v>
      </c>
      <c r="F18" s="42" cm="1">
        <f t="array" ref="F18">_xlfn.IFNA(INDEX(' 1.0 Asset Data'!P$8:P$80,MATCH($A18,' 1.0 Asset Data'!$A$8:$A$80,0),0),0)</f>
        <v>503.99669378168875</v>
      </c>
      <c r="G18" s="37" t="str" cm="1">
        <f t="array" ref="G18">IF($A18="",0,INDEX(' 1.0 Asset Data'!$J$8:$J$75,MATCH($A18,' 1.0 Asset Data'!$A$8:$A$75,0),0))</f>
        <v>Re-engineer, asset offline for lead time (at least)</v>
      </c>
      <c r="H18" s="31" cm="1">
        <f t="array" ref="H18">IF($A18="",0,INDEX(' 1.0 Asset Data'!L$8:L$75,MATCH($A18,' 1.0 Asset Data'!$A$8:$A$75,0),0))</f>
        <v>1000000</v>
      </c>
      <c r="I18" s="31" cm="1">
        <f t="array" ref="I18">IF($A18="",0,INDEX(' 1.0 Asset Data'!N$8:N$75,MATCH($A18,' 1.0 Asset Data'!$A$8:$A$75,0),0))</f>
        <v>1500000</v>
      </c>
      <c r="J18" s="31" cm="1">
        <f t="array" ref="J18">IF($A18="",0,INDEX(' 1.0 Asset Data'!M$8:M$75,MATCH($A18,' 1.0 Asset Data'!$A$8:$A$75,0),0))</f>
        <v>2000000</v>
      </c>
      <c r="L18" s="35">
        <f t="shared" si="0"/>
        <v>221522.79240376182</v>
      </c>
      <c r="M18" s="56">
        <f t="shared" si="1"/>
        <v>16.799889792722961</v>
      </c>
      <c r="N18" s="17">
        <f t="shared" si="4"/>
        <v>18408</v>
      </c>
      <c r="O18" s="24">
        <f t="shared" si="5"/>
        <v>3.0042661227680512E-4</v>
      </c>
      <c r="P18" s="34">
        <f t="shared" si="2"/>
        <v>13050.020401842568</v>
      </c>
      <c r="Q18" s="35">
        <f t="shared" si="6"/>
        <v>216164.81280560439</v>
      </c>
      <c r="R18" s="38">
        <f t="shared" si="3"/>
        <v>467.32648870636552</v>
      </c>
      <c r="S18" s="17">
        <f>H18/(1+'1.1 Other Data'!$F$14)^'3.1 Mean Time to failure Orig'!$R18</f>
        <v>5.3107883229503064E-2</v>
      </c>
      <c r="T18" s="17">
        <f>I18/(1+'1.1 Other Data'!$F$14)^'3.1 Mean Time to failure Orig'!$R18</f>
        <v>7.9661824844254603E-2</v>
      </c>
      <c r="U18" s="17">
        <f>J18/(1+'1.1 Other Data'!$F$14)^'3.1 Mean Time to failure Orig'!$R18</f>
        <v>0.10621576645900613</v>
      </c>
      <c r="W18" s="12">
        <f t="shared" si="7"/>
        <v>202492</v>
      </c>
      <c r="X18" s="38">
        <f t="shared" si="8"/>
        <v>554</v>
      </c>
      <c r="Y18" s="12">
        <f>IF(A18="",0,'1.1 Other Data'!$B$38-OriginalDate-W18)</f>
        <v>-188064</v>
      </c>
      <c r="Z18" s="15">
        <f t="shared" si="9"/>
        <v>-514.89</v>
      </c>
      <c r="AA18" s="24">
        <f t="shared" si="10"/>
        <v>1.6998196272845286E-3</v>
      </c>
      <c r="AB18" s="24">
        <f t="shared" si="11"/>
        <v>-0.8752201278925309</v>
      </c>
      <c r="AC18" s="12">
        <f t="shared" si="12"/>
        <v>-1</v>
      </c>
      <c r="AD18" s="12">
        <f t="shared" si="13"/>
        <v>2</v>
      </c>
      <c r="AE18" s="12">
        <f t="shared" si="14"/>
        <v>1</v>
      </c>
      <c r="AF18" s="12">
        <f t="shared" si="15"/>
        <v>1</v>
      </c>
      <c r="AG18" s="12">
        <f t="shared" si="16"/>
        <v>334177.58466749237</v>
      </c>
      <c r="AH18" s="17">
        <f t="shared" si="17"/>
        <v>334177.58466749237</v>
      </c>
      <c r="AJ18" s="17">
        <f t="shared" si="18"/>
        <v>-334177.53155960911</v>
      </c>
      <c r="AK18" s="17">
        <f t="shared" si="19"/>
        <v>-334177.50500566751</v>
      </c>
      <c r="AL18" s="17">
        <f t="shared" si="20"/>
        <v>-334177.47845172591</v>
      </c>
      <c r="AN18" s="23">
        <f t="shared" si="21"/>
        <v>0</v>
      </c>
      <c r="AP18" s="21" t="str">
        <f t="shared" si="22"/>
        <v>Spare 47</v>
      </c>
      <c r="AQ18" s="21" cm="1">
        <f t="array" ref="AQ18">_xlfn.IFNA(INDEX('3.0 Lead Time'!$U$8:$U$65,MATCH(AP18,'3.0 Lead Time'!$A$8:$A$65,0),0),"")</f>
        <v>334177.58466749237</v>
      </c>
    </row>
    <row r="19" spans="1:43" x14ac:dyDescent="0.25">
      <c r="A19" s="10" t="str">
        <f>'1.2 Sorting'!J19</f>
        <v>Spare 48</v>
      </c>
      <c r="B19" s="10" cm="1">
        <f t="array" ref="B19">_xlfn.IFNA(INDEX(' 1.0 Asset Data'!B$8:B$80,MATCH($A19,' 1.0 Asset Data'!$A$8:$A$80,0),0),0)</f>
        <v>18</v>
      </c>
      <c r="C19" s="10" cm="1">
        <f t="array" ref="C19">_xlfn.IFNA(INDEX(' 1.0 Asset Data'!C$8:C$80,MATCH($A19,' 1.0 Asset Data'!$A$8:$A$80,0),0),0)</f>
        <v>0</v>
      </c>
      <c r="D19" s="31" cm="1">
        <f t="array" ref="D19">_xlfn.IFNA(INDEX(' 1.0 Asset Data'!F$8:F$80,MATCH($A19,' 1.0 Asset Data'!$A$8:$A$80,0),0),0)</f>
        <v>24342.023155511804</v>
      </c>
      <c r="E19" s="33" cm="1">
        <f t="array" ref="E19">_xlfn.IFNA(INDEX(' 1.0 Asset Data'!E$8:E$80,MATCH($A19,' 1.0 Asset Data'!$A$8:$A$80,0),0),0)</f>
        <v>1.190484E-2</v>
      </c>
      <c r="F19" s="42" cm="1">
        <f t="array" ref="F19">_xlfn.IFNA(INDEX(' 1.0 Asset Data'!P$8:P$80,MATCH($A19,' 1.0 Asset Data'!$A$8:$A$80,0),0),0)</f>
        <v>83.999448963614796</v>
      </c>
      <c r="G19" s="37" t="str" cm="1">
        <f t="array" ref="G19">IF($A19="",0,INDEX(' 1.0 Asset Data'!$J$8:$J$75,MATCH($A19,' 1.0 Asset Data'!$A$8:$A$75,0),0))</f>
        <v>Re-engineer, asset offline for lead time (at least)</v>
      </c>
      <c r="H19" s="31" cm="1">
        <f t="array" ref="H19">IF($A19="",0,INDEX(' 1.0 Asset Data'!L$8:L$75,MATCH($A19,' 1.0 Asset Data'!$A$8:$A$75,0),0))</f>
        <v>200000</v>
      </c>
      <c r="I19" s="31" cm="1">
        <f t="array" ref="I19">IF($A19="",0,INDEX(' 1.0 Asset Data'!N$8:N$75,MATCH($A19,' 1.0 Asset Data'!$A$8:$A$75,0),0))</f>
        <v>300000</v>
      </c>
      <c r="J19" s="31" cm="1">
        <f t="array" ref="J19">IF($A19="",0,INDEX(' 1.0 Asset Data'!M$8:M$75,MATCH($A19,' 1.0 Asset Data'!$A$8:$A$75,0),0))</f>
        <v>400000</v>
      </c>
      <c r="L19" s="35">
        <f t="shared" si="0"/>
        <v>68118.798733960313</v>
      </c>
      <c r="M19" s="56">
        <f t="shared" si="1"/>
        <v>2.7999816321204936</v>
      </c>
      <c r="N19" s="17">
        <f t="shared" si="4"/>
        <v>3068</v>
      </c>
      <c r="O19" s="24">
        <f t="shared" si="5"/>
        <v>1.2190158836562492E-3</v>
      </c>
      <c r="P19" s="34">
        <f t="shared" si="2"/>
        <v>1746.9190362207289</v>
      </c>
      <c r="Q19" s="35">
        <f t="shared" si="6"/>
        <v>66797.717770181043</v>
      </c>
      <c r="R19" s="38">
        <f t="shared" si="3"/>
        <v>58.381930184804929</v>
      </c>
      <c r="S19" s="17">
        <f>H19/(1+'1.1 Other Data'!$F$14)^'3.1 Mean Time to failure Orig'!$R19</f>
        <v>24671.882692955071</v>
      </c>
      <c r="T19" s="17">
        <f>I19/(1+'1.1 Other Data'!$F$14)^'3.1 Mean Time to failure Orig'!$R19</f>
        <v>37007.824039432606</v>
      </c>
      <c r="U19" s="17">
        <f>J19/(1+'1.1 Other Data'!$F$14)^'3.1 Mean Time to failure Orig'!$R19</f>
        <v>49343.765385910141</v>
      </c>
      <c r="W19" s="12">
        <f t="shared" si="7"/>
        <v>33748</v>
      </c>
      <c r="X19" s="38">
        <f t="shared" si="8"/>
        <v>92</v>
      </c>
      <c r="Y19" s="12">
        <f>IF(A19="",0,'1.1 Other Data'!$B$38-OriginalDate-W19)</f>
        <v>-19320</v>
      </c>
      <c r="Z19" s="15">
        <f t="shared" si="9"/>
        <v>-52.89</v>
      </c>
      <c r="AA19" s="24">
        <f t="shared" si="10"/>
        <v>1.1161948688631431E-2</v>
      </c>
      <c r="AB19" s="24">
        <f t="shared" si="11"/>
        <v>-0.59035546614171641</v>
      </c>
      <c r="AC19" s="12">
        <f t="shared" si="12"/>
        <v>-1</v>
      </c>
      <c r="AD19" s="12">
        <f t="shared" si="13"/>
        <v>17</v>
      </c>
      <c r="AE19" s="12">
        <f t="shared" si="14"/>
        <v>0</v>
      </c>
      <c r="AF19" s="12">
        <f t="shared" si="15"/>
        <v>17</v>
      </c>
      <c r="AG19" s="12">
        <f t="shared" si="16"/>
        <v>24342.023155511804</v>
      </c>
      <c r="AH19" s="17">
        <f t="shared" si="17"/>
        <v>413814.39364370069</v>
      </c>
      <c r="AJ19" s="17">
        <f t="shared" si="18"/>
        <v>-389142.51095074561</v>
      </c>
      <c r="AK19" s="17">
        <f t="shared" si="19"/>
        <v>-376806.56960426806</v>
      </c>
      <c r="AL19" s="17">
        <f t="shared" si="20"/>
        <v>-364470.62825779058</v>
      </c>
      <c r="AN19" s="23">
        <f t="shared" si="21"/>
        <v>0</v>
      </c>
      <c r="AP19" s="21" t="str">
        <f t="shared" si="22"/>
        <v>Spare 48</v>
      </c>
      <c r="AQ19" s="21" cm="1">
        <f t="array" ref="AQ19">_xlfn.IFNA(INDEX('3.0 Lead Time'!$U$8:$U$65,MATCH(AP19,'3.0 Lead Time'!$A$8:$A$65,0),0),"")</f>
        <v>48684.046311023609</v>
      </c>
    </row>
    <row r="20" spans="1:43" x14ac:dyDescent="0.25">
      <c r="A20" s="10" t="str">
        <f>'1.2 Sorting'!J20</f>
        <v>Spare 51</v>
      </c>
      <c r="B20" s="10" cm="1">
        <f t="array" ref="B20">_xlfn.IFNA(INDEX(' 1.0 Asset Data'!B$8:B$80,MATCH($A20,' 1.0 Asset Data'!$A$8:$A$80,0),0),0)</f>
        <v>24</v>
      </c>
      <c r="C20" s="10" cm="1">
        <f t="array" ref="C20">_xlfn.IFNA(INDEX(' 1.0 Asset Data'!C$8:C$80,MATCH($A20,' 1.0 Asset Data'!$A$8:$A$80,0),0),0)</f>
        <v>1</v>
      </c>
      <c r="D20" s="31" cm="1">
        <f t="array" ref="D20">_xlfn.IFNA(INDEX(' 1.0 Asset Data'!F$8:F$80,MATCH($A20,' 1.0 Asset Data'!$A$8:$A$80,0),0),0)</f>
        <v>12768.246513194859</v>
      </c>
      <c r="E20" s="33" cm="1">
        <f t="array" ref="E20">_xlfn.IFNA(INDEX(' 1.0 Asset Data'!E$8:E$80,MATCH($A20,' 1.0 Asset Data'!$A$8:$A$80,0),0),0)</f>
        <v>1.89216E-2</v>
      </c>
      <c r="F20" s="42" cm="1">
        <f t="array" ref="F20">_xlfn.IFNA(INDEX(' 1.0 Asset Data'!P$8:P$80,MATCH($A20,' 1.0 Asset Data'!$A$8:$A$80,0),0),0)</f>
        <v>52.849653306274313</v>
      </c>
      <c r="G20" s="37" t="str" cm="1">
        <f t="array" ref="G20">IF($A20="",0,INDEX(' 1.0 Asset Data'!$J$8:$J$75,MATCH($A20,' 1.0 Asset Data'!$A$8:$A$75,0),0))</f>
        <v>Major redesign to valve hall, asset offline for lead time at least</v>
      </c>
      <c r="H20" s="31" cm="1">
        <f t="array" ref="H20">IF($A20="",0,INDEX(' 1.0 Asset Data'!L$8:L$75,MATCH($A20,' 1.0 Asset Data'!$A$8:$A$75,0),0))</f>
        <v>3000000</v>
      </c>
      <c r="I20" s="31" cm="1">
        <f t="array" ref="I20">IF($A20="",0,INDEX(' 1.0 Asset Data'!N$8:N$75,MATCH($A20,' 1.0 Asset Data'!$A$8:$A$75,0),0))</f>
        <v>5500000</v>
      </c>
      <c r="J20" s="31" cm="1">
        <f t="array" ref="J20">IF($A20="",0,INDEX(' 1.0 Asset Data'!M$8:M$75,MATCH($A20,' 1.0 Asset Data'!$A$8:$A$75,0),0))</f>
        <v>8000000</v>
      </c>
      <c r="L20" s="35">
        <f t="shared" si="0"/>
        <v>56741.335870116694</v>
      </c>
      <c r="M20" s="56">
        <f t="shared" si="1"/>
        <v>1.761655110209144</v>
      </c>
      <c r="N20" s="17">
        <f t="shared" si="4"/>
        <v>1930</v>
      </c>
      <c r="O20" s="24">
        <f t="shared" si="5"/>
        <v>1.6979704774633397E-3</v>
      </c>
      <c r="P20" s="34">
        <f t="shared" si="2"/>
        <v>981.33573493141375</v>
      </c>
      <c r="Q20" s="35">
        <f t="shared" si="6"/>
        <v>55792.671605048105</v>
      </c>
      <c r="R20" s="38">
        <f t="shared" si="3"/>
        <v>28.251882272416154</v>
      </c>
      <c r="S20" s="17">
        <f>H20/(1+'1.1 Other Data'!$F$14)^'3.1 Mean Time to failure Orig'!$R20</f>
        <v>1089747.9073101508</v>
      </c>
      <c r="T20" s="17">
        <f>I20/(1+'1.1 Other Data'!$F$14)^'3.1 Mean Time to failure Orig'!$R20</f>
        <v>1997871.1634019432</v>
      </c>
      <c r="U20" s="17">
        <f>J20/(1+'1.1 Other Data'!$F$14)^'3.1 Mean Time to failure Orig'!$R20</f>
        <v>2905994.4194937358</v>
      </c>
      <c r="W20" s="12">
        <f t="shared" si="7"/>
        <v>21233</v>
      </c>
      <c r="X20" s="38">
        <f t="shared" si="8"/>
        <v>58</v>
      </c>
      <c r="Y20" s="12">
        <f>IF(A20="",0,'1.1 Other Data'!$B$38-OriginalDate-W20)</f>
        <v>-6805</v>
      </c>
      <c r="Z20" s="15">
        <f t="shared" si="9"/>
        <v>-18.63</v>
      </c>
      <c r="AA20" s="24">
        <f t="shared" si="10"/>
        <v>1.8332909211868087E-2</v>
      </c>
      <c r="AB20" s="24">
        <f t="shared" si="11"/>
        <v>-0.34154209861710244</v>
      </c>
      <c r="AC20" s="12">
        <f t="shared" si="12"/>
        <v>-1</v>
      </c>
      <c r="AD20" s="12">
        <f t="shared" si="13"/>
        <v>23</v>
      </c>
      <c r="AE20" s="12">
        <f t="shared" si="14"/>
        <v>1</v>
      </c>
      <c r="AF20" s="12">
        <f t="shared" si="15"/>
        <v>22</v>
      </c>
      <c r="AG20" s="12">
        <f t="shared" si="16"/>
        <v>12768.246513194859</v>
      </c>
      <c r="AH20" s="17">
        <f t="shared" si="17"/>
        <v>280901.42329028691</v>
      </c>
      <c r="AJ20" s="17">
        <f t="shared" si="18"/>
        <v>808846.48401986388</v>
      </c>
      <c r="AK20" s="17">
        <f t="shared" si="19"/>
        <v>1716969.7401116563</v>
      </c>
      <c r="AL20" s="17">
        <f t="shared" si="20"/>
        <v>2625092.9962034486</v>
      </c>
      <c r="AN20" s="23">
        <f t="shared" si="21"/>
        <v>280901.42329028691</v>
      </c>
      <c r="AP20" s="21" t="str">
        <f t="shared" si="22"/>
        <v>-</v>
      </c>
      <c r="AQ20" s="21" t="str" cm="1">
        <f t="array" ref="AQ20">_xlfn.IFNA(INDEX('3.0 Lead Time'!$U$8:$U$65,MATCH(AP20,'3.0 Lead Time'!$A$8:$A$65,0),0),"")</f>
        <v/>
      </c>
    </row>
    <row r="21" spans="1:43" x14ac:dyDescent="0.25">
      <c r="A21" s="10" t="str">
        <f>'1.2 Sorting'!J21</f>
        <v>Spare 53</v>
      </c>
      <c r="B21" s="10" cm="1">
        <f t="array" ref="B21">_xlfn.IFNA(INDEX(' 1.0 Asset Data'!B$8:B$80,MATCH($A21,' 1.0 Asset Data'!$A$8:$A$80,0),0),0)</f>
        <v>12</v>
      </c>
      <c r="C21" s="10" cm="1">
        <f t="array" ref="C21">_xlfn.IFNA(INDEX(' 1.0 Asset Data'!C$8:C$80,MATCH($A21,' 1.0 Asset Data'!$A$8:$A$80,0),0),0)</f>
        <v>1</v>
      </c>
      <c r="D21" s="31" cm="1">
        <f t="array" ref="D21">_xlfn.IFNA(INDEX(' 1.0 Asset Data'!F$8:F$80,MATCH($A21,' 1.0 Asset Data'!$A$8:$A$80,0),0),0)</f>
        <v>12245.109643266413</v>
      </c>
      <c r="E21" s="33" cm="1">
        <f t="array" ref="E21">_xlfn.IFNA(INDEX(' 1.0 Asset Data'!E$8:E$80,MATCH($A21,' 1.0 Asset Data'!$A$8:$A$80,0),0),0)</f>
        <v>9.4608000000000001E-3</v>
      </c>
      <c r="F21" s="42" cm="1">
        <f t="array" ref="F21">_xlfn.IFNA(INDEX(' 1.0 Asset Data'!P$8:P$80,MATCH($A21,' 1.0 Asset Data'!$A$8:$A$80,0),0),0)</f>
        <v>105.69930661254863</v>
      </c>
      <c r="G21" s="37" t="str" cm="1">
        <f t="array" ref="G21">IF($A21="",0,INDEX(' 1.0 Asset Data'!$J$8:$J$75,MATCH($A21,' 1.0 Asset Data'!$A$8:$A$75,0),0))</f>
        <v>Major redesign to valve hall, asset offline for lead time at least</v>
      </c>
      <c r="H21" s="31" cm="1">
        <f t="array" ref="H21">IF($A21="",0,INDEX(' 1.0 Asset Data'!L$8:L$75,MATCH($A21,' 1.0 Asset Data'!$A$8:$A$75,0),0))</f>
        <v>3000000</v>
      </c>
      <c r="I21" s="31" cm="1">
        <f t="array" ref="I21">IF($A21="",0,INDEX(' 1.0 Asset Data'!N$8:N$75,MATCH($A21,' 1.0 Asset Data'!$A$8:$A$75,0),0))</f>
        <v>5500000</v>
      </c>
      <c r="J21" s="31" cm="1">
        <f t="array" ref="J21">IF($A21="",0,INDEX(' 1.0 Asset Data'!M$8:M$75,MATCH($A21,' 1.0 Asset Data'!$A$8:$A$75,0),0))</f>
        <v>8000000</v>
      </c>
      <c r="L21" s="35">
        <f t="shared" si="0"/>
        <v>76044.671740233389</v>
      </c>
      <c r="M21" s="56">
        <f t="shared" si="1"/>
        <v>3.523310220418288</v>
      </c>
      <c r="N21" s="17">
        <f t="shared" si="4"/>
        <v>3860</v>
      </c>
      <c r="O21" s="24">
        <f t="shared" si="5"/>
        <v>1.0283654916585228E-3</v>
      </c>
      <c r="P21" s="34">
        <f t="shared" si="2"/>
        <v>2294.1507674679251</v>
      </c>
      <c r="Q21" s="35">
        <f t="shared" ref="Q21:Q50" si="23">L21-N21+P21</f>
        <v>74478.822507701319</v>
      </c>
      <c r="R21" s="38">
        <f t="shared" si="3"/>
        <v>79.411362080766594</v>
      </c>
      <c r="S21" s="17">
        <f>H21/(1+'1.1 Other Data'!$F$14)^'3.1 Mean Time to failure Orig'!$R21</f>
        <v>174152.51635284451</v>
      </c>
      <c r="T21" s="17">
        <f>I21/(1+'1.1 Other Data'!$F$14)^'3.1 Mean Time to failure Orig'!$R21</f>
        <v>319279.61331354827</v>
      </c>
      <c r="U21" s="17">
        <f>J21/(1+'1.1 Other Data'!$F$14)^'3.1 Mean Time to failure Orig'!$R21</f>
        <v>464406.71027425199</v>
      </c>
      <c r="W21" s="12">
        <f t="shared" si="7"/>
        <v>42466</v>
      </c>
      <c r="X21" s="38">
        <f t="shared" si="8"/>
        <v>116</v>
      </c>
      <c r="Y21" s="12">
        <f>IF(A21="",0,'1.1 Other Data'!$B$38-OriginalDate-W21)</f>
        <v>-28038</v>
      </c>
      <c r="Z21" s="15">
        <f t="shared" si="9"/>
        <v>-76.760000000000005</v>
      </c>
      <c r="AA21" s="24">
        <f t="shared" si="10"/>
        <v>8.7430593752854616E-3</v>
      </c>
      <c r="AB21" s="24">
        <f t="shared" si="11"/>
        <v>-0.67111723764691211</v>
      </c>
      <c r="AC21" s="12">
        <f t="shared" si="12"/>
        <v>-1</v>
      </c>
      <c r="AD21" s="12">
        <f t="shared" si="13"/>
        <v>11</v>
      </c>
      <c r="AE21" s="12">
        <f t="shared" si="14"/>
        <v>1</v>
      </c>
      <c r="AF21" s="12">
        <f t="shared" si="15"/>
        <v>10</v>
      </c>
      <c r="AG21" s="12">
        <f t="shared" si="16"/>
        <v>12245.109643266413</v>
      </c>
      <c r="AH21" s="17">
        <f t="shared" si="17"/>
        <v>122451.09643266413</v>
      </c>
      <c r="AJ21" s="17">
        <f t="shared" si="18"/>
        <v>51701.419920180386</v>
      </c>
      <c r="AK21" s="17">
        <f t="shared" si="19"/>
        <v>196828.51688088413</v>
      </c>
      <c r="AL21" s="17">
        <f t="shared" si="20"/>
        <v>341955.61384158785</v>
      </c>
      <c r="AN21" s="23">
        <f t="shared" si="21"/>
        <v>122451.09643266413</v>
      </c>
      <c r="AP21" s="21" t="str">
        <f t="shared" si="22"/>
        <v>-</v>
      </c>
      <c r="AQ21" s="21" t="str" cm="1">
        <f t="array" ref="AQ21">_xlfn.IFNA(INDEX('3.0 Lead Time'!$U$8:$U$65,MATCH(AP21,'3.0 Lead Time'!$A$8:$A$65,0),0),"")</f>
        <v/>
      </c>
    </row>
    <row r="22" spans="1:43" x14ac:dyDescent="0.25">
      <c r="A22" s="10" t="str">
        <f>'1.2 Sorting'!J22</f>
        <v>Spare 55</v>
      </c>
      <c r="B22" s="10" cm="1">
        <f t="array" ref="B22">_xlfn.IFNA(INDEX(' 1.0 Asset Data'!B$8:B$80,MATCH($A22,' 1.0 Asset Data'!$A$8:$A$80,0),0),0)</f>
        <v>12</v>
      </c>
      <c r="C22" s="10" cm="1">
        <f t="array" ref="C22">_xlfn.IFNA(INDEX(' 1.0 Asset Data'!C$8:C$80,MATCH($A22,' 1.0 Asset Data'!$A$8:$A$80,0),0),0)</f>
        <v>2</v>
      </c>
      <c r="D22" s="31" cm="1">
        <f t="array" ref="D22">_xlfn.IFNA(INDEX(' 1.0 Asset Data'!F$8:F$80,MATCH($A22,' 1.0 Asset Data'!$A$8:$A$80,0),0),0)</f>
        <v>12045.515578485716</v>
      </c>
      <c r="E22" s="33" cm="1">
        <f t="array" ref="E22">_xlfn.IFNA(INDEX(' 1.0 Asset Data'!E$8:E$80,MATCH($A22,' 1.0 Asset Data'!$A$8:$A$80,0),0),0)</f>
        <v>1.4191200000000003E-2</v>
      </c>
      <c r="F22" s="42" cm="1">
        <f t="array" ref="F22">_xlfn.IFNA(INDEX(' 1.0 Asset Data'!P$8:P$80,MATCH($A22,' 1.0 Asset Data'!$A$8:$A$80,0),0),0)</f>
        <v>70.466204408365741</v>
      </c>
      <c r="G22" s="37" t="str" cm="1">
        <f t="array" ref="G22">IF($A22="",0,INDEX(' 1.0 Asset Data'!$J$8:$J$75,MATCH($A22,' 1.0 Asset Data'!$A$8:$A$75,0),0))</f>
        <v>Major redesign to valve hall, asset offline for lead time at least</v>
      </c>
      <c r="H22" s="31" cm="1">
        <f t="array" ref="H22">IF($A22="",0,INDEX(' 1.0 Asset Data'!L$8:L$75,MATCH($A22,' 1.0 Asset Data'!$A$8:$A$75,0),0))</f>
        <v>3000000</v>
      </c>
      <c r="I22" s="31" cm="1">
        <f t="array" ref="I22">IF($A22="",0,INDEX(' 1.0 Asset Data'!N$8:N$75,MATCH($A22,' 1.0 Asset Data'!$A$8:$A$75,0),0))</f>
        <v>5500000</v>
      </c>
      <c r="J22" s="31" cm="1">
        <f t="array" ref="J22">IF($A22="",0,INDEX(' 1.0 Asset Data'!M$8:M$75,MATCH($A22,' 1.0 Asset Data'!$A$8:$A$75,0),0))</f>
        <v>8000000</v>
      </c>
      <c r="L22" s="35">
        <f t="shared" si="0"/>
        <v>63175.781160155588</v>
      </c>
      <c r="M22" s="56">
        <f t="shared" si="1"/>
        <v>2.3488734802788582</v>
      </c>
      <c r="N22" s="17">
        <f t="shared" si="4"/>
        <v>2573</v>
      </c>
      <c r="O22" s="24">
        <f t="shared" si="5"/>
        <v>1.3853294741892341E-3</v>
      </c>
      <c r="P22" s="34">
        <f t="shared" si="2"/>
        <v>1410.4228036627171</v>
      </c>
      <c r="Q22" s="35">
        <f t="shared" si="23"/>
        <v>62013.203963818305</v>
      </c>
      <c r="R22" s="38">
        <f t="shared" si="3"/>
        <v>45.284052019164953</v>
      </c>
      <c r="S22" s="17">
        <f>H22/(1+'1.1 Other Data'!$F$14)^'3.1 Mean Time to failure Orig'!$R22</f>
        <v>591816.90537312219</v>
      </c>
      <c r="T22" s="17">
        <f>I22/(1+'1.1 Other Data'!$F$14)^'3.1 Mean Time to failure Orig'!$R22</f>
        <v>1084997.659850724</v>
      </c>
      <c r="U22" s="17">
        <f>J22/(1+'1.1 Other Data'!$F$14)^'3.1 Mean Time to failure Orig'!$R22</f>
        <v>1578178.4143283258</v>
      </c>
      <c r="W22" s="12">
        <f t="shared" si="7"/>
        <v>28310</v>
      </c>
      <c r="X22" s="38">
        <f t="shared" si="8"/>
        <v>77</v>
      </c>
      <c r="Y22" s="12">
        <f>IF(A22="",0,'1.1 Other Data'!$B$38-OriginalDate-W22)</f>
        <v>-13882</v>
      </c>
      <c r="Z22" s="15">
        <f t="shared" si="9"/>
        <v>-38</v>
      </c>
      <c r="AA22" s="24">
        <f t="shared" si="10"/>
        <v>1.3463952973844976E-2</v>
      </c>
      <c r="AB22" s="24">
        <f t="shared" si="11"/>
        <v>-0.51163021300610911</v>
      </c>
      <c r="AC22" s="12">
        <f t="shared" si="12"/>
        <v>-1</v>
      </c>
      <c r="AD22" s="12">
        <f t="shared" si="13"/>
        <v>11</v>
      </c>
      <c r="AE22" s="12">
        <f t="shared" si="14"/>
        <v>2</v>
      </c>
      <c r="AF22" s="12">
        <f t="shared" si="15"/>
        <v>9</v>
      </c>
      <c r="AG22" s="12">
        <f t="shared" si="16"/>
        <v>12045.515578485716</v>
      </c>
      <c r="AH22" s="17">
        <f t="shared" si="17"/>
        <v>108409.64020637145</v>
      </c>
      <c r="AJ22" s="17">
        <f t="shared" si="18"/>
        <v>483407.26516675076</v>
      </c>
      <c r="AK22" s="17">
        <f t="shared" si="19"/>
        <v>976588.01964435261</v>
      </c>
      <c r="AL22" s="17">
        <f t="shared" si="20"/>
        <v>1469768.7741219543</v>
      </c>
      <c r="AN22" s="23">
        <f t="shared" si="21"/>
        <v>108409.64020637145</v>
      </c>
      <c r="AP22" s="21" t="str">
        <f t="shared" si="22"/>
        <v>-</v>
      </c>
      <c r="AQ22" s="21" t="str" cm="1">
        <f t="array" ref="AQ22">_xlfn.IFNA(INDEX('3.0 Lead Time'!$U$8:$U$65,MATCH(AP22,'3.0 Lead Time'!$A$8:$A$65,0),0),"")</f>
        <v/>
      </c>
    </row>
    <row r="23" spans="1:43" x14ac:dyDescent="0.25">
      <c r="A23" s="10" t="str">
        <f>'1.2 Sorting'!J23</f>
        <v/>
      </c>
      <c r="B23" s="10" cm="1">
        <f t="array" ref="B23">_xlfn.IFNA(INDEX(' 1.0 Asset Data'!B$8:B$80,MATCH($A23,' 1.0 Asset Data'!$A$8:$A$80,0),0),0)</f>
        <v>0</v>
      </c>
      <c r="C23" s="10" cm="1">
        <f t="array" ref="C23">_xlfn.IFNA(INDEX(' 1.0 Asset Data'!C$8:C$80,MATCH($A23,' 1.0 Asset Data'!$A$8:$A$80,0),0),0)</f>
        <v>0</v>
      </c>
      <c r="D23" s="31" cm="1">
        <f t="array" ref="D23">_xlfn.IFNA(INDEX(' 1.0 Asset Data'!F$8:F$80,MATCH($A23,' 1.0 Asset Data'!$A$8:$A$80,0),0),0)</f>
        <v>0</v>
      </c>
      <c r="E23" s="33" cm="1">
        <f t="array" ref="E23">_xlfn.IFNA(INDEX(' 1.0 Asset Data'!E$8:E$80,MATCH($A23,' 1.0 Asset Data'!$A$8:$A$80,0),0),0)</f>
        <v>0</v>
      </c>
      <c r="F23" s="42" cm="1">
        <f t="array" ref="F23">_xlfn.IFNA(INDEX(' 1.0 Asset Data'!P$8:P$80,MATCH($A23,' 1.0 Asset Data'!$A$8:$A$80,0),0),0)</f>
        <v>0</v>
      </c>
      <c r="G23" s="37" cm="1">
        <f t="array" ref="G23">IF($A23="",0,INDEX(' 1.0 Asset Data'!$J$8:$J$75,MATCH($A23,' 1.0 Asset Data'!$A$8:$A$75,0),0))</f>
        <v>0</v>
      </c>
      <c r="H23" s="31" cm="1">
        <f t="array" ref="H23">IF($A23="",0,INDEX(' 1.0 Asset Data'!L$8:L$75,MATCH($A23,' 1.0 Asset Data'!$A$8:$A$75,0),0))</f>
        <v>0</v>
      </c>
      <c r="I23" s="31" cm="1">
        <f t="array" ref="I23">IF($A23="",0,INDEX(' 1.0 Asset Data'!N$8:N$75,MATCH($A23,' 1.0 Asset Data'!$A$8:$A$75,0),0))</f>
        <v>0</v>
      </c>
      <c r="J23" s="31" cm="1">
        <f t="array" ref="J23">IF($A23="",0,INDEX(' 1.0 Asset Data'!M$8:M$75,MATCH($A23,' 1.0 Asset Data'!$A$8:$A$75,0),0))</f>
        <v>0</v>
      </c>
      <c r="L23" s="35">
        <f t="shared" si="0"/>
        <v>37438</v>
      </c>
      <c r="M23" s="56">
        <f t="shared" si="1"/>
        <v>0</v>
      </c>
      <c r="N23" s="17">
        <f t="shared" si="4"/>
        <v>0</v>
      </c>
      <c r="O23" s="24">
        <f t="shared" si="5"/>
        <v>0</v>
      </c>
      <c r="P23" s="34">
        <f t="shared" si="2"/>
        <v>0</v>
      </c>
      <c r="Q23" s="35">
        <f t="shared" si="23"/>
        <v>37438</v>
      </c>
      <c r="R23" s="38">
        <f t="shared" si="3"/>
        <v>-21.998631074606433</v>
      </c>
      <c r="S23" s="17">
        <f>H23/(1+'1.1 Other Data'!$F$14)^'3.1 Mean Time to failure Orig'!$R23</f>
        <v>0</v>
      </c>
      <c r="T23" s="17">
        <f>I23/(1+'1.1 Other Data'!$F$14)^'3.1 Mean Time to failure Orig'!$R23</f>
        <v>0</v>
      </c>
      <c r="U23" s="17">
        <f>J23/(1+'1.1 Other Data'!$F$14)^'3.1 Mean Time to failure Orig'!$R23</f>
        <v>0</v>
      </c>
      <c r="W23" s="12">
        <f t="shared" si="7"/>
        <v>0</v>
      </c>
      <c r="X23" s="38">
        <f t="shared" si="8"/>
        <v>0</v>
      </c>
      <c r="Y23" s="12">
        <f>IF(A23="",0,'1.1 Other Data'!$B$38-OriginalDate-W23)</f>
        <v>0</v>
      </c>
      <c r="Z23" s="15">
        <f t="shared" si="9"/>
        <v>0</v>
      </c>
      <c r="AA23" s="24">
        <f t="shared" si="10"/>
        <v>0</v>
      </c>
      <c r="AB23" s="24">
        <f t="shared" si="11"/>
        <v>0</v>
      </c>
      <c r="AC23" s="12">
        <f t="shared" si="12"/>
        <v>0</v>
      </c>
      <c r="AD23" s="12">
        <f t="shared" si="13"/>
        <v>1</v>
      </c>
      <c r="AE23" s="12">
        <f t="shared" si="14"/>
        <v>0</v>
      </c>
      <c r="AF23" s="12">
        <f t="shared" si="15"/>
        <v>1</v>
      </c>
      <c r="AG23" s="12">
        <f t="shared" si="16"/>
        <v>0</v>
      </c>
      <c r="AH23" s="17">
        <f t="shared" si="17"/>
        <v>0</v>
      </c>
      <c r="AJ23" s="17">
        <f t="shared" si="18"/>
        <v>0</v>
      </c>
      <c r="AK23" s="17">
        <f t="shared" si="19"/>
        <v>0</v>
      </c>
      <c r="AL23" s="17">
        <f t="shared" si="20"/>
        <v>0</v>
      </c>
      <c r="AN23" s="23">
        <f t="shared" si="21"/>
        <v>0</v>
      </c>
      <c r="AP23" s="21" t="str">
        <f t="shared" si="22"/>
        <v/>
      </c>
      <c r="AQ23" s="21" cm="1">
        <f t="array" ref="AQ23">_xlfn.IFNA(INDEX('3.0 Lead Time'!$U$8:$U$65,MATCH(AP23,'3.0 Lead Time'!$A$8:$A$65,0),0),"")</f>
        <v>0</v>
      </c>
    </row>
    <row r="24" spans="1:43" x14ac:dyDescent="0.25">
      <c r="A24" s="10" t="str">
        <f>'1.2 Sorting'!J24</f>
        <v/>
      </c>
      <c r="B24" s="10" cm="1">
        <f t="array" ref="B24">_xlfn.IFNA(INDEX(' 1.0 Asset Data'!B$8:B$80,MATCH($A24,' 1.0 Asset Data'!$A$8:$A$80,0),0),0)</f>
        <v>0</v>
      </c>
      <c r="C24" s="10" cm="1">
        <f t="array" ref="C24">_xlfn.IFNA(INDEX(' 1.0 Asset Data'!C$8:C$80,MATCH($A24,' 1.0 Asset Data'!$A$8:$A$80,0),0),0)</f>
        <v>0</v>
      </c>
      <c r="D24" s="31" cm="1">
        <f t="array" ref="D24">_xlfn.IFNA(INDEX(' 1.0 Asset Data'!F$8:F$80,MATCH($A24,' 1.0 Asset Data'!$A$8:$A$80,0),0),0)</f>
        <v>0</v>
      </c>
      <c r="E24" s="33" cm="1">
        <f t="array" ref="E24">_xlfn.IFNA(INDEX(' 1.0 Asset Data'!E$8:E$80,MATCH($A24,' 1.0 Asset Data'!$A$8:$A$80,0),0),0)</f>
        <v>0</v>
      </c>
      <c r="F24" s="42" cm="1">
        <f t="array" ref="F24">_xlfn.IFNA(INDEX(' 1.0 Asset Data'!P$8:P$80,MATCH($A24,' 1.0 Asset Data'!$A$8:$A$80,0),0),0)</f>
        <v>0</v>
      </c>
      <c r="G24" s="37" cm="1">
        <f t="array" ref="G24">IF($A24="",0,INDEX(' 1.0 Asset Data'!$J$8:$J$75,MATCH($A24,' 1.0 Asset Data'!$A$8:$A$75,0),0))</f>
        <v>0</v>
      </c>
      <c r="H24" s="31" cm="1">
        <f t="array" ref="H24">IF($A24="",0,INDEX(' 1.0 Asset Data'!L$8:L$75,MATCH($A24,' 1.0 Asset Data'!$A$8:$A$75,0),0))</f>
        <v>0</v>
      </c>
      <c r="I24" s="31" cm="1">
        <f t="array" ref="I24">IF($A24="",0,INDEX(' 1.0 Asset Data'!N$8:N$75,MATCH($A24,' 1.0 Asset Data'!$A$8:$A$75,0),0))</f>
        <v>0</v>
      </c>
      <c r="J24" s="31" cm="1">
        <f t="array" ref="J24">IF($A24="",0,INDEX(' 1.0 Asset Data'!M$8:M$75,MATCH($A24,' 1.0 Asset Data'!$A$8:$A$75,0),0))</f>
        <v>0</v>
      </c>
      <c r="L24" s="35">
        <f t="shared" si="0"/>
        <v>37438</v>
      </c>
      <c r="M24" s="56">
        <f t="shared" si="1"/>
        <v>0</v>
      </c>
      <c r="N24" s="17">
        <f t="shared" si="4"/>
        <v>0</v>
      </c>
      <c r="O24" s="24">
        <f t="shared" si="5"/>
        <v>0</v>
      </c>
      <c r="P24" s="34">
        <f t="shared" si="2"/>
        <v>0</v>
      </c>
      <c r="Q24" s="35">
        <f t="shared" si="23"/>
        <v>37438</v>
      </c>
      <c r="R24" s="38">
        <f t="shared" si="3"/>
        <v>-21.998631074606433</v>
      </c>
      <c r="S24" s="17">
        <f>H24/(1+'1.1 Other Data'!$F$14)^'3.1 Mean Time to failure Orig'!$R24</f>
        <v>0</v>
      </c>
      <c r="T24" s="17">
        <f>I24/(1+'1.1 Other Data'!$F$14)^'3.1 Mean Time to failure Orig'!$R24</f>
        <v>0</v>
      </c>
      <c r="U24" s="17">
        <f>J24/(1+'1.1 Other Data'!$F$14)^'3.1 Mean Time to failure Orig'!$R24</f>
        <v>0</v>
      </c>
      <c r="W24" s="12">
        <f t="shared" si="7"/>
        <v>0</v>
      </c>
      <c r="X24" s="38">
        <f t="shared" si="8"/>
        <v>0</v>
      </c>
      <c r="Y24" s="12">
        <f>IF(A24="",0,'1.1 Other Data'!$B$38-OriginalDate-W24)</f>
        <v>0</v>
      </c>
      <c r="Z24" s="15">
        <f t="shared" si="9"/>
        <v>0</v>
      </c>
      <c r="AA24" s="24">
        <f t="shared" si="10"/>
        <v>0</v>
      </c>
      <c r="AB24" s="24">
        <f t="shared" si="11"/>
        <v>0</v>
      </c>
      <c r="AC24" s="12">
        <f t="shared" si="12"/>
        <v>0</v>
      </c>
      <c r="AD24" s="12">
        <f t="shared" si="13"/>
        <v>1</v>
      </c>
      <c r="AE24" s="12">
        <f t="shared" si="14"/>
        <v>0</v>
      </c>
      <c r="AF24" s="12">
        <f t="shared" si="15"/>
        <v>1</v>
      </c>
      <c r="AG24" s="12">
        <f t="shared" si="16"/>
        <v>0</v>
      </c>
      <c r="AH24" s="17">
        <f t="shared" si="17"/>
        <v>0</v>
      </c>
      <c r="AJ24" s="17">
        <f t="shared" si="18"/>
        <v>0</v>
      </c>
      <c r="AK24" s="17">
        <f t="shared" si="19"/>
        <v>0</v>
      </c>
      <c r="AL24" s="17">
        <f t="shared" si="20"/>
        <v>0</v>
      </c>
      <c r="AN24" s="23">
        <f t="shared" si="21"/>
        <v>0</v>
      </c>
      <c r="AP24" s="21" t="str">
        <f t="shared" si="22"/>
        <v/>
      </c>
      <c r="AQ24" s="21" cm="1">
        <f t="array" ref="AQ24">_xlfn.IFNA(INDEX('3.0 Lead Time'!$U$8:$U$65,MATCH(AP24,'3.0 Lead Time'!$A$8:$A$65,0),0),"")</f>
        <v>0</v>
      </c>
    </row>
    <row r="25" spans="1:43" x14ac:dyDescent="0.25">
      <c r="A25" s="10" t="str">
        <f>'1.2 Sorting'!J25</f>
        <v/>
      </c>
      <c r="B25" s="10" cm="1">
        <f t="array" ref="B25">_xlfn.IFNA(INDEX(' 1.0 Asset Data'!B$8:B$80,MATCH($A25,' 1.0 Asset Data'!$A$8:$A$80,0),0),0)</f>
        <v>0</v>
      </c>
      <c r="C25" s="10" cm="1">
        <f t="array" ref="C25">_xlfn.IFNA(INDEX(' 1.0 Asset Data'!C$8:C$80,MATCH($A25,' 1.0 Asset Data'!$A$8:$A$80,0),0),0)</f>
        <v>0</v>
      </c>
      <c r="D25" s="31" cm="1">
        <f t="array" ref="D25">_xlfn.IFNA(INDEX(' 1.0 Asset Data'!F$8:F$80,MATCH($A25,' 1.0 Asset Data'!$A$8:$A$80,0),0),0)</f>
        <v>0</v>
      </c>
      <c r="E25" s="33" cm="1">
        <f t="array" ref="E25">_xlfn.IFNA(INDEX(' 1.0 Asset Data'!E$8:E$80,MATCH($A25,' 1.0 Asset Data'!$A$8:$A$80,0),0),0)</f>
        <v>0</v>
      </c>
      <c r="F25" s="42" cm="1">
        <f t="array" ref="F25">_xlfn.IFNA(INDEX(' 1.0 Asset Data'!P$8:P$80,MATCH($A25,' 1.0 Asset Data'!$A$8:$A$80,0),0),0)</f>
        <v>0</v>
      </c>
      <c r="G25" s="37" cm="1">
        <f t="array" ref="G25">IF($A25="",0,INDEX(' 1.0 Asset Data'!$J$8:$J$75,MATCH($A25,' 1.0 Asset Data'!$A$8:$A$75,0),0))</f>
        <v>0</v>
      </c>
      <c r="H25" s="31" cm="1">
        <f t="array" ref="H25">IF($A25="",0,INDEX(' 1.0 Asset Data'!L$8:L$75,MATCH($A25,' 1.0 Asset Data'!$A$8:$A$75,0),0))</f>
        <v>0</v>
      </c>
      <c r="I25" s="31" cm="1">
        <f t="array" ref="I25">IF($A25="",0,INDEX(' 1.0 Asset Data'!N$8:N$75,MATCH($A25,' 1.0 Asset Data'!$A$8:$A$75,0),0))</f>
        <v>0</v>
      </c>
      <c r="J25" s="31" cm="1">
        <f t="array" ref="J25">IF($A25="",0,INDEX(' 1.0 Asset Data'!M$8:M$75,MATCH($A25,' 1.0 Asset Data'!$A$8:$A$75,0),0))</f>
        <v>0</v>
      </c>
      <c r="L25" s="35">
        <f t="shared" si="0"/>
        <v>37438</v>
      </c>
      <c r="M25" s="56">
        <f t="shared" si="1"/>
        <v>0</v>
      </c>
      <c r="N25" s="17">
        <f t="shared" si="4"/>
        <v>0</v>
      </c>
      <c r="O25" s="24">
        <f t="shared" si="5"/>
        <v>0</v>
      </c>
      <c r="P25" s="34">
        <f t="shared" si="2"/>
        <v>0</v>
      </c>
      <c r="Q25" s="35">
        <f t="shared" si="23"/>
        <v>37438</v>
      </c>
      <c r="R25" s="38">
        <f t="shared" si="3"/>
        <v>-21.998631074606433</v>
      </c>
      <c r="S25" s="17">
        <f>H25/(1+'1.1 Other Data'!$F$14)^'3.1 Mean Time to failure Orig'!$R25</f>
        <v>0</v>
      </c>
      <c r="T25" s="17">
        <f>I25/(1+'1.1 Other Data'!$F$14)^'3.1 Mean Time to failure Orig'!$R25</f>
        <v>0</v>
      </c>
      <c r="U25" s="17">
        <f>J25/(1+'1.1 Other Data'!$F$14)^'3.1 Mean Time to failure Orig'!$R25</f>
        <v>0</v>
      </c>
      <c r="W25" s="12">
        <f t="shared" si="7"/>
        <v>0</v>
      </c>
      <c r="X25" s="38">
        <f t="shared" si="8"/>
        <v>0</v>
      </c>
      <c r="Y25" s="12">
        <f>IF(A25="",0,'1.1 Other Data'!$B$38-OriginalDate-W25)</f>
        <v>0</v>
      </c>
      <c r="Z25" s="15">
        <f t="shared" si="9"/>
        <v>0</v>
      </c>
      <c r="AA25" s="24">
        <f t="shared" si="10"/>
        <v>0</v>
      </c>
      <c r="AB25" s="24">
        <f t="shared" si="11"/>
        <v>0</v>
      </c>
      <c r="AC25" s="12">
        <f t="shared" si="12"/>
        <v>0</v>
      </c>
      <c r="AD25" s="12">
        <f t="shared" si="13"/>
        <v>1</v>
      </c>
      <c r="AE25" s="12">
        <f t="shared" si="14"/>
        <v>0</v>
      </c>
      <c r="AF25" s="12">
        <f t="shared" si="15"/>
        <v>1</v>
      </c>
      <c r="AG25" s="12">
        <f t="shared" si="16"/>
        <v>0</v>
      </c>
      <c r="AH25" s="17">
        <f t="shared" si="17"/>
        <v>0</v>
      </c>
      <c r="AJ25" s="17">
        <f t="shared" si="18"/>
        <v>0</v>
      </c>
      <c r="AK25" s="17">
        <f t="shared" si="19"/>
        <v>0</v>
      </c>
      <c r="AL25" s="17">
        <f t="shared" si="20"/>
        <v>0</v>
      </c>
      <c r="AN25" s="23">
        <f t="shared" si="21"/>
        <v>0</v>
      </c>
      <c r="AP25" s="21" t="str">
        <f t="shared" si="22"/>
        <v/>
      </c>
      <c r="AQ25" s="21" cm="1">
        <f t="array" ref="AQ25">_xlfn.IFNA(INDEX('3.0 Lead Time'!$U$8:$U$65,MATCH(AP25,'3.0 Lead Time'!$A$8:$A$65,0),0),"")</f>
        <v>0</v>
      </c>
    </row>
    <row r="26" spans="1:43" x14ac:dyDescent="0.25">
      <c r="A26" s="10" t="str">
        <f>'1.2 Sorting'!J26</f>
        <v/>
      </c>
      <c r="B26" s="10" cm="1">
        <f t="array" ref="B26">_xlfn.IFNA(INDEX(' 1.0 Asset Data'!B$8:B$80,MATCH($A26,' 1.0 Asset Data'!$A$8:$A$80,0),0),0)</f>
        <v>0</v>
      </c>
      <c r="C26" s="10" cm="1">
        <f t="array" ref="C26">_xlfn.IFNA(INDEX(' 1.0 Asset Data'!C$8:C$80,MATCH($A26,' 1.0 Asset Data'!$A$8:$A$80,0),0),0)</f>
        <v>0</v>
      </c>
      <c r="D26" s="31" cm="1">
        <f t="array" ref="D26">_xlfn.IFNA(INDEX(' 1.0 Asset Data'!F$8:F$80,MATCH($A26,' 1.0 Asset Data'!$A$8:$A$80,0),0),0)</f>
        <v>0</v>
      </c>
      <c r="E26" s="33" cm="1">
        <f t="array" ref="E26">_xlfn.IFNA(INDEX(' 1.0 Asset Data'!E$8:E$80,MATCH($A26,' 1.0 Asset Data'!$A$8:$A$80,0),0),0)</f>
        <v>0</v>
      </c>
      <c r="F26" s="42" cm="1">
        <f t="array" ref="F26">_xlfn.IFNA(INDEX(' 1.0 Asset Data'!P$8:P$80,MATCH($A26,' 1.0 Asset Data'!$A$8:$A$80,0),0),0)</f>
        <v>0</v>
      </c>
      <c r="G26" s="37" cm="1">
        <f t="array" ref="G26">IF($A26="",0,INDEX(' 1.0 Asset Data'!$J$8:$J$75,MATCH($A26,' 1.0 Asset Data'!$A$8:$A$75,0),0))</f>
        <v>0</v>
      </c>
      <c r="H26" s="31" cm="1">
        <f t="array" ref="H26">IF($A26="",0,INDEX(' 1.0 Asset Data'!L$8:L$75,MATCH($A26,' 1.0 Asset Data'!$A$8:$A$75,0),0))</f>
        <v>0</v>
      </c>
      <c r="I26" s="31" cm="1">
        <f t="array" ref="I26">IF($A26="",0,INDEX(' 1.0 Asset Data'!N$8:N$75,MATCH($A26,' 1.0 Asset Data'!$A$8:$A$75,0),0))</f>
        <v>0</v>
      </c>
      <c r="J26" s="31" cm="1">
        <f t="array" ref="J26">IF($A26="",0,INDEX(' 1.0 Asset Data'!M$8:M$75,MATCH($A26,' 1.0 Asset Data'!$A$8:$A$75,0),0))</f>
        <v>0</v>
      </c>
      <c r="L26" s="35">
        <f t="shared" si="0"/>
        <v>37438</v>
      </c>
      <c r="M26" s="56">
        <f t="shared" si="1"/>
        <v>0</v>
      </c>
      <c r="N26" s="17">
        <f t="shared" si="4"/>
        <v>0</v>
      </c>
      <c r="O26" s="24">
        <f t="shared" si="5"/>
        <v>0</v>
      </c>
      <c r="P26" s="34">
        <f t="shared" si="2"/>
        <v>0</v>
      </c>
      <c r="Q26" s="35">
        <f t="shared" si="23"/>
        <v>37438</v>
      </c>
      <c r="R26" s="38">
        <f t="shared" si="3"/>
        <v>-21.998631074606433</v>
      </c>
      <c r="S26" s="17">
        <f>H26/(1+'1.1 Other Data'!$F$14)^'3.1 Mean Time to failure Orig'!$R26</f>
        <v>0</v>
      </c>
      <c r="T26" s="17">
        <f>I26/(1+'1.1 Other Data'!$F$14)^'3.1 Mean Time to failure Orig'!$R26</f>
        <v>0</v>
      </c>
      <c r="U26" s="17">
        <f>J26/(1+'1.1 Other Data'!$F$14)^'3.1 Mean Time to failure Orig'!$R26</f>
        <v>0</v>
      </c>
      <c r="W26" s="12">
        <f t="shared" si="7"/>
        <v>0</v>
      </c>
      <c r="X26" s="38">
        <f t="shared" si="8"/>
        <v>0</v>
      </c>
      <c r="Y26" s="12">
        <f>IF(A26="",0,'1.1 Other Data'!$B$38-OriginalDate-W26)</f>
        <v>0</v>
      </c>
      <c r="Z26" s="15">
        <f t="shared" si="9"/>
        <v>0</v>
      </c>
      <c r="AA26" s="24">
        <f t="shared" si="10"/>
        <v>0</v>
      </c>
      <c r="AB26" s="24">
        <f t="shared" si="11"/>
        <v>0</v>
      </c>
      <c r="AC26" s="12">
        <f t="shared" si="12"/>
        <v>0</v>
      </c>
      <c r="AD26" s="12">
        <f t="shared" si="13"/>
        <v>1</v>
      </c>
      <c r="AE26" s="12">
        <f t="shared" si="14"/>
        <v>0</v>
      </c>
      <c r="AF26" s="12">
        <f t="shared" si="15"/>
        <v>1</v>
      </c>
      <c r="AG26" s="12">
        <f t="shared" si="16"/>
        <v>0</v>
      </c>
      <c r="AH26" s="17">
        <f t="shared" si="17"/>
        <v>0</v>
      </c>
      <c r="AJ26" s="17">
        <f t="shared" si="18"/>
        <v>0</v>
      </c>
      <c r="AK26" s="17">
        <f t="shared" si="19"/>
        <v>0</v>
      </c>
      <c r="AL26" s="17">
        <f t="shared" si="20"/>
        <v>0</v>
      </c>
      <c r="AN26" s="23">
        <f t="shared" si="21"/>
        <v>0</v>
      </c>
      <c r="AP26" s="21" t="str">
        <f t="shared" si="22"/>
        <v/>
      </c>
      <c r="AQ26" s="21" cm="1">
        <f t="array" ref="AQ26">_xlfn.IFNA(INDEX('3.0 Lead Time'!$U$8:$U$65,MATCH(AP26,'3.0 Lead Time'!$A$8:$A$65,0),0),"")</f>
        <v>0</v>
      </c>
    </row>
    <row r="27" spans="1:43" x14ac:dyDescent="0.25">
      <c r="A27" s="10" t="str">
        <f>'1.2 Sorting'!J27</f>
        <v/>
      </c>
      <c r="B27" s="10" cm="1">
        <f t="array" ref="B27">_xlfn.IFNA(INDEX(' 1.0 Asset Data'!B$8:B$80,MATCH($A27,' 1.0 Asset Data'!$A$8:$A$80,0),0),0)</f>
        <v>0</v>
      </c>
      <c r="C27" s="10" cm="1">
        <f t="array" ref="C27">_xlfn.IFNA(INDEX(' 1.0 Asset Data'!C$8:C$80,MATCH($A27,' 1.0 Asset Data'!$A$8:$A$80,0),0),0)</f>
        <v>0</v>
      </c>
      <c r="D27" s="31" cm="1">
        <f t="array" ref="D27">_xlfn.IFNA(INDEX(' 1.0 Asset Data'!F$8:F$80,MATCH($A27,' 1.0 Asset Data'!$A$8:$A$80,0),0),0)</f>
        <v>0</v>
      </c>
      <c r="E27" s="33" cm="1">
        <f t="array" ref="E27">_xlfn.IFNA(INDEX(' 1.0 Asset Data'!E$8:E$80,MATCH($A27,' 1.0 Asset Data'!$A$8:$A$80,0),0),0)</f>
        <v>0</v>
      </c>
      <c r="F27" s="42" cm="1">
        <f t="array" ref="F27">_xlfn.IFNA(INDEX(' 1.0 Asset Data'!P$8:P$80,MATCH($A27,' 1.0 Asset Data'!$A$8:$A$80,0),0),0)</f>
        <v>0</v>
      </c>
      <c r="G27" s="37" cm="1">
        <f t="array" ref="G27">IF($A27="",0,INDEX(' 1.0 Asset Data'!$J$8:$J$75,MATCH($A27,' 1.0 Asset Data'!$A$8:$A$75,0),0))</f>
        <v>0</v>
      </c>
      <c r="H27" s="31" cm="1">
        <f t="array" ref="H27">IF($A27="",0,INDEX(' 1.0 Asset Data'!L$8:L$75,MATCH($A27,' 1.0 Asset Data'!$A$8:$A$75,0),0))</f>
        <v>0</v>
      </c>
      <c r="I27" s="31" cm="1">
        <f t="array" ref="I27">IF($A27="",0,INDEX(' 1.0 Asset Data'!N$8:N$75,MATCH($A27,' 1.0 Asset Data'!$A$8:$A$75,0),0))</f>
        <v>0</v>
      </c>
      <c r="J27" s="31" cm="1">
        <f t="array" ref="J27">IF($A27="",0,INDEX(' 1.0 Asset Data'!M$8:M$75,MATCH($A27,' 1.0 Asset Data'!$A$8:$A$75,0),0))</f>
        <v>0</v>
      </c>
      <c r="L27" s="35">
        <f t="shared" si="0"/>
        <v>37438</v>
      </c>
      <c r="M27" s="56">
        <f t="shared" si="1"/>
        <v>0</v>
      </c>
      <c r="N27" s="17">
        <f t="shared" si="4"/>
        <v>0</v>
      </c>
      <c r="O27" s="24">
        <f t="shared" si="5"/>
        <v>0</v>
      </c>
      <c r="P27" s="34">
        <f t="shared" si="2"/>
        <v>0</v>
      </c>
      <c r="Q27" s="35">
        <f t="shared" si="23"/>
        <v>37438</v>
      </c>
      <c r="R27" s="38">
        <f t="shared" si="3"/>
        <v>-21.998631074606433</v>
      </c>
      <c r="S27" s="17">
        <f>H27/(1+'1.1 Other Data'!$F$14)^'3.1 Mean Time to failure Orig'!$R27</f>
        <v>0</v>
      </c>
      <c r="T27" s="17">
        <f>I27/(1+'1.1 Other Data'!$F$14)^'3.1 Mean Time to failure Orig'!$R27</f>
        <v>0</v>
      </c>
      <c r="U27" s="17">
        <f>J27/(1+'1.1 Other Data'!$F$14)^'3.1 Mean Time to failure Orig'!$R27</f>
        <v>0</v>
      </c>
      <c r="W27" s="12">
        <f t="shared" si="7"/>
        <v>0</v>
      </c>
      <c r="X27" s="38">
        <f t="shared" si="8"/>
        <v>0</v>
      </c>
      <c r="Y27" s="12">
        <f>IF(A27="",0,'1.1 Other Data'!$B$38-OriginalDate-W27)</f>
        <v>0</v>
      </c>
      <c r="Z27" s="15">
        <f t="shared" si="9"/>
        <v>0</v>
      </c>
      <c r="AA27" s="24">
        <f t="shared" si="10"/>
        <v>0</v>
      </c>
      <c r="AB27" s="24">
        <f t="shared" si="11"/>
        <v>0</v>
      </c>
      <c r="AC27" s="12">
        <f t="shared" si="12"/>
        <v>0</v>
      </c>
      <c r="AD27" s="12">
        <f t="shared" si="13"/>
        <v>1</v>
      </c>
      <c r="AE27" s="12">
        <f t="shared" si="14"/>
        <v>0</v>
      </c>
      <c r="AF27" s="12">
        <f t="shared" si="15"/>
        <v>1</v>
      </c>
      <c r="AG27" s="12">
        <f t="shared" si="16"/>
        <v>0</v>
      </c>
      <c r="AH27" s="17">
        <f t="shared" si="17"/>
        <v>0</v>
      </c>
      <c r="AJ27" s="17">
        <f t="shared" si="18"/>
        <v>0</v>
      </c>
      <c r="AK27" s="17">
        <f t="shared" si="19"/>
        <v>0</v>
      </c>
      <c r="AL27" s="17">
        <f t="shared" si="20"/>
        <v>0</v>
      </c>
      <c r="AN27" s="23">
        <f t="shared" si="21"/>
        <v>0</v>
      </c>
      <c r="AP27" s="21" t="str">
        <f t="shared" si="22"/>
        <v/>
      </c>
      <c r="AQ27" s="21" cm="1">
        <f t="array" ref="AQ27">_xlfn.IFNA(INDEX('3.0 Lead Time'!$U$8:$U$65,MATCH(AP27,'3.0 Lead Time'!$A$8:$A$65,0),0),"")</f>
        <v>0</v>
      </c>
    </row>
    <row r="28" spans="1:43" x14ac:dyDescent="0.25">
      <c r="A28" s="10" t="str">
        <f>'1.2 Sorting'!J28</f>
        <v/>
      </c>
      <c r="B28" s="10" cm="1">
        <f t="array" ref="B28">_xlfn.IFNA(INDEX(' 1.0 Asset Data'!B$8:B$80,MATCH($A28,' 1.0 Asset Data'!$A$8:$A$80,0),0),0)</f>
        <v>0</v>
      </c>
      <c r="C28" s="10" cm="1">
        <f t="array" ref="C28">_xlfn.IFNA(INDEX(' 1.0 Asset Data'!C$8:C$80,MATCH($A28,' 1.0 Asset Data'!$A$8:$A$80,0),0),0)</f>
        <v>0</v>
      </c>
      <c r="D28" s="31" cm="1">
        <f t="array" ref="D28">_xlfn.IFNA(INDEX(' 1.0 Asset Data'!F$8:F$80,MATCH($A28,' 1.0 Asset Data'!$A$8:$A$80,0),0),0)</f>
        <v>0</v>
      </c>
      <c r="E28" s="33" cm="1">
        <f t="array" ref="E28">_xlfn.IFNA(INDEX(' 1.0 Asset Data'!E$8:E$80,MATCH($A28,' 1.0 Asset Data'!$A$8:$A$80,0),0),0)</f>
        <v>0</v>
      </c>
      <c r="F28" s="42" cm="1">
        <f t="array" ref="F28">_xlfn.IFNA(INDEX(' 1.0 Asset Data'!P$8:P$80,MATCH($A28,' 1.0 Asset Data'!$A$8:$A$80,0),0),0)</f>
        <v>0</v>
      </c>
      <c r="G28" s="37" cm="1">
        <f t="array" ref="G28">IF($A28="",0,INDEX(' 1.0 Asset Data'!$J$8:$J$75,MATCH($A28,' 1.0 Asset Data'!$A$8:$A$75,0),0))</f>
        <v>0</v>
      </c>
      <c r="H28" s="31" cm="1">
        <f t="array" ref="H28">IF($A28="",0,INDEX(' 1.0 Asset Data'!L$8:L$75,MATCH($A28,' 1.0 Asset Data'!$A$8:$A$75,0),0))</f>
        <v>0</v>
      </c>
      <c r="I28" s="31" cm="1">
        <f t="array" ref="I28">IF($A28="",0,INDEX(' 1.0 Asset Data'!N$8:N$75,MATCH($A28,' 1.0 Asset Data'!$A$8:$A$75,0),0))</f>
        <v>0</v>
      </c>
      <c r="J28" s="31" cm="1">
        <f t="array" ref="J28">IF($A28="",0,INDEX(' 1.0 Asset Data'!M$8:M$75,MATCH($A28,' 1.0 Asset Data'!$A$8:$A$75,0),0))</f>
        <v>0</v>
      </c>
      <c r="L28" s="35">
        <f t="shared" si="0"/>
        <v>37438</v>
      </c>
      <c r="M28" s="56">
        <f t="shared" si="1"/>
        <v>0</v>
      </c>
      <c r="N28" s="17">
        <f t="shared" si="4"/>
        <v>0</v>
      </c>
      <c r="O28" s="24">
        <f t="shared" si="5"/>
        <v>0</v>
      </c>
      <c r="P28" s="34">
        <f t="shared" si="2"/>
        <v>0</v>
      </c>
      <c r="Q28" s="35">
        <f t="shared" si="23"/>
        <v>37438</v>
      </c>
      <c r="R28" s="38">
        <f t="shared" si="3"/>
        <v>-21.998631074606433</v>
      </c>
      <c r="S28" s="17">
        <f>H28/(1+'1.1 Other Data'!$F$14)^'3.1 Mean Time to failure Orig'!$R28</f>
        <v>0</v>
      </c>
      <c r="T28" s="17">
        <f>I28/(1+'1.1 Other Data'!$F$14)^'3.1 Mean Time to failure Orig'!$R28</f>
        <v>0</v>
      </c>
      <c r="U28" s="17">
        <f>J28/(1+'1.1 Other Data'!$F$14)^'3.1 Mean Time to failure Orig'!$R28</f>
        <v>0</v>
      </c>
      <c r="W28" s="12">
        <f t="shared" si="7"/>
        <v>0</v>
      </c>
      <c r="X28" s="38">
        <f t="shared" si="8"/>
        <v>0</v>
      </c>
      <c r="Y28" s="12">
        <f>IF(A28="",0,'1.1 Other Data'!$B$38-OriginalDate-W28)</f>
        <v>0</v>
      </c>
      <c r="Z28" s="15">
        <f t="shared" si="9"/>
        <v>0</v>
      </c>
      <c r="AA28" s="24">
        <f t="shared" si="10"/>
        <v>0</v>
      </c>
      <c r="AB28" s="24">
        <f t="shared" si="11"/>
        <v>0</v>
      </c>
      <c r="AC28" s="12">
        <f t="shared" si="12"/>
        <v>0</v>
      </c>
      <c r="AD28" s="12">
        <f t="shared" si="13"/>
        <v>1</v>
      </c>
      <c r="AE28" s="12">
        <f t="shared" si="14"/>
        <v>0</v>
      </c>
      <c r="AF28" s="12">
        <f t="shared" si="15"/>
        <v>1</v>
      </c>
      <c r="AG28" s="12">
        <f t="shared" si="16"/>
        <v>0</v>
      </c>
      <c r="AH28" s="17">
        <f t="shared" si="17"/>
        <v>0</v>
      </c>
      <c r="AJ28" s="17">
        <f t="shared" si="18"/>
        <v>0</v>
      </c>
      <c r="AK28" s="17">
        <f t="shared" si="19"/>
        <v>0</v>
      </c>
      <c r="AL28" s="17">
        <f t="shared" si="20"/>
        <v>0</v>
      </c>
      <c r="AN28" s="23">
        <f t="shared" si="21"/>
        <v>0</v>
      </c>
      <c r="AP28" s="21" t="str">
        <f t="shared" si="22"/>
        <v/>
      </c>
      <c r="AQ28" s="21" cm="1">
        <f t="array" ref="AQ28">_xlfn.IFNA(INDEX('3.0 Lead Time'!$U$8:$U$65,MATCH(AP28,'3.0 Lead Time'!$A$8:$A$65,0),0),"")</f>
        <v>0</v>
      </c>
    </row>
    <row r="29" spans="1:43" x14ac:dyDescent="0.25">
      <c r="A29" s="10" t="str">
        <f>'1.2 Sorting'!J29</f>
        <v/>
      </c>
      <c r="B29" s="10" cm="1">
        <f t="array" ref="B29">_xlfn.IFNA(INDEX(' 1.0 Asset Data'!B$8:B$80,MATCH($A29,' 1.0 Asset Data'!$A$8:$A$80,0),0),0)</f>
        <v>0</v>
      </c>
      <c r="C29" s="10" cm="1">
        <f t="array" ref="C29">_xlfn.IFNA(INDEX(' 1.0 Asset Data'!C$8:C$80,MATCH($A29,' 1.0 Asset Data'!$A$8:$A$80,0),0),0)</f>
        <v>0</v>
      </c>
      <c r="D29" s="31" cm="1">
        <f t="array" ref="D29">_xlfn.IFNA(INDEX(' 1.0 Asset Data'!F$8:F$80,MATCH($A29,' 1.0 Asset Data'!$A$8:$A$80,0),0),0)</f>
        <v>0</v>
      </c>
      <c r="E29" s="33" cm="1">
        <f t="array" ref="E29">_xlfn.IFNA(INDEX(' 1.0 Asset Data'!E$8:E$80,MATCH($A29,' 1.0 Asset Data'!$A$8:$A$80,0),0),0)</f>
        <v>0</v>
      </c>
      <c r="F29" s="42" cm="1">
        <f t="array" ref="F29">_xlfn.IFNA(INDEX(' 1.0 Asset Data'!P$8:P$80,MATCH($A29,' 1.0 Asset Data'!$A$8:$A$80,0),0),0)</f>
        <v>0</v>
      </c>
      <c r="G29" s="37" cm="1">
        <f t="array" ref="G29">IF($A29="",0,INDEX(' 1.0 Asset Data'!$J$8:$J$75,MATCH($A29,' 1.0 Asset Data'!$A$8:$A$75,0),0))</f>
        <v>0</v>
      </c>
      <c r="H29" s="31" cm="1">
        <f t="array" ref="H29">IF($A29="",0,INDEX(' 1.0 Asset Data'!L$8:L$75,MATCH($A29,' 1.0 Asset Data'!$A$8:$A$75,0),0))</f>
        <v>0</v>
      </c>
      <c r="I29" s="31" cm="1">
        <f t="array" ref="I29">IF($A29="",0,INDEX(' 1.0 Asset Data'!N$8:N$75,MATCH($A29,' 1.0 Asset Data'!$A$8:$A$75,0),0))</f>
        <v>0</v>
      </c>
      <c r="J29" s="31" cm="1">
        <f t="array" ref="J29">IF($A29="",0,INDEX(' 1.0 Asset Data'!M$8:M$75,MATCH($A29,' 1.0 Asset Data'!$A$8:$A$75,0),0))</f>
        <v>0</v>
      </c>
      <c r="L29" s="35">
        <f t="shared" si="0"/>
        <v>37438</v>
      </c>
      <c r="M29" s="56">
        <f t="shared" si="1"/>
        <v>0</v>
      </c>
      <c r="N29" s="17">
        <f t="shared" si="4"/>
        <v>0</v>
      </c>
      <c r="O29" s="24">
        <f t="shared" si="5"/>
        <v>0</v>
      </c>
      <c r="P29" s="34">
        <f t="shared" si="2"/>
        <v>0</v>
      </c>
      <c r="Q29" s="35">
        <f t="shared" si="23"/>
        <v>37438</v>
      </c>
      <c r="R29" s="38">
        <f t="shared" si="3"/>
        <v>-21.998631074606433</v>
      </c>
      <c r="S29" s="17">
        <f>H29/(1+'1.1 Other Data'!$F$14)^'3.1 Mean Time to failure Orig'!$R29</f>
        <v>0</v>
      </c>
      <c r="T29" s="17">
        <f>I29/(1+'1.1 Other Data'!$F$14)^'3.1 Mean Time to failure Orig'!$R29</f>
        <v>0</v>
      </c>
      <c r="U29" s="17">
        <f>J29/(1+'1.1 Other Data'!$F$14)^'3.1 Mean Time to failure Orig'!$R29</f>
        <v>0</v>
      </c>
      <c r="W29" s="12">
        <f t="shared" si="7"/>
        <v>0</v>
      </c>
      <c r="X29" s="38">
        <f t="shared" si="8"/>
        <v>0</v>
      </c>
      <c r="Y29" s="12">
        <f>IF(A29="",0,'1.1 Other Data'!$B$38-OriginalDate-W29)</f>
        <v>0</v>
      </c>
      <c r="Z29" s="15">
        <f t="shared" si="9"/>
        <v>0</v>
      </c>
      <c r="AA29" s="24">
        <f t="shared" si="10"/>
        <v>0</v>
      </c>
      <c r="AB29" s="24">
        <f t="shared" si="11"/>
        <v>0</v>
      </c>
      <c r="AC29" s="12">
        <f t="shared" si="12"/>
        <v>0</v>
      </c>
      <c r="AD29" s="12">
        <f t="shared" si="13"/>
        <v>1</v>
      </c>
      <c r="AE29" s="12">
        <f t="shared" si="14"/>
        <v>0</v>
      </c>
      <c r="AF29" s="12">
        <f t="shared" si="15"/>
        <v>1</v>
      </c>
      <c r="AG29" s="12">
        <f t="shared" si="16"/>
        <v>0</v>
      </c>
      <c r="AH29" s="17">
        <f t="shared" si="17"/>
        <v>0</v>
      </c>
      <c r="AJ29" s="17">
        <f t="shared" si="18"/>
        <v>0</v>
      </c>
      <c r="AK29" s="17">
        <f t="shared" si="19"/>
        <v>0</v>
      </c>
      <c r="AL29" s="17">
        <f t="shared" si="20"/>
        <v>0</v>
      </c>
      <c r="AN29" s="23">
        <f t="shared" si="21"/>
        <v>0</v>
      </c>
      <c r="AP29" s="21" t="str">
        <f t="shared" si="22"/>
        <v/>
      </c>
      <c r="AQ29" s="21" cm="1">
        <f t="array" ref="AQ29">_xlfn.IFNA(INDEX('3.0 Lead Time'!$U$8:$U$65,MATCH(AP29,'3.0 Lead Time'!$A$8:$A$65,0),0),"")</f>
        <v>0</v>
      </c>
    </row>
    <row r="30" spans="1:43" x14ac:dyDescent="0.25">
      <c r="A30" s="10" t="str">
        <f>'1.2 Sorting'!J30</f>
        <v/>
      </c>
      <c r="B30" s="10" cm="1">
        <f t="array" ref="B30">_xlfn.IFNA(INDEX(' 1.0 Asset Data'!B$8:B$80,MATCH($A30,' 1.0 Asset Data'!$A$8:$A$80,0),0),0)</f>
        <v>0</v>
      </c>
      <c r="C30" s="10" cm="1">
        <f t="array" ref="C30">_xlfn.IFNA(INDEX(' 1.0 Asset Data'!C$8:C$80,MATCH($A30,' 1.0 Asset Data'!$A$8:$A$80,0),0),0)</f>
        <v>0</v>
      </c>
      <c r="D30" s="31" cm="1">
        <f t="array" ref="D30">_xlfn.IFNA(INDEX(' 1.0 Asset Data'!F$8:F$80,MATCH($A30,' 1.0 Asset Data'!$A$8:$A$80,0),0),0)</f>
        <v>0</v>
      </c>
      <c r="E30" s="33" cm="1">
        <f t="array" ref="E30">_xlfn.IFNA(INDEX(' 1.0 Asset Data'!E$8:E$80,MATCH($A30,' 1.0 Asset Data'!$A$8:$A$80,0),0),0)</f>
        <v>0</v>
      </c>
      <c r="F30" s="42" cm="1">
        <f t="array" ref="F30">_xlfn.IFNA(INDEX(' 1.0 Asset Data'!P$8:P$80,MATCH($A30,' 1.0 Asset Data'!$A$8:$A$80,0),0),0)</f>
        <v>0</v>
      </c>
      <c r="G30" s="37" cm="1">
        <f t="array" ref="G30">IF($A30="",0,INDEX(' 1.0 Asset Data'!$J$8:$J$75,MATCH($A30,' 1.0 Asset Data'!$A$8:$A$75,0),0))</f>
        <v>0</v>
      </c>
      <c r="H30" s="31" cm="1">
        <f t="array" ref="H30">IF($A30="",0,INDEX(' 1.0 Asset Data'!L$8:L$75,MATCH($A30,' 1.0 Asset Data'!$A$8:$A$75,0),0))</f>
        <v>0</v>
      </c>
      <c r="I30" s="31" cm="1">
        <f t="array" ref="I30">IF($A30="",0,INDEX(' 1.0 Asset Data'!N$8:N$75,MATCH($A30,' 1.0 Asset Data'!$A$8:$A$75,0),0))</f>
        <v>0</v>
      </c>
      <c r="J30" s="31" cm="1">
        <f t="array" ref="J30">IF($A30="",0,INDEX(' 1.0 Asset Data'!M$8:M$75,MATCH($A30,' 1.0 Asset Data'!$A$8:$A$75,0),0))</f>
        <v>0</v>
      </c>
      <c r="L30" s="35">
        <f t="shared" si="0"/>
        <v>37438</v>
      </c>
      <c r="M30" s="56">
        <f t="shared" si="1"/>
        <v>0</v>
      </c>
      <c r="N30" s="17">
        <f t="shared" si="4"/>
        <v>0</v>
      </c>
      <c r="O30" s="24">
        <f t="shared" si="5"/>
        <v>0</v>
      </c>
      <c r="P30" s="34">
        <f t="shared" si="2"/>
        <v>0</v>
      </c>
      <c r="Q30" s="35">
        <f t="shared" si="23"/>
        <v>37438</v>
      </c>
      <c r="R30" s="38">
        <f t="shared" si="3"/>
        <v>-21.998631074606433</v>
      </c>
      <c r="S30" s="17">
        <f>H30/(1+'1.1 Other Data'!$F$14)^'3.1 Mean Time to failure Orig'!$R30</f>
        <v>0</v>
      </c>
      <c r="T30" s="17">
        <f>I30/(1+'1.1 Other Data'!$F$14)^'3.1 Mean Time to failure Orig'!$R30</f>
        <v>0</v>
      </c>
      <c r="U30" s="17">
        <f>J30/(1+'1.1 Other Data'!$F$14)^'3.1 Mean Time to failure Orig'!$R30</f>
        <v>0</v>
      </c>
      <c r="W30" s="12">
        <f t="shared" si="7"/>
        <v>0</v>
      </c>
      <c r="X30" s="38">
        <f t="shared" si="8"/>
        <v>0</v>
      </c>
      <c r="Y30" s="12">
        <f>IF(A30="",0,'1.1 Other Data'!$B$38-OriginalDate-W30)</f>
        <v>0</v>
      </c>
      <c r="Z30" s="15">
        <f t="shared" si="9"/>
        <v>0</v>
      </c>
      <c r="AA30" s="24">
        <f t="shared" si="10"/>
        <v>0</v>
      </c>
      <c r="AB30" s="24">
        <f t="shared" si="11"/>
        <v>0</v>
      </c>
      <c r="AC30" s="12">
        <f t="shared" si="12"/>
        <v>0</v>
      </c>
      <c r="AD30" s="12">
        <f t="shared" si="13"/>
        <v>1</v>
      </c>
      <c r="AE30" s="12">
        <f t="shared" si="14"/>
        <v>0</v>
      </c>
      <c r="AF30" s="12">
        <f t="shared" si="15"/>
        <v>1</v>
      </c>
      <c r="AG30" s="12">
        <f t="shared" si="16"/>
        <v>0</v>
      </c>
      <c r="AH30" s="17">
        <f t="shared" si="17"/>
        <v>0</v>
      </c>
      <c r="AJ30" s="17">
        <f t="shared" si="18"/>
        <v>0</v>
      </c>
      <c r="AK30" s="17">
        <f t="shared" si="19"/>
        <v>0</v>
      </c>
      <c r="AL30" s="17">
        <f t="shared" si="20"/>
        <v>0</v>
      </c>
      <c r="AN30" s="23">
        <f t="shared" si="21"/>
        <v>0</v>
      </c>
      <c r="AP30" s="21" t="str">
        <f t="shared" si="22"/>
        <v/>
      </c>
      <c r="AQ30" s="21" cm="1">
        <f t="array" ref="AQ30">_xlfn.IFNA(INDEX('3.0 Lead Time'!$U$8:$U$65,MATCH(AP30,'3.0 Lead Time'!$A$8:$A$65,0),0),"")</f>
        <v>0</v>
      </c>
    </row>
    <row r="31" spans="1:43" x14ac:dyDescent="0.25">
      <c r="A31" s="10" t="str">
        <f>'1.2 Sorting'!J31</f>
        <v/>
      </c>
      <c r="B31" s="10" cm="1">
        <f t="array" ref="B31">_xlfn.IFNA(INDEX(' 1.0 Asset Data'!B$8:B$80,MATCH($A31,' 1.0 Asset Data'!$A$8:$A$80,0),0),0)</f>
        <v>0</v>
      </c>
      <c r="C31" s="10" cm="1">
        <f t="array" ref="C31">_xlfn.IFNA(INDEX(' 1.0 Asset Data'!C$8:C$80,MATCH($A31,' 1.0 Asset Data'!$A$8:$A$80,0),0),0)</f>
        <v>0</v>
      </c>
      <c r="D31" s="31" cm="1">
        <f t="array" ref="D31">_xlfn.IFNA(INDEX(' 1.0 Asset Data'!F$8:F$80,MATCH($A31,' 1.0 Asset Data'!$A$8:$A$80,0),0),0)</f>
        <v>0</v>
      </c>
      <c r="E31" s="33" cm="1">
        <f t="array" ref="E31">_xlfn.IFNA(INDEX(' 1.0 Asset Data'!E$8:E$80,MATCH($A31,' 1.0 Asset Data'!$A$8:$A$80,0),0),0)</f>
        <v>0</v>
      </c>
      <c r="F31" s="42" cm="1">
        <f t="array" ref="F31">_xlfn.IFNA(INDEX(' 1.0 Asset Data'!P$8:P$80,MATCH($A31,' 1.0 Asset Data'!$A$8:$A$80,0),0),0)</f>
        <v>0</v>
      </c>
      <c r="G31" s="37" cm="1">
        <f t="array" ref="G31">IF($A31="",0,INDEX(' 1.0 Asset Data'!$J$8:$J$75,MATCH($A31,' 1.0 Asset Data'!$A$8:$A$75,0),0))</f>
        <v>0</v>
      </c>
      <c r="H31" s="31" cm="1">
        <f t="array" ref="H31">IF($A31="",0,INDEX(' 1.0 Asset Data'!L$8:L$75,MATCH($A31,' 1.0 Asset Data'!$A$8:$A$75,0),0))</f>
        <v>0</v>
      </c>
      <c r="I31" s="31" cm="1">
        <f t="array" ref="I31">IF($A31="",0,INDEX(' 1.0 Asset Data'!N$8:N$75,MATCH($A31,' 1.0 Asset Data'!$A$8:$A$75,0),0))</f>
        <v>0</v>
      </c>
      <c r="J31" s="31" cm="1">
        <f t="array" ref="J31">IF($A31="",0,INDEX(' 1.0 Asset Data'!M$8:M$75,MATCH($A31,' 1.0 Asset Data'!$A$8:$A$75,0),0))</f>
        <v>0</v>
      </c>
      <c r="L31" s="35">
        <f t="shared" si="0"/>
        <v>37438</v>
      </c>
      <c r="M31" s="56">
        <f t="shared" si="1"/>
        <v>0</v>
      </c>
      <c r="N31" s="17">
        <f t="shared" si="4"/>
        <v>0</v>
      </c>
      <c r="O31" s="24">
        <f t="shared" si="5"/>
        <v>0</v>
      </c>
      <c r="P31" s="34">
        <f t="shared" si="2"/>
        <v>0</v>
      </c>
      <c r="Q31" s="35">
        <f t="shared" si="23"/>
        <v>37438</v>
      </c>
      <c r="R31" s="38">
        <f t="shared" si="3"/>
        <v>-21.998631074606433</v>
      </c>
      <c r="S31" s="17">
        <f>H31/(1+'1.1 Other Data'!$F$14)^'3.1 Mean Time to failure Orig'!$R31</f>
        <v>0</v>
      </c>
      <c r="T31" s="17">
        <f>I31/(1+'1.1 Other Data'!$F$14)^'3.1 Mean Time to failure Orig'!$R31</f>
        <v>0</v>
      </c>
      <c r="U31" s="17">
        <f>J31/(1+'1.1 Other Data'!$F$14)^'3.1 Mean Time to failure Orig'!$R31</f>
        <v>0</v>
      </c>
      <c r="W31" s="12">
        <f t="shared" si="7"/>
        <v>0</v>
      </c>
      <c r="X31" s="38">
        <f t="shared" si="8"/>
        <v>0</v>
      </c>
      <c r="Y31" s="12">
        <f>IF(A31="",0,'1.1 Other Data'!$B$38-OriginalDate-W31)</f>
        <v>0</v>
      </c>
      <c r="Z31" s="15">
        <f t="shared" si="9"/>
        <v>0</v>
      </c>
      <c r="AA31" s="24">
        <f t="shared" si="10"/>
        <v>0</v>
      </c>
      <c r="AB31" s="24">
        <f t="shared" si="11"/>
        <v>0</v>
      </c>
      <c r="AC31" s="12">
        <f t="shared" si="12"/>
        <v>0</v>
      </c>
      <c r="AD31" s="12">
        <f t="shared" si="13"/>
        <v>1</v>
      </c>
      <c r="AE31" s="12">
        <f t="shared" si="14"/>
        <v>0</v>
      </c>
      <c r="AF31" s="12">
        <f t="shared" si="15"/>
        <v>1</v>
      </c>
      <c r="AG31" s="12">
        <f t="shared" si="16"/>
        <v>0</v>
      </c>
      <c r="AH31" s="17">
        <f t="shared" si="17"/>
        <v>0</v>
      </c>
      <c r="AJ31" s="17">
        <f t="shared" si="18"/>
        <v>0</v>
      </c>
      <c r="AK31" s="17">
        <f t="shared" si="19"/>
        <v>0</v>
      </c>
      <c r="AL31" s="17">
        <f t="shared" si="20"/>
        <v>0</v>
      </c>
      <c r="AN31" s="23">
        <f t="shared" si="21"/>
        <v>0</v>
      </c>
      <c r="AP31" s="21" t="str">
        <f t="shared" si="22"/>
        <v/>
      </c>
      <c r="AQ31" s="21" cm="1">
        <f t="array" ref="AQ31">_xlfn.IFNA(INDEX('3.0 Lead Time'!$U$8:$U$65,MATCH(AP31,'3.0 Lead Time'!$A$8:$A$65,0),0),"")</f>
        <v>0</v>
      </c>
    </row>
    <row r="32" spans="1:43" x14ac:dyDescent="0.25">
      <c r="A32" s="10" t="str">
        <f>'1.2 Sorting'!J32</f>
        <v/>
      </c>
      <c r="B32" s="10" cm="1">
        <f t="array" ref="B32">_xlfn.IFNA(INDEX(' 1.0 Asset Data'!B$8:B$80,MATCH($A32,' 1.0 Asset Data'!$A$8:$A$80,0),0),0)</f>
        <v>0</v>
      </c>
      <c r="C32" s="10" cm="1">
        <f t="array" ref="C32">_xlfn.IFNA(INDEX(' 1.0 Asset Data'!C$8:C$80,MATCH($A32,' 1.0 Asset Data'!$A$8:$A$80,0),0),0)</f>
        <v>0</v>
      </c>
      <c r="D32" s="31" cm="1">
        <f t="array" ref="D32">_xlfn.IFNA(INDEX(' 1.0 Asset Data'!F$8:F$80,MATCH($A32,' 1.0 Asset Data'!$A$8:$A$80,0),0),0)</f>
        <v>0</v>
      </c>
      <c r="E32" s="33" cm="1">
        <f t="array" ref="E32">_xlfn.IFNA(INDEX(' 1.0 Asset Data'!E$8:E$80,MATCH($A32,' 1.0 Asset Data'!$A$8:$A$80,0),0),0)</f>
        <v>0</v>
      </c>
      <c r="F32" s="42" cm="1">
        <f t="array" ref="F32">_xlfn.IFNA(INDEX(' 1.0 Asset Data'!P$8:P$80,MATCH($A32,' 1.0 Asset Data'!$A$8:$A$80,0),0),0)</f>
        <v>0</v>
      </c>
      <c r="G32" s="37" cm="1">
        <f t="array" ref="G32">IF($A32="",0,INDEX(' 1.0 Asset Data'!$J$8:$J$75,MATCH($A32,' 1.0 Asset Data'!$A$8:$A$75,0),0))</f>
        <v>0</v>
      </c>
      <c r="H32" s="31" cm="1">
        <f t="array" ref="H32">IF($A32="",0,INDEX(' 1.0 Asset Data'!L$8:L$75,MATCH($A32,' 1.0 Asset Data'!$A$8:$A$75,0),0))</f>
        <v>0</v>
      </c>
      <c r="I32" s="31" cm="1">
        <f t="array" ref="I32">IF($A32="",0,INDEX(' 1.0 Asset Data'!N$8:N$75,MATCH($A32,' 1.0 Asset Data'!$A$8:$A$75,0),0))</f>
        <v>0</v>
      </c>
      <c r="J32" s="31" cm="1">
        <f t="array" ref="J32">IF($A32="",0,INDEX(' 1.0 Asset Data'!M$8:M$75,MATCH($A32,' 1.0 Asset Data'!$A$8:$A$75,0),0))</f>
        <v>0</v>
      </c>
      <c r="L32" s="35">
        <f t="shared" si="0"/>
        <v>37438</v>
      </c>
      <c r="M32" s="56">
        <f t="shared" si="1"/>
        <v>0</v>
      </c>
      <c r="N32" s="17">
        <f t="shared" si="4"/>
        <v>0</v>
      </c>
      <c r="O32" s="24">
        <f t="shared" si="5"/>
        <v>0</v>
      </c>
      <c r="P32" s="34">
        <f t="shared" si="2"/>
        <v>0</v>
      </c>
      <c r="Q32" s="35">
        <f t="shared" si="23"/>
        <v>37438</v>
      </c>
      <c r="R32" s="38">
        <f t="shared" si="3"/>
        <v>-21.998631074606433</v>
      </c>
      <c r="S32" s="17">
        <f>H32/(1+'1.1 Other Data'!$F$14)^'3.1 Mean Time to failure Orig'!$R32</f>
        <v>0</v>
      </c>
      <c r="T32" s="17">
        <f>I32/(1+'1.1 Other Data'!$F$14)^'3.1 Mean Time to failure Orig'!$R32</f>
        <v>0</v>
      </c>
      <c r="U32" s="17">
        <f>J32/(1+'1.1 Other Data'!$F$14)^'3.1 Mean Time to failure Orig'!$R32</f>
        <v>0</v>
      </c>
      <c r="W32" s="12">
        <f t="shared" si="7"/>
        <v>0</v>
      </c>
      <c r="X32" s="38">
        <f t="shared" si="8"/>
        <v>0</v>
      </c>
      <c r="Y32" s="12">
        <f>IF(A32="",0,'1.1 Other Data'!$B$38-OriginalDate-W32)</f>
        <v>0</v>
      </c>
      <c r="Z32" s="15">
        <f t="shared" si="9"/>
        <v>0</v>
      </c>
      <c r="AA32" s="24">
        <f t="shared" si="10"/>
        <v>0</v>
      </c>
      <c r="AB32" s="24">
        <f t="shared" si="11"/>
        <v>0</v>
      </c>
      <c r="AC32" s="12">
        <f t="shared" si="12"/>
        <v>0</v>
      </c>
      <c r="AD32" s="12">
        <f t="shared" si="13"/>
        <v>1</v>
      </c>
      <c r="AE32" s="12">
        <f t="shared" si="14"/>
        <v>0</v>
      </c>
      <c r="AF32" s="12">
        <f t="shared" si="15"/>
        <v>1</v>
      </c>
      <c r="AG32" s="12">
        <f t="shared" si="16"/>
        <v>0</v>
      </c>
      <c r="AH32" s="17">
        <f t="shared" si="17"/>
        <v>0</v>
      </c>
      <c r="AJ32" s="17">
        <f t="shared" si="18"/>
        <v>0</v>
      </c>
      <c r="AK32" s="17">
        <f t="shared" si="19"/>
        <v>0</v>
      </c>
      <c r="AL32" s="17">
        <f t="shared" si="20"/>
        <v>0</v>
      </c>
      <c r="AN32" s="23">
        <f t="shared" si="21"/>
        <v>0</v>
      </c>
      <c r="AP32" s="21" t="str">
        <f t="shared" si="22"/>
        <v/>
      </c>
      <c r="AQ32" s="21" cm="1">
        <f t="array" ref="AQ32">_xlfn.IFNA(INDEX('3.0 Lead Time'!$U$8:$U$65,MATCH(AP32,'3.0 Lead Time'!$A$8:$A$65,0),0),"")</f>
        <v>0</v>
      </c>
    </row>
    <row r="33" spans="1:43" x14ac:dyDescent="0.25">
      <c r="A33" s="10" t="str">
        <f>'1.2 Sorting'!J33</f>
        <v/>
      </c>
      <c r="B33" s="10" cm="1">
        <f t="array" ref="B33">_xlfn.IFNA(INDEX(' 1.0 Asset Data'!B$8:B$80,MATCH($A33,' 1.0 Asset Data'!$A$8:$A$80,0),0),0)</f>
        <v>0</v>
      </c>
      <c r="C33" s="10" cm="1">
        <f t="array" ref="C33">_xlfn.IFNA(INDEX(' 1.0 Asset Data'!C$8:C$80,MATCH($A33,' 1.0 Asset Data'!$A$8:$A$80,0),0),0)</f>
        <v>0</v>
      </c>
      <c r="D33" s="31" cm="1">
        <f t="array" ref="D33">_xlfn.IFNA(INDEX(' 1.0 Asset Data'!F$8:F$80,MATCH($A33,' 1.0 Asset Data'!$A$8:$A$80,0),0),0)</f>
        <v>0</v>
      </c>
      <c r="E33" s="33" cm="1">
        <f t="array" ref="E33">_xlfn.IFNA(INDEX(' 1.0 Asset Data'!E$8:E$80,MATCH($A33,' 1.0 Asset Data'!$A$8:$A$80,0),0),0)</f>
        <v>0</v>
      </c>
      <c r="F33" s="42" cm="1">
        <f t="array" ref="F33">_xlfn.IFNA(INDEX(' 1.0 Asset Data'!P$8:P$80,MATCH($A33,' 1.0 Asset Data'!$A$8:$A$80,0),0),0)</f>
        <v>0</v>
      </c>
      <c r="G33" s="37" cm="1">
        <f t="array" ref="G33">IF($A33="",0,INDEX(' 1.0 Asset Data'!$J$8:$J$75,MATCH($A33,' 1.0 Asset Data'!$A$8:$A$75,0),0))</f>
        <v>0</v>
      </c>
      <c r="H33" s="31" cm="1">
        <f t="array" ref="H33">IF($A33="",0,INDEX(' 1.0 Asset Data'!L$8:L$75,MATCH($A33,' 1.0 Asset Data'!$A$8:$A$75,0),0))</f>
        <v>0</v>
      </c>
      <c r="I33" s="31" cm="1">
        <f t="array" ref="I33">IF($A33="",0,INDEX(' 1.0 Asset Data'!N$8:N$75,MATCH($A33,' 1.0 Asset Data'!$A$8:$A$75,0),0))</f>
        <v>0</v>
      </c>
      <c r="J33" s="31" cm="1">
        <f t="array" ref="J33">IF($A33="",0,INDEX(' 1.0 Asset Data'!M$8:M$75,MATCH($A33,' 1.0 Asset Data'!$A$8:$A$75,0),0))</f>
        <v>0</v>
      </c>
      <c r="L33" s="35">
        <f t="shared" si="0"/>
        <v>37438</v>
      </c>
      <c r="M33" s="56">
        <f t="shared" si="1"/>
        <v>0</v>
      </c>
      <c r="N33" s="17">
        <f t="shared" si="4"/>
        <v>0</v>
      </c>
      <c r="O33" s="24">
        <f t="shared" si="5"/>
        <v>0</v>
      </c>
      <c r="P33" s="34">
        <f t="shared" si="2"/>
        <v>0</v>
      </c>
      <c r="Q33" s="35">
        <f t="shared" si="23"/>
        <v>37438</v>
      </c>
      <c r="R33" s="38">
        <f t="shared" si="3"/>
        <v>-21.998631074606433</v>
      </c>
      <c r="S33" s="17">
        <f>H33/(1+'1.1 Other Data'!$F$14)^'3.1 Mean Time to failure Orig'!$R33</f>
        <v>0</v>
      </c>
      <c r="T33" s="17">
        <f>I33/(1+'1.1 Other Data'!$F$14)^'3.1 Mean Time to failure Orig'!$R33</f>
        <v>0</v>
      </c>
      <c r="U33" s="17">
        <f>J33/(1+'1.1 Other Data'!$F$14)^'3.1 Mean Time to failure Orig'!$R33</f>
        <v>0</v>
      </c>
      <c r="W33" s="12">
        <f t="shared" si="7"/>
        <v>0</v>
      </c>
      <c r="X33" s="38">
        <f t="shared" si="8"/>
        <v>0</v>
      </c>
      <c r="Y33" s="12">
        <f>IF(A33="",0,'1.1 Other Data'!$B$38-OriginalDate-W33)</f>
        <v>0</v>
      </c>
      <c r="Z33" s="15">
        <f t="shared" si="9"/>
        <v>0</v>
      </c>
      <c r="AA33" s="24">
        <f t="shared" si="10"/>
        <v>0</v>
      </c>
      <c r="AB33" s="24">
        <f t="shared" si="11"/>
        <v>0</v>
      </c>
      <c r="AC33" s="12">
        <f t="shared" si="12"/>
        <v>0</v>
      </c>
      <c r="AD33" s="12">
        <f t="shared" si="13"/>
        <v>1</v>
      </c>
      <c r="AE33" s="12">
        <f t="shared" si="14"/>
        <v>0</v>
      </c>
      <c r="AF33" s="12">
        <f t="shared" si="15"/>
        <v>1</v>
      </c>
      <c r="AG33" s="12">
        <f t="shared" si="16"/>
        <v>0</v>
      </c>
      <c r="AH33" s="17">
        <f t="shared" si="17"/>
        <v>0</v>
      </c>
      <c r="AJ33" s="17">
        <f t="shared" si="18"/>
        <v>0</v>
      </c>
      <c r="AK33" s="17">
        <f t="shared" si="19"/>
        <v>0</v>
      </c>
      <c r="AL33" s="17">
        <f t="shared" si="20"/>
        <v>0</v>
      </c>
      <c r="AN33" s="23">
        <f t="shared" si="21"/>
        <v>0</v>
      </c>
      <c r="AP33" s="21" t="str">
        <f t="shared" si="22"/>
        <v/>
      </c>
      <c r="AQ33" s="21" cm="1">
        <f t="array" ref="AQ33">_xlfn.IFNA(INDEX('3.0 Lead Time'!$U$8:$U$65,MATCH(AP33,'3.0 Lead Time'!$A$8:$A$65,0),0),"")</f>
        <v>0</v>
      </c>
    </row>
    <row r="34" spans="1:43" x14ac:dyDescent="0.25">
      <c r="A34" s="10" t="str">
        <f>'1.2 Sorting'!J34</f>
        <v/>
      </c>
      <c r="B34" s="10" cm="1">
        <f t="array" ref="B34">_xlfn.IFNA(INDEX(' 1.0 Asset Data'!B$8:B$80,MATCH($A34,' 1.0 Asset Data'!$A$8:$A$80,0),0),0)</f>
        <v>0</v>
      </c>
      <c r="C34" s="10" cm="1">
        <f t="array" ref="C34">_xlfn.IFNA(INDEX(' 1.0 Asset Data'!C$8:C$80,MATCH($A34,' 1.0 Asset Data'!$A$8:$A$80,0),0),0)</f>
        <v>0</v>
      </c>
      <c r="D34" s="31" cm="1">
        <f t="array" ref="D34">_xlfn.IFNA(INDEX(' 1.0 Asset Data'!F$8:F$80,MATCH($A34,' 1.0 Asset Data'!$A$8:$A$80,0),0),0)</f>
        <v>0</v>
      </c>
      <c r="E34" s="33" cm="1">
        <f t="array" ref="E34">_xlfn.IFNA(INDEX(' 1.0 Asset Data'!E$8:E$80,MATCH($A34,' 1.0 Asset Data'!$A$8:$A$80,0),0),0)</f>
        <v>0</v>
      </c>
      <c r="F34" s="42" cm="1">
        <f t="array" ref="F34">_xlfn.IFNA(INDEX(' 1.0 Asset Data'!P$8:P$80,MATCH($A34,' 1.0 Asset Data'!$A$8:$A$80,0),0),0)</f>
        <v>0</v>
      </c>
      <c r="G34" s="37" cm="1">
        <f t="array" ref="G34">IF($A34="",0,INDEX(' 1.0 Asset Data'!$J$8:$J$75,MATCH($A34,' 1.0 Asset Data'!$A$8:$A$75,0),0))</f>
        <v>0</v>
      </c>
      <c r="H34" s="31" cm="1">
        <f t="array" ref="H34">IF($A34="",0,INDEX(' 1.0 Asset Data'!L$8:L$75,MATCH($A34,' 1.0 Asset Data'!$A$8:$A$75,0),0))</f>
        <v>0</v>
      </c>
      <c r="I34" s="31" cm="1">
        <f t="array" ref="I34">IF($A34="",0,INDEX(' 1.0 Asset Data'!N$8:N$75,MATCH($A34,' 1.0 Asset Data'!$A$8:$A$75,0),0))</f>
        <v>0</v>
      </c>
      <c r="J34" s="31" cm="1">
        <f t="array" ref="J34">IF($A34="",0,INDEX(' 1.0 Asset Data'!M$8:M$75,MATCH($A34,' 1.0 Asset Data'!$A$8:$A$75,0),0))</f>
        <v>0</v>
      </c>
      <c r="L34" s="35">
        <f t="shared" si="0"/>
        <v>37438</v>
      </c>
      <c r="M34" s="56">
        <f t="shared" si="1"/>
        <v>0</v>
      </c>
      <c r="N34" s="17">
        <f t="shared" si="4"/>
        <v>0</v>
      </c>
      <c r="O34" s="24">
        <f t="shared" si="5"/>
        <v>0</v>
      </c>
      <c r="P34" s="34">
        <f t="shared" si="2"/>
        <v>0</v>
      </c>
      <c r="Q34" s="35">
        <f t="shared" si="23"/>
        <v>37438</v>
      </c>
      <c r="R34" s="38">
        <f t="shared" si="3"/>
        <v>-21.998631074606433</v>
      </c>
      <c r="S34" s="17">
        <f>H34/(1+'1.1 Other Data'!$F$14)^'3.1 Mean Time to failure Orig'!$R34</f>
        <v>0</v>
      </c>
      <c r="T34" s="17">
        <f>I34/(1+'1.1 Other Data'!$F$14)^'3.1 Mean Time to failure Orig'!$R34</f>
        <v>0</v>
      </c>
      <c r="U34" s="17">
        <f>J34/(1+'1.1 Other Data'!$F$14)^'3.1 Mean Time to failure Orig'!$R34</f>
        <v>0</v>
      </c>
      <c r="W34" s="12">
        <f t="shared" si="7"/>
        <v>0</v>
      </c>
      <c r="X34" s="38">
        <f t="shared" si="8"/>
        <v>0</v>
      </c>
      <c r="Y34" s="12">
        <f>IF(A34="",0,'1.1 Other Data'!$B$38-OriginalDate-W34)</f>
        <v>0</v>
      </c>
      <c r="Z34" s="15">
        <f t="shared" si="9"/>
        <v>0</v>
      </c>
      <c r="AA34" s="24">
        <f t="shared" si="10"/>
        <v>0</v>
      </c>
      <c r="AB34" s="24">
        <f t="shared" si="11"/>
        <v>0</v>
      </c>
      <c r="AC34" s="12">
        <f t="shared" si="12"/>
        <v>0</v>
      </c>
      <c r="AD34" s="12">
        <f t="shared" si="13"/>
        <v>1</v>
      </c>
      <c r="AE34" s="12">
        <f t="shared" si="14"/>
        <v>0</v>
      </c>
      <c r="AF34" s="12">
        <f t="shared" si="15"/>
        <v>1</v>
      </c>
      <c r="AG34" s="12">
        <f t="shared" si="16"/>
        <v>0</v>
      </c>
      <c r="AH34" s="17">
        <f t="shared" si="17"/>
        <v>0</v>
      </c>
      <c r="AJ34" s="17">
        <f t="shared" si="18"/>
        <v>0</v>
      </c>
      <c r="AK34" s="17">
        <f t="shared" si="19"/>
        <v>0</v>
      </c>
      <c r="AL34" s="17">
        <f t="shared" si="20"/>
        <v>0</v>
      </c>
      <c r="AN34" s="23">
        <f t="shared" si="21"/>
        <v>0</v>
      </c>
      <c r="AP34" s="21" t="str">
        <f t="shared" si="22"/>
        <v/>
      </c>
      <c r="AQ34" s="21" cm="1">
        <f t="array" ref="AQ34">_xlfn.IFNA(INDEX('3.0 Lead Time'!$U$8:$U$65,MATCH(AP34,'3.0 Lead Time'!$A$8:$A$65,0),0),"")</f>
        <v>0</v>
      </c>
    </row>
    <row r="35" spans="1:43" x14ac:dyDescent="0.25">
      <c r="A35" s="10" t="str">
        <f>'1.2 Sorting'!J35</f>
        <v/>
      </c>
      <c r="B35" s="10" cm="1">
        <f t="array" ref="B35">_xlfn.IFNA(INDEX(' 1.0 Asset Data'!B$8:B$80,MATCH($A35,' 1.0 Asset Data'!$A$8:$A$80,0),0),0)</f>
        <v>0</v>
      </c>
      <c r="C35" s="10" cm="1">
        <f t="array" ref="C35">_xlfn.IFNA(INDEX(' 1.0 Asset Data'!C$8:C$80,MATCH($A35,' 1.0 Asset Data'!$A$8:$A$80,0),0),0)</f>
        <v>0</v>
      </c>
      <c r="D35" s="31" cm="1">
        <f t="array" ref="D35">_xlfn.IFNA(INDEX(' 1.0 Asset Data'!F$8:F$80,MATCH($A35,' 1.0 Asset Data'!$A$8:$A$80,0),0),0)</f>
        <v>0</v>
      </c>
      <c r="E35" s="33" cm="1">
        <f t="array" ref="E35">_xlfn.IFNA(INDEX(' 1.0 Asset Data'!E$8:E$80,MATCH($A35,' 1.0 Asset Data'!$A$8:$A$80,0),0),0)</f>
        <v>0</v>
      </c>
      <c r="F35" s="42" cm="1">
        <f t="array" ref="F35">_xlfn.IFNA(INDEX(' 1.0 Asset Data'!P$8:P$80,MATCH($A35,' 1.0 Asset Data'!$A$8:$A$80,0),0),0)</f>
        <v>0</v>
      </c>
      <c r="G35" s="37" cm="1">
        <f t="array" ref="G35">IF($A35="",0,INDEX(' 1.0 Asset Data'!$J$8:$J$75,MATCH($A35,' 1.0 Asset Data'!$A$8:$A$75,0),0))</f>
        <v>0</v>
      </c>
      <c r="H35" s="31" cm="1">
        <f t="array" ref="H35">IF($A35="",0,INDEX(' 1.0 Asset Data'!L$8:L$75,MATCH($A35,' 1.0 Asset Data'!$A$8:$A$75,0),0))</f>
        <v>0</v>
      </c>
      <c r="I35" s="31" cm="1">
        <f t="array" ref="I35">IF($A35="",0,INDEX(' 1.0 Asset Data'!N$8:N$75,MATCH($A35,' 1.0 Asset Data'!$A$8:$A$75,0),0))</f>
        <v>0</v>
      </c>
      <c r="J35" s="31" cm="1">
        <f t="array" ref="J35">IF($A35="",0,INDEX(' 1.0 Asset Data'!M$8:M$75,MATCH($A35,' 1.0 Asset Data'!$A$8:$A$75,0),0))</f>
        <v>0</v>
      </c>
      <c r="L35" s="35">
        <f t="shared" si="0"/>
        <v>37438</v>
      </c>
      <c r="M35" s="56">
        <f t="shared" si="1"/>
        <v>0</v>
      </c>
      <c r="N35" s="17">
        <f t="shared" si="4"/>
        <v>0</v>
      </c>
      <c r="O35" s="24">
        <f t="shared" si="5"/>
        <v>0</v>
      </c>
      <c r="P35" s="34">
        <f t="shared" si="2"/>
        <v>0</v>
      </c>
      <c r="Q35" s="35">
        <f t="shared" si="23"/>
        <v>37438</v>
      </c>
      <c r="R35" s="38">
        <f t="shared" si="3"/>
        <v>-21.998631074606433</v>
      </c>
      <c r="S35" s="17">
        <f>H35/(1+'1.1 Other Data'!$F$14)^'3.1 Mean Time to failure Orig'!$R35</f>
        <v>0</v>
      </c>
      <c r="T35" s="17">
        <f>I35/(1+'1.1 Other Data'!$F$14)^'3.1 Mean Time to failure Orig'!$R35</f>
        <v>0</v>
      </c>
      <c r="U35" s="17">
        <f>J35/(1+'1.1 Other Data'!$F$14)^'3.1 Mean Time to failure Orig'!$R35</f>
        <v>0</v>
      </c>
      <c r="W35" s="12">
        <f t="shared" si="7"/>
        <v>0</v>
      </c>
      <c r="X35" s="38">
        <f t="shared" si="8"/>
        <v>0</v>
      </c>
      <c r="Y35" s="12">
        <f>IF(A35="",0,'1.1 Other Data'!$B$38-OriginalDate-W35)</f>
        <v>0</v>
      </c>
      <c r="Z35" s="15">
        <f t="shared" si="9"/>
        <v>0</v>
      </c>
      <c r="AA35" s="24">
        <f t="shared" si="10"/>
        <v>0</v>
      </c>
      <c r="AB35" s="24">
        <f t="shared" si="11"/>
        <v>0</v>
      </c>
      <c r="AC35" s="12">
        <f t="shared" si="12"/>
        <v>0</v>
      </c>
      <c r="AD35" s="12">
        <f t="shared" si="13"/>
        <v>1</v>
      </c>
      <c r="AE35" s="12">
        <f t="shared" si="14"/>
        <v>0</v>
      </c>
      <c r="AF35" s="12">
        <f t="shared" si="15"/>
        <v>1</v>
      </c>
      <c r="AG35" s="12">
        <f t="shared" si="16"/>
        <v>0</v>
      </c>
      <c r="AH35" s="17">
        <f t="shared" si="17"/>
        <v>0</v>
      </c>
      <c r="AJ35" s="17">
        <f t="shared" si="18"/>
        <v>0</v>
      </c>
      <c r="AK35" s="17">
        <f t="shared" si="19"/>
        <v>0</v>
      </c>
      <c r="AL35" s="17">
        <f t="shared" si="20"/>
        <v>0</v>
      </c>
      <c r="AN35" s="23">
        <f t="shared" si="21"/>
        <v>0</v>
      </c>
      <c r="AP35" s="21" t="str">
        <f t="shared" si="22"/>
        <v/>
      </c>
      <c r="AQ35" s="21" cm="1">
        <f t="array" ref="AQ35">_xlfn.IFNA(INDEX('3.0 Lead Time'!$U$8:$U$65,MATCH(AP35,'3.0 Lead Time'!$A$8:$A$65,0),0),"")</f>
        <v>0</v>
      </c>
    </row>
    <row r="36" spans="1:43" x14ac:dyDescent="0.25">
      <c r="A36" s="10" t="str">
        <f>'1.2 Sorting'!J36</f>
        <v/>
      </c>
      <c r="B36" s="10" cm="1">
        <f t="array" ref="B36">_xlfn.IFNA(INDEX(' 1.0 Asset Data'!B$8:B$80,MATCH($A36,' 1.0 Asset Data'!$A$8:$A$80,0),0),0)</f>
        <v>0</v>
      </c>
      <c r="C36" s="10" cm="1">
        <f t="array" ref="C36">_xlfn.IFNA(INDEX(' 1.0 Asset Data'!C$8:C$80,MATCH($A36,' 1.0 Asset Data'!$A$8:$A$80,0),0),0)</f>
        <v>0</v>
      </c>
      <c r="D36" s="31" cm="1">
        <f t="array" ref="D36">_xlfn.IFNA(INDEX(' 1.0 Asset Data'!F$8:F$80,MATCH($A36,' 1.0 Asset Data'!$A$8:$A$80,0),0),0)</f>
        <v>0</v>
      </c>
      <c r="E36" s="33" cm="1">
        <f t="array" ref="E36">_xlfn.IFNA(INDEX(' 1.0 Asset Data'!E$8:E$80,MATCH($A36,' 1.0 Asset Data'!$A$8:$A$80,0),0),0)</f>
        <v>0</v>
      </c>
      <c r="F36" s="42" cm="1">
        <f t="array" ref="F36">_xlfn.IFNA(INDEX(' 1.0 Asset Data'!P$8:P$80,MATCH($A36,' 1.0 Asset Data'!$A$8:$A$80,0),0),0)</f>
        <v>0</v>
      </c>
      <c r="G36" s="37" cm="1">
        <f t="array" ref="G36">IF($A36="",0,INDEX(' 1.0 Asset Data'!$J$8:$J$75,MATCH($A36,' 1.0 Asset Data'!$A$8:$A$75,0),0))</f>
        <v>0</v>
      </c>
      <c r="H36" s="31" cm="1">
        <f t="array" ref="H36">IF($A36="",0,INDEX(' 1.0 Asset Data'!L$8:L$75,MATCH($A36,' 1.0 Asset Data'!$A$8:$A$75,0),0))</f>
        <v>0</v>
      </c>
      <c r="I36" s="31" cm="1">
        <f t="array" ref="I36">IF($A36="",0,INDEX(' 1.0 Asset Data'!N$8:N$75,MATCH($A36,' 1.0 Asset Data'!$A$8:$A$75,0),0))</f>
        <v>0</v>
      </c>
      <c r="J36" s="31" cm="1">
        <f t="array" ref="J36">IF($A36="",0,INDEX(' 1.0 Asset Data'!M$8:M$75,MATCH($A36,' 1.0 Asset Data'!$A$8:$A$75,0),0))</f>
        <v>0</v>
      </c>
      <c r="L36" s="35">
        <f t="shared" si="0"/>
        <v>37438</v>
      </c>
      <c r="M36" s="56">
        <f t="shared" si="1"/>
        <v>0</v>
      </c>
      <c r="N36" s="17">
        <f t="shared" si="4"/>
        <v>0</v>
      </c>
      <c r="O36" s="24">
        <f t="shared" si="5"/>
        <v>0</v>
      </c>
      <c r="P36" s="34">
        <f t="shared" si="2"/>
        <v>0</v>
      </c>
      <c r="Q36" s="35">
        <f t="shared" si="23"/>
        <v>37438</v>
      </c>
      <c r="R36" s="38">
        <f t="shared" si="3"/>
        <v>-21.998631074606433</v>
      </c>
      <c r="S36" s="17">
        <f>H36/(1+'1.1 Other Data'!$F$14)^'3.1 Mean Time to failure Orig'!$R36</f>
        <v>0</v>
      </c>
      <c r="T36" s="17">
        <f>I36/(1+'1.1 Other Data'!$F$14)^'3.1 Mean Time to failure Orig'!$R36</f>
        <v>0</v>
      </c>
      <c r="U36" s="17">
        <f>J36/(1+'1.1 Other Data'!$F$14)^'3.1 Mean Time to failure Orig'!$R36</f>
        <v>0</v>
      </c>
      <c r="W36" s="12">
        <f t="shared" si="7"/>
        <v>0</v>
      </c>
      <c r="X36" s="38">
        <f t="shared" si="8"/>
        <v>0</v>
      </c>
      <c r="Y36" s="12">
        <f>IF(A36="",0,'1.1 Other Data'!$B$38-OriginalDate-W36)</f>
        <v>0</v>
      </c>
      <c r="Z36" s="15">
        <f t="shared" si="9"/>
        <v>0</v>
      </c>
      <c r="AA36" s="24">
        <f t="shared" si="10"/>
        <v>0</v>
      </c>
      <c r="AB36" s="24">
        <f t="shared" si="11"/>
        <v>0</v>
      </c>
      <c r="AC36" s="12">
        <f t="shared" si="12"/>
        <v>0</v>
      </c>
      <c r="AD36" s="12">
        <f t="shared" si="13"/>
        <v>1</v>
      </c>
      <c r="AE36" s="12">
        <f t="shared" si="14"/>
        <v>0</v>
      </c>
      <c r="AF36" s="12">
        <f t="shared" si="15"/>
        <v>1</v>
      </c>
      <c r="AG36" s="12">
        <f t="shared" si="16"/>
        <v>0</v>
      </c>
      <c r="AH36" s="17">
        <f t="shared" si="17"/>
        <v>0</v>
      </c>
      <c r="AJ36" s="17">
        <f t="shared" si="18"/>
        <v>0</v>
      </c>
      <c r="AK36" s="17">
        <f t="shared" si="19"/>
        <v>0</v>
      </c>
      <c r="AL36" s="17">
        <f t="shared" si="20"/>
        <v>0</v>
      </c>
      <c r="AN36" s="23">
        <f t="shared" si="21"/>
        <v>0</v>
      </c>
      <c r="AP36" s="21" t="str">
        <f t="shared" si="22"/>
        <v/>
      </c>
      <c r="AQ36" s="21" cm="1">
        <f t="array" ref="AQ36">_xlfn.IFNA(INDEX('3.0 Lead Time'!$U$8:$U$65,MATCH(AP36,'3.0 Lead Time'!$A$8:$A$65,0),0),"")</f>
        <v>0</v>
      </c>
    </row>
    <row r="37" spans="1:43" x14ac:dyDescent="0.25">
      <c r="A37" s="10" t="str">
        <f>'1.2 Sorting'!J37</f>
        <v/>
      </c>
      <c r="B37" s="10" cm="1">
        <f t="array" ref="B37">_xlfn.IFNA(INDEX(' 1.0 Asset Data'!B$8:B$80,MATCH($A37,' 1.0 Asset Data'!$A$8:$A$80,0),0),0)</f>
        <v>0</v>
      </c>
      <c r="C37" s="10" cm="1">
        <f t="array" ref="C37">_xlfn.IFNA(INDEX(' 1.0 Asset Data'!C$8:C$80,MATCH($A37,' 1.0 Asset Data'!$A$8:$A$80,0),0),0)</f>
        <v>0</v>
      </c>
      <c r="D37" s="31" cm="1">
        <f t="array" ref="D37">_xlfn.IFNA(INDEX(' 1.0 Asset Data'!F$8:F$80,MATCH($A37,' 1.0 Asset Data'!$A$8:$A$80,0),0),0)</f>
        <v>0</v>
      </c>
      <c r="E37" s="33" cm="1">
        <f t="array" ref="E37">_xlfn.IFNA(INDEX(' 1.0 Asset Data'!E$8:E$80,MATCH($A37,' 1.0 Asset Data'!$A$8:$A$80,0),0),0)</f>
        <v>0</v>
      </c>
      <c r="F37" s="42" cm="1">
        <f t="array" ref="F37">_xlfn.IFNA(INDEX(' 1.0 Asset Data'!P$8:P$80,MATCH($A37,' 1.0 Asset Data'!$A$8:$A$80,0),0),0)</f>
        <v>0</v>
      </c>
      <c r="G37" s="37" cm="1">
        <f t="array" ref="G37">IF($A37="",0,INDEX(' 1.0 Asset Data'!$J$8:$J$75,MATCH($A37,' 1.0 Asset Data'!$A$8:$A$75,0),0))</f>
        <v>0</v>
      </c>
      <c r="H37" s="31" cm="1">
        <f t="array" ref="H37">IF($A37="",0,INDEX(' 1.0 Asset Data'!L$8:L$75,MATCH($A37,' 1.0 Asset Data'!$A$8:$A$75,0),0))</f>
        <v>0</v>
      </c>
      <c r="I37" s="31" cm="1">
        <f t="array" ref="I37">IF($A37="",0,INDEX(' 1.0 Asset Data'!N$8:N$75,MATCH($A37,' 1.0 Asset Data'!$A$8:$A$75,0),0))</f>
        <v>0</v>
      </c>
      <c r="J37" s="31" cm="1">
        <f t="array" ref="J37">IF($A37="",0,INDEX(' 1.0 Asset Data'!M$8:M$75,MATCH($A37,' 1.0 Asset Data'!$A$8:$A$75,0),0))</f>
        <v>0</v>
      </c>
      <c r="L37" s="35">
        <f t="shared" si="0"/>
        <v>37438</v>
      </c>
      <c r="M37" s="56">
        <f t="shared" si="1"/>
        <v>0</v>
      </c>
      <c r="N37" s="17">
        <f t="shared" si="4"/>
        <v>0</v>
      </c>
      <c r="O37" s="24">
        <f t="shared" si="5"/>
        <v>0</v>
      </c>
      <c r="P37" s="34">
        <f t="shared" si="2"/>
        <v>0</v>
      </c>
      <c r="Q37" s="35">
        <f t="shared" si="23"/>
        <v>37438</v>
      </c>
      <c r="R37" s="38">
        <f t="shared" si="3"/>
        <v>-21.998631074606433</v>
      </c>
      <c r="S37" s="17">
        <f>H37/(1+'1.1 Other Data'!$F$14)^'3.1 Mean Time to failure Orig'!$R37</f>
        <v>0</v>
      </c>
      <c r="T37" s="17">
        <f>I37/(1+'1.1 Other Data'!$F$14)^'3.1 Mean Time to failure Orig'!$R37</f>
        <v>0</v>
      </c>
      <c r="U37" s="17">
        <f>J37/(1+'1.1 Other Data'!$F$14)^'3.1 Mean Time to failure Orig'!$R37</f>
        <v>0</v>
      </c>
      <c r="W37" s="12">
        <f t="shared" si="7"/>
        <v>0</v>
      </c>
      <c r="X37" s="38">
        <f t="shared" si="8"/>
        <v>0</v>
      </c>
      <c r="Y37" s="12">
        <f>IF(A37="",0,'1.1 Other Data'!$B$38-OriginalDate-W37)</f>
        <v>0</v>
      </c>
      <c r="Z37" s="15">
        <f t="shared" si="9"/>
        <v>0</v>
      </c>
      <c r="AA37" s="24">
        <f t="shared" si="10"/>
        <v>0</v>
      </c>
      <c r="AB37" s="24">
        <f t="shared" si="11"/>
        <v>0</v>
      </c>
      <c r="AC37" s="12">
        <f t="shared" si="12"/>
        <v>0</v>
      </c>
      <c r="AD37" s="12">
        <f t="shared" si="13"/>
        <v>1</v>
      </c>
      <c r="AE37" s="12">
        <f t="shared" si="14"/>
        <v>0</v>
      </c>
      <c r="AF37" s="12">
        <f t="shared" si="15"/>
        <v>1</v>
      </c>
      <c r="AG37" s="12">
        <f t="shared" si="16"/>
        <v>0</v>
      </c>
      <c r="AH37" s="17">
        <f t="shared" si="17"/>
        <v>0</v>
      </c>
      <c r="AJ37" s="17">
        <f t="shared" si="18"/>
        <v>0</v>
      </c>
      <c r="AK37" s="17">
        <f t="shared" si="19"/>
        <v>0</v>
      </c>
      <c r="AL37" s="17">
        <f t="shared" si="20"/>
        <v>0</v>
      </c>
      <c r="AN37" s="23">
        <f t="shared" si="21"/>
        <v>0</v>
      </c>
      <c r="AP37" s="21" t="str">
        <f t="shared" si="22"/>
        <v/>
      </c>
      <c r="AQ37" s="21" cm="1">
        <f t="array" ref="AQ37">_xlfn.IFNA(INDEX('3.0 Lead Time'!$U$8:$U$65,MATCH(AP37,'3.0 Lead Time'!$A$8:$A$65,0),0),"")</f>
        <v>0</v>
      </c>
    </row>
    <row r="38" spans="1:43" x14ac:dyDescent="0.25">
      <c r="A38" s="10" t="str">
        <f>'1.2 Sorting'!J38</f>
        <v/>
      </c>
      <c r="B38" s="10" cm="1">
        <f t="array" ref="B38">_xlfn.IFNA(INDEX(' 1.0 Asset Data'!B$8:B$80,MATCH($A38,' 1.0 Asset Data'!$A$8:$A$80,0),0),0)</f>
        <v>0</v>
      </c>
      <c r="C38" s="10" cm="1">
        <f t="array" ref="C38">_xlfn.IFNA(INDEX(' 1.0 Asset Data'!C$8:C$80,MATCH($A38,' 1.0 Asset Data'!$A$8:$A$80,0),0),0)</f>
        <v>0</v>
      </c>
      <c r="D38" s="31" cm="1">
        <f t="array" ref="D38">_xlfn.IFNA(INDEX(' 1.0 Asset Data'!F$8:F$80,MATCH($A38,' 1.0 Asset Data'!$A$8:$A$80,0),0),0)</f>
        <v>0</v>
      </c>
      <c r="E38" s="33" cm="1">
        <f t="array" ref="E38">_xlfn.IFNA(INDEX(' 1.0 Asset Data'!E$8:E$80,MATCH($A38,' 1.0 Asset Data'!$A$8:$A$80,0),0),0)</f>
        <v>0</v>
      </c>
      <c r="F38" s="42" cm="1">
        <f t="array" ref="F38">_xlfn.IFNA(INDEX(' 1.0 Asset Data'!P$8:P$80,MATCH($A38,' 1.0 Asset Data'!$A$8:$A$80,0),0),0)</f>
        <v>0</v>
      </c>
      <c r="G38" s="37" cm="1">
        <f t="array" ref="G38">IF($A38="",0,INDEX(' 1.0 Asset Data'!$J$8:$J$75,MATCH($A38,' 1.0 Asset Data'!$A$8:$A$75,0),0))</f>
        <v>0</v>
      </c>
      <c r="H38" s="31" cm="1">
        <f t="array" ref="H38">IF($A38="",0,INDEX(' 1.0 Asset Data'!L$8:L$75,MATCH($A38,' 1.0 Asset Data'!$A$8:$A$75,0),0))</f>
        <v>0</v>
      </c>
      <c r="I38" s="31" cm="1">
        <f t="array" ref="I38">IF($A38="",0,INDEX(' 1.0 Asset Data'!N$8:N$75,MATCH($A38,' 1.0 Asset Data'!$A$8:$A$75,0),0))</f>
        <v>0</v>
      </c>
      <c r="J38" s="31" cm="1">
        <f t="array" ref="J38">IF($A38="",0,INDEX(' 1.0 Asset Data'!M$8:M$75,MATCH($A38,' 1.0 Asset Data'!$A$8:$A$75,0),0))</f>
        <v>0</v>
      </c>
      <c r="L38" s="35">
        <f t="shared" si="0"/>
        <v>37438</v>
      </c>
      <c r="M38" s="56">
        <f t="shared" si="1"/>
        <v>0</v>
      </c>
      <c r="N38" s="17">
        <f t="shared" si="4"/>
        <v>0</v>
      </c>
      <c r="O38" s="24">
        <f t="shared" si="5"/>
        <v>0</v>
      </c>
      <c r="P38" s="34">
        <f t="shared" si="2"/>
        <v>0</v>
      </c>
      <c r="Q38" s="35">
        <f t="shared" si="23"/>
        <v>37438</v>
      </c>
      <c r="R38" s="38">
        <f t="shared" si="3"/>
        <v>-21.998631074606433</v>
      </c>
      <c r="S38" s="17">
        <f>H38/(1+'1.1 Other Data'!$F$14)^'3.1 Mean Time to failure Orig'!$R38</f>
        <v>0</v>
      </c>
      <c r="T38" s="17">
        <f>I38/(1+'1.1 Other Data'!$F$14)^'3.1 Mean Time to failure Orig'!$R38</f>
        <v>0</v>
      </c>
      <c r="U38" s="17">
        <f>J38/(1+'1.1 Other Data'!$F$14)^'3.1 Mean Time to failure Orig'!$R38</f>
        <v>0</v>
      </c>
      <c r="W38" s="12">
        <f t="shared" si="7"/>
        <v>0</v>
      </c>
      <c r="X38" s="38">
        <f t="shared" si="8"/>
        <v>0</v>
      </c>
      <c r="Y38" s="12">
        <f>IF(A38="",0,'1.1 Other Data'!$B$38-OriginalDate-W38)</f>
        <v>0</v>
      </c>
      <c r="Z38" s="15">
        <f t="shared" si="9"/>
        <v>0</v>
      </c>
      <c r="AA38" s="24">
        <f t="shared" si="10"/>
        <v>0</v>
      </c>
      <c r="AB38" s="24">
        <f t="shared" si="11"/>
        <v>0</v>
      </c>
      <c r="AC38" s="12">
        <f t="shared" si="12"/>
        <v>0</v>
      </c>
      <c r="AD38" s="12">
        <f t="shared" si="13"/>
        <v>1</v>
      </c>
      <c r="AE38" s="12">
        <f t="shared" si="14"/>
        <v>0</v>
      </c>
      <c r="AF38" s="12">
        <f t="shared" si="15"/>
        <v>1</v>
      </c>
      <c r="AG38" s="12">
        <f t="shared" si="16"/>
        <v>0</v>
      </c>
      <c r="AH38" s="17">
        <f t="shared" si="17"/>
        <v>0</v>
      </c>
      <c r="AJ38" s="17">
        <f t="shared" si="18"/>
        <v>0</v>
      </c>
      <c r="AK38" s="17">
        <f t="shared" si="19"/>
        <v>0</v>
      </c>
      <c r="AL38" s="17">
        <f t="shared" si="20"/>
        <v>0</v>
      </c>
      <c r="AN38" s="23">
        <f t="shared" si="21"/>
        <v>0</v>
      </c>
      <c r="AP38" s="21" t="str">
        <f t="shared" si="22"/>
        <v/>
      </c>
      <c r="AQ38" s="21" cm="1">
        <f t="array" ref="AQ38">_xlfn.IFNA(INDEX('3.0 Lead Time'!$U$8:$U$65,MATCH(AP38,'3.0 Lead Time'!$A$8:$A$65,0),0),"")</f>
        <v>0</v>
      </c>
    </row>
    <row r="39" spans="1:43" x14ac:dyDescent="0.25">
      <c r="A39" s="10" t="str">
        <f>'1.2 Sorting'!J39</f>
        <v/>
      </c>
      <c r="B39" s="10" cm="1">
        <f t="array" ref="B39">_xlfn.IFNA(INDEX(' 1.0 Asset Data'!B$8:B$80,MATCH($A39,' 1.0 Asset Data'!$A$8:$A$80,0),0),0)</f>
        <v>0</v>
      </c>
      <c r="C39" s="10" cm="1">
        <f t="array" ref="C39">_xlfn.IFNA(INDEX(' 1.0 Asset Data'!C$8:C$80,MATCH($A39,' 1.0 Asset Data'!$A$8:$A$80,0),0),0)</f>
        <v>0</v>
      </c>
      <c r="D39" s="31" cm="1">
        <f t="array" ref="D39">_xlfn.IFNA(INDEX(' 1.0 Asset Data'!F$8:F$80,MATCH($A39,' 1.0 Asset Data'!$A$8:$A$80,0),0),0)</f>
        <v>0</v>
      </c>
      <c r="E39" s="33" cm="1">
        <f t="array" ref="E39">_xlfn.IFNA(INDEX(' 1.0 Asset Data'!E$8:E$80,MATCH($A39,' 1.0 Asset Data'!$A$8:$A$80,0),0),0)</f>
        <v>0</v>
      </c>
      <c r="F39" s="42" cm="1">
        <f t="array" ref="F39">_xlfn.IFNA(INDEX(' 1.0 Asset Data'!P$8:P$80,MATCH($A39,' 1.0 Asset Data'!$A$8:$A$80,0),0),0)</f>
        <v>0</v>
      </c>
      <c r="G39" s="37" cm="1">
        <f t="array" ref="G39">IF($A39="",0,INDEX(' 1.0 Asset Data'!$J$8:$J$75,MATCH($A39,' 1.0 Asset Data'!$A$8:$A$75,0),0))</f>
        <v>0</v>
      </c>
      <c r="H39" s="31" cm="1">
        <f t="array" ref="H39">IF($A39="",0,INDEX(' 1.0 Asset Data'!L$8:L$75,MATCH($A39,' 1.0 Asset Data'!$A$8:$A$75,0),0))</f>
        <v>0</v>
      </c>
      <c r="I39" s="31" cm="1">
        <f t="array" ref="I39">IF($A39="",0,INDEX(' 1.0 Asset Data'!N$8:N$75,MATCH($A39,' 1.0 Asset Data'!$A$8:$A$75,0),0))</f>
        <v>0</v>
      </c>
      <c r="J39" s="31" cm="1">
        <f t="array" ref="J39">IF($A39="",0,INDEX(' 1.0 Asset Data'!M$8:M$75,MATCH($A39,' 1.0 Asset Data'!$A$8:$A$75,0),0))</f>
        <v>0</v>
      </c>
      <c r="L39" s="35">
        <f t="shared" si="0"/>
        <v>37438</v>
      </c>
      <c r="M39" s="56">
        <f t="shared" si="1"/>
        <v>0</v>
      </c>
      <c r="N39" s="17">
        <f t="shared" si="4"/>
        <v>0</v>
      </c>
      <c r="O39" s="24">
        <f t="shared" si="5"/>
        <v>0</v>
      </c>
      <c r="P39" s="34">
        <f t="shared" si="2"/>
        <v>0</v>
      </c>
      <c r="Q39" s="35">
        <f t="shared" si="23"/>
        <v>37438</v>
      </c>
      <c r="R39" s="38">
        <f t="shared" si="3"/>
        <v>-21.998631074606433</v>
      </c>
      <c r="S39" s="17">
        <f>H39/(1+'1.1 Other Data'!$F$14)^'3.1 Mean Time to failure Orig'!$R39</f>
        <v>0</v>
      </c>
      <c r="T39" s="17">
        <f>I39/(1+'1.1 Other Data'!$F$14)^'3.1 Mean Time to failure Orig'!$R39</f>
        <v>0</v>
      </c>
      <c r="U39" s="17">
        <f>J39/(1+'1.1 Other Data'!$F$14)^'3.1 Mean Time to failure Orig'!$R39</f>
        <v>0</v>
      </c>
      <c r="W39" s="12">
        <f t="shared" si="7"/>
        <v>0</v>
      </c>
      <c r="X39" s="38">
        <f t="shared" si="8"/>
        <v>0</v>
      </c>
      <c r="Y39" s="12">
        <f>IF(A39="",0,'1.1 Other Data'!$B$38-OriginalDate-W39)</f>
        <v>0</v>
      </c>
      <c r="Z39" s="15">
        <f t="shared" si="9"/>
        <v>0</v>
      </c>
      <c r="AA39" s="24">
        <f t="shared" si="10"/>
        <v>0</v>
      </c>
      <c r="AB39" s="24">
        <f t="shared" si="11"/>
        <v>0</v>
      </c>
      <c r="AC39" s="12">
        <f t="shared" si="12"/>
        <v>0</v>
      </c>
      <c r="AD39" s="12">
        <f t="shared" si="13"/>
        <v>1</v>
      </c>
      <c r="AE39" s="12">
        <f t="shared" si="14"/>
        <v>0</v>
      </c>
      <c r="AF39" s="12">
        <f t="shared" si="15"/>
        <v>1</v>
      </c>
      <c r="AG39" s="12">
        <f t="shared" si="16"/>
        <v>0</v>
      </c>
      <c r="AH39" s="17">
        <f t="shared" si="17"/>
        <v>0</v>
      </c>
      <c r="AJ39" s="17">
        <f t="shared" si="18"/>
        <v>0</v>
      </c>
      <c r="AK39" s="17">
        <f t="shared" si="19"/>
        <v>0</v>
      </c>
      <c r="AL39" s="17">
        <f t="shared" si="20"/>
        <v>0</v>
      </c>
      <c r="AN39" s="23">
        <f t="shared" si="21"/>
        <v>0</v>
      </c>
      <c r="AP39" s="21" t="str">
        <f t="shared" si="22"/>
        <v/>
      </c>
      <c r="AQ39" s="21" cm="1">
        <f t="array" ref="AQ39">_xlfn.IFNA(INDEX('3.0 Lead Time'!$U$8:$U$65,MATCH(AP39,'3.0 Lead Time'!$A$8:$A$65,0),0),"")</f>
        <v>0</v>
      </c>
    </row>
    <row r="40" spans="1:43" x14ac:dyDescent="0.25">
      <c r="A40" s="10" t="str">
        <f>'1.2 Sorting'!J40</f>
        <v/>
      </c>
      <c r="B40" s="10" cm="1">
        <f t="array" ref="B40">_xlfn.IFNA(INDEX(' 1.0 Asset Data'!B$8:B$80,MATCH($A40,' 1.0 Asset Data'!$A$8:$A$80,0),0),0)</f>
        <v>0</v>
      </c>
      <c r="C40" s="10" cm="1">
        <f t="array" ref="C40">_xlfn.IFNA(INDEX(' 1.0 Asset Data'!C$8:C$80,MATCH($A40,' 1.0 Asset Data'!$A$8:$A$80,0),0),0)</f>
        <v>0</v>
      </c>
      <c r="D40" s="31" cm="1">
        <f t="array" ref="D40">_xlfn.IFNA(INDEX(' 1.0 Asset Data'!F$8:F$80,MATCH($A40,' 1.0 Asset Data'!$A$8:$A$80,0),0),0)</f>
        <v>0</v>
      </c>
      <c r="E40" s="33" cm="1">
        <f t="array" ref="E40">_xlfn.IFNA(INDEX(' 1.0 Asset Data'!E$8:E$80,MATCH($A40,' 1.0 Asset Data'!$A$8:$A$80,0),0),0)</f>
        <v>0</v>
      </c>
      <c r="F40" s="42" cm="1">
        <f t="array" ref="F40">_xlfn.IFNA(INDEX(' 1.0 Asset Data'!P$8:P$80,MATCH($A40,' 1.0 Asset Data'!$A$8:$A$80,0),0),0)</f>
        <v>0</v>
      </c>
      <c r="G40" s="37" cm="1">
        <f t="array" ref="G40">IF($A40="",0,INDEX(' 1.0 Asset Data'!$J$8:$J$75,MATCH($A40,' 1.0 Asset Data'!$A$8:$A$75,0),0))</f>
        <v>0</v>
      </c>
      <c r="H40" s="31" cm="1">
        <f t="array" ref="H40">IF($A40="",0,INDEX(' 1.0 Asset Data'!L$8:L$75,MATCH($A40,' 1.0 Asset Data'!$A$8:$A$75,0),0))</f>
        <v>0</v>
      </c>
      <c r="I40" s="31" cm="1">
        <f t="array" ref="I40">IF($A40="",0,INDEX(' 1.0 Asset Data'!N$8:N$75,MATCH($A40,' 1.0 Asset Data'!$A$8:$A$75,0),0))</f>
        <v>0</v>
      </c>
      <c r="J40" s="31" cm="1">
        <f t="array" ref="J40">IF($A40="",0,INDEX(' 1.0 Asset Data'!M$8:M$75,MATCH($A40,' 1.0 Asset Data'!$A$8:$A$75,0),0))</f>
        <v>0</v>
      </c>
      <c r="L40" s="35">
        <f t="shared" si="0"/>
        <v>37438</v>
      </c>
      <c r="M40" s="56">
        <f t="shared" si="1"/>
        <v>0</v>
      </c>
      <c r="N40" s="17">
        <f t="shared" si="4"/>
        <v>0</v>
      </c>
      <c r="O40" s="24">
        <f t="shared" si="5"/>
        <v>0</v>
      </c>
      <c r="P40" s="34">
        <f t="shared" si="2"/>
        <v>0</v>
      </c>
      <c r="Q40" s="35">
        <f t="shared" si="23"/>
        <v>37438</v>
      </c>
      <c r="R40" s="38">
        <f t="shared" si="3"/>
        <v>-21.998631074606433</v>
      </c>
      <c r="S40" s="17">
        <f>H40/(1+'1.1 Other Data'!$F$14)^'3.1 Mean Time to failure Orig'!$R40</f>
        <v>0</v>
      </c>
      <c r="T40" s="17">
        <f>I40/(1+'1.1 Other Data'!$F$14)^'3.1 Mean Time to failure Orig'!$R40</f>
        <v>0</v>
      </c>
      <c r="U40" s="17">
        <f>J40/(1+'1.1 Other Data'!$F$14)^'3.1 Mean Time to failure Orig'!$R40</f>
        <v>0</v>
      </c>
      <c r="W40" s="12">
        <f t="shared" si="7"/>
        <v>0</v>
      </c>
      <c r="X40" s="38">
        <f t="shared" si="8"/>
        <v>0</v>
      </c>
      <c r="Y40" s="12">
        <f>IF(A40="",0,'1.1 Other Data'!$B$38-OriginalDate-W40)</f>
        <v>0</v>
      </c>
      <c r="Z40" s="15">
        <f t="shared" si="9"/>
        <v>0</v>
      </c>
      <c r="AA40" s="24">
        <f t="shared" si="10"/>
        <v>0</v>
      </c>
      <c r="AB40" s="24">
        <f t="shared" si="11"/>
        <v>0</v>
      </c>
      <c r="AC40" s="12">
        <f t="shared" si="12"/>
        <v>0</v>
      </c>
      <c r="AD40" s="12">
        <f t="shared" si="13"/>
        <v>1</v>
      </c>
      <c r="AE40" s="12">
        <f t="shared" si="14"/>
        <v>0</v>
      </c>
      <c r="AF40" s="12">
        <f t="shared" si="15"/>
        <v>1</v>
      </c>
      <c r="AG40" s="12">
        <f t="shared" si="16"/>
        <v>0</v>
      </c>
      <c r="AH40" s="17">
        <f t="shared" si="17"/>
        <v>0</v>
      </c>
      <c r="AJ40" s="17">
        <f t="shared" si="18"/>
        <v>0</v>
      </c>
      <c r="AK40" s="17">
        <f t="shared" si="19"/>
        <v>0</v>
      </c>
      <c r="AL40" s="17">
        <f t="shared" si="20"/>
        <v>0</v>
      </c>
      <c r="AN40" s="23">
        <f t="shared" si="21"/>
        <v>0</v>
      </c>
      <c r="AP40" s="21" t="str">
        <f t="shared" si="22"/>
        <v/>
      </c>
      <c r="AQ40" s="21" cm="1">
        <f t="array" ref="AQ40">_xlfn.IFNA(INDEX('3.0 Lead Time'!$U$8:$U$65,MATCH(AP40,'3.0 Lead Time'!$A$8:$A$65,0),0),"")</f>
        <v>0</v>
      </c>
    </row>
    <row r="41" spans="1:43" x14ac:dyDescent="0.25">
      <c r="A41" s="10" t="str">
        <f>'1.2 Sorting'!J41</f>
        <v/>
      </c>
      <c r="B41" s="10" cm="1">
        <f t="array" ref="B41">_xlfn.IFNA(INDEX(' 1.0 Asset Data'!B$8:B$80,MATCH($A41,' 1.0 Asset Data'!$A$8:$A$80,0),0),0)</f>
        <v>0</v>
      </c>
      <c r="C41" s="10" cm="1">
        <f t="array" ref="C41">_xlfn.IFNA(INDEX(' 1.0 Asset Data'!C$8:C$80,MATCH($A41,' 1.0 Asset Data'!$A$8:$A$80,0),0),0)</f>
        <v>0</v>
      </c>
      <c r="D41" s="31" cm="1">
        <f t="array" ref="D41">_xlfn.IFNA(INDEX(' 1.0 Asset Data'!F$8:F$80,MATCH($A41,' 1.0 Asset Data'!$A$8:$A$80,0),0),0)</f>
        <v>0</v>
      </c>
      <c r="E41" s="33" cm="1">
        <f t="array" ref="E41">_xlfn.IFNA(INDEX(' 1.0 Asset Data'!E$8:E$80,MATCH($A41,' 1.0 Asset Data'!$A$8:$A$80,0),0),0)</f>
        <v>0</v>
      </c>
      <c r="F41" s="42" cm="1">
        <f t="array" ref="F41">_xlfn.IFNA(INDEX(' 1.0 Asset Data'!P$8:P$80,MATCH($A41,' 1.0 Asset Data'!$A$8:$A$80,0),0),0)</f>
        <v>0</v>
      </c>
      <c r="G41" s="37" cm="1">
        <f t="array" ref="G41">IF($A41="",0,INDEX(' 1.0 Asset Data'!$J$8:$J$75,MATCH($A41,' 1.0 Asset Data'!$A$8:$A$75,0),0))</f>
        <v>0</v>
      </c>
      <c r="H41" s="31" cm="1">
        <f t="array" ref="H41">IF($A41="",0,INDEX(' 1.0 Asset Data'!L$8:L$75,MATCH($A41,' 1.0 Asset Data'!$A$8:$A$75,0),0))</f>
        <v>0</v>
      </c>
      <c r="I41" s="31" cm="1">
        <f t="array" ref="I41">IF($A41="",0,INDEX(' 1.0 Asset Data'!N$8:N$75,MATCH($A41,' 1.0 Asset Data'!$A$8:$A$75,0),0))</f>
        <v>0</v>
      </c>
      <c r="J41" s="31" cm="1">
        <f t="array" ref="J41">IF($A41="",0,INDEX(' 1.0 Asset Data'!M$8:M$75,MATCH($A41,' 1.0 Asset Data'!$A$8:$A$75,0),0))</f>
        <v>0</v>
      </c>
      <c r="L41" s="35">
        <f t="shared" si="0"/>
        <v>37438</v>
      </c>
      <c r="M41" s="56">
        <f t="shared" si="1"/>
        <v>0</v>
      </c>
      <c r="N41" s="17">
        <f t="shared" si="4"/>
        <v>0</v>
      </c>
      <c r="O41" s="24">
        <f t="shared" si="5"/>
        <v>0</v>
      </c>
      <c r="P41" s="34">
        <f t="shared" si="2"/>
        <v>0</v>
      </c>
      <c r="Q41" s="35">
        <f t="shared" si="23"/>
        <v>37438</v>
      </c>
      <c r="R41" s="38">
        <f t="shared" si="3"/>
        <v>-21.998631074606433</v>
      </c>
      <c r="S41" s="17">
        <f>H41/(1+'1.1 Other Data'!$F$14)^'3.1 Mean Time to failure Orig'!$R41</f>
        <v>0</v>
      </c>
      <c r="T41" s="17">
        <f>I41/(1+'1.1 Other Data'!$F$14)^'3.1 Mean Time to failure Orig'!$R41</f>
        <v>0</v>
      </c>
      <c r="U41" s="17">
        <f>J41/(1+'1.1 Other Data'!$F$14)^'3.1 Mean Time to failure Orig'!$R41</f>
        <v>0</v>
      </c>
      <c r="W41" s="12">
        <f t="shared" si="7"/>
        <v>0</v>
      </c>
      <c r="X41" s="38">
        <f t="shared" si="8"/>
        <v>0</v>
      </c>
      <c r="Y41" s="12">
        <f>IF(A41="",0,'1.1 Other Data'!$B$38-OriginalDate-W41)</f>
        <v>0</v>
      </c>
      <c r="Z41" s="15">
        <f t="shared" si="9"/>
        <v>0</v>
      </c>
      <c r="AA41" s="24">
        <f t="shared" si="10"/>
        <v>0</v>
      </c>
      <c r="AB41" s="24">
        <f t="shared" si="11"/>
        <v>0</v>
      </c>
      <c r="AC41" s="12">
        <f t="shared" si="12"/>
        <v>0</v>
      </c>
      <c r="AD41" s="12">
        <f t="shared" si="13"/>
        <v>1</v>
      </c>
      <c r="AE41" s="12">
        <f t="shared" si="14"/>
        <v>0</v>
      </c>
      <c r="AF41" s="12">
        <f t="shared" si="15"/>
        <v>1</v>
      </c>
      <c r="AG41" s="12">
        <f t="shared" si="16"/>
        <v>0</v>
      </c>
      <c r="AH41" s="17">
        <f t="shared" si="17"/>
        <v>0</v>
      </c>
      <c r="AJ41" s="17">
        <f t="shared" si="18"/>
        <v>0</v>
      </c>
      <c r="AK41" s="17">
        <f t="shared" si="19"/>
        <v>0</v>
      </c>
      <c r="AL41" s="17">
        <f t="shared" si="20"/>
        <v>0</v>
      </c>
      <c r="AN41" s="23">
        <f t="shared" si="21"/>
        <v>0</v>
      </c>
      <c r="AP41" s="21" t="str">
        <f t="shared" si="22"/>
        <v/>
      </c>
      <c r="AQ41" s="21" cm="1">
        <f t="array" ref="AQ41">_xlfn.IFNA(INDEX('3.0 Lead Time'!$U$8:$U$65,MATCH(AP41,'3.0 Lead Time'!$A$8:$A$65,0),0),"")</f>
        <v>0</v>
      </c>
    </row>
    <row r="42" spans="1:43" x14ac:dyDescent="0.25">
      <c r="A42" s="10" t="str">
        <f>'1.2 Sorting'!J42</f>
        <v/>
      </c>
      <c r="B42" s="10" cm="1">
        <f t="array" ref="B42">_xlfn.IFNA(INDEX(' 1.0 Asset Data'!B$8:B$80,MATCH($A42,' 1.0 Asset Data'!$A$8:$A$80,0),0),0)</f>
        <v>0</v>
      </c>
      <c r="C42" s="10" cm="1">
        <f t="array" ref="C42">_xlfn.IFNA(INDEX(' 1.0 Asset Data'!C$8:C$80,MATCH($A42,' 1.0 Asset Data'!$A$8:$A$80,0),0),0)</f>
        <v>0</v>
      </c>
      <c r="D42" s="31" cm="1">
        <f t="array" ref="D42">_xlfn.IFNA(INDEX(' 1.0 Asset Data'!F$8:F$80,MATCH($A42,' 1.0 Asset Data'!$A$8:$A$80,0),0),0)</f>
        <v>0</v>
      </c>
      <c r="E42" s="33" cm="1">
        <f t="array" ref="E42">_xlfn.IFNA(INDEX(' 1.0 Asset Data'!E$8:E$80,MATCH($A42,' 1.0 Asset Data'!$A$8:$A$80,0),0),0)</f>
        <v>0</v>
      </c>
      <c r="F42" s="42" cm="1">
        <f t="array" ref="F42">_xlfn.IFNA(INDEX(' 1.0 Asset Data'!P$8:P$80,MATCH($A42,' 1.0 Asset Data'!$A$8:$A$80,0),0),0)</f>
        <v>0</v>
      </c>
      <c r="G42" s="37" cm="1">
        <f t="array" ref="G42">IF($A42="",0,INDEX(' 1.0 Asset Data'!$J$8:$J$75,MATCH($A42,' 1.0 Asset Data'!$A$8:$A$75,0),0))</f>
        <v>0</v>
      </c>
      <c r="H42" s="31" cm="1">
        <f t="array" ref="H42">IF($A42="",0,INDEX(' 1.0 Asset Data'!L$8:L$75,MATCH($A42,' 1.0 Asset Data'!$A$8:$A$75,0),0))</f>
        <v>0</v>
      </c>
      <c r="I42" s="31" cm="1">
        <f t="array" ref="I42">IF($A42="",0,INDEX(' 1.0 Asset Data'!N$8:N$75,MATCH($A42,' 1.0 Asset Data'!$A$8:$A$75,0),0))</f>
        <v>0</v>
      </c>
      <c r="J42" s="31" cm="1">
        <f t="array" ref="J42">IF($A42="",0,INDEX(' 1.0 Asset Data'!M$8:M$75,MATCH($A42,' 1.0 Asset Data'!$A$8:$A$75,0),0))</f>
        <v>0</v>
      </c>
      <c r="L42" s="35">
        <f t="shared" si="0"/>
        <v>37438</v>
      </c>
      <c r="M42" s="56">
        <f t="shared" si="1"/>
        <v>0</v>
      </c>
      <c r="N42" s="17">
        <f t="shared" si="4"/>
        <v>0</v>
      </c>
      <c r="O42" s="24">
        <f t="shared" si="5"/>
        <v>0</v>
      </c>
      <c r="P42" s="34">
        <f t="shared" si="2"/>
        <v>0</v>
      </c>
      <c r="Q42" s="35">
        <f t="shared" si="23"/>
        <v>37438</v>
      </c>
      <c r="R42" s="38">
        <f t="shared" si="3"/>
        <v>-21.998631074606433</v>
      </c>
      <c r="S42" s="17">
        <f>H42/(1+'1.1 Other Data'!$F$14)^'3.1 Mean Time to failure Orig'!$R42</f>
        <v>0</v>
      </c>
      <c r="T42" s="17">
        <f>I42/(1+'1.1 Other Data'!$F$14)^'3.1 Mean Time to failure Orig'!$R42</f>
        <v>0</v>
      </c>
      <c r="U42" s="17">
        <f>J42/(1+'1.1 Other Data'!$F$14)^'3.1 Mean Time to failure Orig'!$R42</f>
        <v>0</v>
      </c>
      <c r="W42" s="12">
        <f t="shared" si="7"/>
        <v>0</v>
      </c>
      <c r="X42" s="38">
        <f t="shared" si="8"/>
        <v>0</v>
      </c>
      <c r="Y42" s="12">
        <f>IF(A42="",0,'1.1 Other Data'!$B$38-OriginalDate-W42)</f>
        <v>0</v>
      </c>
      <c r="Z42" s="15">
        <f t="shared" si="9"/>
        <v>0</v>
      </c>
      <c r="AA42" s="24">
        <f t="shared" si="10"/>
        <v>0</v>
      </c>
      <c r="AB42" s="24">
        <f t="shared" si="11"/>
        <v>0</v>
      </c>
      <c r="AC42" s="12">
        <f t="shared" si="12"/>
        <v>0</v>
      </c>
      <c r="AD42" s="12">
        <f t="shared" si="13"/>
        <v>1</v>
      </c>
      <c r="AE42" s="12">
        <f t="shared" si="14"/>
        <v>0</v>
      </c>
      <c r="AF42" s="12">
        <f t="shared" si="15"/>
        <v>1</v>
      </c>
      <c r="AG42" s="12">
        <f t="shared" si="16"/>
        <v>0</v>
      </c>
      <c r="AH42" s="17">
        <f t="shared" si="17"/>
        <v>0</v>
      </c>
      <c r="AJ42" s="17">
        <f t="shared" si="18"/>
        <v>0</v>
      </c>
      <c r="AK42" s="17">
        <f t="shared" si="19"/>
        <v>0</v>
      </c>
      <c r="AL42" s="17">
        <f t="shared" si="20"/>
        <v>0</v>
      </c>
      <c r="AN42" s="23">
        <f t="shared" si="21"/>
        <v>0</v>
      </c>
      <c r="AP42" s="21" t="str">
        <f t="shared" si="22"/>
        <v/>
      </c>
      <c r="AQ42" s="21" cm="1">
        <f t="array" ref="AQ42">_xlfn.IFNA(INDEX('3.0 Lead Time'!$U$8:$U$65,MATCH(AP42,'3.0 Lead Time'!$A$8:$A$65,0),0),"")</f>
        <v>0</v>
      </c>
    </row>
    <row r="43" spans="1:43" x14ac:dyDescent="0.25">
      <c r="A43" s="10" t="str">
        <f>'1.2 Sorting'!J43</f>
        <v/>
      </c>
      <c r="B43" s="10" cm="1">
        <f t="array" ref="B43">_xlfn.IFNA(INDEX(' 1.0 Asset Data'!B$8:B$80,MATCH($A43,' 1.0 Asset Data'!$A$8:$A$80,0),0),0)</f>
        <v>0</v>
      </c>
      <c r="C43" s="10" cm="1">
        <f t="array" ref="C43">_xlfn.IFNA(INDEX(' 1.0 Asset Data'!C$8:C$80,MATCH($A43,' 1.0 Asset Data'!$A$8:$A$80,0),0),0)</f>
        <v>0</v>
      </c>
      <c r="D43" s="31" cm="1">
        <f t="array" ref="D43">_xlfn.IFNA(INDEX(' 1.0 Asset Data'!F$8:F$80,MATCH($A43,' 1.0 Asset Data'!$A$8:$A$80,0),0),0)</f>
        <v>0</v>
      </c>
      <c r="E43" s="33" cm="1">
        <f t="array" ref="E43">_xlfn.IFNA(INDEX(' 1.0 Asset Data'!E$8:E$80,MATCH($A43,' 1.0 Asset Data'!$A$8:$A$80,0),0),0)</f>
        <v>0</v>
      </c>
      <c r="F43" s="42" cm="1">
        <f t="array" ref="F43">_xlfn.IFNA(INDEX(' 1.0 Asset Data'!P$8:P$80,MATCH($A43,' 1.0 Asset Data'!$A$8:$A$80,0),0),0)</f>
        <v>0</v>
      </c>
      <c r="G43" s="37" cm="1">
        <f t="array" ref="G43">IF($A43="",0,INDEX(' 1.0 Asset Data'!$J$8:$J$75,MATCH($A43,' 1.0 Asset Data'!$A$8:$A$75,0),0))</f>
        <v>0</v>
      </c>
      <c r="H43" s="31" cm="1">
        <f t="array" ref="H43">IF($A43="",0,INDEX(' 1.0 Asset Data'!L$8:L$75,MATCH($A43,' 1.0 Asset Data'!$A$8:$A$75,0),0))</f>
        <v>0</v>
      </c>
      <c r="I43" s="31" cm="1">
        <f t="array" ref="I43">IF($A43="",0,INDEX(' 1.0 Asset Data'!N$8:N$75,MATCH($A43,' 1.0 Asset Data'!$A$8:$A$75,0),0))</f>
        <v>0</v>
      </c>
      <c r="J43" s="31" cm="1">
        <f t="array" ref="J43">IF($A43="",0,INDEX(' 1.0 Asset Data'!M$8:M$75,MATCH($A43,' 1.0 Asset Data'!$A$8:$A$75,0),0))</f>
        <v>0</v>
      </c>
      <c r="L43" s="35">
        <f t="shared" si="0"/>
        <v>37438</v>
      </c>
      <c r="M43" s="56">
        <f t="shared" si="1"/>
        <v>0</v>
      </c>
      <c r="N43" s="17">
        <f t="shared" si="4"/>
        <v>0</v>
      </c>
      <c r="O43" s="24">
        <f t="shared" si="5"/>
        <v>0</v>
      </c>
      <c r="P43" s="34">
        <f t="shared" si="2"/>
        <v>0</v>
      </c>
      <c r="Q43" s="35">
        <f t="shared" si="23"/>
        <v>37438</v>
      </c>
      <c r="R43" s="38">
        <f t="shared" si="3"/>
        <v>-21.998631074606433</v>
      </c>
      <c r="S43" s="17">
        <f>H43/(1+'1.1 Other Data'!$F$14)^'3.1 Mean Time to failure Orig'!$R43</f>
        <v>0</v>
      </c>
      <c r="T43" s="17">
        <f>I43/(1+'1.1 Other Data'!$F$14)^'3.1 Mean Time to failure Orig'!$R43</f>
        <v>0</v>
      </c>
      <c r="U43" s="17">
        <f>J43/(1+'1.1 Other Data'!$F$14)^'3.1 Mean Time to failure Orig'!$R43</f>
        <v>0</v>
      </c>
      <c r="W43" s="12">
        <f t="shared" si="7"/>
        <v>0</v>
      </c>
      <c r="X43" s="38">
        <f t="shared" si="8"/>
        <v>0</v>
      </c>
      <c r="Y43" s="12">
        <f>IF(A43="",0,'1.1 Other Data'!$B$38-OriginalDate-W43)</f>
        <v>0</v>
      </c>
      <c r="Z43" s="15">
        <f t="shared" si="9"/>
        <v>0</v>
      </c>
      <c r="AA43" s="24">
        <f t="shared" si="10"/>
        <v>0</v>
      </c>
      <c r="AB43" s="24">
        <f t="shared" si="11"/>
        <v>0</v>
      </c>
      <c r="AC43" s="12">
        <f t="shared" si="12"/>
        <v>0</v>
      </c>
      <c r="AD43" s="12">
        <f t="shared" si="13"/>
        <v>1</v>
      </c>
      <c r="AE43" s="12">
        <f t="shared" si="14"/>
        <v>0</v>
      </c>
      <c r="AF43" s="12">
        <f t="shared" si="15"/>
        <v>1</v>
      </c>
      <c r="AG43" s="12">
        <f t="shared" si="16"/>
        <v>0</v>
      </c>
      <c r="AH43" s="17">
        <f t="shared" si="17"/>
        <v>0</v>
      </c>
      <c r="AJ43" s="17">
        <f t="shared" si="18"/>
        <v>0</v>
      </c>
      <c r="AK43" s="17">
        <f t="shared" si="19"/>
        <v>0</v>
      </c>
      <c r="AL43" s="17">
        <f t="shared" si="20"/>
        <v>0</v>
      </c>
      <c r="AN43" s="23">
        <f t="shared" si="21"/>
        <v>0</v>
      </c>
      <c r="AP43" s="21" t="str">
        <f t="shared" si="22"/>
        <v/>
      </c>
      <c r="AQ43" s="21" cm="1">
        <f t="array" ref="AQ43">_xlfn.IFNA(INDEX('3.0 Lead Time'!$U$8:$U$65,MATCH(AP43,'3.0 Lead Time'!$A$8:$A$65,0),0),"")</f>
        <v>0</v>
      </c>
    </row>
    <row r="44" spans="1:43" x14ac:dyDescent="0.25">
      <c r="A44" s="10" t="str">
        <f>'1.2 Sorting'!J44</f>
        <v/>
      </c>
      <c r="B44" s="10" cm="1">
        <f t="array" ref="B44">_xlfn.IFNA(INDEX(' 1.0 Asset Data'!B$8:B$80,MATCH($A44,' 1.0 Asset Data'!$A$8:$A$80,0),0),0)</f>
        <v>0</v>
      </c>
      <c r="C44" s="10" cm="1">
        <f t="array" ref="C44">_xlfn.IFNA(INDEX(' 1.0 Asset Data'!C$8:C$80,MATCH($A44,' 1.0 Asset Data'!$A$8:$A$80,0),0),0)</f>
        <v>0</v>
      </c>
      <c r="D44" s="31" cm="1">
        <f t="array" ref="D44">_xlfn.IFNA(INDEX(' 1.0 Asset Data'!F$8:F$80,MATCH($A44,' 1.0 Asset Data'!$A$8:$A$80,0),0),0)</f>
        <v>0</v>
      </c>
      <c r="E44" s="33" cm="1">
        <f t="array" ref="E44">_xlfn.IFNA(INDEX(' 1.0 Asset Data'!E$8:E$80,MATCH($A44,' 1.0 Asset Data'!$A$8:$A$80,0),0),0)</f>
        <v>0</v>
      </c>
      <c r="F44" s="42" cm="1">
        <f t="array" ref="F44">_xlfn.IFNA(INDEX(' 1.0 Asset Data'!P$8:P$80,MATCH($A44,' 1.0 Asset Data'!$A$8:$A$80,0),0),0)</f>
        <v>0</v>
      </c>
      <c r="G44" s="37" cm="1">
        <f t="array" ref="G44">IF($A44="",0,INDEX(' 1.0 Asset Data'!$J$8:$J$75,MATCH($A44,' 1.0 Asset Data'!$A$8:$A$75,0),0))</f>
        <v>0</v>
      </c>
      <c r="H44" s="31" cm="1">
        <f t="array" ref="H44">IF($A44="",0,INDEX(' 1.0 Asset Data'!L$8:L$75,MATCH($A44,' 1.0 Asset Data'!$A$8:$A$75,0),0))</f>
        <v>0</v>
      </c>
      <c r="I44" s="31" cm="1">
        <f t="array" ref="I44">IF($A44="",0,INDEX(' 1.0 Asset Data'!N$8:N$75,MATCH($A44,' 1.0 Asset Data'!$A$8:$A$75,0),0))</f>
        <v>0</v>
      </c>
      <c r="J44" s="31" cm="1">
        <f t="array" ref="J44">IF($A44="",0,INDEX(' 1.0 Asset Data'!M$8:M$75,MATCH($A44,' 1.0 Asset Data'!$A$8:$A$75,0),0))</f>
        <v>0</v>
      </c>
      <c r="L44" s="35">
        <f t="shared" si="0"/>
        <v>37438</v>
      </c>
      <c r="M44" s="56">
        <f t="shared" si="1"/>
        <v>0</v>
      </c>
      <c r="N44" s="17">
        <f t="shared" si="4"/>
        <v>0</v>
      </c>
      <c r="O44" s="24">
        <f t="shared" si="5"/>
        <v>0</v>
      </c>
      <c r="P44" s="34">
        <f t="shared" si="2"/>
        <v>0</v>
      </c>
      <c r="Q44" s="35">
        <f t="shared" si="23"/>
        <v>37438</v>
      </c>
      <c r="R44" s="38">
        <f t="shared" si="3"/>
        <v>-21.998631074606433</v>
      </c>
      <c r="S44" s="17">
        <f>H44/(1+'1.1 Other Data'!$F$14)^'3.1 Mean Time to failure Orig'!$R44</f>
        <v>0</v>
      </c>
      <c r="T44" s="17">
        <f>I44/(1+'1.1 Other Data'!$F$14)^'3.1 Mean Time to failure Orig'!$R44</f>
        <v>0</v>
      </c>
      <c r="U44" s="17">
        <f>J44/(1+'1.1 Other Data'!$F$14)^'3.1 Mean Time to failure Orig'!$R44</f>
        <v>0</v>
      </c>
      <c r="W44" s="12">
        <f t="shared" si="7"/>
        <v>0</v>
      </c>
      <c r="X44" s="38">
        <f t="shared" si="8"/>
        <v>0</v>
      </c>
      <c r="Y44" s="12">
        <f>IF(A44="",0,'1.1 Other Data'!$B$38-OriginalDate-W44)</f>
        <v>0</v>
      </c>
      <c r="Z44" s="15">
        <f t="shared" si="9"/>
        <v>0</v>
      </c>
      <c r="AA44" s="24">
        <f t="shared" si="10"/>
        <v>0</v>
      </c>
      <c r="AB44" s="24">
        <f t="shared" si="11"/>
        <v>0</v>
      </c>
      <c r="AC44" s="12">
        <f t="shared" si="12"/>
        <v>0</v>
      </c>
      <c r="AD44" s="12">
        <f t="shared" si="13"/>
        <v>1</v>
      </c>
      <c r="AE44" s="12">
        <f t="shared" si="14"/>
        <v>0</v>
      </c>
      <c r="AF44" s="12">
        <f t="shared" si="15"/>
        <v>1</v>
      </c>
      <c r="AG44" s="12">
        <f t="shared" si="16"/>
        <v>0</v>
      </c>
      <c r="AH44" s="17">
        <f t="shared" si="17"/>
        <v>0</v>
      </c>
      <c r="AJ44" s="17">
        <f t="shared" si="18"/>
        <v>0</v>
      </c>
      <c r="AK44" s="17">
        <f t="shared" si="19"/>
        <v>0</v>
      </c>
      <c r="AL44" s="17">
        <f t="shared" si="20"/>
        <v>0</v>
      </c>
      <c r="AN44" s="23">
        <f t="shared" si="21"/>
        <v>0</v>
      </c>
      <c r="AP44" s="21" t="str">
        <f t="shared" si="22"/>
        <v/>
      </c>
      <c r="AQ44" s="21" cm="1">
        <f t="array" ref="AQ44">_xlfn.IFNA(INDEX('3.0 Lead Time'!$U$8:$U$65,MATCH(AP44,'3.0 Lead Time'!$A$8:$A$65,0),0),"")</f>
        <v>0</v>
      </c>
    </row>
    <row r="45" spans="1:43" x14ac:dyDescent="0.25">
      <c r="A45" s="10" t="str">
        <f>'1.2 Sorting'!J45</f>
        <v/>
      </c>
      <c r="B45" s="10" cm="1">
        <f t="array" ref="B45">_xlfn.IFNA(INDEX(' 1.0 Asset Data'!B$8:B$80,MATCH($A45,' 1.0 Asset Data'!$A$8:$A$80,0),0),0)</f>
        <v>0</v>
      </c>
      <c r="C45" s="10" cm="1">
        <f t="array" ref="C45">_xlfn.IFNA(INDEX(' 1.0 Asset Data'!C$8:C$80,MATCH($A45,' 1.0 Asset Data'!$A$8:$A$80,0),0),0)</f>
        <v>0</v>
      </c>
      <c r="D45" s="31" cm="1">
        <f t="array" ref="D45">_xlfn.IFNA(INDEX(' 1.0 Asset Data'!F$8:F$80,MATCH($A45,' 1.0 Asset Data'!$A$8:$A$80,0),0),0)</f>
        <v>0</v>
      </c>
      <c r="E45" s="33" cm="1">
        <f t="array" ref="E45">_xlfn.IFNA(INDEX(' 1.0 Asset Data'!E$8:E$80,MATCH($A45,' 1.0 Asset Data'!$A$8:$A$80,0),0),0)</f>
        <v>0</v>
      </c>
      <c r="F45" s="42" cm="1">
        <f t="array" ref="F45">_xlfn.IFNA(INDEX(' 1.0 Asset Data'!P$8:P$80,MATCH($A45,' 1.0 Asset Data'!$A$8:$A$80,0),0),0)</f>
        <v>0</v>
      </c>
      <c r="G45" s="37" cm="1">
        <f t="array" ref="G45">IF($A45="",0,INDEX(' 1.0 Asset Data'!$J$8:$J$75,MATCH($A45,' 1.0 Asset Data'!$A$8:$A$75,0),0))</f>
        <v>0</v>
      </c>
      <c r="H45" s="31" cm="1">
        <f t="array" ref="H45">IF($A45="",0,INDEX(' 1.0 Asset Data'!L$8:L$75,MATCH($A45,' 1.0 Asset Data'!$A$8:$A$75,0),0))</f>
        <v>0</v>
      </c>
      <c r="I45" s="31" cm="1">
        <f t="array" ref="I45">IF($A45="",0,INDEX(' 1.0 Asset Data'!N$8:N$75,MATCH($A45,' 1.0 Asset Data'!$A$8:$A$75,0),0))</f>
        <v>0</v>
      </c>
      <c r="J45" s="31" cm="1">
        <f t="array" ref="J45">IF($A45="",0,INDEX(' 1.0 Asset Data'!M$8:M$75,MATCH($A45,' 1.0 Asset Data'!$A$8:$A$75,0),0))</f>
        <v>0</v>
      </c>
      <c r="L45" s="35">
        <f t="shared" si="0"/>
        <v>37438</v>
      </c>
      <c r="M45" s="56">
        <f t="shared" si="1"/>
        <v>0</v>
      </c>
      <c r="N45" s="17">
        <f t="shared" si="4"/>
        <v>0</v>
      </c>
      <c r="O45" s="24">
        <f t="shared" si="5"/>
        <v>0</v>
      </c>
      <c r="P45" s="34">
        <f t="shared" si="2"/>
        <v>0</v>
      </c>
      <c r="Q45" s="35">
        <f t="shared" si="23"/>
        <v>37438</v>
      </c>
      <c r="R45" s="38">
        <f t="shared" si="3"/>
        <v>-21.998631074606433</v>
      </c>
      <c r="S45" s="17">
        <f>H45/(1+'1.1 Other Data'!$F$14)^'3.1 Mean Time to failure Orig'!$R45</f>
        <v>0</v>
      </c>
      <c r="T45" s="17">
        <f>I45/(1+'1.1 Other Data'!$F$14)^'3.1 Mean Time to failure Orig'!$R45</f>
        <v>0</v>
      </c>
      <c r="U45" s="17">
        <f>J45/(1+'1.1 Other Data'!$F$14)^'3.1 Mean Time to failure Orig'!$R45</f>
        <v>0</v>
      </c>
      <c r="W45" s="12">
        <f t="shared" si="7"/>
        <v>0</v>
      </c>
      <c r="X45" s="38">
        <f t="shared" si="8"/>
        <v>0</v>
      </c>
      <c r="Y45" s="12">
        <f>IF(A45="",0,'1.1 Other Data'!$B$38-OriginalDate-W45)</f>
        <v>0</v>
      </c>
      <c r="Z45" s="15">
        <f t="shared" si="9"/>
        <v>0</v>
      </c>
      <c r="AA45" s="24">
        <f t="shared" si="10"/>
        <v>0</v>
      </c>
      <c r="AB45" s="24">
        <f t="shared" si="11"/>
        <v>0</v>
      </c>
      <c r="AC45" s="12">
        <f t="shared" si="12"/>
        <v>0</v>
      </c>
      <c r="AD45" s="12">
        <f t="shared" si="13"/>
        <v>1</v>
      </c>
      <c r="AE45" s="12">
        <f t="shared" si="14"/>
        <v>0</v>
      </c>
      <c r="AF45" s="12">
        <f t="shared" si="15"/>
        <v>1</v>
      </c>
      <c r="AG45" s="12">
        <f t="shared" si="16"/>
        <v>0</v>
      </c>
      <c r="AH45" s="17">
        <f t="shared" si="17"/>
        <v>0</v>
      </c>
      <c r="AJ45" s="17">
        <f t="shared" si="18"/>
        <v>0</v>
      </c>
      <c r="AK45" s="17">
        <f t="shared" si="19"/>
        <v>0</v>
      </c>
      <c r="AL45" s="17">
        <f t="shared" si="20"/>
        <v>0</v>
      </c>
      <c r="AN45" s="23">
        <f t="shared" si="21"/>
        <v>0</v>
      </c>
      <c r="AP45" s="21" t="str">
        <f t="shared" si="22"/>
        <v/>
      </c>
      <c r="AQ45" s="21" cm="1">
        <f t="array" ref="AQ45">_xlfn.IFNA(INDEX('3.0 Lead Time'!$U$8:$U$65,MATCH(AP45,'3.0 Lead Time'!$A$8:$A$65,0),0),"")</f>
        <v>0</v>
      </c>
    </row>
    <row r="46" spans="1:43" x14ac:dyDescent="0.25">
      <c r="A46" s="10" t="str">
        <f>'1.2 Sorting'!J46</f>
        <v/>
      </c>
      <c r="B46" s="10" cm="1">
        <f t="array" ref="B46">_xlfn.IFNA(INDEX(' 1.0 Asset Data'!B$8:B$80,MATCH($A46,' 1.0 Asset Data'!$A$8:$A$80,0),0),0)</f>
        <v>0</v>
      </c>
      <c r="C46" s="10" cm="1">
        <f t="array" ref="C46">_xlfn.IFNA(INDEX(' 1.0 Asset Data'!C$8:C$80,MATCH($A46,' 1.0 Asset Data'!$A$8:$A$80,0),0),0)</f>
        <v>0</v>
      </c>
      <c r="D46" s="31" cm="1">
        <f t="array" ref="D46">_xlfn.IFNA(INDEX(' 1.0 Asset Data'!F$8:F$80,MATCH($A46,' 1.0 Asset Data'!$A$8:$A$80,0),0),0)</f>
        <v>0</v>
      </c>
      <c r="E46" s="33" cm="1">
        <f t="array" ref="E46">_xlfn.IFNA(INDEX(' 1.0 Asset Data'!E$8:E$80,MATCH($A46,' 1.0 Asset Data'!$A$8:$A$80,0),0),0)</f>
        <v>0</v>
      </c>
      <c r="F46" s="42" cm="1">
        <f t="array" ref="F46">_xlfn.IFNA(INDEX(' 1.0 Asset Data'!P$8:P$80,MATCH($A46,' 1.0 Asset Data'!$A$8:$A$80,0),0),0)</f>
        <v>0</v>
      </c>
      <c r="G46" s="37" cm="1">
        <f t="array" ref="G46">IF($A46="",0,INDEX(' 1.0 Asset Data'!$J$8:$J$75,MATCH($A46,' 1.0 Asset Data'!$A$8:$A$75,0),0))</f>
        <v>0</v>
      </c>
      <c r="H46" s="31" cm="1">
        <f t="array" ref="H46">IF($A46="",0,INDEX(' 1.0 Asset Data'!L$8:L$75,MATCH($A46,' 1.0 Asset Data'!$A$8:$A$75,0),0))</f>
        <v>0</v>
      </c>
      <c r="I46" s="31" cm="1">
        <f t="array" ref="I46">IF($A46="",0,INDEX(' 1.0 Asset Data'!N$8:N$75,MATCH($A46,' 1.0 Asset Data'!$A$8:$A$75,0),0))</f>
        <v>0</v>
      </c>
      <c r="J46" s="31" cm="1">
        <f t="array" ref="J46">IF($A46="",0,INDEX(' 1.0 Asset Data'!M$8:M$75,MATCH($A46,' 1.0 Asset Data'!$A$8:$A$75,0),0))</f>
        <v>0</v>
      </c>
      <c r="L46" s="35">
        <f t="shared" si="0"/>
        <v>37438</v>
      </c>
      <c r="M46" s="56">
        <f t="shared" si="1"/>
        <v>0</v>
      </c>
      <c r="N46" s="17">
        <f t="shared" si="4"/>
        <v>0</v>
      </c>
      <c r="O46" s="24">
        <f t="shared" si="5"/>
        <v>0</v>
      </c>
      <c r="P46" s="34">
        <f t="shared" si="2"/>
        <v>0</v>
      </c>
      <c r="Q46" s="35">
        <f t="shared" si="23"/>
        <v>37438</v>
      </c>
      <c r="R46" s="38">
        <f t="shared" si="3"/>
        <v>-21.998631074606433</v>
      </c>
      <c r="S46" s="17">
        <f>H46/(1+'1.1 Other Data'!$F$14)^'3.1 Mean Time to failure Orig'!$R46</f>
        <v>0</v>
      </c>
      <c r="T46" s="17">
        <f>I46/(1+'1.1 Other Data'!$F$14)^'3.1 Mean Time to failure Orig'!$R46</f>
        <v>0</v>
      </c>
      <c r="U46" s="17">
        <f>J46/(1+'1.1 Other Data'!$F$14)^'3.1 Mean Time to failure Orig'!$R46</f>
        <v>0</v>
      </c>
      <c r="W46" s="12">
        <f t="shared" si="7"/>
        <v>0</v>
      </c>
      <c r="X46" s="38">
        <f t="shared" si="8"/>
        <v>0</v>
      </c>
      <c r="Y46" s="12">
        <f>IF(A46="",0,'1.1 Other Data'!$B$38-OriginalDate-W46)</f>
        <v>0</v>
      </c>
      <c r="Z46" s="15">
        <f t="shared" si="9"/>
        <v>0</v>
      </c>
      <c r="AA46" s="24">
        <f t="shared" si="10"/>
        <v>0</v>
      </c>
      <c r="AB46" s="24">
        <f t="shared" si="11"/>
        <v>0</v>
      </c>
      <c r="AC46" s="12">
        <f t="shared" si="12"/>
        <v>0</v>
      </c>
      <c r="AD46" s="12">
        <f t="shared" si="13"/>
        <v>1</v>
      </c>
      <c r="AE46" s="12">
        <f t="shared" si="14"/>
        <v>0</v>
      </c>
      <c r="AF46" s="12">
        <f t="shared" si="15"/>
        <v>1</v>
      </c>
      <c r="AG46" s="12">
        <f t="shared" si="16"/>
        <v>0</v>
      </c>
      <c r="AH46" s="17">
        <f t="shared" si="17"/>
        <v>0</v>
      </c>
      <c r="AJ46" s="17">
        <f t="shared" si="18"/>
        <v>0</v>
      </c>
      <c r="AK46" s="17">
        <f t="shared" si="19"/>
        <v>0</v>
      </c>
      <c r="AL46" s="17">
        <f t="shared" si="20"/>
        <v>0</v>
      </c>
      <c r="AN46" s="23">
        <f t="shared" si="21"/>
        <v>0</v>
      </c>
      <c r="AP46" s="21" t="str">
        <f t="shared" si="22"/>
        <v/>
      </c>
      <c r="AQ46" s="21" cm="1">
        <f t="array" ref="AQ46">_xlfn.IFNA(INDEX('3.0 Lead Time'!$U$8:$U$65,MATCH(AP46,'3.0 Lead Time'!$A$8:$A$65,0),0),"")</f>
        <v>0</v>
      </c>
    </row>
    <row r="47" spans="1:43" x14ac:dyDescent="0.25">
      <c r="A47" s="10" t="str">
        <f>'1.2 Sorting'!J47</f>
        <v/>
      </c>
      <c r="B47" s="10" cm="1">
        <f t="array" ref="B47">_xlfn.IFNA(INDEX(' 1.0 Asset Data'!B$8:B$80,MATCH($A47,' 1.0 Asset Data'!$A$8:$A$80,0),0),0)</f>
        <v>0</v>
      </c>
      <c r="C47" s="10" cm="1">
        <f t="array" ref="C47">_xlfn.IFNA(INDEX(' 1.0 Asset Data'!C$8:C$80,MATCH($A47,' 1.0 Asset Data'!$A$8:$A$80,0),0),0)</f>
        <v>0</v>
      </c>
      <c r="D47" s="31" cm="1">
        <f t="array" ref="D47">_xlfn.IFNA(INDEX(' 1.0 Asset Data'!F$8:F$80,MATCH($A47,' 1.0 Asset Data'!$A$8:$A$80,0),0),0)</f>
        <v>0</v>
      </c>
      <c r="E47" s="33" cm="1">
        <f t="array" ref="E47">_xlfn.IFNA(INDEX(' 1.0 Asset Data'!E$8:E$80,MATCH($A47,' 1.0 Asset Data'!$A$8:$A$80,0),0),0)</f>
        <v>0</v>
      </c>
      <c r="F47" s="42" cm="1">
        <f t="array" ref="F47">_xlfn.IFNA(INDEX(' 1.0 Asset Data'!P$8:P$80,MATCH($A47,' 1.0 Asset Data'!$A$8:$A$80,0),0),0)</f>
        <v>0</v>
      </c>
      <c r="G47" s="37" cm="1">
        <f t="array" ref="G47">IF($A47="",0,INDEX(' 1.0 Asset Data'!$J$8:$J$75,MATCH($A47,' 1.0 Asset Data'!$A$8:$A$75,0),0))</f>
        <v>0</v>
      </c>
      <c r="H47" s="31" cm="1">
        <f t="array" ref="H47">IF($A47="",0,INDEX(' 1.0 Asset Data'!L$8:L$75,MATCH($A47,' 1.0 Asset Data'!$A$8:$A$75,0),0))</f>
        <v>0</v>
      </c>
      <c r="I47" s="31" cm="1">
        <f t="array" ref="I47">IF($A47="",0,INDEX(' 1.0 Asset Data'!N$8:N$75,MATCH($A47,' 1.0 Asset Data'!$A$8:$A$75,0),0))</f>
        <v>0</v>
      </c>
      <c r="J47" s="31" cm="1">
        <f t="array" ref="J47">IF($A47="",0,INDEX(' 1.0 Asset Data'!M$8:M$75,MATCH($A47,' 1.0 Asset Data'!$A$8:$A$75,0),0))</f>
        <v>0</v>
      </c>
      <c r="L47" s="35">
        <f t="shared" si="0"/>
        <v>37438</v>
      </c>
      <c r="M47" s="56">
        <f t="shared" si="1"/>
        <v>0</v>
      </c>
      <c r="N47" s="17">
        <f t="shared" si="4"/>
        <v>0</v>
      </c>
      <c r="O47" s="24">
        <f t="shared" si="5"/>
        <v>0</v>
      </c>
      <c r="P47" s="34">
        <f t="shared" si="2"/>
        <v>0</v>
      </c>
      <c r="Q47" s="35">
        <f t="shared" si="23"/>
        <v>37438</v>
      </c>
      <c r="R47" s="38">
        <f t="shared" si="3"/>
        <v>-21.998631074606433</v>
      </c>
      <c r="S47" s="17">
        <f>H47/(1+'1.1 Other Data'!$F$14)^'3.1 Mean Time to failure Orig'!$R47</f>
        <v>0</v>
      </c>
      <c r="T47" s="17">
        <f>I47/(1+'1.1 Other Data'!$F$14)^'3.1 Mean Time to failure Orig'!$R47</f>
        <v>0</v>
      </c>
      <c r="U47" s="17">
        <f>J47/(1+'1.1 Other Data'!$F$14)^'3.1 Mean Time to failure Orig'!$R47</f>
        <v>0</v>
      </c>
      <c r="W47" s="12">
        <f t="shared" si="7"/>
        <v>0</v>
      </c>
      <c r="X47" s="38">
        <f t="shared" si="8"/>
        <v>0</v>
      </c>
      <c r="Y47" s="12">
        <f>IF(A47="",0,'1.1 Other Data'!$B$38-OriginalDate-W47)</f>
        <v>0</v>
      </c>
      <c r="Z47" s="15">
        <f t="shared" si="9"/>
        <v>0</v>
      </c>
      <c r="AA47" s="24">
        <f t="shared" si="10"/>
        <v>0</v>
      </c>
      <c r="AB47" s="24">
        <f t="shared" si="11"/>
        <v>0</v>
      </c>
      <c r="AC47" s="12">
        <f t="shared" si="12"/>
        <v>0</v>
      </c>
      <c r="AD47" s="12">
        <f t="shared" si="13"/>
        <v>1</v>
      </c>
      <c r="AE47" s="12">
        <f t="shared" si="14"/>
        <v>0</v>
      </c>
      <c r="AF47" s="12">
        <f t="shared" si="15"/>
        <v>1</v>
      </c>
      <c r="AG47" s="12">
        <f t="shared" si="16"/>
        <v>0</v>
      </c>
      <c r="AH47" s="17">
        <f t="shared" si="17"/>
        <v>0</v>
      </c>
      <c r="AJ47" s="17">
        <f t="shared" si="18"/>
        <v>0</v>
      </c>
      <c r="AK47" s="17">
        <f t="shared" si="19"/>
        <v>0</v>
      </c>
      <c r="AL47" s="17">
        <f t="shared" si="20"/>
        <v>0</v>
      </c>
      <c r="AN47" s="23">
        <f t="shared" si="21"/>
        <v>0</v>
      </c>
      <c r="AP47" s="21" t="str">
        <f t="shared" si="22"/>
        <v/>
      </c>
      <c r="AQ47" s="21" cm="1">
        <f t="array" ref="AQ47">_xlfn.IFNA(INDEX('3.0 Lead Time'!$U$8:$U$65,MATCH(AP47,'3.0 Lead Time'!$A$8:$A$65,0),0),"")</f>
        <v>0</v>
      </c>
    </row>
    <row r="48" spans="1:43" x14ac:dyDescent="0.25">
      <c r="A48" s="10" t="str">
        <f>'1.2 Sorting'!J48</f>
        <v/>
      </c>
      <c r="B48" s="10" cm="1">
        <f t="array" ref="B48">_xlfn.IFNA(INDEX(' 1.0 Asset Data'!B$8:B$80,MATCH($A48,' 1.0 Asset Data'!$A$8:$A$80,0),0),0)</f>
        <v>0</v>
      </c>
      <c r="C48" s="10" cm="1">
        <f t="array" ref="C48">_xlfn.IFNA(INDEX(' 1.0 Asset Data'!C$8:C$80,MATCH($A48,' 1.0 Asset Data'!$A$8:$A$80,0),0),0)</f>
        <v>0</v>
      </c>
      <c r="D48" s="31" cm="1">
        <f t="array" ref="D48">_xlfn.IFNA(INDEX(' 1.0 Asset Data'!F$8:F$80,MATCH($A48,' 1.0 Asset Data'!$A$8:$A$80,0),0),0)</f>
        <v>0</v>
      </c>
      <c r="E48" s="33" cm="1">
        <f t="array" ref="E48">_xlfn.IFNA(INDEX(' 1.0 Asset Data'!E$8:E$80,MATCH($A48,' 1.0 Asset Data'!$A$8:$A$80,0),0),0)</f>
        <v>0</v>
      </c>
      <c r="F48" s="42" cm="1">
        <f t="array" ref="F48">_xlfn.IFNA(INDEX(' 1.0 Asset Data'!P$8:P$80,MATCH($A48,' 1.0 Asset Data'!$A$8:$A$80,0),0),0)</f>
        <v>0</v>
      </c>
      <c r="G48" s="37" cm="1">
        <f t="array" ref="G48">IF($A48="",0,INDEX(' 1.0 Asset Data'!$J$8:$J$75,MATCH($A48,' 1.0 Asset Data'!$A$8:$A$75,0),0))</f>
        <v>0</v>
      </c>
      <c r="H48" s="31" cm="1">
        <f t="array" ref="H48">IF($A48="",0,INDEX(' 1.0 Asset Data'!L$8:L$75,MATCH($A48,' 1.0 Asset Data'!$A$8:$A$75,0),0))</f>
        <v>0</v>
      </c>
      <c r="I48" s="31" cm="1">
        <f t="array" ref="I48">IF($A48="",0,INDEX(' 1.0 Asset Data'!N$8:N$75,MATCH($A48,' 1.0 Asset Data'!$A$8:$A$75,0),0))</f>
        <v>0</v>
      </c>
      <c r="J48" s="31" cm="1">
        <f t="array" ref="J48">IF($A48="",0,INDEX(' 1.0 Asset Data'!M$8:M$75,MATCH($A48,' 1.0 Asset Data'!$A$8:$A$75,0),0))</f>
        <v>0</v>
      </c>
      <c r="L48" s="35">
        <f t="shared" si="0"/>
        <v>37438</v>
      </c>
      <c r="M48" s="56">
        <f t="shared" si="1"/>
        <v>0</v>
      </c>
      <c r="N48" s="17">
        <f t="shared" si="4"/>
        <v>0</v>
      </c>
      <c r="O48" s="24">
        <f t="shared" si="5"/>
        <v>0</v>
      </c>
      <c r="P48" s="34">
        <f t="shared" si="2"/>
        <v>0</v>
      </c>
      <c r="Q48" s="35">
        <f t="shared" si="23"/>
        <v>37438</v>
      </c>
      <c r="R48" s="38">
        <f t="shared" si="3"/>
        <v>-21.998631074606433</v>
      </c>
      <c r="S48" s="17">
        <f>H48/(1+'1.1 Other Data'!$F$14)^'3.1 Mean Time to failure Orig'!$R48</f>
        <v>0</v>
      </c>
      <c r="T48" s="17">
        <f>I48/(1+'1.1 Other Data'!$F$14)^'3.1 Mean Time to failure Orig'!$R48</f>
        <v>0</v>
      </c>
      <c r="U48" s="17">
        <f>J48/(1+'1.1 Other Data'!$F$14)^'3.1 Mean Time to failure Orig'!$R48</f>
        <v>0</v>
      </c>
      <c r="W48" s="12">
        <f t="shared" si="7"/>
        <v>0</v>
      </c>
      <c r="X48" s="38">
        <f t="shared" si="8"/>
        <v>0</v>
      </c>
      <c r="Y48" s="12">
        <f>IF(A48="",0,'1.1 Other Data'!$B$38-OriginalDate-W48)</f>
        <v>0</v>
      </c>
      <c r="Z48" s="15">
        <f t="shared" si="9"/>
        <v>0</v>
      </c>
      <c r="AA48" s="24">
        <f t="shared" si="10"/>
        <v>0</v>
      </c>
      <c r="AB48" s="24">
        <f t="shared" si="11"/>
        <v>0</v>
      </c>
      <c r="AC48" s="12">
        <f t="shared" si="12"/>
        <v>0</v>
      </c>
      <c r="AD48" s="12">
        <f t="shared" si="13"/>
        <v>1</v>
      </c>
      <c r="AE48" s="12">
        <f t="shared" si="14"/>
        <v>0</v>
      </c>
      <c r="AF48" s="12">
        <f t="shared" si="15"/>
        <v>1</v>
      </c>
      <c r="AG48" s="12">
        <f t="shared" si="16"/>
        <v>0</v>
      </c>
      <c r="AH48" s="17">
        <f t="shared" si="17"/>
        <v>0</v>
      </c>
      <c r="AJ48" s="17">
        <f t="shared" si="18"/>
        <v>0</v>
      </c>
      <c r="AK48" s="17">
        <f t="shared" si="19"/>
        <v>0</v>
      </c>
      <c r="AL48" s="17">
        <f t="shared" si="20"/>
        <v>0</v>
      </c>
      <c r="AN48" s="23">
        <f t="shared" si="21"/>
        <v>0</v>
      </c>
      <c r="AP48" s="21" t="str">
        <f t="shared" si="22"/>
        <v/>
      </c>
      <c r="AQ48" s="21" cm="1">
        <f t="array" ref="AQ48">_xlfn.IFNA(INDEX('3.0 Lead Time'!$U$8:$U$65,MATCH(AP48,'3.0 Lead Time'!$A$8:$A$65,0),0),"")</f>
        <v>0</v>
      </c>
    </row>
    <row r="49" spans="1:43" x14ac:dyDescent="0.25">
      <c r="A49" s="10" t="str">
        <f>'1.2 Sorting'!J49</f>
        <v/>
      </c>
      <c r="B49" s="10" cm="1">
        <f t="array" ref="B49">_xlfn.IFNA(INDEX(' 1.0 Asset Data'!B$8:B$80,MATCH($A49,' 1.0 Asset Data'!$A$8:$A$80,0),0),0)</f>
        <v>0</v>
      </c>
      <c r="C49" s="10" cm="1">
        <f t="array" ref="C49">_xlfn.IFNA(INDEX(' 1.0 Asset Data'!C$8:C$80,MATCH($A49,' 1.0 Asset Data'!$A$8:$A$80,0),0),0)</f>
        <v>0</v>
      </c>
      <c r="D49" s="31" cm="1">
        <f t="array" ref="D49">_xlfn.IFNA(INDEX(' 1.0 Asset Data'!F$8:F$80,MATCH($A49,' 1.0 Asset Data'!$A$8:$A$80,0),0),0)</f>
        <v>0</v>
      </c>
      <c r="E49" s="33" cm="1">
        <f t="array" ref="E49">_xlfn.IFNA(INDEX(' 1.0 Asset Data'!E$8:E$80,MATCH($A49,' 1.0 Asset Data'!$A$8:$A$80,0),0),0)</f>
        <v>0</v>
      </c>
      <c r="F49" s="42" cm="1">
        <f t="array" ref="F49">_xlfn.IFNA(INDEX(' 1.0 Asset Data'!P$8:P$80,MATCH($A49,' 1.0 Asset Data'!$A$8:$A$80,0),0),0)</f>
        <v>0</v>
      </c>
      <c r="G49" s="37" cm="1">
        <f t="array" ref="G49">IF($A49="",0,INDEX(' 1.0 Asset Data'!$J$8:$J$75,MATCH($A49,' 1.0 Asset Data'!$A$8:$A$75,0),0))</f>
        <v>0</v>
      </c>
      <c r="H49" s="31" cm="1">
        <f t="array" ref="H49">IF($A49="",0,INDEX(' 1.0 Asset Data'!L$8:L$75,MATCH($A49,' 1.0 Asset Data'!$A$8:$A$75,0),0))</f>
        <v>0</v>
      </c>
      <c r="I49" s="31" cm="1">
        <f t="array" ref="I49">IF($A49="",0,INDEX(' 1.0 Asset Data'!N$8:N$75,MATCH($A49,' 1.0 Asset Data'!$A$8:$A$75,0),0))</f>
        <v>0</v>
      </c>
      <c r="J49" s="31" cm="1">
        <f t="array" ref="J49">IF($A49="",0,INDEX(' 1.0 Asset Data'!M$8:M$75,MATCH($A49,' 1.0 Asset Data'!$A$8:$A$75,0),0))</f>
        <v>0</v>
      </c>
      <c r="L49" s="35">
        <f t="shared" si="0"/>
        <v>37438</v>
      </c>
      <c r="M49" s="56">
        <f t="shared" si="1"/>
        <v>0</v>
      </c>
      <c r="N49" s="17">
        <f t="shared" si="4"/>
        <v>0</v>
      </c>
      <c r="O49" s="24">
        <f t="shared" si="5"/>
        <v>0</v>
      </c>
      <c r="P49" s="34">
        <f t="shared" si="2"/>
        <v>0</v>
      </c>
      <c r="Q49" s="35">
        <f t="shared" si="23"/>
        <v>37438</v>
      </c>
      <c r="R49" s="38">
        <f t="shared" si="3"/>
        <v>-21.998631074606433</v>
      </c>
      <c r="S49" s="17">
        <f>H49/(1+'1.1 Other Data'!$F$14)^'3.1 Mean Time to failure Orig'!$R49</f>
        <v>0</v>
      </c>
      <c r="T49" s="17">
        <f>I49/(1+'1.1 Other Data'!$F$14)^'3.1 Mean Time to failure Orig'!$R49</f>
        <v>0</v>
      </c>
      <c r="U49" s="17">
        <f>J49/(1+'1.1 Other Data'!$F$14)^'3.1 Mean Time to failure Orig'!$R49</f>
        <v>0</v>
      </c>
      <c r="W49" s="12">
        <f t="shared" si="7"/>
        <v>0</v>
      </c>
      <c r="X49" s="38">
        <f t="shared" si="8"/>
        <v>0</v>
      </c>
      <c r="Y49" s="12">
        <f>IF(A49="",0,'1.1 Other Data'!$B$38-OriginalDate-W49)</f>
        <v>0</v>
      </c>
      <c r="Z49" s="15">
        <f t="shared" si="9"/>
        <v>0</v>
      </c>
      <c r="AA49" s="24">
        <f t="shared" si="10"/>
        <v>0</v>
      </c>
      <c r="AB49" s="24">
        <f t="shared" si="11"/>
        <v>0</v>
      </c>
      <c r="AC49" s="12">
        <f t="shared" si="12"/>
        <v>0</v>
      </c>
      <c r="AD49" s="12">
        <f t="shared" si="13"/>
        <v>1</v>
      </c>
      <c r="AE49" s="12">
        <f t="shared" si="14"/>
        <v>0</v>
      </c>
      <c r="AF49" s="12">
        <f t="shared" si="15"/>
        <v>1</v>
      </c>
      <c r="AG49" s="12">
        <f t="shared" si="16"/>
        <v>0</v>
      </c>
      <c r="AH49" s="17">
        <f t="shared" si="17"/>
        <v>0</v>
      </c>
      <c r="AJ49" s="17">
        <f t="shared" si="18"/>
        <v>0</v>
      </c>
      <c r="AK49" s="17">
        <f t="shared" si="19"/>
        <v>0</v>
      </c>
      <c r="AL49" s="17">
        <f t="shared" si="20"/>
        <v>0</v>
      </c>
      <c r="AN49" s="23">
        <f t="shared" si="21"/>
        <v>0</v>
      </c>
      <c r="AP49" s="21" t="str">
        <f t="shared" si="22"/>
        <v/>
      </c>
      <c r="AQ49" s="21" cm="1">
        <f t="array" ref="AQ49">_xlfn.IFNA(INDEX('3.0 Lead Time'!$U$8:$U$65,MATCH(AP49,'3.0 Lead Time'!$A$8:$A$65,0),0),"")</f>
        <v>0</v>
      </c>
    </row>
    <row r="50" spans="1:43" x14ac:dyDescent="0.25">
      <c r="A50" s="10" t="str">
        <f>'1.2 Sorting'!J50</f>
        <v/>
      </c>
      <c r="B50" s="10" cm="1">
        <f t="array" ref="B50">_xlfn.IFNA(INDEX(' 1.0 Asset Data'!B$8:B$80,MATCH($A50,' 1.0 Asset Data'!$A$8:$A$80,0),0),0)</f>
        <v>0</v>
      </c>
      <c r="C50" s="10" cm="1">
        <f t="array" ref="C50">_xlfn.IFNA(INDEX(' 1.0 Asset Data'!C$8:C$80,MATCH($A50,' 1.0 Asset Data'!$A$8:$A$80,0),0),0)</f>
        <v>0</v>
      </c>
      <c r="D50" s="31" cm="1">
        <f t="array" ref="D50">_xlfn.IFNA(INDEX(' 1.0 Asset Data'!F$8:F$80,MATCH($A50,' 1.0 Asset Data'!$A$8:$A$80,0),0),0)</f>
        <v>0</v>
      </c>
      <c r="E50" s="33" cm="1">
        <f t="array" ref="E50">_xlfn.IFNA(INDEX(' 1.0 Asset Data'!E$8:E$80,MATCH($A50,' 1.0 Asset Data'!$A$8:$A$80,0),0),0)</f>
        <v>0</v>
      </c>
      <c r="F50" s="42" cm="1">
        <f t="array" ref="F50">_xlfn.IFNA(INDEX(' 1.0 Asset Data'!P$8:P$80,MATCH($A50,' 1.0 Asset Data'!$A$8:$A$80,0),0),0)</f>
        <v>0</v>
      </c>
      <c r="G50" s="37" cm="1">
        <f t="array" ref="G50">IF($A50="",0,INDEX(' 1.0 Asset Data'!$J$8:$J$75,MATCH($A50,' 1.0 Asset Data'!$A$8:$A$75,0),0))</f>
        <v>0</v>
      </c>
      <c r="H50" s="31" cm="1">
        <f t="array" ref="H50">IF($A50="",0,INDEX(' 1.0 Asset Data'!L$8:L$75,MATCH($A50,' 1.0 Asset Data'!$A$8:$A$75,0),0))</f>
        <v>0</v>
      </c>
      <c r="I50" s="31" cm="1">
        <f t="array" ref="I50">IF($A50="",0,INDEX(' 1.0 Asset Data'!N$8:N$75,MATCH($A50,' 1.0 Asset Data'!$A$8:$A$75,0),0))</f>
        <v>0</v>
      </c>
      <c r="J50" s="31" cm="1">
        <f t="array" ref="J50">IF($A50="",0,INDEX(' 1.0 Asset Data'!M$8:M$75,MATCH($A50,' 1.0 Asset Data'!$A$8:$A$75,0),0))</f>
        <v>0</v>
      </c>
      <c r="L50" s="35">
        <f t="shared" si="0"/>
        <v>37438</v>
      </c>
      <c r="M50" s="56">
        <f t="shared" si="1"/>
        <v>0</v>
      </c>
      <c r="N50" s="17">
        <f t="shared" si="4"/>
        <v>0</v>
      </c>
      <c r="O50" s="24">
        <f t="shared" si="5"/>
        <v>0</v>
      </c>
      <c r="P50" s="34">
        <f t="shared" si="2"/>
        <v>0</v>
      </c>
      <c r="Q50" s="35">
        <f t="shared" si="23"/>
        <v>37438</v>
      </c>
      <c r="R50" s="38">
        <f t="shared" si="3"/>
        <v>-21.998631074606433</v>
      </c>
      <c r="S50" s="17">
        <f>H50/(1+'1.1 Other Data'!$F$14)^'3.1 Mean Time to failure Orig'!$R50</f>
        <v>0</v>
      </c>
      <c r="T50" s="17">
        <f>I50/(1+'1.1 Other Data'!$F$14)^'3.1 Mean Time to failure Orig'!$R50</f>
        <v>0</v>
      </c>
      <c r="U50" s="17">
        <f>J50/(1+'1.1 Other Data'!$F$14)^'3.1 Mean Time to failure Orig'!$R50</f>
        <v>0</v>
      </c>
      <c r="W50" s="12">
        <f t="shared" si="7"/>
        <v>0</v>
      </c>
      <c r="X50" s="38">
        <f t="shared" si="8"/>
        <v>0</v>
      </c>
      <c r="Y50" s="12">
        <f>IF(A50="",0,'1.1 Other Data'!$B$38-OriginalDate-W50)</f>
        <v>0</v>
      </c>
      <c r="Z50" s="15">
        <f t="shared" si="9"/>
        <v>0</v>
      </c>
      <c r="AA50" s="24">
        <f t="shared" si="10"/>
        <v>0</v>
      </c>
      <c r="AB50" s="24">
        <f t="shared" si="11"/>
        <v>0</v>
      </c>
      <c r="AC50" s="12">
        <f t="shared" si="12"/>
        <v>0</v>
      </c>
      <c r="AD50" s="12">
        <f t="shared" si="13"/>
        <v>1</v>
      </c>
      <c r="AE50" s="12">
        <f t="shared" si="14"/>
        <v>0</v>
      </c>
      <c r="AF50" s="12">
        <f t="shared" si="15"/>
        <v>1</v>
      </c>
      <c r="AG50" s="12">
        <f t="shared" si="16"/>
        <v>0</v>
      </c>
      <c r="AH50" s="17">
        <f t="shared" si="17"/>
        <v>0</v>
      </c>
      <c r="AJ50" s="17">
        <f t="shared" si="18"/>
        <v>0</v>
      </c>
      <c r="AK50" s="17">
        <f t="shared" si="19"/>
        <v>0</v>
      </c>
      <c r="AL50" s="17">
        <f t="shared" si="20"/>
        <v>0</v>
      </c>
      <c r="AN50" s="23">
        <f t="shared" si="21"/>
        <v>0</v>
      </c>
      <c r="AP50" s="21" t="str">
        <f t="shared" si="22"/>
        <v/>
      </c>
      <c r="AQ50" s="21" cm="1">
        <f t="array" ref="AQ50">_xlfn.IFNA(INDEX('3.0 Lead Time'!$U$8:$U$65,MATCH(AP50,'3.0 Lead Time'!$A$8:$A$65,0),0),"")</f>
        <v>0</v>
      </c>
    </row>
  </sheetData>
  <mergeCells count="4">
    <mergeCell ref="A6:J6"/>
    <mergeCell ref="L6:U6"/>
    <mergeCell ref="W6:AH6"/>
    <mergeCell ref="AJ6:A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B9DD-B805-44A6-9165-1C687308C815}">
  <dimension ref="A2:AK48"/>
  <sheetViews>
    <sheetView topLeftCell="S1" zoomScale="115" zoomScaleNormal="115" workbookViewId="0">
      <selection activeCell="AK8" sqref="AK8:AK48"/>
    </sheetView>
  </sheetViews>
  <sheetFormatPr defaultRowHeight="15" x14ac:dyDescent="0.25"/>
  <cols>
    <col min="1" max="1" width="53.42578125" bestFit="1" customWidth="1"/>
    <col min="7" max="7" width="43.42578125" bestFit="1" customWidth="1"/>
    <col min="8" max="8" width="9.85546875" bestFit="1" customWidth="1"/>
    <col min="9" max="10" width="10.85546875" bestFit="1" customWidth="1"/>
    <col min="11" max="11" width="13.42578125" bestFit="1" customWidth="1"/>
    <col min="12" max="13" width="9.85546875" bestFit="1" customWidth="1"/>
    <col min="15" max="15" width="12.140625" customWidth="1"/>
    <col min="17" max="17" width="10.7109375" bestFit="1" customWidth="1"/>
    <col min="18" max="33" width="10.7109375" customWidth="1"/>
    <col min="34" max="34" width="12.85546875" bestFit="1" customWidth="1"/>
    <col min="35" max="35" width="11.140625" bestFit="1" customWidth="1"/>
    <col min="37" max="37" width="10.28515625" bestFit="1" customWidth="1"/>
  </cols>
  <sheetData>
    <row r="2" spans="1:37" x14ac:dyDescent="0.25">
      <c r="L2" t="s">
        <v>27</v>
      </c>
      <c r="M2" t="s">
        <v>28</v>
      </c>
    </row>
    <row r="3" spans="1:37" x14ac:dyDescent="0.25">
      <c r="K3" t="s">
        <v>41</v>
      </c>
      <c r="L3" s="57">
        <f>'1.1 Other Data'!B38</f>
        <v>51866</v>
      </c>
      <c r="M3" s="57">
        <f>L3</f>
        <v>51866</v>
      </c>
      <c r="O3" s="4" t="s">
        <v>138</v>
      </c>
      <c r="P3" s="39">
        <f>FailureThreshold/3</f>
        <v>3.3333333333333333E-2</v>
      </c>
      <c r="AH3" s="21" t="s">
        <v>72</v>
      </c>
      <c r="AI3" s="19">
        <f>SUM(AI8:AI48)</f>
        <v>2570995.7190515678</v>
      </c>
    </row>
    <row r="4" spans="1:37" x14ac:dyDescent="0.25">
      <c r="K4" s="7" t="s">
        <v>40</v>
      </c>
      <c r="L4" s="7">
        <f>ROUNDDOWN(M4/365.25,0)</f>
        <v>17</v>
      </c>
      <c r="M4" s="26">
        <f>M3-CalcDate</f>
        <v>6393</v>
      </c>
      <c r="AH4" s="21" t="s">
        <v>139</v>
      </c>
      <c r="AI4" s="21">
        <f>COUNTIF(AI8:AI48,"&gt;0")</f>
        <v>19</v>
      </c>
    </row>
    <row r="5" spans="1:37" ht="26.25" thickBot="1" x14ac:dyDescent="0.4">
      <c r="A5" s="32" t="str" cm="1">
        <f t="array" aca="1" ref="A5" ca="1">RIGHT(CELL("filename",A2),LEN(CELL("filename",A2))-FIND("]",CELL("filename",A2)))</f>
        <v>3.2 Mean Time to failure Repl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7" ht="18" thickTop="1" thickBot="1" x14ac:dyDescent="0.35">
      <c r="A6" s="64" t="s">
        <v>73</v>
      </c>
      <c r="B6" s="64"/>
      <c r="C6" s="64"/>
      <c r="D6" s="64"/>
      <c r="E6" s="64"/>
      <c r="F6" s="64"/>
      <c r="G6" s="64"/>
      <c r="H6" s="64"/>
      <c r="I6" s="64"/>
      <c r="J6" s="64"/>
      <c r="L6" s="61" t="s">
        <v>74</v>
      </c>
      <c r="M6" s="61"/>
      <c r="N6" s="61"/>
      <c r="O6" s="61"/>
      <c r="P6" s="61"/>
      <c r="Q6" s="61"/>
      <c r="R6" s="16"/>
      <c r="T6" s="65" t="s">
        <v>140</v>
      </c>
      <c r="U6" s="65"/>
      <c r="V6" s="65"/>
      <c r="W6" s="65"/>
      <c r="X6" s="61"/>
      <c r="Z6" s="61"/>
      <c r="AA6" s="61"/>
      <c r="AB6" s="61" t="s">
        <v>141</v>
      </c>
      <c r="AC6" s="61"/>
      <c r="AD6" s="61"/>
      <c r="AE6" s="61"/>
      <c r="AF6" s="61"/>
      <c r="AG6" s="61"/>
      <c r="AH6" s="61"/>
    </row>
    <row r="7" spans="1:37" ht="78" thickTop="1" thickBot="1" x14ac:dyDescent="0.3">
      <c r="A7" s="8" t="str">
        <f>'3.1 Mean Time to failure Orig'!A7</f>
        <v>Asset</v>
      </c>
      <c r="B7" s="6" t="s">
        <v>142</v>
      </c>
      <c r="C7" s="6" t="s">
        <v>143</v>
      </c>
      <c r="D7" s="6" t="s">
        <v>144</v>
      </c>
      <c r="E7" s="6" t="s">
        <v>107</v>
      </c>
      <c r="F7" s="6" t="s">
        <v>108</v>
      </c>
      <c r="G7" s="6" t="s">
        <v>88</v>
      </c>
      <c r="H7" s="6" t="s">
        <v>109</v>
      </c>
      <c r="I7" s="6" t="s">
        <v>110</v>
      </c>
      <c r="J7" s="6" t="s">
        <v>111</v>
      </c>
      <c r="L7" s="20" t="s">
        <v>145</v>
      </c>
      <c r="M7" s="6" t="s">
        <v>113</v>
      </c>
      <c r="N7" s="6" t="s">
        <v>114</v>
      </c>
      <c r="O7" s="6" t="s">
        <v>146</v>
      </c>
      <c r="P7" s="44" t="s">
        <v>147</v>
      </c>
      <c r="Q7" s="6" t="str">
        <f>"Days to reach  critical failure rate"</f>
        <v>Days to reach  critical failure rate</v>
      </c>
      <c r="R7" s="6" t="str">
        <f>"Years to reach Critical Failure Rate"</f>
        <v>Years to reach Critical Failure Rate</v>
      </c>
      <c r="T7" s="6" t="str">
        <f>"PV "&amp;I7</f>
        <v>PV Alternative (Mid point)</v>
      </c>
      <c r="U7" s="6" t="s">
        <v>148</v>
      </c>
      <c r="V7" s="6" t="s">
        <v>149</v>
      </c>
      <c r="W7" s="6" t="s">
        <v>150</v>
      </c>
      <c r="X7" s="6" t="s">
        <v>151</v>
      </c>
      <c r="Z7" s="20" t="s">
        <v>152</v>
      </c>
      <c r="AA7" s="20" t="s">
        <v>153</v>
      </c>
      <c r="AB7" s="6" t="s">
        <v>154</v>
      </c>
      <c r="AC7" s="6" t="s">
        <v>155</v>
      </c>
      <c r="AD7" s="6" t="s">
        <v>156</v>
      </c>
      <c r="AE7" s="6" t="s">
        <v>157</v>
      </c>
      <c r="AF7" s="6" t="s">
        <v>158</v>
      </c>
      <c r="AG7" s="6" t="s">
        <v>159</v>
      </c>
      <c r="AH7" s="6" t="s">
        <v>160</v>
      </c>
      <c r="AI7" s="6" t="s">
        <v>96</v>
      </c>
      <c r="AK7" s="6" t="s">
        <v>190</v>
      </c>
    </row>
    <row r="8" spans="1:37" x14ac:dyDescent="0.25">
      <c r="A8" s="10" t="str">
        <f>'1.2 Sorting'!K8</f>
        <v>Spare 24</v>
      </c>
      <c r="B8" s="10" cm="1">
        <f t="array" ref="B8">_xlfn.IFNA(INDEX(' 1.0 Asset Data'!B$8:B$80,MATCH($A8,' 1.0 Asset Data'!$A$8:$A$80,0),0),0)</f>
        <v>6</v>
      </c>
      <c r="C8" s="10" cm="1">
        <f t="array" ref="C8">_xlfn.IFNA(INDEX(' 1.0 Asset Data'!C$8:C$80,MATCH($A8,' 1.0 Asset Data'!$A$8:$A$80,0),0),0)</f>
        <v>1</v>
      </c>
      <c r="D8" s="31" cm="1">
        <f t="array" ref="D8">_xlfn.IFNA(INDEX(' 1.0 Asset Data'!F$8:F$80,MATCH($A8,' 1.0 Asset Data'!$A$8:$A$80,0),0),0)</f>
        <v>11668.619179003888</v>
      </c>
      <c r="E8" s="60" cm="1">
        <f t="array" ref="E8">_xlfn.IFNA(INDEX(' 1.0 Asset Data'!E$8:E$80,MATCH($A8,' 1.0 Asset Data'!$A$8:$A$80,0),0),0)</f>
        <v>9.9863999999999994E-2</v>
      </c>
      <c r="F8" s="31" cm="1">
        <f t="array" ref="F8">_xlfn.IFNA(INDEX(' 1.0 Asset Data'!P$8:P$80,MATCH($A8,' 1.0 Asset Data'!$A$8:$A$80,0),0),0)</f>
        <v>10.013618521188818</v>
      </c>
      <c r="G8" s="37" t="str" cm="1">
        <f t="array" ref="G8">IF($A8="",0,INDEX(' 1.0 Asset Data'!J$8:J$75,MATCH($A8,' 1.0 Asset Data'!$A$8:$A$75,0),0))</f>
        <v>Re-engineer, asset offline for lead time (at least)</v>
      </c>
      <c r="H8" s="31" cm="1">
        <f t="array" ref="H8">IF($A8="",0,INDEX(' 1.0 Asset Data'!L$8:L$75,MATCH($A8,' 1.0 Asset Data'!$A$8:$A$75,0),0))</f>
        <v>200000</v>
      </c>
      <c r="I8" s="31" cm="1">
        <f t="array" ref="I8">IF($A8="",0,INDEX(' 1.0 Asset Data'!N$8:N$75,MATCH($A8,' 1.0 Asset Data'!$A$8:$A$75,0),0))</f>
        <v>300000</v>
      </c>
      <c r="J8" s="31" cm="1">
        <f t="array" ref="J8">IF($A8="",0,INDEX(' 1.0 Asset Data'!M$8:M$75,MATCH($A8,' 1.0 Asset Data'!$A$8:$A$75,0),0))</f>
        <v>400000</v>
      </c>
      <c r="L8" s="46">
        <f>IFERROR($E8/$B8,0)</f>
        <v>1.6643999999999999E-2</v>
      </c>
      <c r="M8" s="15">
        <f t="shared" ref="M8:M48" si="0">$F8*$P$3</f>
        <v>0.33378728403962726</v>
      </c>
      <c r="N8" s="17">
        <f>ROUNDDOWN(M8*3*365.25,0)</f>
        <v>365</v>
      </c>
      <c r="O8" s="12">
        <f>ROUNDUP($F8*365.15+N8,0)</f>
        <v>4022</v>
      </c>
      <c r="P8" s="24">
        <f t="shared" ref="P8" si="1">IFERROR((50%/L8)^(1/O8)-1,0)</f>
        <v>8.4634459788768268E-4</v>
      </c>
      <c r="Q8" s="34">
        <f t="shared" ref="Q8:Q48" si="2">IF($A8="",0,LN(FailureThreshold/L8)/LN(1+P8))</f>
        <v>2119.5610998586262</v>
      </c>
      <c r="R8" s="15">
        <f>Q8/365.25</f>
        <v>5.8030420256225224</v>
      </c>
      <c r="T8" s="12">
        <f t="shared" ref="T8" si="3">I8/(1+NominalWACC)^$R8</f>
        <v>213644.67215733696</v>
      </c>
      <c r="U8" s="12">
        <f>I8-T8</f>
        <v>86355.327842663042</v>
      </c>
      <c r="V8" s="51">
        <f>D8</f>
        <v>11668.619179003888</v>
      </c>
      <c r="W8" s="12">
        <f>U8-V8</f>
        <v>74686.708663659156</v>
      </c>
      <c r="X8" s="21" t="str">
        <f>IF(A8="","",IF(W8&lt;0,"Don't buy spares","Buy Spares"))</f>
        <v>Buy Spares</v>
      </c>
      <c r="Z8" s="42">
        <f>IF(A8="","",'1.1 Other Data'!$B$32)</f>
        <v>8035</v>
      </c>
      <c r="AA8" s="59">
        <f>IF(X8="Buy Spares",ROUNDDOWN(Z8/O8,0),0)</f>
        <v>1</v>
      </c>
      <c r="AB8" s="43">
        <f>IF(A8="","",'1.1 Other Data'!$B$29+AA8*O8)</f>
        <v>41460</v>
      </c>
      <c r="AC8" s="59">
        <f>IF(AB8="","",$M$3-AB8)</f>
        <v>10406</v>
      </c>
      <c r="AD8" s="5">
        <f>ROUNDDOWN(F8*365.25,0)</f>
        <v>3657</v>
      </c>
      <c r="AE8" s="5">
        <f>IF(A8="","",ROUNDDOWN(AC8/AD8,0))</f>
        <v>2</v>
      </c>
      <c r="AF8" s="5">
        <f>IF(A8="","",AC8-ROUNDDOWN(AE8*F8*365.25,0))</f>
        <v>3092</v>
      </c>
      <c r="AG8" s="7">
        <f>ROUNDUP(AF8/Q8,0)</f>
        <v>2</v>
      </c>
      <c r="AH8" s="7">
        <f>IF(X8="Buy Spares",AG8+AE8,0)</f>
        <v>4</v>
      </c>
      <c r="AI8" s="19">
        <f>AH8*D8</f>
        <v>46674.476716015553</v>
      </c>
      <c r="AK8" s="23" t="str" cm="1">
        <f t="array" ref="AK8">_xlfn.IFNA(INDEX('3.0 Lead Time'!$U$8:$U$65,MATCH(A8,'3.0 Lead Time'!$A$8:$A$65,0),0),"")</f>
        <v/>
      </c>
    </row>
    <row r="9" spans="1:37" x14ac:dyDescent="0.25">
      <c r="A9" s="10" t="str">
        <f>'1.2 Sorting'!K9</f>
        <v>Spare 25</v>
      </c>
      <c r="B9" s="10" cm="1">
        <f t="array" ref="B9">_xlfn.IFNA(INDEX(' 1.0 Asset Data'!B$8:B$80,MATCH($A9,' 1.0 Asset Data'!$A$8:$A$80,0),0),0)</f>
        <v>27</v>
      </c>
      <c r="C9" s="10" cm="1">
        <f t="array" ref="C9">_xlfn.IFNA(INDEX(' 1.0 Asset Data'!C$8:C$80,MATCH($A9,' 1.0 Asset Data'!$A$8:$A$80,0),0),0)</f>
        <v>1</v>
      </c>
      <c r="D9" s="31" cm="1">
        <f t="array" ref="D9">_xlfn.IFNA(INDEX(' 1.0 Asset Data'!F$8:F$80,MATCH($A9,' 1.0 Asset Data'!$A$8:$A$80,0),0),0)</f>
        <v>93348.953432031107</v>
      </c>
      <c r="E9" s="60" cm="1">
        <f t="array" ref="E9">_xlfn.IFNA(INDEX(' 1.0 Asset Data'!E$8:E$80,MATCH($A9,' 1.0 Asset Data'!$A$8:$A$80,0),0),0)</f>
        <v>0.23967359999999996</v>
      </c>
      <c r="F9" s="31" cm="1">
        <f t="array" ref="F9">_xlfn.IFNA(INDEX(' 1.0 Asset Data'!P$8:P$80,MATCH($A9,' 1.0 Asset Data'!$A$8:$A$80,0),0),0)</f>
        <v>4.1723410504953407</v>
      </c>
      <c r="G9" s="37" t="str" cm="1">
        <f t="array" ref="G9">IF($A9="",0,INDEX(' 1.0 Asset Data'!J$8:J$75,MATCH($A9,' 1.0 Asset Data'!$A$8:$A$75,0),0))</f>
        <v>Re-engineer, asset offline for lead time (at least)</v>
      </c>
      <c r="H9" s="31" cm="1">
        <f t="array" ref="H9">IF($A9="",0,INDEX(' 1.0 Asset Data'!L$8:L$75,MATCH($A9,' 1.0 Asset Data'!$A$8:$A$75,0),0))</f>
        <v>500000</v>
      </c>
      <c r="I9" s="31" cm="1">
        <f t="array" ref="I9">IF($A9="",0,INDEX(' 1.0 Asset Data'!N$8:N$75,MATCH($A9,' 1.0 Asset Data'!$A$8:$A$75,0),0))</f>
        <v>750000</v>
      </c>
      <c r="J9" s="31" cm="1">
        <f t="array" ref="J9">IF($A9="",0,INDEX(' 1.0 Asset Data'!M$8:M$75,MATCH($A9,' 1.0 Asset Data'!$A$8:$A$75,0),0))</f>
        <v>1000000</v>
      </c>
      <c r="L9" s="46">
        <f t="shared" ref="L9:L48" si="4">IFERROR($E9/$B9,0)</f>
        <v>8.8767999999999989E-3</v>
      </c>
      <c r="M9" s="15">
        <f t="shared" si="0"/>
        <v>0.13907803501651136</v>
      </c>
      <c r="N9" s="17">
        <f t="shared" ref="N9:N48" si="5">ROUNDDOWN(M9*3*365.25,0)</f>
        <v>152</v>
      </c>
      <c r="O9" s="12">
        <f t="shared" ref="O9:O48" si="6">ROUNDUP($F9*365.15+N9,0)</f>
        <v>1676</v>
      </c>
      <c r="P9" s="24">
        <f t="shared" ref="P9:P48" si="7">IFERROR((50%/L9)^(1/O9)-1,0)</f>
        <v>2.4081257753698626E-3</v>
      </c>
      <c r="Q9" s="34">
        <f t="shared" si="2"/>
        <v>1006.8592862796028</v>
      </c>
      <c r="R9" s="15">
        <f t="shared" ref="R9:R48" si="8">Q9/365.25</f>
        <v>2.7566304894718763</v>
      </c>
      <c r="T9" s="12">
        <f t="shared" ref="T9:T48" si="9">I9/(1+NominalWACC)^$R9</f>
        <v>638304.17604226898</v>
      </c>
      <c r="U9" s="12">
        <f t="shared" ref="U9:U48" si="10">I9-T9</f>
        <v>111695.82395773102</v>
      </c>
      <c r="V9" s="51">
        <f t="shared" ref="V9:V48" si="11">D9</f>
        <v>93348.953432031107</v>
      </c>
      <c r="W9" s="12">
        <f t="shared" ref="W9:W48" si="12">U9-V9</f>
        <v>18346.870525699909</v>
      </c>
      <c r="X9" s="21" t="str">
        <f t="shared" ref="X9:X48" si="13">IF(A9="","",IF(W9&lt;0,"Don't buy spares","Buy Spares"))</f>
        <v>Buy Spares</v>
      </c>
      <c r="Z9" s="42">
        <f>IF(A9="","",'1.1 Other Data'!$B$32)</f>
        <v>8035</v>
      </c>
      <c r="AA9" s="59">
        <f t="shared" ref="AA9:AA47" si="14">IF(X9="Buy Spares",ROUNDDOWN(Z9/O9,0),0)</f>
        <v>4</v>
      </c>
      <c r="AB9" s="43">
        <f>IF(A9="","",'1.1 Other Data'!$B$29+AA9*O9)</f>
        <v>44142</v>
      </c>
      <c r="AC9" s="59">
        <f t="shared" ref="AC9:AC48" si="15">IF(AB9="","",$M$3-AB9)</f>
        <v>7724</v>
      </c>
      <c r="AD9" s="5">
        <f t="shared" ref="AD9:AD48" si="16">ROUNDDOWN(F9*365.25,0)</f>
        <v>1523</v>
      </c>
      <c r="AE9" s="5">
        <f t="shared" ref="AE9:AE48" si="17">IF(A9="","",ROUNDDOWN(AC9/AD9,0))</f>
        <v>5</v>
      </c>
      <c r="AF9" s="5">
        <f t="shared" ref="AF9:AF48" si="18">IF(A9="","",AC9-ROUNDDOWN(AE9*F9*365.25,0))</f>
        <v>105</v>
      </c>
      <c r="AG9" s="7">
        <f t="shared" ref="AG9:AG48" si="19">ROUNDUP(AF9/Q9,0)</f>
        <v>1</v>
      </c>
      <c r="AH9" s="7">
        <f t="shared" ref="AH9:AH48" si="20">IF(X9="Buy Spares",AG9+AE9,0)</f>
        <v>6</v>
      </c>
      <c r="AI9" s="19">
        <f t="shared" ref="AI9:AI48" si="21">AH9*D9</f>
        <v>560093.72059218667</v>
      </c>
      <c r="AK9" s="23" t="str" cm="1">
        <f t="array" ref="AK9">_xlfn.IFNA(INDEX('3.0 Lead Time'!$U$8:$U$65,MATCH(A9,'3.0 Lead Time'!$A$8:$A$65,0),0),"")</f>
        <v/>
      </c>
    </row>
    <row r="10" spans="1:37" x14ac:dyDescent="0.25">
      <c r="A10" s="10" t="str">
        <f>'1.2 Sorting'!K10</f>
        <v>Spare 26</v>
      </c>
      <c r="B10" s="10" cm="1">
        <f t="array" ref="B10">_xlfn.IFNA(INDEX(' 1.0 Asset Data'!B$8:B$80,MATCH($A10,' 1.0 Asset Data'!$A$8:$A$80,0),0),0)</f>
        <v>9</v>
      </c>
      <c r="C10" s="10" cm="1">
        <f t="array" ref="C10">_xlfn.IFNA(INDEX(' 1.0 Asset Data'!C$8:C$80,MATCH($A10,' 1.0 Asset Data'!$A$8:$A$80,0),0),0)</f>
        <v>1</v>
      </c>
      <c r="D10" s="31" cm="1">
        <f t="array" ref="D10">_xlfn.IFNA(INDEX(' 1.0 Asset Data'!F$8:F$80,MATCH($A10,' 1.0 Asset Data'!$A$8:$A$80,0),0),0)</f>
        <v>93348.953432031107</v>
      </c>
      <c r="E10" s="60" cm="1">
        <f t="array" ref="E10">_xlfn.IFNA(INDEX(' 1.0 Asset Data'!E$8:E$80,MATCH($A10,' 1.0 Asset Data'!$A$8:$A$80,0),0),0)</f>
        <v>7.9891199999999996E-2</v>
      </c>
      <c r="F10" s="31" cm="1">
        <f t="array" ref="F10">_xlfn.IFNA(INDEX(' 1.0 Asset Data'!P$8:P$80,MATCH($A10,' 1.0 Asset Data'!$A$8:$A$80,0),0),0)</f>
        <v>12.517023151486022</v>
      </c>
      <c r="G10" s="37" t="str" cm="1">
        <f t="array" ref="G10">IF($A10="",0,INDEX(' 1.0 Asset Data'!J$8:J$75,MATCH($A10,' 1.0 Asset Data'!$A$8:$A$75,0),0))</f>
        <v>Re-engineer, asset offline for lead time (at least)</v>
      </c>
      <c r="H10" s="31" cm="1">
        <f t="array" ref="H10">IF($A10="",0,INDEX(' 1.0 Asset Data'!L$8:L$75,MATCH($A10,' 1.0 Asset Data'!$A$8:$A$75,0),0))</f>
        <v>500000</v>
      </c>
      <c r="I10" s="31" cm="1">
        <f t="array" ref="I10">IF($A10="",0,INDEX(' 1.0 Asset Data'!N$8:N$75,MATCH($A10,' 1.0 Asset Data'!$A$8:$A$75,0),0))</f>
        <v>750000</v>
      </c>
      <c r="J10" s="31" cm="1">
        <f t="array" ref="J10">IF($A10="",0,INDEX(' 1.0 Asset Data'!M$8:M$75,MATCH($A10,' 1.0 Asset Data'!$A$8:$A$75,0),0))</f>
        <v>1000000</v>
      </c>
      <c r="L10" s="46">
        <f t="shared" si="4"/>
        <v>8.8767999999999989E-3</v>
      </c>
      <c r="M10" s="15">
        <f t="shared" si="0"/>
        <v>0.41723410504953407</v>
      </c>
      <c r="N10" s="17">
        <f t="shared" si="5"/>
        <v>457</v>
      </c>
      <c r="O10" s="12">
        <f t="shared" si="6"/>
        <v>5028</v>
      </c>
      <c r="P10" s="24">
        <f t="shared" si="7"/>
        <v>8.0206511135538783E-4</v>
      </c>
      <c r="Q10" s="34">
        <f t="shared" si="2"/>
        <v>3020.5778588386588</v>
      </c>
      <c r="R10" s="15">
        <f t="shared" si="8"/>
        <v>8.2698914684152189</v>
      </c>
      <c r="T10" s="12">
        <f t="shared" si="9"/>
        <v>462339.00127314363</v>
      </c>
      <c r="U10" s="12">
        <f t="shared" si="10"/>
        <v>287660.99872685637</v>
      </c>
      <c r="V10" s="51">
        <f t="shared" si="11"/>
        <v>93348.953432031107</v>
      </c>
      <c r="W10" s="12">
        <f t="shared" si="12"/>
        <v>194312.04529482528</v>
      </c>
      <c r="X10" s="21" t="str">
        <f t="shared" si="13"/>
        <v>Buy Spares</v>
      </c>
      <c r="Z10" s="42">
        <f>IF(A10="","",'1.1 Other Data'!$B$32)</f>
        <v>8035</v>
      </c>
      <c r="AA10" s="59">
        <f t="shared" si="14"/>
        <v>1</v>
      </c>
      <c r="AB10" s="43">
        <f>IF(A10="","",'1.1 Other Data'!$B$29+AA10*O10)</f>
        <v>42466</v>
      </c>
      <c r="AC10" s="59">
        <f t="shared" si="15"/>
        <v>9400</v>
      </c>
      <c r="AD10" s="5">
        <f t="shared" si="16"/>
        <v>4571</v>
      </c>
      <c r="AE10" s="5">
        <f t="shared" si="17"/>
        <v>2</v>
      </c>
      <c r="AF10" s="5">
        <f t="shared" si="18"/>
        <v>257</v>
      </c>
      <c r="AG10" s="7">
        <f t="shared" si="19"/>
        <v>1</v>
      </c>
      <c r="AH10" s="7">
        <f t="shared" si="20"/>
        <v>3</v>
      </c>
      <c r="AI10" s="19">
        <f t="shared" si="21"/>
        <v>280046.86029609333</v>
      </c>
      <c r="AK10" s="23" t="str" cm="1">
        <f t="array" ref="AK10">_xlfn.IFNA(INDEX('3.0 Lead Time'!$U$8:$U$65,MATCH(A10,'3.0 Lead Time'!$A$8:$A$65,0),0),"")</f>
        <v/>
      </c>
    </row>
    <row r="11" spans="1:37" x14ac:dyDescent="0.25">
      <c r="A11" s="10" t="str">
        <f>'1.2 Sorting'!K11</f>
        <v>Spare 27</v>
      </c>
      <c r="B11" s="10" cm="1">
        <f t="array" ref="B11">_xlfn.IFNA(INDEX(' 1.0 Asset Data'!B$8:B$80,MATCH($A11,' 1.0 Asset Data'!$A$8:$A$80,0),0),0)</f>
        <v>6</v>
      </c>
      <c r="C11" s="10" cm="1">
        <f t="array" ref="C11">_xlfn.IFNA(INDEX(' 1.0 Asset Data'!C$8:C$80,MATCH($A11,' 1.0 Asset Data'!$A$8:$A$80,0),0),0)</f>
        <v>1</v>
      </c>
      <c r="D11" s="31" cm="1">
        <f t="array" ref="D11">_xlfn.IFNA(INDEX(' 1.0 Asset Data'!F$8:F$80,MATCH($A11,' 1.0 Asset Data'!$A$8:$A$80,0),0),0)</f>
        <v>11668.619179003888</v>
      </c>
      <c r="E11" s="60" cm="1">
        <f t="array" ref="E11">_xlfn.IFNA(INDEX(' 1.0 Asset Data'!E$8:E$80,MATCH($A11,' 1.0 Asset Data'!$A$8:$A$80,0),0),0)</f>
        <v>5.3260799999999997E-2</v>
      </c>
      <c r="F11" s="31" cm="1">
        <f t="array" ref="F11">_xlfn.IFNA(INDEX(' 1.0 Asset Data'!P$8:P$80,MATCH($A11,' 1.0 Asset Data'!$A$8:$A$80,0),0),0)</f>
        <v>18.775534727229033</v>
      </c>
      <c r="G11" s="37" t="str" cm="1">
        <f t="array" ref="G11">IF($A11="",0,INDEX(' 1.0 Asset Data'!J$8:J$75,MATCH($A11,' 1.0 Asset Data'!$A$8:$A$75,0),0))</f>
        <v>Re-engineer, asset offline for lead time (at least)</v>
      </c>
      <c r="H11" s="31" cm="1">
        <f t="array" ref="H11">IF($A11="",0,INDEX(' 1.0 Asset Data'!L$8:L$75,MATCH($A11,' 1.0 Asset Data'!$A$8:$A$75,0),0))</f>
        <v>500000</v>
      </c>
      <c r="I11" s="31" cm="1">
        <f t="array" ref="I11">IF($A11="",0,INDEX(' 1.0 Asset Data'!N$8:N$75,MATCH($A11,' 1.0 Asset Data'!$A$8:$A$75,0),0))</f>
        <v>750000</v>
      </c>
      <c r="J11" s="31" cm="1">
        <f t="array" ref="J11">IF($A11="",0,INDEX(' 1.0 Asset Data'!M$8:M$75,MATCH($A11,' 1.0 Asset Data'!$A$8:$A$75,0),0))</f>
        <v>1000000</v>
      </c>
      <c r="L11" s="46">
        <f t="shared" si="4"/>
        <v>8.8767999999999989E-3</v>
      </c>
      <c r="M11" s="15">
        <f t="shared" si="0"/>
        <v>0.6258511575743011</v>
      </c>
      <c r="N11" s="17">
        <f t="shared" si="5"/>
        <v>685</v>
      </c>
      <c r="O11" s="12">
        <f t="shared" si="6"/>
        <v>7541</v>
      </c>
      <c r="P11" s="24">
        <f t="shared" si="7"/>
        <v>5.3470953751677541E-4</v>
      </c>
      <c r="Q11" s="34">
        <f t="shared" si="2"/>
        <v>4530.2660368946972</v>
      </c>
      <c r="R11" s="15">
        <f t="shared" si="8"/>
        <v>12.403192435029972</v>
      </c>
      <c r="T11" s="12">
        <f t="shared" si="9"/>
        <v>363037.88651338482</v>
      </c>
      <c r="U11" s="12">
        <f t="shared" si="10"/>
        <v>386962.11348661518</v>
      </c>
      <c r="V11" s="51">
        <f t="shared" si="11"/>
        <v>11668.619179003888</v>
      </c>
      <c r="W11" s="12">
        <f t="shared" si="12"/>
        <v>375293.49430761131</v>
      </c>
      <c r="X11" s="21" t="str">
        <f t="shared" si="13"/>
        <v>Buy Spares</v>
      </c>
      <c r="Z11" s="42">
        <f>IF(A11="","",'1.1 Other Data'!$B$32)</f>
        <v>8035</v>
      </c>
      <c r="AA11" s="59">
        <f t="shared" si="14"/>
        <v>1</v>
      </c>
      <c r="AB11" s="43">
        <f>IF(A11="","",'1.1 Other Data'!$B$29+AA11*O11)</f>
        <v>44979</v>
      </c>
      <c r="AC11" s="59">
        <f t="shared" si="15"/>
        <v>6887</v>
      </c>
      <c r="AD11" s="5">
        <f t="shared" si="16"/>
        <v>6857</v>
      </c>
      <c r="AE11" s="5">
        <f t="shared" si="17"/>
        <v>1</v>
      </c>
      <c r="AF11" s="5">
        <f t="shared" si="18"/>
        <v>30</v>
      </c>
      <c r="AG11" s="7">
        <f t="shared" si="19"/>
        <v>1</v>
      </c>
      <c r="AH11" s="7">
        <f t="shared" si="20"/>
        <v>2</v>
      </c>
      <c r="AI11" s="19">
        <f t="shared" si="21"/>
        <v>23337.238358007777</v>
      </c>
      <c r="AK11" s="23" t="str" cm="1">
        <f t="array" ref="AK11">_xlfn.IFNA(INDEX('3.0 Lead Time'!$U$8:$U$65,MATCH(A11,'3.0 Lead Time'!$A$8:$A$65,0),0),"")</f>
        <v/>
      </c>
    </row>
    <row r="12" spans="1:37" x14ac:dyDescent="0.25">
      <c r="A12" s="10" t="str">
        <f>'1.2 Sorting'!K12</f>
        <v>Spare 31</v>
      </c>
      <c r="B12" s="10" cm="1">
        <f t="array" ref="B12">_xlfn.IFNA(INDEX(' 1.0 Asset Data'!B$8:B$80,MATCH($A12,' 1.0 Asset Data'!$A$8:$A$80,0),0),0)</f>
        <v>45</v>
      </c>
      <c r="C12" s="10" cm="1">
        <f t="array" ref="C12">_xlfn.IFNA(INDEX(' 1.0 Asset Data'!C$8:C$80,MATCH($A12,' 1.0 Asset Data'!$A$8:$A$80,0),0),0)</f>
        <v>0</v>
      </c>
      <c r="D12" s="31" cm="1">
        <f t="array" ref="D12">_xlfn.IFNA(INDEX(' 1.0 Asset Data'!F$8:F$80,MATCH($A12,' 1.0 Asset Data'!$A$8:$A$80,0),0),0)</f>
        <v>11822.64495216674</v>
      </c>
      <c r="E12" s="60" cm="1">
        <f t="array" ref="E12">_xlfn.IFNA(INDEX(' 1.0 Asset Data'!E$8:E$80,MATCH($A12,' 1.0 Asset Data'!$A$8:$A$80,0),0),0)</f>
        <v>0.16674659999999999</v>
      </c>
      <c r="F12" s="31" cm="1">
        <f t="array" ref="F12">_xlfn.IFNA(INDEX(' 1.0 Asset Data'!P$8:P$80,MATCH($A12,' 1.0 Asset Data'!$A$8:$A$80,0),0),0)</f>
        <v>5.9971237794353831</v>
      </c>
      <c r="G12" s="37" t="str" cm="1">
        <f t="array" ref="G12">IF($A12="",0,INDEX(' 1.0 Asset Data'!J$8:J$75,MATCH($A12,' 1.0 Asset Data'!$A$8:$A$75,0),0))</f>
        <v>Re-engineer, asset offline for lead time (at least)</v>
      </c>
      <c r="H12" s="31" cm="1">
        <f t="array" ref="H12">IF($A12="",0,INDEX(' 1.0 Asset Data'!L$8:L$75,MATCH($A12,' 1.0 Asset Data'!$A$8:$A$75,0),0))</f>
        <v>200000</v>
      </c>
      <c r="I12" s="31" cm="1">
        <f t="array" ref="I12">IF($A12="",0,INDEX(' 1.0 Asset Data'!N$8:N$75,MATCH($A12,' 1.0 Asset Data'!$A$8:$A$75,0),0))</f>
        <v>300000</v>
      </c>
      <c r="J12" s="31" cm="1">
        <f t="array" ref="J12">IF($A12="",0,INDEX(' 1.0 Asset Data'!M$8:M$75,MATCH($A12,' 1.0 Asset Data'!$A$8:$A$75,0),0))</f>
        <v>400000</v>
      </c>
      <c r="L12" s="46">
        <f t="shared" si="4"/>
        <v>3.7054799999999997E-3</v>
      </c>
      <c r="M12" s="15">
        <f t="shared" si="0"/>
        <v>0.19990412598117943</v>
      </c>
      <c r="N12" s="17">
        <f t="shared" si="5"/>
        <v>219</v>
      </c>
      <c r="O12" s="12">
        <f t="shared" si="6"/>
        <v>2409</v>
      </c>
      <c r="P12" s="24">
        <f t="shared" si="7"/>
        <v>2.0381037102774613E-3</v>
      </c>
      <c r="Q12" s="34">
        <f t="shared" si="2"/>
        <v>1618.5213563217833</v>
      </c>
      <c r="R12" s="15">
        <f t="shared" si="8"/>
        <v>4.4312699693957107</v>
      </c>
      <c r="T12" s="12">
        <f t="shared" si="9"/>
        <v>231495.53703509545</v>
      </c>
      <c r="U12" s="12">
        <f t="shared" si="10"/>
        <v>68504.462964904553</v>
      </c>
      <c r="V12" s="51">
        <f t="shared" si="11"/>
        <v>11822.64495216674</v>
      </c>
      <c r="W12" s="12">
        <f t="shared" si="12"/>
        <v>56681.818012737815</v>
      </c>
      <c r="X12" s="21" t="str">
        <f t="shared" si="13"/>
        <v>Buy Spares</v>
      </c>
      <c r="Z12" s="42">
        <f>IF(A12="","",'1.1 Other Data'!$B$32)</f>
        <v>8035</v>
      </c>
      <c r="AA12" s="59">
        <f t="shared" si="14"/>
        <v>3</v>
      </c>
      <c r="AB12" s="43">
        <f>IF(A12="","",'1.1 Other Data'!$B$29+AA12*O12)</f>
        <v>44665</v>
      </c>
      <c r="AC12" s="59">
        <f t="shared" si="15"/>
        <v>7201</v>
      </c>
      <c r="AD12" s="5">
        <f t="shared" si="16"/>
        <v>2190</v>
      </c>
      <c r="AE12" s="5">
        <f t="shared" si="17"/>
        <v>3</v>
      </c>
      <c r="AF12" s="5">
        <f t="shared" si="18"/>
        <v>630</v>
      </c>
      <c r="AG12" s="7">
        <f t="shared" si="19"/>
        <v>1</v>
      </c>
      <c r="AH12" s="7">
        <f t="shared" si="20"/>
        <v>4</v>
      </c>
      <c r="AI12" s="19">
        <f t="shared" si="21"/>
        <v>47290.57980866696</v>
      </c>
      <c r="AK12" s="23" t="str" cm="1">
        <f t="array" ref="AK12">_xlfn.IFNA(INDEX('3.0 Lead Time'!$U$8:$U$65,MATCH(A12,'3.0 Lead Time'!$A$8:$A$65,0),0),"")</f>
        <v/>
      </c>
    </row>
    <row r="13" spans="1:37" x14ac:dyDescent="0.25">
      <c r="A13" s="10" t="str">
        <f>'1.2 Sorting'!K13</f>
        <v>Spare 34</v>
      </c>
      <c r="B13" s="10" cm="1">
        <f t="array" ref="B13">_xlfn.IFNA(INDEX(' 1.0 Asset Data'!B$8:B$80,MATCH($A13,' 1.0 Asset Data'!$A$8:$A$80,0),0),0)</f>
        <v>18</v>
      </c>
      <c r="C13" s="10" cm="1">
        <f t="array" ref="C13">_xlfn.IFNA(INDEX(' 1.0 Asset Data'!C$8:C$80,MATCH($A13,' 1.0 Asset Data'!$A$8:$A$80,0),0),0)</f>
        <v>1</v>
      </c>
      <c r="D13" s="31" cm="1">
        <f t="array" ref="D13">_xlfn.IFNA(INDEX(' 1.0 Asset Data'!F$8:F$80,MATCH($A13,' 1.0 Asset Data'!$A$8:$A$80,0),0),0)</f>
        <v>58343.095895019447</v>
      </c>
      <c r="E13" s="60" cm="1">
        <f t="array" ref="E13">_xlfn.IFNA(INDEX(' 1.0 Asset Data'!E$8:E$80,MATCH($A13,' 1.0 Asset Data'!$A$8:$A$80,0),0),0)</f>
        <v>4.6357919999999997E-2</v>
      </c>
      <c r="F13" s="31" cm="1">
        <f t="array" ref="F13">_xlfn.IFNA(INDEX(' 1.0 Asset Data'!P$8:P$80,MATCH($A13,' 1.0 Asset Data'!$A$8:$A$80,0),0),0)</f>
        <v>21.571287063785434</v>
      </c>
      <c r="G13" s="37" t="str" cm="1">
        <f t="array" ref="G13">IF($A13="",0,INDEX(' 1.0 Asset Data'!J$8:J$75,MATCH($A13,' 1.0 Asset Data'!$A$8:$A$75,0),0))</f>
        <v>Re-engineer, asset offline for lead time (at least)</v>
      </c>
      <c r="H13" s="31" cm="1">
        <f t="array" ref="H13">IF($A13="",0,INDEX(' 1.0 Asset Data'!L$8:L$75,MATCH($A13,' 1.0 Asset Data'!$A$8:$A$75,0),0))</f>
        <v>200000</v>
      </c>
      <c r="I13" s="31" cm="1">
        <f t="array" ref="I13">IF($A13="",0,INDEX(' 1.0 Asset Data'!N$8:N$75,MATCH($A13,' 1.0 Asset Data'!$A$8:$A$75,0),0))</f>
        <v>300000</v>
      </c>
      <c r="J13" s="31" cm="1">
        <f t="array" ref="J13">IF($A13="",0,INDEX(' 1.0 Asset Data'!M$8:M$75,MATCH($A13,' 1.0 Asset Data'!$A$8:$A$75,0),0))</f>
        <v>400000</v>
      </c>
      <c r="L13" s="46">
        <f t="shared" si="4"/>
        <v>2.57544E-3</v>
      </c>
      <c r="M13" s="15">
        <f t="shared" si="0"/>
        <v>0.71904290212618116</v>
      </c>
      <c r="N13" s="17">
        <f t="shared" si="5"/>
        <v>787</v>
      </c>
      <c r="O13" s="12">
        <f t="shared" si="6"/>
        <v>8664</v>
      </c>
      <c r="P13" s="24">
        <f t="shared" si="7"/>
        <v>6.0828600493967322E-4</v>
      </c>
      <c r="Q13" s="34">
        <f t="shared" si="2"/>
        <v>6017.3381517425942</v>
      </c>
      <c r="R13" s="15">
        <f t="shared" si="8"/>
        <v>16.474573995188486</v>
      </c>
      <c r="T13" s="12">
        <f t="shared" si="9"/>
        <v>114439.63257896672</v>
      </c>
      <c r="U13" s="12">
        <f t="shared" si="10"/>
        <v>185560.36742103327</v>
      </c>
      <c r="V13" s="51">
        <f t="shared" si="11"/>
        <v>58343.095895019447</v>
      </c>
      <c r="W13" s="12">
        <f t="shared" si="12"/>
        <v>127217.27152601382</v>
      </c>
      <c r="X13" s="21" t="str">
        <f t="shared" si="13"/>
        <v>Buy Spares</v>
      </c>
      <c r="Z13" s="42">
        <f>IF(A13="","",'1.1 Other Data'!$B$32)</f>
        <v>8035</v>
      </c>
      <c r="AA13" s="59">
        <f t="shared" si="14"/>
        <v>0</v>
      </c>
      <c r="AB13" s="43">
        <f>IF(A13="","",'1.1 Other Data'!$B$29+AA13*O13)</f>
        <v>37438</v>
      </c>
      <c r="AC13" s="59">
        <f t="shared" si="15"/>
        <v>14428</v>
      </c>
      <c r="AD13" s="5">
        <f t="shared" si="16"/>
        <v>7878</v>
      </c>
      <c r="AE13" s="5">
        <f t="shared" si="17"/>
        <v>1</v>
      </c>
      <c r="AF13" s="5">
        <f t="shared" si="18"/>
        <v>6550</v>
      </c>
      <c r="AG13" s="7">
        <f t="shared" si="19"/>
        <v>2</v>
      </c>
      <c r="AH13" s="7">
        <f t="shared" si="20"/>
        <v>3</v>
      </c>
      <c r="AI13" s="19">
        <f t="shared" si="21"/>
        <v>175029.28768505834</v>
      </c>
      <c r="AK13" s="23" t="str" cm="1">
        <f t="array" ref="AK13">_xlfn.IFNA(INDEX('3.0 Lead Time'!$U$8:$U$65,MATCH(A13,'3.0 Lead Time'!$A$8:$A$65,0),0),"")</f>
        <v/>
      </c>
    </row>
    <row r="14" spans="1:37" x14ac:dyDescent="0.25">
      <c r="A14" s="10" t="str">
        <f>'1.2 Sorting'!K14</f>
        <v>Spare 35</v>
      </c>
      <c r="B14" s="10" cm="1">
        <f t="array" ref="B14">_xlfn.IFNA(INDEX(' 1.0 Asset Data'!B$8:B$80,MATCH($A14,' 1.0 Asset Data'!$A$8:$A$80,0),0),0)</f>
        <v>75</v>
      </c>
      <c r="C14" s="10" cm="1">
        <f t="array" ref="C14">_xlfn.IFNA(INDEX(' 1.0 Asset Data'!C$8:C$80,MATCH($A14,' 1.0 Asset Data'!$A$8:$A$80,0),0),0)</f>
        <v>3</v>
      </c>
      <c r="D14" s="31" cm="1">
        <f t="array" ref="D14">_xlfn.IFNA(INDEX(' 1.0 Asset Data'!F$8:F$80,MATCH($A14,' 1.0 Asset Data'!$A$8:$A$80,0),0),0)</f>
        <v>12972.145131590691</v>
      </c>
      <c r="E14" s="60" cm="1">
        <f t="array" ref="E14">_xlfn.IFNA(INDEX(' 1.0 Asset Data'!E$8:E$80,MATCH($A14,' 1.0 Asset Data'!$A$8:$A$80,0),0),0)</f>
        <v>0.2217375</v>
      </c>
      <c r="F14" s="31" cm="1">
        <f t="array" ref="F14">_xlfn.IFNA(INDEX(' 1.0 Asset Data'!P$8:P$80,MATCH($A14,' 1.0 Asset Data'!$A$8:$A$80,0),0),0)</f>
        <v>4.5098370821354079</v>
      </c>
      <c r="G14" s="37" t="str" cm="1">
        <f t="array" ref="G14">IF($A14="",0,INDEX(' 1.0 Asset Data'!J$8:J$75,MATCH($A14,' 1.0 Asset Data'!$A$8:$A$75,0),0))</f>
        <v>Re-engineer, asset offline for lead time (at least)</v>
      </c>
      <c r="H14" s="31" cm="1">
        <f t="array" ref="H14">IF($A14="",0,INDEX(' 1.0 Asset Data'!L$8:L$75,MATCH($A14,' 1.0 Asset Data'!$A$8:$A$75,0),0))</f>
        <v>200000</v>
      </c>
      <c r="I14" s="31" cm="1">
        <f t="array" ref="I14">IF($A14="",0,INDEX(' 1.0 Asset Data'!N$8:N$75,MATCH($A14,' 1.0 Asset Data'!$A$8:$A$75,0),0))</f>
        <v>300000</v>
      </c>
      <c r="J14" s="31" cm="1">
        <f t="array" ref="J14">IF($A14="",0,INDEX(' 1.0 Asset Data'!M$8:M$75,MATCH($A14,' 1.0 Asset Data'!$A$8:$A$75,0),0))</f>
        <v>400000</v>
      </c>
      <c r="L14" s="46">
        <f t="shared" si="4"/>
        <v>2.9564999999999999E-3</v>
      </c>
      <c r="M14" s="15">
        <f t="shared" si="0"/>
        <v>0.15032790273784694</v>
      </c>
      <c r="N14" s="17">
        <f t="shared" si="5"/>
        <v>164</v>
      </c>
      <c r="O14" s="12">
        <f t="shared" si="6"/>
        <v>1811</v>
      </c>
      <c r="P14" s="24">
        <f t="shared" si="7"/>
        <v>2.837038311938711E-3</v>
      </c>
      <c r="Q14" s="34">
        <f t="shared" si="2"/>
        <v>1242.9005682132042</v>
      </c>
      <c r="R14" s="15">
        <f t="shared" si="8"/>
        <v>3.4028762990094572</v>
      </c>
      <c r="T14" s="12">
        <f t="shared" si="9"/>
        <v>245849.58457569266</v>
      </c>
      <c r="U14" s="12">
        <f t="shared" si="10"/>
        <v>54150.415424307343</v>
      </c>
      <c r="V14" s="51">
        <f t="shared" si="11"/>
        <v>12972.145131590691</v>
      </c>
      <c r="W14" s="12">
        <f t="shared" si="12"/>
        <v>41178.270292716654</v>
      </c>
      <c r="X14" s="21" t="str">
        <f t="shared" si="13"/>
        <v>Buy Spares</v>
      </c>
      <c r="Z14" s="42">
        <f>IF(A14="","",'1.1 Other Data'!$B$32)</f>
        <v>8035</v>
      </c>
      <c r="AA14" s="59">
        <f t="shared" si="14"/>
        <v>4</v>
      </c>
      <c r="AB14" s="43">
        <f>IF(A14="","",'1.1 Other Data'!$B$29+AA14*O14)</f>
        <v>44682</v>
      </c>
      <c r="AC14" s="59">
        <f t="shared" si="15"/>
        <v>7184</v>
      </c>
      <c r="AD14" s="5">
        <f t="shared" si="16"/>
        <v>1647</v>
      </c>
      <c r="AE14" s="5">
        <f t="shared" si="17"/>
        <v>4</v>
      </c>
      <c r="AF14" s="5">
        <f t="shared" si="18"/>
        <v>596</v>
      </c>
      <c r="AG14" s="7">
        <f t="shared" si="19"/>
        <v>1</v>
      </c>
      <c r="AH14" s="7">
        <f t="shared" si="20"/>
        <v>5</v>
      </c>
      <c r="AI14" s="19">
        <f t="shared" si="21"/>
        <v>64860.725657953451</v>
      </c>
      <c r="AK14" s="23" t="str" cm="1">
        <f t="array" ref="AK14">_xlfn.IFNA(INDEX('3.0 Lead Time'!$U$8:$U$65,MATCH(A14,'3.0 Lead Time'!$A$8:$A$65,0),0),"")</f>
        <v/>
      </c>
    </row>
    <row r="15" spans="1:37" x14ac:dyDescent="0.25">
      <c r="A15" s="10" t="str">
        <f>'1.2 Sorting'!K15</f>
        <v>Spare 37</v>
      </c>
      <c r="B15" s="10" cm="1">
        <f t="array" ref="B15">_xlfn.IFNA(INDEX(' 1.0 Asset Data'!B$8:B$80,MATCH($A15,' 1.0 Asset Data'!$A$8:$A$80,0),0),0)</f>
        <v>60</v>
      </c>
      <c r="C15" s="10" cm="1">
        <f t="array" ref="C15">_xlfn.IFNA(INDEX(' 1.0 Asset Data'!C$8:C$80,MATCH($A15,' 1.0 Asset Data'!$A$8:$A$80,0),0),0)</f>
        <v>2</v>
      </c>
      <c r="D15" s="31" cm="1">
        <f t="array" ref="D15">_xlfn.IFNA(INDEX(' 1.0 Asset Data'!F$8:F$80,MATCH($A15,' 1.0 Asset Data'!$A$8:$A$80,0),0),0)</f>
        <v>10313.980006965381</v>
      </c>
      <c r="E15" s="60" cm="1">
        <f t="array" ref="E15">_xlfn.IFNA(INDEX(' 1.0 Asset Data'!E$8:E$80,MATCH($A15,' 1.0 Asset Data'!$A$8:$A$80,0),0),0)</f>
        <v>0.14191200000000001</v>
      </c>
      <c r="F15" s="31" cm="1">
        <f t="array" ref="F15">_xlfn.IFNA(INDEX(' 1.0 Asset Data'!P$8:P$80,MATCH($A15,' 1.0 Asset Data'!$A$8:$A$80,0),0),0)</f>
        <v>7.0466204408365742</v>
      </c>
      <c r="G15" s="37" t="str" cm="1">
        <f t="array" ref="G15">IF($A15="",0,INDEX(' 1.0 Asset Data'!J$8:J$75,MATCH($A15,' 1.0 Asset Data'!$A$8:$A$75,0),0))</f>
        <v>Re-engineer, asset offline for lead time (at least)</v>
      </c>
      <c r="H15" s="31" cm="1">
        <f t="array" ref="H15">IF($A15="",0,INDEX(' 1.0 Asset Data'!L$8:L$75,MATCH($A15,' 1.0 Asset Data'!$A$8:$A$75,0),0))</f>
        <v>200000</v>
      </c>
      <c r="I15" s="31" cm="1">
        <f t="array" ref="I15">IF($A15="",0,INDEX(' 1.0 Asset Data'!N$8:N$75,MATCH($A15,' 1.0 Asset Data'!$A$8:$A$75,0),0))</f>
        <v>300000</v>
      </c>
      <c r="J15" s="31" cm="1">
        <f t="array" ref="J15">IF($A15="",0,INDEX(' 1.0 Asset Data'!M$8:M$75,MATCH($A15,' 1.0 Asset Data'!$A$8:$A$75,0),0))</f>
        <v>400000</v>
      </c>
      <c r="L15" s="46">
        <f t="shared" si="4"/>
        <v>2.3652E-3</v>
      </c>
      <c r="M15" s="15">
        <f t="shared" si="0"/>
        <v>0.2348873480278858</v>
      </c>
      <c r="N15" s="17">
        <f t="shared" si="5"/>
        <v>257</v>
      </c>
      <c r="O15" s="12">
        <f t="shared" si="6"/>
        <v>2831</v>
      </c>
      <c r="P15" s="24">
        <f t="shared" si="7"/>
        <v>1.8929039135673342E-3</v>
      </c>
      <c r="Q15" s="34">
        <f t="shared" si="2"/>
        <v>1979.9474576914213</v>
      </c>
      <c r="R15" s="15">
        <f t="shared" si="8"/>
        <v>5.4208007055206604</v>
      </c>
      <c r="T15" s="12">
        <f t="shared" si="9"/>
        <v>218475.67962499321</v>
      </c>
      <c r="U15" s="12">
        <f t="shared" si="10"/>
        <v>81524.320375006791</v>
      </c>
      <c r="V15" s="51">
        <f t="shared" si="11"/>
        <v>10313.980006965381</v>
      </c>
      <c r="W15" s="12">
        <f t="shared" si="12"/>
        <v>71210.340368041405</v>
      </c>
      <c r="X15" s="21" t="str">
        <f t="shared" si="13"/>
        <v>Buy Spares</v>
      </c>
      <c r="Z15" s="42">
        <f>IF(A15="","",'1.1 Other Data'!$B$32)</f>
        <v>8035</v>
      </c>
      <c r="AA15" s="59">
        <f t="shared" si="14"/>
        <v>2</v>
      </c>
      <c r="AB15" s="43">
        <f>IF(A15="","",'1.1 Other Data'!$B$29+AA15*O15)</f>
        <v>43100</v>
      </c>
      <c r="AC15" s="59">
        <f t="shared" si="15"/>
        <v>8766</v>
      </c>
      <c r="AD15" s="5">
        <f t="shared" si="16"/>
        <v>2573</v>
      </c>
      <c r="AE15" s="5">
        <f t="shared" si="17"/>
        <v>3</v>
      </c>
      <c r="AF15" s="5">
        <f t="shared" si="18"/>
        <v>1045</v>
      </c>
      <c r="AG15" s="7">
        <f t="shared" si="19"/>
        <v>1</v>
      </c>
      <c r="AH15" s="7">
        <f t="shared" si="20"/>
        <v>4</v>
      </c>
      <c r="AI15" s="19">
        <f t="shared" si="21"/>
        <v>41255.920027861524</v>
      </c>
      <c r="AK15" s="23" t="str" cm="1">
        <f t="array" ref="AK15">_xlfn.IFNA(INDEX('3.0 Lead Time'!$U$8:$U$65,MATCH(A15,'3.0 Lead Time'!$A$8:$A$65,0),0),"")</f>
        <v/>
      </c>
    </row>
    <row r="16" spans="1:37" x14ac:dyDescent="0.25">
      <c r="A16" s="10" t="str">
        <f>'1.2 Sorting'!K16</f>
        <v>Spare 39</v>
      </c>
      <c r="B16" s="10" cm="1">
        <f t="array" ref="B16">_xlfn.IFNA(INDEX(' 1.0 Asset Data'!B$8:B$80,MATCH($A16,' 1.0 Asset Data'!$A$8:$A$80,0),0),0)</f>
        <v>18</v>
      </c>
      <c r="C16" s="10" cm="1">
        <f t="array" ref="C16">_xlfn.IFNA(INDEX(' 1.0 Asset Data'!C$8:C$80,MATCH($A16,' 1.0 Asset Data'!$A$8:$A$80,0),0),0)</f>
        <v>1</v>
      </c>
      <c r="D16" s="31" cm="1">
        <f t="array" ref="D16">_xlfn.IFNA(INDEX(' 1.0 Asset Data'!F$8:F$80,MATCH($A16,' 1.0 Asset Data'!$A$8:$A$80,0),0),0)</f>
        <v>17327.782794628987</v>
      </c>
      <c r="E16" s="60" cm="1">
        <f t="array" ref="E16">_xlfn.IFNA(INDEX(' 1.0 Asset Data'!E$8:E$80,MATCH($A16,' 1.0 Asset Data'!$A$8:$A$80,0),0),0)</f>
        <v>4.6357919999999997E-2</v>
      </c>
      <c r="F16" s="31" cm="1">
        <f t="array" ref="F16">_xlfn.IFNA(INDEX(' 1.0 Asset Data'!P$8:P$80,MATCH($A16,' 1.0 Asset Data'!$A$8:$A$80,0),0),0)</f>
        <v>21.571287063785434</v>
      </c>
      <c r="G16" s="37" t="str" cm="1">
        <f t="array" ref="G16">IF($A16="",0,INDEX(' 1.0 Asset Data'!J$8:J$75,MATCH($A16,' 1.0 Asset Data'!$A$8:$A$75,0),0))</f>
        <v>Re-engineer, asset offline for lead time (at least)</v>
      </c>
      <c r="H16" s="31" cm="1">
        <f t="array" ref="H16">IF($A16="",0,INDEX(' 1.0 Asset Data'!L$8:L$75,MATCH($A16,' 1.0 Asset Data'!$A$8:$A$75,0),0))</f>
        <v>200000</v>
      </c>
      <c r="I16" s="31" cm="1">
        <f t="array" ref="I16">IF($A16="",0,INDEX(' 1.0 Asset Data'!N$8:N$75,MATCH($A16,' 1.0 Asset Data'!$A$8:$A$75,0),0))</f>
        <v>300000</v>
      </c>
      <c r="J16" s="31" cm="1">
        <f t="array" ref="J16">IF($A16="",0,INDEX(' 1.0 Asset Data'!M$8:M$75,MATCH($A16,' 1.0 Asset Data'!$A$8:$A$75,0),0))</f>
        <v>400000</v>
      </c>
      <c r="L16" s="46">
        <f t="shared" si="4"/>
        <v>2.57544E-3</v>
      </c>
      <c r="M16" s="15">
        <f t="shared" si="0"/>
        <v>0.71904290212618116</v>
      </c>
      <c r="N16" s="17">
        <f t="shared" si="5"/>
        <v>787</v>
      </c>
      <c r="O16" s="12">
        <f t="shared" si="6"/>
        <v>8664</v>
      </c>
      <c r="P16" s="24">
        <f t="shared" si="7"/>
        <v>6.0828600493967322E-4</v>
      </c>
      <c r="Q16" s="34">
        <f t="shared" si="2"/>
        <v>6017.3381517425942</v>
      </c>
      <c r="R16" s="15">
        <f t="shared" si="8"/>
        <v>16.474573995188486</v>
      </c>
      <c r="T16" s="12">
        <f t="shared" si="9"/>
        <v>114439.63257896672</v>
      </c>
      <c r="U16" s="12">
        <f t="shared" si="10"/>
        <v>185560.36742103327</v>
      </c>
      <c r="V16" s="51">
        <f t="shared" si="11"/>
        <v>17327.782794628987</v>
      </c>
      <c r="W16" s="12">
        <f t="shared" si="12"/>
        <v>168232.58462640428</v>
      </c>
      <c r="X16" s="21" t="str">
        <f t="shared" si="13"/>
        <v>Buy Spares</v>
      </c>
      <c r="Z16" s="42">
        <f>IF(A16="","",'1.1 Other Data'!$B$32)</f>
        <v>8035</v>
      </c>
      <c r="AA16" s="59">
        <f t="shared" si="14"/>
        <v>0</v>
      </c>
      <c r="AB16" s="43">
        <f>IF(A16="","",'1.1 Other Data'!$B$29+AA16*O16)</f>
        <v>37438</v>
      </c>
      <c r="AC16" s="59">
        <f t="shared" si="15"/>
        <v>14428</v>
      </c>
      <c r="AD16" s="5">
        <f t="shared" si="16"/>
        <v>7878</v>
      </c>
      <c r="AE16" s="5">
        <f t="shared" si="17"/>
        <v>1</v>
      </c>
      <c r="AF16" s="5">
        <f t="shared" si="18"/>
        <v>6550</v>
      </c>
      <c r="AG16" s="7">
        <f t="shared" si="19"/>
        <v>2</v>
      </c>
      <c r="AH16" s="7">
        <f t="shared" si="20"/>
        <v>3</v>
      </c>
      <c r="AI16" s="19">
        <f t="shared" si="21"/>
        <v>51983.348383886958</v>
      </c>
      <c r="AK16" s="23" t="str" cm="1">
        <f t="array" ref="AK16">_xlfn.IFNA(INDEX('3.0 Lead Time'!$U$8:$U$65,MATCH(A16,'3.0 Lead Time'!$A$8:$A$65,0),0),"")</f>
        <v/>
      </c>
    </row>
    <row r="17" spans="1:37" x14ac:dyDescent="0.25">
      <c r="A17" s="10" t="str">
        <f>'1.2 Sorting'!K17</f>
        <v>Spare 40</v>
      </c>
      <c r="B17" s="10" cm="1">
        <f t="array" ref="B17">_xlfn.IFNA(INDEX(' 1.0 Asset Data'!B$8:B$80,MATCH($A17,' 1.0 Asset Data'!$A$8:$A$80,0),0),0)</f>
        <v>18</v>
      </c>
      <c r="C17" s="10" cm="1">
        <f t="array" ref="C17">_xlfn.IFNA(INDEX(' 1.0 Asset Data'!C$8:C$80,MATCH($A17,' 1.0 Asset Data'!$A$8:$A$80,0),0),0)</f>
        <v>0</v>
      </c>
      <c r="D17" s="31" cm="1">
        <f t="array" ref="D17">_xlfn.IFNA(INDEX(' 1.0 Asset Data'!F$8:F$80,MATCH($A17,' 1.0 Asset Data'!$A$8:$A$80,0),0),0)</f>
        <v>5570.1320512892971</v>
      </c>
      <c r="E17" s="60" cm="1">
        <f t="array" ref="E17">_xlfn.IFNA(INDEX(' 1.0 Asset Data'!E$8:E$80,MATCH($A17,' 1.0 Asset Data'!$A$8:$A$80,0),0),0)</f>
        <v>4.6357919999999997E-2</v>
      </c>
      <c r="F17" s="31" cm="1">
        <f t="array" ref="F17">_xlfn.IFNA(INDEX(' 1.0 Asset Data'!P$8:P$80,MATCH($A17,' 1.0 Asset Data'!$A$8:$A$80,0),0),0)</f>
        <v>21.571287063785434</v>
      </c>
      <c r="G17" s="37" t="str" cm="1">
        <f t="array" ref="G17">IF($A17="",0,INDEX(' 1.0 Asset Data'!J$8:J$75,MATCH($A17,' 1.0 Asset Data'!$A$8:$A$75,0),0))</f>
        <v>Re-engineer, asset offline for lead time (at least)</v>
      </c>
      <c r="H17" s="31" cm="1">
        <f t="array" ref="H17">IF($A17="",0,INDEX(' 1.0 Asset Data'!L$8:L$75,MATCH($A17,' 1.0 Asset Data'!$A$8:$A$75,0),0))</f>
        <v>200000</v>
      </c>
      <c r="I17" s="31" cm="1">
        <f t="array" ref="I17">IF($A17="",0,INDEX(' 1.0 Asset Data'!N$8:N$75,MATCH($A17,' 1.0 Asset Data'!$A$8:$A$75,0),0))</f>
        <v>300000</v>
      </c>
      <c r="J17" s="31" cm="1">
        <f t="array" ref="J17">IF($A17="",0,INDEX(' 1.0 Asset Data'!M$8:M$75,MATCH($A17,' 1.0 Asset Data'!$A$8:$A$75,0),0))</f>
        <v>400000</v>
      </c>
      <c r="L17" s="46">
        <f t="shared" si="4"/>
        <v>2.57544E-3</v>
      </c>
      <c r="M17" s="15">
        <f t="shared" si="0"/>
        <v>0.71904290212618116</v>
      </c>
      <c r="N17" s="17">
        <f t="shared" si="5"/>
        <v>787</v>
      </c>
      <c r="O17" s="12">
        <f t="shared" si="6"/>
        <v>8664</v>
      </c>
      <c r="P17" s="24">
        <f t="shared" si="7"/>
        <v>6.0828600493967322E-4</v>
      </c>
      <c r="Q17" s="34">
        <f t="shared" si="2"/>
        <v>6017.3381517425942</v>
      </c>
      <c r="R17" s="15">
        <f t="shared" si="8"/>
        <v>16.474573995188486</v>
      </c>
      <c r="T17" s="12">
        <f t="shared" si="9"/>
        <v>114439.63257896672</v>
      </c>
      <c r="U17" s="12">
        <f t="shared" si="10"/>
        <v>185560.36742103327</v>
      </c>
      <c r="V17" s="51">
        <f t="shared" si="11"/>
        <v>5570.1320512892971</v>
      </c>
      <c r="W17" s="12">
        <f t="shared" si="12"/>
        <v>179990.23536974398</v>
      </c>
      <c r="X17" s="21" t="str">
        <f t="shared" si="13"/>
        <v>Buy Spares</v>
      </c>
      <c r="Z17" s="42">
        <f>IF(A17="","",'1.1 Other Data'!$B$32)</f>
        <v>8035</v>
      </c>
      <c r="AA17" s="59">
        <f t="shared" si="14"/>
        <v>0</v>
      </c>
      <c r="AB17" s="43">
        <f>IF(A17="","",'1.1 Other Data'!$B$29+AA17*O17)</f>
        <v>37438</v>
      </c>
      <c r="AC17" s="59">
        <f t="shared" si="15"/>
        <v>14428</v>
      </c>
      <c r="AD17" s="5">
        <f t="shared" si="16"/>
        <v>7878</v>
      </c>
      <c r="AE17" s="5">
        <f t="shared" si="17"/>
        <v>1</v>
      </c>
      <c r="AF17" s="5">
        <f t="shared" si="18"/>
        <v>6550</v>
      </c>
      <c r="AG17" s="7">
        <f t="shared" si="19"/>
        <v>2</v>
      </c>
      <c r="AH17" s="7">
        <f t="shared" si="20"/>
        <v>3</v>
      </c>
      <c r="AI17" s="19">
        <f t="shared" si="21"/>
        <v>16710.396153867892</v>
      </c>
      <c r="AK17" s="23" t="str" cm="1">
        <f t="array" ref="AK17">_xlfn.IFNA(INDEX('3.0 Lead Time'!$U$8:$U$65,MATCH(A17,'3.0 Lead Time'!$A$8:$A$65,0),0),"")</f>
        <v/>
      </c>
    </row>
    <row r="18" spans="1:37" x14ac:dyDescent="0.25">
      <c r="A18" s="10" t="str">
        <f>'1.2 Sorting'!K18</f>
        <v>Spare 41</v>
      </c>
      <c r="B18" s="10" cm="1">
        <f t="array" ref="B18">_xlfn.IFNA(INDEX(' 1.0 Asset Data'!B$8:B$80,MATCH($A18,' 1.0 Asset Data'!$A$8:$A$80,0),0),0)</f>
        <v>18</v>
      </c>
      <c r="C18" s="10" cm="1">
        <f t="array" ref="C18">_xlfn.IFNA(INDEX(' 1.0 Asset Data'!C$8:C$80,MATCH($A18,' 1.0 Asset Data'!$A$8:$A$80,0),0),0)</f>
        <v>0</v>
      </c>
      <c r="D18" s="31" cm="1">
        <f t="array" ref="D18">_xlfn.IFNA(INDEX(' 1.0 Asset Data'!F$8:F$80,MATCH($A18,' 1.0 Asset Data'!$A$8:$A$80,0),0),0)</f>
        <v>35005.857537011667</v>
      </c>
      <c r="E18" s="60" cm="1">
        <f t="array" ref="E18">_xlfn.IFNA(INDEX(' 1.0 Asset Data'!E$8:E$80,MATCH($A18,' 1.0 Asset Data'!$A$8:$A$80,0),0),0)</f>
        <v>0.29170800000000002</v>
      </c>
      <c r="F18" s="31" cm="1">
        <f t="array" ref="F18">_xlfn.IFNA(INDEX(' 1.0 Asset Data'!P$8:P$80,MATCH($A18,' 1.0 Asset Data'!$A$8:$A$80,0),0),0)</f>
        <v>3.4280856198664416</v>
      </c>
      <c r="G18" s="37" t="str" cm="1">
        <f t="array" ref="G18">IF($A18="",0,INDEX(' 1.0 Asset Data'!J$8:J$75,MATCH($A18,' 1.0 Asset Data'!$A$8:$A$75,0),0))</f>
        <v>Re-engineer, asset offline for lead time (at least)</v>
      </c>
      <c r="H18" s="31" cm="1">
        <f t="array" ref="H18">IF($A18="",0,INDEX(' 1.0 Asset Data'!L$8:L$75,MATCH($A18,' 1.0 Asset Data'!$A$8:$A$75,0),0))</f>
        <v>200000</v>
      </c>
      <c r="I18" s="31" cm="1">
        <f t="array" ref="I18">IF($A18="",0,INDEX(' 1.0 Asset Data'!N$8:N$75,MATCH($A18,' 1.0 Asset Data'!$A$8:$A$75,0),0))</f>
        <v>300000</v>
      </c>
      <c r="J18" s="31" cm="1">
        <f t="array" ref="J18">IF($A18="",0,INDEX(' 1.0 Asset Data'!M$8:M$75,MATCH($A18,' 1.0 Asset Data'!$A$8:$A$75,0),0))</f>
        <v>400000</v>
      </c>
      <c r="L18" s="46">
        <f t="shared" si="4"/>
        <v>1.6206000000000002E-2</v>
      </c>
      <c r="M18" s="15">
        <f t="shared" si="0"/>
        <v>0.11426952066221471</v>
      </c>
      <c r="N18" s="17">
        <f t="shared" si="5"/>
        <v>125</v>
      </c>
      <c r="O18" s="12">
        <f t="shared" si="6"/>
        <v>1377</v>
      </c>
      <c r="P18" s="24">
        <f t="shared" si="7"/>
        <v>2.4934641296798787E-3</v>
      </c>
      <c r="Q18" s="34">
        <f t="shared" si="2"/>
        <v>730.7329860610422</v>
      </c>
      <c r="R18" s="15">
        <f t="shared" si="8"/>
        <v>2.0006378810706154</v>
      </c>
      <c r="T18" s="12">
        <f t="shared" si="9"/>
        <v>266866.49260325072</v>
      </c>
      <c r="U18" s="12">
        <f t="shared" si="10"/>
        <v>33133.507396749279</v>
      </c>
      <c r="V18" s="51">
        <f t="shared" si="11"/>
        <v>35005.857537011667</v>
      </c>
      <c r="W18" s="12">
        <f t="shared" si="12"/>
        <v>-1872.3501402623879</v>
      </c>
      <c r="X18" s="21" t="str">
        <f t="shared" si="13"/>
        <v>Don't buy spares</v>
      </c>
      <c r="Z18" s="42">
        <f>IF(A18="","",'1.1 Other Data'!$B$32)</f>
        <v>8035</v>
      </c>
      <c r="AA18" s="59">
        <f t="shared" si="14"/>
        <v>0</v>
      </c>
      <c r="AB18" s="43">
        <f>IF(A18="","",'1.1 Other Data'!$B$29+AA18*O18)</f>
        <v>37438</v>
      </c>
      <c r="AC18" s="59">
        <f t="shared" si="15"/>
        <v>14428</v>
      </c>
      <c r="AD18" s="5">
        <f t="shared" si="16"/>
        <v>1252</v>
      </c>
      <c r="AE18" s="5">
        <f t="shared" si="17"/>
        <v>11</v>
      </c>
      <c r="AF18" s="5">
        <f t="shared" si="18"/>
        <v>655</v>
      </c>
      <c r="AG18" s="7">
        <f t="shared" si="19"/>
        <v>1</v>
      </c>
      <c r="AH18" s="7">
        <f t="shared" si="20"/>
        <v>0</v>
      </c>
      <c r="AI18" s="19">
        <f t="shared" si="21"/>
        <v>0</v>
      </c>
      <c r="AK18" s="23" cm="1">
        <f t="array" ref="AK18">_xlfn.IFNA(INDEX('3.0 Lead Time'!$U$8:$U$65,MATCH(A18,'3.0 Lead Time'!$A$8:$A$65,0),0),"")</f>
        <v>70011.715074023334</v>
      </c>
    </row>
    <row r="19" spans="1:37" x14ac:dyDescent="0.25">
      <c r="A19" s="10" t="str">
        <f>'1.2 Sorting'!K19</f>
        <v>Spare 42</v>
      </c>
      <c r="B19" s="10" cm="1">
        <f t="array" ref="B19">_xlfn.IFNA(INDEX(' 1.0 Asset Data'!B$8:B$80,MATCH($A19,' 1.0 Asset Data'!$A$8:$A$80,0),0),0)</f>
        <v>18</v>
      </c>
      <c r="C19" s="10" cm="1">
        <f t="array" ref="C19">_xlfn.IFNA(INDEX(' 1.0 Asset Data'!C$8:C$80,MATCH($A19,' 1.0 Asset Data'!$A$8:$A$80,0),0),0)</f>
        <v>4</v>
      </c>
      <c r="D19" s="31" cm="1">
        <f t="array" ref="D19">_xlfn.IFNA(INDEX(' 1.0 Asset Data'!F$8:F$80,MATCH($A19,' 1.0 Asset Data'!$A$8:$A$80,0),0),0)</f>
        <v>35005.857537011667</v>
      </c>
      <c r="E19" s="60" cm="1">
        <f t="array" ref="E19">_xlfn.IFNA(INDEX(' 1.0 Asset Data'!E$8:E$80,MATCH($A19,' 1.0 Asset Data'!$A$8:$A$80,0),0),0)</f>
        <v>0.29170800000000002</v>
      </c>
      <c r="F19" s="31" cm="1">
        <f t="array" ref="F19">_xlfn.IFNA(INDEX(' 1.0 Asset Data'!P$8:P$80,MATCH($A19,' 1.0 Asset Data'!$A$8:$A$80,0),0),0)</f>
        <v>3.4280856198664416</v>
      </c>
      <c r="G19" s="37" t="str" cm="1">
        <f t="array" ref="G19">IF($A19="",0,INDEX(' 1.0 Asset Data'!J$8:J$75,MATCH($A19,' 1.0 Asset Data'!$A$8:$A$75,0),0))</f>
        <v>Re-engineer, asset offline for lead time (at least)</v>
      </c>
      <c r="H19" s="31" cm="1">
        <f t="array" ref="H19">IF($A19="",0,INDEX(' 1.0 Asset Data'!L$8:L$75,MATCH($A19,' 1.0 Asset Data'!$A$8:$A$75,0),0))</f>
        <v>200000</v>
      </c>
      <c r="I19" s="31" cm="1">
        <f t="array" ref="I19">IF($A19="",0,INDEX(' 1.0 Asset Data'!N$8:N$75,MATCH($A19,' 1.0 Asset Data'!$A$8:$A$75,0),0))</f>
        <v>300000</v>
      </c>
      <c r="J19" s="31" cm="1">
        <f t="array" ref="J19">IF($A19="",0,INDEX(' 1.0 Asset Data'!M$8:M$75,MATCH($A19,' 1.0 Asset Data'!$A$8:$A$75,0),0))</f>
        <v>400000</v>
      </c>
      <c r="L19" s="46">
        <f t="shared" si="4"/>
        <v>1.6206000000000002E-2</v>
      </c>
      <c r="M19" s="15">
        <f t="shared" si="0"/>
        <v>0.11426952066221471</v>
      </c>
      <c r="N19" s="17">
        <f t="shared" si="5"/>
        <v>125</v>
      </c>
      <c r="O19" s="12">
        <f t="shared" si="6"/>
        <v>1377</v>
      </c>
      <c r="P19" s="24">
        <f t="shared" si="7"/>
        <v>2.4934641296798787E-3</v>
      </c>
      <c r="Q19" s="34">
        <f t="shared" si="2"/>
        <v>730.7329860610422</v>
      </c>
      <c r="R19" s="15">
        <f t="shared" si="8"/>
        <v>2.0006378810706154</v>
      </c>
      <c r="T19" s="12">
        <f t="shared" si="9"/>
        <v>266866.49260325072</v>
      </c>
      <c r="U19" s="12">
        <f t="shared" si="10"/>
        <v>33133.507396749279</v>
      </c>
      <c r="V19" s="51">
        <f t="shared" si="11"/>
        <v>35005.857537011667</v>
      </c>
      <c r="W19" s="12">
        <f t="shared" si="12"/>
        <v>-1872.3501402623879</v>
      </c>
      <c r="X19" s="21" t="str">
        <f t="shared" si="13"/>
        <v>Don't buy spares</v>
      </c>
      <c r="Z19" s="42">
        <f>IF(A19="","",'1.1 Other Data'!$B$32)</f>
        <v>8035</v>
      </c>
      <c r="AA19" s="59">
        <f t="shared" si="14"/>
        <v>0</v>
      </c>
      <c r="AB19" s="43">
        <f>IF(A19="","",'1.1 Other Data'!$B$29+AA19*O19)</f>
        <v>37438</v>
      </c>
      <c r="AC19" s="59">
        <f t="shared" si="15"/>
        <v>14428</v>
      </c>
      <c r="AD19" s="5">
        <f t="shared" si="16"/>
        <v>1252</v>
      </c>
      <c r="AE19" s="5">
        <f t="shared" si="17"/>
        <v>11</v>
      </c>
      <c r="AF19" s="5">
        <f t="shared" si="18"/>
        <v>655</v>
      </c>
      <c r="AG19" s="7">
        <f t="shared" si="19"/>
        <v>1</v>
      </c>
      <c r="AH19" s="7">
        <f t="shared" si="20"/>
        <v>0</v>
      </c>
      <c r="AI19" s="19">
        <f t="shared" si="21"/>
        <v>0</v>
      </c>
      <c r="AK19" s="23" cm="1">
        <f t="array" ref="AK19">_xlfn.IFNA(INDEX('3.0 Lead Time'!$U$8:$U$65,MATCH(A19,'3.0 Lead Time'!$A$8:$A$65,0),0),"")</f>
        <v>0</v>
      </c>
    </row>
    <row r="20" spans="1:37" x14ac:dyDescent="0.25">
      <c r="A20" s="10" t="str">
        <f>'1.2 Sorting'!K20</f>
        <v>Spare 45</v>
      </c>
      <c r="B20" s="10" cm="1">
        <f t="array" ref="B20">_xlfn.IFNA(INDEX(' 1.0 Asset Data'!B$8:B$80,MATCH($A20,' 1.0 Asset Data'!$A$8:$A$80,0),0),0)</f>
        <v>36</v>
      </c>
      <c r="C20" s="10" cm="1">
        <f t="array" ref="C20">_xlfn.IFNA(INDEX(' 1.0 Asset Data'!C$8:C$80,MATCH($A20,' 1.0 Asset Data'!$A$8:$A$80,0),0),0)</f>
        <v>0</v>
      </c>
      <c r="D20" s="31" cm="1">
        <f t="array" ref="D20">_xlfn.IFNA(INDEX(' 1.0 Asset Data'!F$8:F$80,MATCH($A20,' 1.0 Asset Data'!$A$8:$A$80,0),0),0)</f>
        <v>13949.60085611557</v>
      </c>
      <c r="E20" s="60" cm="1">
        <f t="array" ref="E20">_xlfn.IFNA(INDEX(' 1.0 Asset Data'!E$8:E$80,MATCH($A20,' 1.0 Asset Data'!$A$8:$A$80,0),0),0)</f>
        <v>9.366192000000001E-2</v>
      </c>
      <c r="F20" s="31" cm="1">
        <f t="array" ref="F20">_xlfn.IFNA(INDEX(' 1.0 Asset Data'!P$8:P$80,MATCH($A20,' 1.0 Asset Data'!$A$8:$A$80,0),0),0)</f>
        <v>10.676697637631174</v>
      </c>
      <c r="G20" s="37" t="str" cm="1">
        <f t="array" ref="G20">IF($A20="",0,INDEX(' 1.0 Asset Data'!J$8:J$75,MATCH($A20,' 1.0 Asset Data'!$A$8:$A$75,0),0))</f>
        <v>Re-engineer, asset offline for lead time (at least)</v>
      </c>
      <c r="H20" s="31" cm="1">
        <f t="array" ref="H20">IF($A20="",0,INDEX(' 1.0 Asset Data'!L$8:L$75,MATCH($A20,' 1.0 Asset Data'!$A$8:$A$75,0),0))</f>
        <v>200000</v>
      </c>
      <c r="I20" s="31" cm="1">
        <f t="array" ref="I20">IF($A20="",0,INDEX(' 1.0 Asset Data'!N$8:N$75,MATCH($A20,' 1.0 Asset Data'!$A$8:$A$75,0),0))</f>
        <v>300000</v>
      </c>
      <c r="J20" s="31" cm="1">
        <f t="array" ref="J20">IF($A20="",0,INDEX(' 1.0 Asset Data'!M$8:M$75,MATCH($A20,' 1.0 Asset Data'!$A$8:$A$75,0),0))</f>
        <v>400000</v>
      </c>
      <c r="L20" s="46">
        <f t="shared" si="4"/>
        <v>2.6017200000000001E-3</v>
      </c>
      <c r="M20" s="15">
        <f t="shared" si="0"/>
        <v>0.35588992125437247</v>
      </c>
      <c r="N20" s="17">
        <f t="shared" si="5"/>
        <v>389</v>
      </c>
      <c r="O20" s="12">
        <f t="shared" si="6"/>
        <v>4288</v>
      </c>
      <c r="P20" s="24">
        <f t="shared" si="7"/>
        <v>1.2270664410036769E-3</v>
      </c>
      <c r="Q20" s="34">
        <f t="shared" si="2"/>
        <v>2975.5811281068918</v>
      </c>
      <c r="R20" s="15">
        <f t="shared" si="8"/>
        <v>8.1466971337628795</v>
      </c>
      <c r="T20" s="12">
        <f t="shared" si="9"/>
        <v>186273.18292527599</v>
      </c>
      <c r="U20" s="12">
        <f t="shared" si="10"/>
        <v>113726.81707472401</v>
      </c>
      <c r="V20" s="51">
        <f t="shared" si="11"/>
        <v>13949.60085611557</v>
      </c>
      <c r="W20" s="12">
        <f t="shared" si="12"/>
        <v>99777.216218608432</v>
      </c>
      <c r="X20" s="21" t="str">
        <f t="shared" si="13"/>
        <v>Buy Spares</v>
      </c>
      <c r="Z20" s="42">
        <f>IF(A20="","",'1.1 Other Data'!$B$32)</f>
        <v>8035</v>
      </c>
      <c r="AA20" s="59">
        <f t="shared" si="14"/>
        <v>1</v>
      </c>
      <c r="AB20" s="43">
        <f>IF(A20="","",'1.1 Other Data'!$B$29+AA20*O20)</f>
        <v>41726</v>
      </c>
      <c r="AC20" s="59">
        <f t="shared" si="15"/>
        <v>10140</v>
      </c>
      <c r="AD20" s="5">
        <f t="shared" si="16"/>
        <v>3899</v>
      </c>
      <c r="AE20" s="5">
        <f t="shared" si="17"/>
        <v>2</v>
      </c>
      <c r="AF20" s="5">
        <f t="shared" si="18"/>
        <v>2341</v>
      </c>
      <c r="AG20" s="7">
        <f t="shared" si="19"/>
        <v>1</v>
      </c>
      <c r="AH20" s="7">
        <f t="shared" si="20"/>
        <v>3</v>
      </c>
      <c r="AI20" s="19">
        <f t="shared" si="21"/>
        <v>41848.802568346713</v>
      </c>
      <c r="AK20" s="23" t="str" cm="1">
        <f t="array" ref="AK20">_xlfn.IFNA(INDEX('3.0 Lead Time'!$U$8:$U$65,MATCH(A20,'3.0 Lead Time'!$A$8:$A$65,0),0),"")</f>
        <v/>
      </c>
    </row>
    <row r="21" spans="1:37" x14ac:dyDescent="0.25">
      <c r="A21" s="10" t="str">
        <f>'1.2 Sorting'!K21</f>
        <v>Spare 49</v>
      </c>
      <c r="B21" s="10" cm="1">
        <f t="array" ref="B21">_xlfn.IFNA(INDEX(' 1.0 Asset Data'!B$8:B$80,MATCH($A21,' 1.0 Asset Data'!$A$8:$A$80,0),0),0)</f>
        <v>18</v>
      </c>
      <c r="C21" s="10" cm="1">
        <f t="array" ref="C21">_xlfn.IFNA(INDEX(' 1.0 Asset Data'!C$8:C$80,MATCH($A21,' 1.0 Asset Data'!$A$8:$A$80,0),0),0)</f>
        <v>1</v>
      </c>
      <c r="D21" s="31" cm="1">
        <f t="array" ref="D21">_xlfn.IFNA(INDEX(' 1.0 Asset Data'!F$8:F$80,MATCH($A21,' 1.0 Asset Data'!$A$8:$A$80,0),0),0)</f>
        <v>160641.88023734654</v>
      </c>
      <c r="E21" s="60" cm="1">
        <f t="array" ref="E21">_xlfn.IFNA(INDEX(' 1.0 Asset Data'!E$8:E$80,MATCH($A21,' 1.0 Asset Data'!$A$8:$A$80,0),0),0)</f>
        <v>0.15978239999999999</v>
      </c>
      <c r="F21" s="31" cm="1">
        <f t="array" ref="F21">_xlfn.IFNA(INDEX(' 1.0 Asset Data'!P$8:P$80,MATCH($A21,' 1.0 Asset Data'!$A$8:$A$80,0),0),0)</f>
        <v>6.258511575743011</v>
      </c>
      <c r="G21" s="37" t="str" cm="1">
        <f t="array" ref="G21">IF($A21="",0,INDEX(' 1.0 Asset Data'!J$8:J$75,MATCH($A21,' 1.0 Asset Data'!$A$8:$A$75,0),0))</f>
        <v>Re-engineer, asset offline for lead time (at least)</v>
      </c>
      <c r="H21" s="31" cm="1">
        <f t="array" ref="H21">IF($A21="",0,INDEX(' 1.0 Asset Data'!L$8:L$75,MATCH($A21,' 1.0 Asset Data'!$A$8:$A$75,0),0))</f>
        <v>750000</v>
      </c>
      <c r="I21" s="31" cm="1">
        <f t="array" ref="I21">IF($A21="",0,INDEX(' 1.0 Asset Data'!N$8:N$75,MATCH($A21,' 1.0 Asset Data'!$A$8:$A$75,0),0))</f>
        <v>1000000</v>
      </c>
      <c r="J21" s="31" cm="1">
        <f t="array" ref="J21">IF($A21="",0,INDEX(' 1.0 Asset Data'!M$8:M$75,MATCH($A21,' 1.0 Asset Data'!$A$8:$A$75,0),0))</f>
        <v>1250000</v>
      </c>
      <c r="L21" s="46">
        <f t="shared" si="4"/>
        <v>8.8767999999999989E-3</v>
      </c>
      <c r="M21" s="15">
        <f t="shared" si="0"/>
        <v>0.20861705252476703</v>
      </c>
      <c r="N21" s="17">
        <f t="shared" si="5"/>
        <v>228</v>
      </c>
      <c r="O21" s="12">
        <f t="shared" si="6"/>
        <v>2514</v>
      </c>
      <c r="P21" s="24">
        <f t="shared" si="7"/>
        <v>1.6047735311535138E-3</v>
      </c>
      <c r="Q21" s="34">
        <f t="shared" si="2"/>
        <v>1510.2889294194379</v>
      </c>
      <c r="R21" s="15">
        <f t="shared" si="8"/>
        <v>4.1349457342079061</v>
      </c>
      <c r="T21" s="12">
        <f t="shared" si="9"/>
        <v>785144.57375537115</v>
      </c>
      <c r="U21" s="12">
        <f t="shared" si="10"/>
        <v>214855.42624462885</v>
      </c>
      <c r="V21" s="51">
        <f t="shared" si="11"/>
        <v>160641.88023734654</v>
      </c>
      <c r="W21" s="12">
        <f t="shared" si="12"/>
        <v>54213.546007282304</v>
      </c>
      <c r="X21" s="21" t="str">
        <f t="shared" si="13"/>
        <v>Buy Spares</v>
      </c>
      <c r="Z21" s="42">
        <f>IF(A21="","",'1.1 Other Data'!$B$32)</f>
        <v>8035</v>
      </c>
      <c r="AA21" s="59">
        <f t="shared" si="14"/>
        <v>3</v>
      </c>
      <c r="AB21" s="43">
        <f>IF(A21="","",'1.1 Other Data'!$B$29+AA21*O21)</f>
        <v>44980</v>
      </c>
      <c r="AC21" s="59">
        <f t="shared" si="15"/>
        <v>6886</v>
      </c>
      <c r="AD21" s="5">
        <f t="shared" si="16"/>
        <v>2285</v>
      </c>
      <c r="AE21" s="5">
        <f t="shared" si="17"/>
        <v>3</v>
      </c>
      <c r="AF21" s="5">
        <f t="shared" si="18"/>
        <v>29</v>
      </c>
      <c r="AG21" s="7">
        <f t="shared" si="19"/>
        <v>1</v>
      </c>
      <c r="AH21" s="7">
        <f t="shared" si="20"/>
        <v>4</v>
      </c>
      <c r="AI21" s="19">
        <f t="shared" si="21"/>
        <v>642567.52094938618</v>
      </c>
      <c r="AK21" s="23" t="str" cm="1">
        <f t="array" ref="AK21">_xlfn.IFNA(INDEX('3.0 Lead Time'!$U$8:$U$65,MATCH(A21,'3.0 Lead Time'!$A$8:$A$65,0),0),"")</f>
        <v/>
      </c>
    </row>
    <row r="22" spans="1:37" x14ac:dyDescent="0.25">
      <c r="A22" s="10" t="str">
        <f>'1.2 Sorting'!K22</f>
        <v>Spare 50</v>
      </c>
      <c r="B22" s="10" cm="1">
        <f t="array" ref="B22">_xlfn.IFNA(INDEX(' 1.0 Asset Data'!B$8:B$80,MATCH($A22,' 1.0 Asset Data'!$A$8:$A$80,0),0),0)</f>
        <v>240</v>
      </c>
      <c r="C22" s="10" cm="1">
        <f t="array" ref="C22">_xlfn.IFNA(INDEX(' 1.0 Asset Data'!C$8:C$80,MATCH($A22,' 1.0 Asset Data'!$A$8:$A$80,0),0),0)</f>
        <v>0</v>
      </c>
      <c r="D22" s="31" cm="1">
        <f t="array" ref="D22">_xlfn.IFNA(INDEX(' 1.0 Asset Data'!F$8:F$80,MATCH($A22,' 1.0 Asset Data'!$A$8:$A$80,0),0),0)</f>
        <v>12768.246513194859</v>
      </c>
      <c r="E22" s="60" cm="1">
        <f t="array" ref="E22">_xlfn.IFNA(INDEX(' 1.0 Asset Data'!E$8:E$80,MATCH($A22,' 1.0 Asset Data'!$A$8:$A$80,0),0),0)</f>
        <v>0.189216</v>
      </c>
      <c r="F22" s="31" cm="1">
        <f t="array" ref="F22">_xlfn.IFNA(INDEX(' 1.0 Asset Data'!P$8:P$80,MATCH($A22,' 1.0 Asset Data'!$A$8:$A$80,0),0),0)</f>
        <v>5.2849653306274309</v>
      </c>
      <c r="G22" s="37" t="str" cm="1">
        <f t="array" ref="G22">IF($A22="",0,INDEX(' 1.0 Asset Data'!J$8:J$75,MATCH($A22,' 1.0 Asset Data'!$A$8:$A$75,0),0))</f>
        <v>Major redesign to valve hall, asset offline for lead time at least</v>
      </c>
      <c r="H22" s="31" cm="1">
        <f t="array" ref="H22">IF($A22="",0,INDEX(' 1.0 Asset Data'!L$8:L$75,MATCH($A22,' 1.0 Asset Data'!$A$8:$A$75,0),0))</f>
        <v>3000000</v>
      </c>
      <c r="I22" s="31" cm="1">
        <f t="array" ref="I22">IF($A22="",0,INDEX(' 1.0 Asset Data'!N$8:N$75,MATCH($A22,' 1.0 Asset Data'!$A$8:$A$75,0),0))</f>
        <v>5500000</v>
      </c>
      <c r="J22" s="31" cm="1">
        <f t="array" ref="J22">IF($A22="",0,INDEX(' 1.0 Asset Data'!M$8:M$75,MATCH($A22,' 1.0 Asset Data'!$A$8:$A$75,0),0))</f>
        <v>8000000</v>
      </c>
      <c r="L22" s="46">
        <f t="shared" si="4"/>
        <v>7.8839999999999997E-4</v>
      </c>
      <c r="M22" s="15">
        <f t="shared" si="0"/>
        <v>0.17616551102091435</v>
      </c>
      <c r="N22" s="17">
        <f t="shared" si="5"/>
        <v>193</v>
      </c>
      <c r="O22" s="12">
        <f t="shared" si="6"/>
        <v>2123</v>
      </c>
      <c r="P22" s="24">
        <f t="shared" si="7"/>
        <v>3.0438874013718475E-3</v>
      </c>
      <c r="Q22" s="34">
        <f t="shared" si="2"/>
        <v>1593.4514546648031</v>
      </c>
      <c r="R22" s="15">
        <f t="shared" si="8"/>
        <v>4.3626323194108227</v>
      </c>
      <c r="T22" s="12">
        <f t="shared" si="9"/>
        <v>4261159.8997243596</v>
      </c>
      <c r="U22" s="12">
        <f t="shared" si="10"/>
        <v>1238840.1002756404</v>
      </c>
      <c r="V22" s="51">
        <f t="shared" si="11"/>
        <v>12768.246513194859</v>
      </c>
      <c r="W22" s="12">
        <f t="shared" si="12"/>
        <v>1226071.8537624455</v>
      </c>
      <c r="X22" s="21" t="str">
        <f t="shared" si="13"/>
        <v>Buy Spares</v>
      </c>
      <c r="Z22" s="42">
        <f>IF(A22="","",'1.1 Other Data'!$B$32)</f>
        <v>8035</v>
      </c>
      <c r="AA22" s="59">
        <f t="shared" si="14"/>
        <v>3</v>
      </c>
      <c r="AB22" s="43">
        <f>IF(A22="","",'1.1 Other Data'!$B$29+AA22*O22)</f>
        <v>43807</v>
      </c>
      <c r="AC22" s="59">
        <f t="shared" si="15"/>
        <v>8059</v>
      </c>
      <c r="AD22" s="5">
        <f t="shared" si="16"/>
        <v>1930</v>
      </c>
      <c r="AE22" s="5">
        <f t="shared" si="17"/>
        <v>4</v>
      </c>
      <c r="AF22" s="5">
        <f t="shared" si="18"/>
        <v>338</v>
      </c>
      <c r="AG22" s="7">
        <f t="shared" si="19"/>
        <v>1</v>
      </c>
      <c r="AH22" s="7">
        <f t="shared" si="20"/>
        <v>5</v>
      </c>
      <c r="AI22" s="19">
        <f t="shared" si="21"/>
        <v>63841.232565974293</v>
      </c>
      <c r="AK22" s="23" t="str" cm="1">
        <f t="array" ref="AK22">_xlfn.IFNA(INDEX('3.0 Lead Time'!$U$8:$U$65,MATCH(A22,'3.0 Lead Time'!$A$8:$A$65,0),0),"")</f>
        <v/>
      </c>
    </row>
    <row r="23" spans="1:37" x14ac:dyDescent="0.25">
      <c r="A23" s="10" t="str">
        <f>'1.2 Sorting'!K23</f>
        <v>Spare 52</v>
      </c>
      <c r="B23" s="10" cm="1">
        <f t="array" ref="B23">_xlfn.IFNA(INDEX(' 1.0 Asset Data'!B$8:B$80,MATCH($A23,' 1.0 Asset Data'!$A$8:$A$80,0),0),0)</f>
        <v>80</v>
      </c>
      <c r="C23" s="10" cm="1">
        <f t="array" ref="C23">_xlfn.IFNA(INDEX(' 1.0 Asset Data'!C$8:C$80,MATCH($A23,' 1.0 Asset Data'!$A$8:$A$80,0),0),0)</f>
        <v>10</v>
      </c>
      <c r="D23" s="31" cm="1">
        <f t="array" ref="D23">_xlfn.IFNA(INDEX(' 1.0 Asset Data'!F$8:F$80,MATCH($A23,' 1.0 Asset Data'!$A$8:$A$80,0),0),0)</f>
        <v>12245.109643266413</v>
      </c>
      <c r="E23" s="60" cm="1">
        <f t="array" ref="E23">_xlfn.IFNA(INDEX(' 1.0 Asset Data'!E$8:E$80,MATCH($A23,' 1.0 Asset Data'!$A$8:$A$80,0),0),0)</f>
        <v>6.3072000000000003E-2</v>
      </c>
      <c r="F23" s="31" cm="1">
        <f t="array" ref="F23">_xlfn.IFNA(INDEX(' 1.0 Asset Data'!P$8:P$80,MATCH($A23,' 1.0 Asset Data'!$A$8:$A$80,0),0),0)</f>
        <v>15.854895991882293</v>
      </c>
      <c r="G23" s="37" t="str" cm="1">
        <f t="array" ref="G23">IF($A23="",0,INDEX(' 1.0 Asset Data'!J$8:J$75,MATCH($A23,' 1.0 Asset Data'!$A$8:$A$75,0),0))</f>
        <v>Major redesign to valve hall, asset offline for lead time at least</v>
      </c>
      <c r="H23" s="31" cm="1">
        <f t="array" ref="H23">IF($A23="",0,INDEX(' 1.0 Asset Data'!L$8:L$75,MATCH($A23,' 1.0 Asset Data'!$A$8:$A$75,0),0))</f>
        <v>3000000</v>
      </c>
      <c r="I23" s="31" cm="1">
        <f t="array" ref="I23">IF($A23="",0,INDEX(' 1.0 Asset Data'!N$8:N$75,MATCH($A23,' 1.0 Asset Data'!$A$8:$A$75,0),0))</f>
        <v>5500000</v>
      </c>
      <c r="J23" s="31" cm="1">
        <f t="array" ref="J23">IF($A23="",0,INDEX(' 1.0 Asset Data'!M$8:M$75,MATCH($A23,' 1.0 Asset Data'!$A$8:$A$75,0),0))</f>
        <v>8000000</v>
      </c>
      <c r="L23" s="46">
        <f t="shared" si="4"/>
        <v>7.8840000000000008E-4</v>
      </c>
      <c r="M23" s="15">
        <f t="shared" si="0"/>
        <v>0.52849653306274313</v>
      </c>
      <c r="N23" s="17">
        <f t="shared" si="5"/>
        <v>579</v>
      </c>
      <c r="O23" s="12">
        <f t="shared" si="6"/>
        <v>6369</v>
      </c>
      <c r="P23" s="24">
        <f t="shared" si="7"/>
        <v>1.0136013988741865E-3</v>
      </c>
      <c r="Q23" s="34">
        <f t="shared" si="2"/>
        <v>4780.3543639946947</v>
      </c>
      <c r="R23" s="15">
        <f t="shared" si="8"/>
        <v>13.08789695823325</v>
      </c>
      <c r="T23" s="12">
        <f t="shared" si="9"/>
        <v>2557750.1283988538</v>
      </c>
      <c r="U23" s="12">
        <f t="shared" si="10"/>
        <v>2942249.8716011462</v>
      </c>
      <c r="V23" s="51">
        <f t="shared" si="11"/>
        <v>12245.109643266413</v>
      </c>
      <c r="W23" s="12">
        <f t="shared" si="12"/>
        <v>2930004.7619578796</v>
      </c>
      <c r="X23" s="21" t="str">
        <f t="shared" si="13"/>
        <v>Buy Spares</v>
      </c>
      <c r="Z23" s="42">
        <f>IF(A23="","",'1.1 Other Data'!$B$32)</f>
        <v>8035</v>
      </c>
      <c r="AA23" s="59">
        <f t="shared" si="14"/>
        <v>1</v>
      </c>
      <c r="AB23" s="43">
        <f>IF(A23="","",'1.1 Other Data'!$B$29+AA23*O23)</f>
        <v>43807</v>
      </c>
      <c r="AC23" s="59">
        <f t="shared" si="15"/>
        <v>8059</v>
      </c>
      <c r="AD23" s="5">
        <f t="shared" si="16"/>
        <v>5791</v>
      </c>
      <c r="AE23" s="5">
        <f t="shared" si="17"/>
        <v>1</v>
      </c>
      <c r="AF23" s="5">
        <f t="shared" si="18"/>
        <v>2268</v>
      </c>
      <c r="AG23" s="7">
        <f t="shared" si="19"/>
        <v>1</v>
      </c>
      <c r="AH23" s="7">
        <f t="shared" si="20"/>
        <v>2</v>
      </c>
      <c r="AI23" s="19">
        <f t="shared" si="21"/>
        <v>24490.219286532825</v>
      </c>
      <c r="AK23" s="23" t="str" cm="1">
        <f t="array" ref="AK23">_xlfn.IFNA(INDEX('3.0 Lead Time'!$U$8:$U$65,MATCH(A23,'3.0 Lead Time'!$A$8:$A$65,0),0),"")</f>
        <v/>
      </c>
    </row>
    <row r="24" spans="1:37" x14ac:dyDescent="0.25">
      <c r="A24" s="10" t="str">
        <f>'1.2 Sorting'!K24</f>
        <v>Spare 54</v>
      </c>
      <c r="B24" s="10" cm="1">
        <f t="array" ref="B24">_xlfn.IFNA(INDEX(' 1.0 Asset Data'!B$8:B$80,MATCH($A24,' 1.0 Asset Data'!$A$8:$A$80,0),0),0)</f>
        <v>60</v>
      </c>
      <c r="C24" s="10" cm="1">
        <f t="array" ref="C24">_xlfn.IFNA(INDEX(' 1.0 Asset Data'!C$8:C$80,MATCH($A24,' 1.0 Asset Data'!$A$8:$A$80,0),0),0)</f>
        <v>0</v>
      </c>
      <c r="D24" s="31" cm="1">
        <f t="array" ref="D24">_xlfn.IFNA(INDEX(' 1.0 Asset Data'!F$8:F$80,MATCH($A24,' 1.0 Asset Data'!$A$8:$A$80,0),0),0)</f>
        <v>12601.268572743315</v>
      </c>
      <c r="E24" s="60" cm="1">
        <f t="array" ref="E24">_xlfn.IFNA(INDEX(' 1.0 Asset Data'!E$8:E$80,MATCH($A24,' 1.0 Asset Data'!$A$8:$A$80,0),0),0)</f>
        <v>7.0956000000000005E-2</v>
      </c>
      <c r="F24" s="31" cm="1">
        <f t="array" ref="F24">_xlfn.IFNA(INDEX(' 1.0 Asset Data'!P$8:P$80,MATCH($A24,' 1.0 Asset Data'!$A$8:$A$80,0),0),0)</f>
        <v>14.093240881673148</v>
      </c>
      <c r="G24" s="37" t="str" cm="1">
        <f t="array" ref="G24">IF($A24="",0,INDEX(' 1.0 Asset Data'!J$8:J$75,MATCH($A24,' 1.0 Asset Data'!$A$8:$A$75,0),0))</f>
        <v>Major redesign to valve hall, asset offline for lead time at least</v>
      </c>
      <c r="H24" s="31" cm="1">
        <f t="array" ref="H24">IF($A24="",0,INDEX(' 1.0 Asset Data'!L$8:L$75,MATCH($A24,' 1.0 Asset Data'!$A$8:$A$75,0),0))</f>
        <v>3000000</v>
      </c>
      <c r="I24" s="31" cm="1">
        <f t="array" ref="I24">IF($A24="",0,INDEX(' 1.0 Asset Data'!N$8:N$75,MATCH($A24,' 1.0 Asset Data'!$A$8:$A$75,0),0))</f>
        <v>5500000</v>
      </c>
      <c r="J24" s="31" cm="1">
        <f t="array" ref="J24">IF($A24="",0,INDEX(' 1.0 Asset Data'!M$8:M$75,MATCH($A24,' 1.0 Asset Data'!$A$8:$A$75,0),0))</f>
        <v>8000000</v>
      </c>
      <c r="L24" s="46">
        <f t="shared" si="4"/>
        <v>1.1826E-3</v>
      </c>
      <c r="M24" s="15">
        <f t="shared" si="0"/>
        <v>0.4697746960557716</v>
      </c>
      <c r="N24" s="17">
        <f t="shared" si="5"/>
        <v>514</v>
      </c>
      <c r="O24" s="12">
        <f t="shared" si="6"/>
        <v>5661</v>
      </c>
      <c r="P24" s="24">
        <f t="shared" si="7"/>
        <v>1.0687375710063396E-3</v>
      </c>
      <c r="Q24" s="34">
        <f t="shared" si="2"/>
        <v>4154.2710925555511</v>
      </c>
      <c r="R24" s="15">
        <f t="shared" si="8"/>
        <v>11.37377438071335</v>
      </c>
      <c r="T24" s="12">
        <f t="shared" si="9"/>
        <v>2827523.7229945618</v>
      </c>
      <c r="U24" s="12">
        <f t="shared" si="10"/>
        <v>2672476.2770054382</v>
      </c>
      <c r="V24" s="51">
        <f t="shared" si="11"/>
        <v>12601.268572743315</v>
      </c>
      <c r="W24" s="12">
        <f t="shared" si="12"/>
        <v>2659875.0084326947</v>
      </c>
      <c r="X24" s="21" t="str">
        <f t="shared" si="13"/>
        <v>Buy Spares</v>
      </c>
      <c r="Z24" s="42">
        <f>IF(A24="","",'1.1 Other Data'!$B$32)</f>
        <v>8035</v>
      </c>
      <c r="AA24" s="59">
        <f t="shared" si="14"/>
        <v>1</v>
      </c>
      <c r="AB24" s="43">
        <f>IF(A24="","",'1.1 Other Data'!$B$29+AA24*O24)</f>
        <v>43099</v>
      </c>
      <c r="AC24" s="59">
        <f t="shared" si="15"/>
        <v>8767</v>
      </c>
      <c r="AD24" s="5">
        <f t="shared" si="16"/>
        <v>5147</v>
      </c>
      <c r="AE24" s="5">
        <f t="shared" si="17"/>
        <v>1</v>
      </c>
      <c r="AF24" s="5">
        <f t="shared" si="18"/>
        <v>3620</v>
      </c>
      <c r="AG24" s="7">
        <f t="shared" si="19"/>
        <v>1</v>
      </c>
      <c r="AH24" s="7">
        <f t="shared" si="20"/>
        <v>2</v>
      </c>
      <c r="AI24" s="19">
        <f t="shared" si="21"/>
        <v>25202.537145486629</v>
      </c>
      <c r="AK24" s="23" t="str" cm="1">
        <f t="array" ref="AK24">_xlfn.IFNA(INDEX('3.0 Lead Time'!$U$8:$U$65,MATCH(A24,'3.0 Lead Time'!$A$8:$A$65,0),0),"")</f>
        <v/>
      </c>
    </row>
    <row r="25" spans="1:37" x14ac:dyDescent="0.25">
      <c r="A25" s="10" t="str">
        <f>'1.2 Sorting'!K25</f>
        <v>Spare 56</v>
      </c>
      <c r="B25" s="10" cm="1">
        <f t="array" ref="B25">_xlfn.IFNA(INDEX(' 1.0 Asset Data'!B$8:B$80,MATCH($A25,' 1.0 Asset Data'!$A$8:$A$80,0),0),0)</f>
        <v>12</v>
      </c>
      <c r="C25" s="10" cm="1">
        <f t="array" ref="C25">_xlfn.IFNA(INDEX(' 1.0 Asset Data'!C$8:C$80,MATCH($A25,' 1.0 Asset Data'!$A$8:$A$80,0),0),0)</f>
        <v>1</v>
      </c>
      <c r="D25" s="31" cm="1">
        <f t="array" ref="D25">_xlfn.IFNA(INDEX(' 1.0 Asset Data'!F$8:F$80,MATCH($A25,' 1.0 Asset Data'!$A$8:$A$80,0),0),0)</f>
        <v>32179.951344240508</v>
      </c>
      <c r="E25" s="60" cm="1">
        <f t="array" ref="E25">_xlfn.IFNA(INDEX(' 1.0 Asset Data'!E$8:E$80,MATCH($A25,' 1.0 Asset Data'!$A$8:$A$80,0),0),0)</f>
        <v>7.51608E-2</v>
      </c>
      <c r="F25" s="31" cm="1">
        <f t="array" ref="F25">_xlfn.IFNA(INDEX(' 1.0 Asset Data'!P$8:P$80,MATCH($A25,' 1.0 Asset Data'!$A$8:$A$80,0),0),0)</f>
        <v>13.30480782535577</v>
      </c>
      <c r="G25" s="37" t="str" cm="1">
        <f t="array" ref="G25">IF($A25="",0,INDEX(' 1.0 Asset Data'!J$8:J$75,MATCH($A25,' 1.0 Asset Data'!$A$8:$A$75,0),0))</f>
        <v>Re-engineer, asset offline for lead time (at least)</v>
      </c>
      <c r="H25" s="31" cm="1">
        <f t="array" ref="H25">IF($A25="",0,INDEX(' 1.0 Asset Data'!L$8:L$75,MATCH($A25,' 1.0 Asset Data'!$A$8:$A$75,0),0))</f>
        <v>200000</v>
      </c>
      <c r="I25" s="31" cm="1">
        <f t="array" ref="I25">IF($A25="",0,INDEX(' 1.0 Asset Data'!N$8:N$75,MATCH($A25,' 1.0 Asset Data'!$A$8:$A$75,0),0))</f>
        <v>300000</v>
      </c>
      <c r="J25" s="31" cm="1">
        <f t="array" ref="J25">IF($A25="",0,INDEX(' 1.0 Asset Data'!M$8:M$75,MATCH($A25,' 1.0 Asset Data'!$A$8:$A$75,0),0))</f>
        <v>400000</v>
      </c>
      <c r="L25" s="46">
        <f t="shared" si="4"/>
        <v>6.2633999999999997E-3</v>
      </c>
      <c r="M25" s="15">
        <f t="shared" si="0"/>
        <v>0.44349359417852563</v>
      </c>
      <c r="N25" s="17">
        <f t="shared" si="5"/>
        <v>485</v>
      </c>
      <c r="O25" s="12">
        <f t="shared" si="6"/>
        <v>5344</v>
      </c>
      <c r="P25" s="24">
        <f t="shared" si="7"/>
        <v>8.1992520088003396E-4</v>
      </c>
      <c r="Q25" s="34">
        <f t="shared" si="2"/>
        <v>3380.287176039099</v>
      </c>
      <c r="R25" s="15">
        <f t="shared" si="8"/>
        <v>9.2547219056511949</v>
      </c>
      <c r="T25" s="12">
        <f t="shared" si="9"/>
        <v>174582.38073518983</v>
      </c>
      <c r="U25" s="12">
        <f t="shared" si="10"/>
        <v>125417.61926481017</v>
      </c>
      <c r="V25" s="51">
        <f t="shared" si="11"/>
        <v>32179.951344240508</v>
      </c>
      <c r="W25" s="12">
        <f t="shared" si="12"/>
        <v>93237.667920569656</v>
      </c>
      <c r="X25" s="21" t="str">
        <f t="shared" si="13"/>
        <v>Buy Spares</v>
      </c>
      <c r="Z25" s="42">
        <f>IF(A25="","",'1.1 Other Data'!$B$32)</f>
        <v>8035</v>
      </c>
      <c r="AA25" s="59">
        <f t="shared" si="14"/>
        <v>1</v>
      </c>
      <c r="AB25" s="43">
        <f>IF(A25="","",'1.1 Other Data'!$B$29+AA25*O25)</f>
        <v>42782</v>
      </c>
      <c r="AC25" s="59">
        <f t="shared" si="15"/>
        <v>9084</v>
      </c>
      <c r="AD25" s="5">
        <f t="shared" si="16"/>
        <v>4859</v>
      </c>
      <c r="AE25" s="5">
        <f t="shared" si="17"/>
        <v>1</v>
      </c>
      <c r="AF25" s="5">
        <f t="shared" si="18"/>
        <v>4225</v>
      </c>
      <c r="AG25" s="7">
        <f t="shared" si="19"/>
        <v>2</v>
      </c>
      <c r="AH25" s="7">
        <f t="shared" si="20"/>
        <v>3</v>
      </c>
      <c r="AI25" s="19">
        <f t="shared" si="21"/>
        <v>96539.854032721516</v>
      </c>
      <c r="AK25" s="23" t="str" cm="1">
        <f t="array" ref="AK25">_xlfn.IFNA(INDEX('3.0 Lead Time'!$U$8:$U$65,MATCH(A25,'3.0 Lead Time'!$A$8:$A$65,0),0),"")</f>
        <v/>
      </c>
    </row>
    <row r="26" spans="1:37" x14ac:dyDescent="0.25">
      <c r="A26" s="10" t="str">
        <f>'1.2 Sorting'!K26</f>
        <v>Spare 62</v>
      </c>
      <c r="B26" s="10" cm="1">
        <f t="array" ref="B26">_xlfn.IFNA(INDEX(' 1.0 Asset Data'!B$8:B$80,MATCH($A26,' 1.0 Asset Data'!$A$8:$A$80,0),0),0)</f>
        <v>24</v>
      </c>
      <c r="C26" s="10" cm="1">
        <f t="array" ref="C26">_xlfn.IFNA(INDEX(' 1.0 Asset Data'!C$8:C$80,MATCH($A26,' 1.0 Asset Data'!$A$8:$A$80,0),0),0)</f>
        <v>0</v>
      </c>
      <c r="D26" s="31" cm="1">
        <f t="array" ref="D26">_xlfn.IFNA(INDEX(' 1.0 Asset Data'!F$8:F$80,MATCH($A26,' 1.0 Asset Data'!$A$8:$A$80,0),0),0)</f>
        <v>13520.312356520015</v>
      </c>
      <c r="E26" s="60" cm="1">
        <f t="array" ref="E26">_xlfn.IFNA(INDEX(' 1.0 Asset Data'!E$8:E$80,MATCH($A26,' 1.0 Asset Data'!$A$8:$A$80,0),0),0)</f>
        <v>6.2441280000000009E-2</v>
      </c>
      <c r="F26" s="31" cm="1">
        <f t="array" ref="F26">_xlfn.IFNA(INDEX(' 1.0 Asset Data'!P$8:P$80,MATCH($A26,' 1.0 Asset Data'!$A$8:$A$80,0),0),0)</f>
        <v>16.015046456446761</v>
      </c>
      <c r="G26" s="37" t="str" cm="1">
        <f t="array" ref="G26">IF($A26="",0,INDEX(' 1.0 Asset Data'!J$8:J$75,MATCH($A26,' 1.0 Asset Data'!$A$8:$A$75,0),0))</f>
        <v>Re-engineer, asset offline for lead time (at least)</v>
      </c>
      <c r="H26" s="31" cm="1">
        <f t="array" ref="H26">IF($A26="",0,INDEX(' 1.0 Asset Data'!L$8:L$75,MATCH($A26,' 1.0 Asset Data'!$A$8:$A$75,0),0))</f>
        <v>100000</v>
      </c>
      <c r="I26" s="31" cm="1">
        <f t="array" ref="I26">IF($A26="",0,INDEX(' 1.0 Asset Data'!N$8:N$75,MATCH($A26,' 1.0 Asset Data'!$A$8:$A$75,0),0))</f>
        <v>150000</v>
      </c>
      <c r="J26" s="31" cm="1">
        <f t="array" ref="J26">IF($A26="",0,INDEX(' 1.0 Asset Data'!M$8:M$75,MATCH($A26,' 1.0 Asset Data'!$A$8:$A$75,0),0))</f>
        <v>200000</v>
      </c>
      <c r="L26" s="46">
        <f t="shared" si="4"/>
        <v>2.6017200000000005E-3</v>
      </c>
      <c r="M26" s="15">
        <f t="shared" si="0"/>
        <v>0.5338348818815587</v>
      </c>
      <c r="N26" s="17">
        <f t="shared" si="5"/>
        <v>584</v>
      </c>
      <c r="O26" s="12">
        <f t="shared" si="6"/>
        <v>6432</v>
      </c>
      <c r="P26" s="24">
        <f t="shared" si="7"/>
        <v>8.1787708605918219E-4</v>
      </c>
      <c r="Q26" s="34">
        <f t="shared" si="2"/>
        <v>4463.3716921603509</v>
      </c>
      <c r="R26" s="15">
        <f t="shared" si="8"/>
        <v>12.220045700644356</v>
      </c>
      <c r="T26" s="12">
        <f t="shared" si="9"/>
        <v>73389.660788424488</v>
      </c>
      <c r="U26" s="12">
        <f t="shared" si="10"/>
        <v>76610.339211575512</v>
      </c>
      <c r="V26" s="51">
        <f t="shared" si="11"/>
        <v>13520.312356520015</v>
      </c>
      <c r="W26" s="12">
        <f t="shared" si="12"/>
        <v>63090.026855055497</v>
      </c>
      <c r="X26" s="21" t="str">
        <f t="shared" si="13"/>
        <v>Buy Spares</v>
      </c>
      <c r="Z26" s="42">
        <f>IF(A26="","",'1.1 Other Data'!$B$32)</f>
        <v>8035</v>
      </c>
      <c r="AA26" s="59">
        <f t="shared" si="14"/>
        <v>1</v>
      </c>
      <c r="AB26" s="43">
        <f>IF(A26="","",'1.1 Other Data'!$B$29+AA26*O26)</f>
        <v>43870</v>
      </c>
      <c r="AC26" s="59">
        <f t="shared" si="15"/>
        <v>7996</v>
      </c>
      <c r="AD26" s="5">
        <f t="shared" si="16"/>
        <v>5849</v>
      </c>
      <c r="AE26" s="5">
        <f t="shared" si="17"/>
        <v>1</v>
      </c>
      <c r="AF26" s="5">
        <f t="shared" si="18"/>
        <v>2147</v>
      </c>
      <c r="AG26" s="7">
        <f t="shared" si="19"/>
        <v>1</v>
      </c>
      <c r="AH26" s="7">
        <f t="shared" si="20"/>
        <v>2</v>
      </c>
      <c r="AI26" s="19">
        <f t="shared" si="21"/>
        <v>27040.62471304003</v>
      </c>
      <c r="AK26" s="23" t="str" cm="1">
        <f t="array" ref="AK26">_xlfn.IFNA(INDEX('3.0 Lead Time'!$U$8:$U$65,MATCH(A26,'3.0 Lead Time'!$A$8:$A$65,0),0),"")</f>
        <v/>
      </c>
    </row>
    <row r="27" spans="1:37" x14ac:dyDescent="0.25">
      <c r="A27" s="10" t="str">
        <f>'1.2 Sorting'!K27</f>
        <v>Spare 63</v>
      </c>
      <c r="B27" s="10" cm="1">
        <f t="array" ref="B27">_xlfn.IFNA(INDEX(' 1.0 Asset Data'!B$8:B$80,MATCH($A27,' 1.0 Asset Data'!$A$8:$A$80,0),0),0)</f>
        <v>54</v>
      </c>
      <c r="C27" s="10" cm="1">
        <f t="array" ref="C27">_xlfn.IFNA(INDEX(' 1.0 Asset Data'!C$8:C$80,MATCH($A27,' 1.0 Asset Data'!$A$8:$A$80,0),0),0)</f>
        <v>2</v>
      </c>
      <c r="D27" s="31" cm="1">
        <f t="array" ref="D27">_xlfn.IFNA(INDEX(' 1.0 Asset Data'!F$8:F$80,MATCH($A27,' 1.0 Asset Data'!$A$8:$A$80,0),0),0)</f>
        <v>21855.790467041446</v>
      </c>
      <c r="E27" s="60" cm="1">
        <f t="array" ref="E27">_xlfn.IFNA(INDEX(' 1.0 Asset Data'!E$8:E$80,MATCH($A27,' 1.0 Asset Data'!$A$8:$A$80,0),0),0)</f>
        <v>0.14049288000000001</v>
      </c>
      <c r="F27" s="31" cm="1">
        <f t="array" ref="F27">_xlfn.IFNA(INDEX(' 1.0 Asset Data'!P$8:P$80,MATCH($A27,' 1.0 Asset Data'!$A$8:$A$80,0),0),0)</f>
        <v>7.1177984250874484</v>
      </c>
      <c r="G27" s="37" t="str" cm="1">
        <f t="array" ref="G27">IF($A27="",0,INDEX(' 1.0 Asset Data'!J$8:J$75,MATCH($A27,' 1.0 Asset Data'!$A$8:$A$75,0),0))</f>
        <v>Re-engineer, asset offline for lead time (at least)</v>
      </c>
      <c r="H27" s="31" cm="1">
        <f t="array" ref="H27">IF($A27="",0,INDEX(' 1.0 Asset Data'!L$8:L$75,MATCH($A27,' 1.0 Asset Data'!$A$8:$A$75,0),0))</f>
        <v>100000</v>
      </c>
      <c r="I27" s="31" cm="1">
        <f t="array" ref="I27">IF($A27="",0,INDEX(' 1.0 Asset Data'!N$8:N$75,MATCH($A27,' 1.0 Asset Data'!$A$8:$A$75,0),0))</f>
        <v>150000</v>
      </c>
      <c r="J27" s="31" cm="1">
        <f t="array" ref="J27">IF($A27="",0,INDEX(' 1.0 Asset Data'!M$8:M$75,MATCH($A27,' 1.0 Asset Data'!$A$8:$A$75,0),0))</f>
        <v>200000</v>
      </c>
      <c r="L27" s="46">
        <f t="shared" si="4"/>
        <v>2.6017200000000001E-3</v>
      </c>
      <c r="M27" s="15">
        <f t="shared" si="0"/>
        <v>0.23725994750291493</v>
      </c>
      <c r="N27" s="17">
        <f t="shared" si="5"/>
        <v>259</v>
      </c>
      <c r="O27" s="12">
        <f t="shared" si="6"/>
        <v>2859</v>
      </c>
      <c r="P27" s="24">
        <f t="shared" si="7"/>
        <v>1.8409493201763105E-3</v>
      </c>
      <c r="Q27" s="34">
        <f t="shared" si="2"/>
        <v>1983.9520627930751</v>
      </c>
      <c r="R27" s="15">
        <f t="shared" si="8"/>
        <v>5.4317647167503766</v>
      </c>
      <c r="T27" s="12">
        <f t="shared" si="9"/>
        <v>109167.79971284022</v>
      </c>
      <c r="U27" s="12">
        <f t="shared" si="10"/>
        <v>40832.20028715978</v>
      </c>
      <c r="V27" s="51">
        <f t="shared" si="11"/>
        <v>21855.790467041446</v>
      </c>
      <c r="W27" s="12">
        <f t="shared" si="12"/>
        <v>18976.409820118333</v>
      </c>
      <c r="X27" s="21" t="str">
        <f t="shared" si="13"/>
        <v>Buy Spares</v>
      </c>
      <c r="Z27" s="42">
        <f>IF(A27="","",'1.1 Other Data'!$B$32)</f>
        <v>8035</v>
      </c>
      <c r="AA27" s="59">
        <f t="shared" si="14"/>
        <v>2</v>
      </c>
      <c r="AB27" s="43">
        <f>IF(A27="","",'1.1 Other Data'!$B$29+AA27*O27)</f>
        <v>43156</v>
      </c>
      <c r="AC27" s="59">
        <f t="shared" si="15"/>
        <v>8710</v>
      </c>
      <c r="AD27" s="5">
        <f t="shared" si="16"/>
        <v>2599</v>
      </c>
      <c r="AE27" s="5">
        <f t="shared" si="17"/>
        <v>3</v>
      </c>
      <c r="AF27" s="5">
        <f t="shared" si="18"/>
        <v>911</v>
      </c>
      <c r="AG27" s="7">
        <f t="shared" si="19"/>
        <v>1</v>
      </c>
      <c r="AH27" s="7">
        <f t="shared" si="20"/>
        <v>4</v>
      </c>
      <c r="AI27" s="19">
        <f t="shared" si="21"/>
        <v>87423.161868165786</v>
      </c>
      <c r="AK27" s="23" t="str" cm="1">
        <f t="array" ref="AK27">_xlfn.IFNA(INDEX('3.0 Lead Time'!$U$8:$U$65,MATCH(A27,'3.0 Lead Time'!$A$8:$A$65,0),0),"")</f>
        <v/>
      </c>
    </row>
    <row r="28" spans="1:37" x14ac:dyDescent="0.25">
      <c r="A28" s="10" t="str">
        <f>'1.2 Sorting'!K28</f>
        <v>Spare 64</v>
      </c>
      <c r="B28" s="10" cm="1">
        <f t="array" ref="B28">_xlfn.IFNA(INDEX(' 1.0 Asset Data'!B$8:B$80,MATCH($A28,' 1.0 Asset Data'!$A$8:$A$80,0),0),0)</f>
        <v>12</v>
      </c>
      <c r="C28" s="10" cm="1">
        <f t="array" ref="C28">_xlfn.IFNA(INDEX(' 1.0 Asset Data'!C$8:C$80,MATCH($A28,' 1.0 Asset Data'!$A$8:$A$80,0),0),0)</f>
        <v>2</v>
      </c>
      <c r="D28" s="31" cm="1">
        <f t="array" ref="D28">_xlfn.IFNA(INDEX(' 1.0 Asset Data'!F$8:F$80,MATCH($A28,' 1.0 Asset Data'!$A$8:$A$80,0),0),0)</f>
        <v>50951.842448463023</v>
      </c>
      <c r="E28" s="60" cm="1">
        <f t="array" ref="E28">_xlfn.IFNA(INDEX(' 1.0 Asset Data'!E$8:E$80,MATCH($A28,' 1.0 Asset Data'!$A$8:$A$80,0),0),0)</f>
        <v>0.18921599999999997</v>
      </c>
      <c r="F28" s="31" cm="1">
        <f t="array" ref="F28">_xlfn.IFNA(INDEX(' 1.0 Asset Data'!P$8:P$80,MATCH($A28,' 1.0 Asset Data'!$A$8:$A$80,0),0),0)</f>
        <v>5.2849653306274318</v>
      </c>
      <c r="G28" s="37" t="str" cm="1">
        <f t="array" ref="G28">IF($A28="",0,INDEX(' 1.0 Asset Data'!J$8:J$75,MATCH($A28,' 1.0 Asset Data'!$A$8:$A$75,0),0))</f>
        <v>Re-engineer, asset offline for lead time (at least)</v>
      </c>
      <c r="H28" s="31" cm="1">
        <f t="array" ref="H28">IF($A28="",0,INDEX(' 1.0 Asset Data'!L$8:L$75,MATCH($A28,' 1.0 Asset Data'!$A$8:$A$75,0),0))</f>
        <v>500000</v>
      </c>
      <c r="I28" s="31" cm="1">
        <f t="array" ref="I28">IF($A28="",0,INDEX(' 1.0 Asset Data'!N$8:N$75,MATCH($A28,' 1.0 Asset Data'!$A$8:$A$75,0),0))</f>
        <v>750000</v>
      </c>
      <c r="J28" s="31" cm="1">
        <f t="array" ref="J28">IF($A28="",0,INDEX(' 1.0 Asset Data'!M$8:M$75,MATCH($A28,' 1.0 Asset Data'!$A$8:$A$75,0),0))</f>
        <v>1000000</v>
      </c>
      <c r="L28" s="46">
        <f t="shared" si="4"/>
        <v>1.5767999999999997E-2</v>
      </c>
      <c r="M28" s="15">
        <f t="shared" si="0"/>
        <v>0.17616551102091438</v>
      </c>
      <c r="N28" s="17">
        <f t="shared" si="5"/>
        <v>193</v>
      </c>
      <c r="O28" s="12">
        <f t="shared" si="6"/>
        <v>2123</v>
      </c>
      <c r="P28" s="24">
        <f t="shared" si="7"/>
        <v>1.6295059162538816E-3</v>
      </c>
      <c r="Q28" s="34">
        <f t="shared" si="2"/>
        <v>1134.5108912276887</v>
      </c>
      <c r="R28" s="15">
        <f t="shared" si="8"/>
        <v>3.1061215365576693</v>
      </c>
      <c r="T28" s="12">
        <f t="shared" si="9"/>
        <v>625386.77174066263</v>
      </c>
      <c r="U28" s="12">
        <f t="shared" si="10"/>
        <v>124613.22825933737</v>
      </c>
      <c r="V28" s="51">
        <f t="shared" si="11"/>
        <v>50951.842448463023</v>
      </c>
      <c r="W28" s="12">
        <f t="shared" si="12"/>
        <v>73661.385810874344</v>
      </c>
      <c r="X28" s="21" t="str">
        <f t="shared" si="13"/>
        <v>Buy Spares</v>
      </c>
      <c r="Z28" s="42">
        <f>IF(A28="","",'1.1 Other Data'!$B$32)</f>
        <v>8035</v>
      </c>
      <c r="AA28" s="59">
        <f t="shared" si="14"/>
        <v>3</v>
      </c>
      <c r="AB28" s="43">
        <f>IF(A28="","",'1.1 Other Data'!$B$29+AA28*O28)</f>
        <v>43807</v>
      </c>
      <c r="AC28" s="59">
        <f t="shared" si="15"/>
        <v>8059</v>
      </c>
      <c r="AD28" s="5">
        <f t="shared" si="16"/>
        <v>1930</v>
      </c>
      <c r="AE28" s="5">
        <f t="shared" si="17"/>
        <v>4</v>
      </c>
      <c r="AF28" s="5">
        <f t="shared" si="18"/>
        <v>338</v>
      </c>
      <c r="AG28" s="7">
        <f t="shared" si="19"/>
        <v>1</v>
      </c>
      <c r="AH28" s="7">
        <f t="shared" si="20"/>
        <v>5</v>
      </c>
      <c r="AI28" s="19">
        <f t="shared" si="21"/>
        <v>254759.21224231512</v>
      </c>
      <c r="AK28" s="23" t="str" cm="1">
        <f t="array" ref="AK28">_xlfn.IFNA(INDEX('3.0 Lead Time'!$U$8:$U$65,MATCH(A28,'3.0 Lead Time'!$A$8:$A$65,0),0),"")</f>
        <v/>
      </c>
    </row>
    <row r="29" spans="1:37" x14ac:dyDescent="0.25">
      <c r="A29" s="10" t="str">
        <f>'1.2 Sorting'!K29</f>
        <v/>
      </c>
      <c r="B29" s="10" cm="1">
        <f t="array" ref="B29">_xlfn.IFNA(INDEX(' 1.0 Asset Data'!B$8:B$80,MATCH($A29,' 1.0 Asset Data'!$A$8:$A$80,0),0),0)</f>
        <v>0</v>
      </c>
      <c r="C29" s="10" cm="1">
        <f t="array" ref="C29">_xlfn.IFNA(INDEX(' 1.0 Asset Data'!C$8:C$80,MATCH($A29,' 1.0 Asset Data'!$A$8:$A$80,0),0),0)</f>
        <v>0</v>
      </c>
      <c r="D29" s="31" cm="1">
        <f t="array" ref="D29">_xlfn.IFNA(INDEX(' 1.0 Asset Data'!F$8:F$80,MATCH($A29,' 1.0 Asset Data'!$A$8:$A$80,0),0),0)</f>
        <v>0</v>
      </c>
      <c r="E29" s="60" cm="1">
        <f t="array" ref="E29">_xlfn.IFNA(INDEX(' 1.0 Asset Data'!E$8:E$80,MATCH($A29,' 1.0 Asset Data'!$A$8:$A$80,0),0),0)</f>
        <v>0</v>
      </c>
      <c r="F29" s="31" cm="1">
        <f t="array" ref="F29">_xlfn.IFNA(INDEX(' 1.0 Asset Data'!P$8:P$80,MATCH($A29,' 1.0 Asset Data'!$A$8:$A$80,0),0),0)</f>
        <v>0</v>
      </c>
      <c r="G29" s="37" cm="1">
        <f t="array" ref="G29">IF($A29="",0,INDEX(' 1.0 Asset Data'!J$8:J$75,MATCH($A29,' 1.0 Asset Data'!$A$8:$A$75,0),0))</f>
        <v>0</v>
      </c>
      <c r="H29" s="31" cm="1">
        <f t="array" ref="H29">IF($A29="",0,INDEX(' 1.0 Asset Data'!L$8:L$75,MATCH($A29,' 1.0 Asset Data'!$A$8:$A$75,0),0))</f>
        <v>0</v>
      </c>
      <c r="I29" s="31" cm="1">
        <f t="array" ref="I29">IF($A29="",0,INDEX(' 1.0 Asset Data'!N$8:N$75,MATCH($A29,' 1.0 Asset Data'!$A$8:$A$75,0),0))</f>
        <v>0</v>
      </c>
      <c r="J29" s="31" cm="1">
        <f t="array" ref="J29">IF($A29="",0,INDEX(' 1.0 Asset Data'!M$8:M$75,MATCH($A29,' 1.0 Asset Data'!$A$8:$A$75,0),0))</f>
        <v>0</v>
      </c>
      <c r="L29" s="46">
        <f t="shared" si="4"/>
        <v>0</v>
      </c>
      <c r="M29" s="15">
        <f t="shared" si="0"/>
        <v>0</v>
      </c>
      <c r="N29" s="17">
        <f t="shared" si="5"/>
        <v>0</v>
      </c>
      <c r="O29" s="12">
        <f t="shared" si="6"/>
        <v>0</v>
      </c>
      <c r="P29" s="24">
        <f t="shared" si="7"/>
        <v>0</v>
      </c>
      <c r="Q29" s="34">
        <f t="shared" si="2"/>
        <v>0</v>
      </c>
      <c r="R29" s="15">
        <f t="shared" si="8"/>
        <v>0</v>
      </c>
      <c r="T29" s="12">
        <f t="shared" si="9"/>
        <v>0</v>
      </c>
      <c r="U29" s="12">
        <f t="shared" si="10"/>
        <v>0</v>
      </c>
      <c r="V29" s="51">
        <f t="shared" si="11"/>
        <v>0</v>
      </c>
      <c r="W29" s="12">
        <f t="shared" si="12"/>
        <v>0</v>
      </c>
      <c r="X29" s="21" t="str">
        <f t="shared" si="13"/>
        <v/>
      </c>
      <c r="Z29" s="42" t="str">
        <f>IF(A29="","",'1.1 Other Data'!$B$32)</f>
        <v/>
      </c>
      <c r="AA29" s="59" t="e">
        <f>ROUNDDOWN(Z29/O29,0)</f>
        <v>#VALUE!</v>
      </c>
      <c r="AB29" s="43" t="str">
        <f>IF(A29="","",'1.1 Other Data'!$B$29+AA29*O29)</f>
        <v/>
      </c>
      <c r="AC29" s="59" t="str">
        <f t="shared" si="15"/>
        <v/>
      </c>
      <c r="AD29" s="5">
        <f t="shared" si="16"/>
        <v>0</v>
      </c>
      <c r="AE29" s="5" t="str">
        <f t="shared" si="17"/>
        <v/>
      </c>
      <c r="AF29" s="5" t="str">
        <f t="shared" si="18"/>
        <v/>
      </c>
      <c r="AG29" s="7" t="e">
        <f t="shared" si="19"/>
        <v>#VALUE!</v>
      </c>
      <c r="AH29" s="7">
        <f t="shared" si="20"/>
        <v>0</v>
      </c>
      <c r="AI29" s="19">
        <f t="shared" si="21"/>
        <v>0</v>
      </c>
      <c r="AK29" s="23" cm="1">
        <f t="array" ref="AK29">_xlfn.IFNA(INDEX('3.0 Lead Time'!$U$8:$U$65,MATCH(A29,'3.0 Lead Time'!$A$8:$A$65,0),0),"")</f>
        <v>0</v>
      </c>
    </row>
    <row r="30" spans="1:37" x14ac:dyDescent="0.25">
      <c r="A30" s="10" t="str">
        <f>'1.2 Sorting'!K30</f>
        <v/>
      </c>
      <c r="B30" s="10" cm="1">
        <f t="array" ref="B30">_xlfn.IFNA(INDEX(' 1.0 Asset Data'!B$8:B$80,MATCH($A30,' 1.0 Asset Data'!$A$8:$A$80,0),0),0)</f>
        <v>0</v>
      </c>
      <c r="C30" s="10" cm="1">
        <f t="array" ref="C30">_xlfn.IFNA(INDEX(' 1.0 Asset Data'!C$8:C$80,MATCH($A30,' 1.0 Asset Data'!$A$8:$A$80,0),0),0)</f>
        <v>0</v>
      </c>
      <c r="D30" s="31" cm="1">
        <f t="array" ref="D30">_xlfn.IFNA(INDEX(' 1.0 Asset Data'!F$8:F$80,MATCH($A30,' 1.0 Asset Data'!$A$8:$A$80,0),0),0)</f>
        <v>0</v>
      </c>
      <c r="E30" s="60" cm="1">
        <f t="array" ref="E30">_xlfn.IFNA(INDEX(' 1.0 Asset Data'!E$8:E$80,MATCH($A30,' 1.0 Asset Data'!$A$8:$A$80,0),0),0)</f>
        <v>0</v>
      </c>
      <c r="F30" s="31" cm="1">
        <f t="array" ref="F30">_xlfn.IFNA(INDEX(' 1.0 Asset Data'!P$8:P$80,MATCH($A30,' 1.0 Asset Data'!$A$8:$A$80,0),0),0)</f>
        <v>0</v>
      </c>
      <c r="G30" s="37" cm="1">
        <f t="array" ref="G30">IF($A30="",0,INDEX(' 1.0 Asset Data'!J$8:J$75,MATCH($A30,' 1.0 Asset Data'!$A$8:$A$75,0),0))</f>
        <v>0</v>
      </c>
      <c r="H30" s="31" cm="1">
        <f t="array" ref="H30">IF($A30="",0,INDEX(' 1.0 Asset Data'!L$8:L$75,MATCH($A30,' 1.0 Asset Data'!$A$8:$A$75,0),0))</f>
        <v>0</v>
      </c>
      <c r="I30" s="31" cm="1">
        <f t="array" ref="I30">IF($A30="",0,INDEX(' 1.0 Asset Data'!N$8:N$75,MATCH($A30,' 1.0 Asset Data'!$A$8:$A$75,0),0))</f>
        <v>0</v>
      </c>
      <c r="J30" s="31" cm="1">
        <f t="array" ref="J30">IF($A30="",0,INDEX(' 1.0 Asset Data'!M$8:M$75,MATCH($A30,' 1.0 Asset Data'!$A$8:$A$75,0),0))</f>
        <v>0</v>
      </c>
      <c r="L30" s="46">
        <f t="shared" si="4"/>
        <v>0</v>
      </c>
      <c r="M30" s="15">
        <f t="shared" si="0"/>
        <v>0</v>
      </c>
      <c r="N30" s="17">
        <f t="shared" si="5"/>
        <v>0</v>
      </c>
      <c r="O30" s="12">
        <f t="shared" si="6"/>
        <v>0</v>
      </c>
      <c r="P30" s="24">
        <f t="shared" si="7"/>
        <v>0</v>
      </c>
      <c r="Q30" s="34">
        <f t="shared" si="2"/>
        <v>0</v>
      </c>
      <c r="R30" s="15">
        <f t="shared" si="8"/>
        <v>0</v>
      </c>
      <c r="T30" s="12">
        <f t="shared" si="9"/>
        <v>0</v>
      </c>
      <c r="U30" s="12">
        <f t="shared" si="10"/>
        <v>0</v>
      </c>
      <c r="V30" s="51">
        <f t="shared" si="11"/>
        <v>0</v>
      </c>
      <c r="W30" s="12">
        <f t="shared" si="12"/>
        <v>0</v>
      </c>
      <c r="X30" s="21" t="str">
        <f t="shared" si="13"/>
        <v/>
      </c>
      <c r="Z30" s="42" t="str">
        <f>IF(A30="","",'1.1 Other Data'!$B$32)</f>
        <v/>
      </c>
      <c r="AA30" s="59">
        <f t="shared" si="14"/>
        <v>0</v>
      </c>
      <c r="AB30" s="43" t="str">
        <f>IF(A30="","",'1.1 Other Data'!$B$29+AA30*O30)</f>
        <v/>
      </c>
      <c r="AC30" s="59" t="str">
        <f t="shared" si="15"/>
        <v/>
      </c>
      <c r="AD30" s="5">
        <f t="shared" si="16"/>
        <v>0</v>
      </c>
      <c r="AE30" s="5" t="str">
        <f t="shared" si="17"/>
        <v/>
      </c>
      <c r="AF30" s="5" t="str">
        <f t="shared" si="18"/>
        <v/>
      </c>
      <c r="AG30" s="7" t="e">
        <f t="shared" si="19"/>
        <v>#VALUE!</v>
      </c>
      <c r="AH30" s="7">
        <f t="shared" si="20"/>
        <v>0</v>
      </c>
      <c r="AI30" s="19">
        <f t="shared" si="21"/>
        <v>0</v>
      </c>
      <c r="AK30" s="23" cm="1">
        <f t="array" ref="AK30">_xlfn.IFNA(INDEX('3.0 Lead Time'!$U$8:$U$65,MATCH(A30,'3.0 Lead Time'!$A$8:$A$65,0),0),"")</f>
        <v>0</v>
      </c>
    </row>
    <row r="31" spans="1:37" x14ac:dyDescent="0.25">
      <c r="A31" s="10" t="str">
        <f>'1.2 Sorting'!K31</f>
        <v/>
      </c>
      <c r="B31" s="10" cm="1">
        <f t="array" ref="B31">_xlfn.IFNA(INDEX(' 1.0 Asset Data'!B$8:B$80,MATCH($A31,' 1.0 Asset Data'!$A$8:$A$80,0),0),0)</f>
        <v>0</v>
      </c>
      <c r="C31" s="10" cm="1">
        <f t="array" ref="C31">_xlfn.IFNA(INDEX(' 1.0 Asset Data'!C$8:C$80,MATCH($A31,' 1.0 Asset Data'!$A$8:$A$80,0),0),0)</f>
        <v>0</v>
      </c>
      <c r="D31" s="31" cm="1">
        <f t="array" ref="D31">_xlfn.IFNA(INDEX(' 1.0 Asset Data'!F$8:F$80,MATCH($A31,' 1.0 Asset Data'!$A$8:$A$80,0),0),0)</f>
        <v>0</v>
      </c>
      <c r="E31" s="60" cm="1">
        <f t="array" ref="E31">_xlfn.IFNA(INDEX(' 1.0 Asset Data'!E$8:E$80,MATCH($A31,' 1.0 Asset Data'!$A$8:$A$80,0),0),0)</f>
        <v>0</v>
      </c>
      <c r="F31" s="31" cm="1">
        <f t="array" ref="F31">_xlfn.IFNA(INDEX(' 1.0 Asset Data'!P$8:P$80,MATCH($A31,' 1.0 Asset Data'!$A$8:$A$80,0),0),0)</f>
        <v>0</v>
      </c>
      <c r="G31" s="37" cm="1">
        <f t="array" ref="G31">IF($A31="",0,INDEX(' 1.0 Asset Data'!J$8:J$75,MATCH($A31,' 1.0 Asset Data'!$A$8:$A$75,0),0))</f>
        <v>0</v>
      </c>
      <c r="H31" s="31" cm="1">
        <f t="array" ref="H31">IF($A31="",0,INDEX(' 1.0 Asset Data'!L$8:L$75,MATCH($A31,' 1.0 Asset Data'!$A$8:$A$75,0),0))</f>
        <v>0</v>
      </c>
      <c r="I31" s="31" cm="1">
        <f t="array" ref="I31">IF($A31="",0,INDEX(' 1.0 Asset Data'!N$8:N$75,MATCH($A31,' 1.0 Asset Data'!$A$8:$A$75,0),0))</f>
        <v>0</v>
      </c>
      <c r="J31" s="31" cm="1">
        <f t="array" ref="J31">IF($A31="",0,INDEX(' 1.0 Asset Data'!M$8:M$75,MATCH($A31,' 1.0 Asset Data'!$A$8:$A$75,0),0))</f>
        <v>0</v>
      </c>
      <c r="L31" s="46">
        <f t="shared" si="4"/>
        <v>0</v>
      </c>
      <c r="M31" s="15">
        <f t="shared" si="0"/>
        <v>0</v>
      </c>
      <c r="N31" s="17">
        <f t="shared" si="5"/>
        <v>0</v>
      </c>
      <c r="O31" s="12">
        <f t="shared" si="6"/>
        <v>0</v>
      </c>
      <c r="P31" s="24">
        <f t="shared" si="7"/>
        <v>0</v>
      </c>
      <c r="Q31" s="34">
        <f t="shared" si="2"/>
        <v>0</v>
      </c>
      <c r="R31" s="15">
        <f t="shared" si="8"/>
        <v>0</v>
      </c>
      <c r="T31" s="12">
        <f t="shared" si="9"/>
        <v>0</v>
      </c>
      <c r="U31" s="12">
        <f t="shared" si="10"/>
        <v>0</v>
      </c>
      <c r="V31" s="51">
        <f t="shared" si="11"/>
        <v>0</v>
      </c>
      <c r="W31" s="12">
        <f t="shared" si="12"/>
        <v>0</v>
      </c>
      <c r="X31" s="21" t="str">
        <f t="shared" si="13"/>
        <v/>
      </c>
      <c r="Z31" s="42" t="str">
        <f>IF(A31="","",'1.1 Other Data'!$B$32)</f>
        <v/>
      </c>
      <c r="AA31" s="59">
        <f t="shared" si="14"/>
        <v>0</v>
      </c>
      <c r="AB31" s="43" t="str">
        <f>IF(A31="","",'1.1 Other Data'!$B$29+AA31*O31)</f>
        <v/>
      </c>
      <c r="AC31" s="59" t="str">
        <f t="shared" si="15"/>
        <v/>
      </c>
      <c r="AD31" s="5">
        <f t="shared" si="16"/>
        <v>0</v>
      </c>
      <c r="AE31" s="5" t="str">
        <f t="shared" si="17"/>
        <v/>
      </c>
      <c r="AF31" s="5" t="str">
        <f t="shared" si="18"/>
        <v/>
      </c>
      <c r="AG31" s="7" t="e">
        <f t="shared" si="19"/>
        <v>#VALUE!</v>
      </c>
      <c r="AH31" s="7">
        <f t="shared" si="20"/>
        <v>0</v>
      </c>
      <c r="AI31" s="19">
        <f t="shared" si="21"/>
        <v>0</v>
      </c>
      <c r="AK31" s="23" cm="1">
        <f t="array" ref="AK31">_xlfn.IFNA(INDEX('3.0 Lead Time'!$U$8:$U$65,MATCH(A31,'3.0 Lead Time'!$A$8:$A$65,0),0),"")</f>
        <v>0</v>
      </c>
    </row>
    <row r="32" spans="1:37" x14ac:dyDescent="0.25">
      <c r="A32" s="10" t="str">
        <f>'1.2 Sorting'!K32</f>
        <v/>
      </c>
      <c r="B32" s="10" cm="1">
        <f t="array" ref="B32">_xlfn.IFNA(INDEX(' 1.0 Asset Data'!B$8:B$80,MATCH($A32,' 1.0 Asset Data'!$A$8:$A$80,0),0),0)</f>
        <v>0</v>
      </c>
      <c r="C32" s="10" cm="1">
        <f t="array" ref="C32">_xlfn.IFNA(INDEX(' 1.0 Asset Data'!C$8:C$80,MATCH($A32,' 1.0 Asset Data'!$A$8:$A$80,0),0),0)</f>
        <v>0</v>
      </c>
      <c r="D32" s="31" cm="1">
        <f t="array" ref="D32">_xlfn.IFNA(INDEX(' 1.0 Asset Data'!F$8:F$80,MATCH($A32,' 1.0 Asset Data'!$A$8:$A$80,0),0),0)</f>
        <v>0</v>
      </c>
      <c r="E32" s="60" cm="1">
        <f t="array" ref="E32">_xlfn.IFNA(INDEX(' 1.0 Asset Data'!E$8:E$80,MATCH($A32,' 1.0 Asset Data'!$A$8:$A$80,0),0),0)</f>
        <v>0</v>
      </c>
      <c r="F32" s="31" cm="1">
        <f t="array" ref="F32">_xlfn.IFNA(INDEX(' 1.0 Asset Data'!P$8:P$80,MATCH($A32,' 1.0 Asset Data'!$A$8:$A$80,0),0),0)</f>
        <v>0</v>
      </c>
      <c r="G32" s="37" cm="1">
        <f t="array" ref="G32">IF($A32="",0,INDEX(' 1.0 Asset Data'!J$8:J$75,MATCH($A32,' 1.0 Asset Data'!$A$8:$A$75,0),0))</f>
        <v>0</v>
      </c>
      <c r="H32" s="31" cm="1">
        <f t="array" ref="H32">IF($A32="",0,INDEX(' 1.0 Asset Data'!L$8:L$75,MATCH($A32,' 1.0 Asset Data'!$A$8:$A$75,0),0))</f>
        <v>0</v>
      </c>
      <c r="I32" s="31" cm="1">
        <f t="array" ref="I32">IF($A32="",0,INDEX(' 1.0 Asset Data'!N$8:N$75,MATCH($A32,' 1.0 Asset Data'!$A$8:$A$75,0),0))</f>
        <v>0</v>
      </c>
      <c r="J32" s="31" cm="1">
        <f t="array" ref="J32">IF($A32="",0,INDEX(' 1.0 Asset Data'!M$8:M$75,MATCH($A32,' 1.0 Asset Data'!$A$8:$A$75,0),0))</f>
        <v>0</v>
      </c>
      <c r="L32" s="46">
        <f t="shared" si="4"/>
        <v>0</v>
      </c>
      <c r="M32" s="15">
        <f t="shared" si="0"/>
        <v>0</v>
      </c>
      <c r="N32" s="17">
        <f t="shared" si="5"/>
        <v>0</v>
      </c>
      <c r="O32" s="12">
        <f t="shared" si="6"/>
        <v>0</v>
      </c>
      <c r="P32" s="24">
        <f t="shared" si="7"/>
        <v>0</v>
      </c>
      <c r="Q32" s="34">
        <f t="shared" si="2"/>
        <v>0</v>
      </c>
      <c r="R32" s="15">
        <f t="shared" si="8"/>
        <v>0</v>
      </c>
      <c r="T32" s="12">
        <f t="shared" si="9"/>
        <v>0</v>
      </c>
      <c r="U32" s="12">
        <f t="shared" si="10"/>
        <v>0</v>
      </c>
      <c r="V32" s="51">
        <f t="shared" si="11"/>
        <v>0</v>
      </c>
      <c r="W32" s="12">
        <f t="shared" si="12"/>
        <v>0</v>
      </c>
      <c r="X32" s="21" t="str">
        <f t="shared" si="13"/>
        <v/>
      </c>
      <c r="Z32" s="42" t="str">
        <f>IF(A32="","",'1.1 Other Data'!$B$32)</f>
        <v/>
      </c>
      <c r="AA32" s="59">
        <f t="shared" si="14"/>
        <v>0</v>
      </c>
      <c r="AB32" s="43" t="str">
        <f>IF(A32="","",'1.1 Other Data'!$B$29+AA32*O32)</f>
        <v/>
      </c>
      <c r="AC32" s="59" t="str">
        <f t="shared" si="15"/>
        <v/>
      </c>
      <c r="AD32" s="5">
        <f t="shared" si="16"/>
        <v>0</v>
      </c>
      <c r="AE32" s="5" t="str">
        <f t="shared" si="17"/>
        <v/>
      </c>
      <c r="AF32" s="5" t="str">
        <f t="shared" si="18"/>
        <v/>
      </c>
      <c r="AG32" s="7" t="e">
        <f t="shared" si="19"/>
        <v>#VALUE!</v>
      </c>
      <c r="AH32" s="7">
        <f t="shared" si="20"/>
        <v>0</v>
      </c>
      <c r="AI32" s="19">
        <f t="shared" si="21"/>
        <v>0</v>
      </c>
      <c r="AK32" s="23" cm="1">
        <f t="array" ref="AK32">_xlfn.IFNA(INDEX('3.0 Lead Time'!$U$8:$U$65,MATCH(A32,'3.0 Lead Time'!$A$8:$A$65,0),0),"")</f>
        <v>0</v>
      </c>
    </row>
    <row r="33" spans="1:37" x14ac:dyDescent="0.25">
      <c r="A33" s="10" t="str">
        <f>'1.2 Sorting'!K33</f>
        <v/>
      </c>
      <c r="B33" s="10" cm="1">
        <f t="array" ref="B33">_xlfn.IFNA(INDEX(' 1.0 Asset Data'!B$8:B$80,MATCH($A33,' 1.0 Asset Data'!$A$8:$A$80,0),0),0)</f>
        <v>0</v>
      </c>
      <c r="C33" s="10" cm="1">
        <f t="array" ref="C33">_xlfn.IFNA(INDEX(' 1.0 Asset Data'!C$8:C$80,MATCH($A33,' 1.0 Asset Data'!$A$8:$A$80,0),0),0)</f>
        <v>0</v>
      </c>
      <c r="D33" s="31" cm="1">
        <f t="array" ref="D33">_xlfn.IFNA(INDEX(' 1.0 Asset Data'!F$8:F$80,MATCH($A33,' 1.0 Asset Data'!$A$8:$A$80,0),0),0)</f>
        <v>0</v>
      </c>
      <c r="E33" s="60" cm="1">
        <f t="array" ref="E33">_xlfn.IFNA(INDEX(' 1.0 Asset Data'!E$8:E$80,MATCH($A33,' 1.0 Asset Data'!$A$8:$A$80,0),0),0)</f>
        <v>0</v>
      </c>
      <c r="F33" s="31" cm="1">
        <f t="array" ref="F33">_xlfn.IFNA(INDEX(' 1.0 Asset Data'!P$8:P$80,MATCH($A33,' 1.0 Asset Data'!$A$8:$A$80,0),0),0)</f>
        <v>0</v>
      </c>
      <c r="G33" s="37" cm="1">
        <f t="array" ref="G33">IF($A33="",0,INDEX(' 1.0 Asset Data'!J$8:J$75,MATCH($A33,' 1.0 Asset Data'!$A$8:$A$75,0),0))</f>
        <v>0</v>
      </c>
      <c r="H33" s="31" cm="1">
        <f t="array" ref="H33">IF($A33="",0,INDEX(' 1.0 Asset Data'!L$8:L$75,MATCH($A33,' 1.0 Asset Data'!$A$8:$A$75,0),0))</f>
        <v>0</v>
      </c>
      <c r="I33" s="31" cm="1">
        <f t="array" ref="I33">IF($A33="",0,INDEX(' 1.0 Asset Data'!N$8:N$75,MATCH($A33,' 1.0 Asset Data'!$A$8:$A$75,0),0))</f>
        <v>0</v>
      </c>
      <c r="J33" s="31" cm="1">
        <f t="array" ref="J33">IF($A33="",0,INDEX(' 1.0 Asset Data'!M$8:M$75,MATCH($A33,' 1.0 Asset Data'!$A$8:$A$75,0),0))</f>
        <v>0</v>
      </c>
      <c r="L33" s="46">
        <f t="shared" si="4"/>
        <v>0</v>
      </c>
      <c r="M33" s="15">
        <f t="shared" si="0"/>
        <v>0</v>
      </c>
      <c r="N33" s="17">
        <f t="shared" si="5"/>
        <v>0</v>
      </c>
      <c r="O33" s="12">
        <f t="shared" si="6"/>
        <v>0</v>
      </c>
      <c r="P33" s="24">
        <f t="shared" si="7"/>
        <v>0</v>
      </c>
      <c r="Q33" s="34">
        <f t="shared" si="2"/>
        <v>0</v>
      </c>
      <c r="R33" s="15">
        <f t="shared" si="8"/>
        <v>0</v>
      </c>
      <c r="T33" s="12">
        <f t="shared" si="9"/>
        <v>0</v>
      </c>
      <c r="U33" s="12">
        <f t="shared" si="10"/>
        <v>0</v>
      </c>
      <c r="V33" s="51">
        <f t="shared" si="11"/>
        <v>0</v>
      </c>
      <c r="W33" s="12">
        <f t="shared" si="12"/>
        <v>0</v>
      </c>
      <c r="X33" s="21" t="str">
        <f t="shared" si="13"/>
        <v/>
      </c>
      <c r="Z33" s="42" t="str">
        <f>IF(A33="","",'1.1 Other Data'!$B$32)</f>
        <v/>
      </c>
      <c r="AA33" s="59">
        <f t="shared" si="14"/>
        <v>0</v>
      </c>
      <c r="AB33" s="43" t="str">
        <f>IF(A33="","",'1.1 Other Data'!$B$29+AA33*O33)</f>
        <v/>
      </c>
      <c r="AC33" s="59" t="str">
        <f t="shared" si="15"/>
        <v/>
      </c>
      <c r="AD33" s="5">
        <f t="shared" si="16"/>
        <v>0</v>
      </c>
      <c r="AE33" s="5" t="str">
        <f t="shared" si="17"/>
        <v/>
      </c>
      <c r="AF33" s="5" t="str">
        <f t="shared" si="18"/>
        <v/>
      </c>
      <c r="AG33" s="7" t="e">
        <f t="shared" si="19"/>
        <v>#VALUE!</v>
      </c>
      <c r="AH33" s="7">
        <f t="shared" si="20"/>
        <v>0</v>
      </c>
      <c r="AI33" s="19">
        <f t="shared" si="21"/>
        <v>0</v>
      </c>
      <c r="AK33" s="23" cm="1">
        <f t="array" ref="AK33">_xlfn.IFNA(INDEX('3.0 Lead Time'!$U$8:$U$65,MATCH(A33,'3.0 Lead Time'!$A$8:$A$65,0),0),"")</f>
        <v>0</v>
      </c>
    </row>
    <row r="34" spans="1:37" x14ac:dyDescent="0.25">
      <c r="A34" s="10" t="str">
        <f>'1.2 Sorting'!K34</f>
        <v/>
      </c>
      <c r="B34" s="10" cm="1">
        <f t="array" ref="B34">_xlfn.IFNA(INDEX(' 1.0 Asset Data'!B$8:B$80,MATCH($A34,' 1.0 Asset Data'!$A$8:$A$80,0),0),0)</f>
        <v>0</v>
      </c>
      <c r="C34" s="10" cm="1">
        <f t="array" ref="C34">_xlfn.IFNA(INDEX(' 1.0 Asset Data'!C$8:C$80,MATCH($A34,' 1.0 Asset Data'!$A$8:$A$80,0),0),0)</f>
        <v>0</v>
      </c>
      <c r="D34" s="31" cm="1">
        <f t="array" ref="D34">_xlfn.IFNA(INDEX(' 1.0 Asset Data'!F$8:F$80,MATCH($A34,' 1.0 Asset Data'!$A$8:$A$80,0),0),0)</f>
        <v>0</v>
      </c>
      <c r="E34" s="60" cm="1">
        <f t="array" ref="E34">_xlfn.IFNA(INDEX(' 1.0 Asset Data'!E$8:E$80,MATCH($A34,' 1.0 Asset Data'!$A$8:$A$80,0),0),0)</f>
        <v>0</v>
      </c>
      <c r="F34" s="31" cm="1">
        <f t="array" ref="F34">_xlfn.IFNA(INDEX(' 1.0 Asset Data'!P$8:P$80,MATCH($A34,' 1.0 Asset Data'!$A$8:$A$80,0),0),0)</f>
        <v>0</v>
      </c>
      <c r="G34" s="37" cm="1">
        <f t="array" ref="G34">IF($A34="",0,INDEX(' 1.0 Asset Data'!J$8:J$75,MATCH($A34,' 1.0 Asset Data'!$A$8:$A$75,0),0))</f>
        <v>0</v>
      </c>
      <c r="H34" s="31" cm="1">
        <f t="array" ref="H34">IF($A34="",0,INDEX(' 1.0 Asset Data'!L$8:L$75,MATCH($A34,' 1.0 Asset Data'!$A$8:$A$75,0),0))</f>
        <v>0</v>
      </c>
      <c r="I34" s="31" cm="1">
        <f t="array" ref="I34">IF($A34="",0,INDEX(' 1.0 Asset Data'!N$8:N$75,MATCH($A34,' 1.0 Asset Data'!$A$8:$A$75,0),0))</f>
        <v>0</v>
      </c>
      <c r="J34" s="31" cm="1">
        <f t="array" ref="J34">IF($A34="",0,INDEX(' 1.0 Asset Data'!M$8:M$75,MATCH($A34,' 1.0 Asset Data'!$A$8:$A$75,0),0))</f>
        <v>0</v>
      </c>
      <c r="L34" s="46">
        <f t="shared" si="4"/>
        <v>0</v>
      </c>
      <c r="M34" s="15">
        <f t="shared" si="0"/>
        <v>0</v>
      </c>
      <c r="N34" s="17">
        <f t="shared" si="5"/>
        <v>0</v>
      </c>
      <c r="O34" s="12">
        <f t="shared" si="6"/>
        <v>0</v>
      </c>
      <c r="P34" s="24">
        <f t="shared" si="7"/>
        <v>0</v>
      </c>
      <c r="Q34" s="34">
        <f t="shared" si="2"/>
        <v>0</v>
      </c>
      <c r="R34" s="15">
        <f t="shared" si="8"/>
        <v>0</v>
      </c>
      <c r="T34" s="12">
        <f t="shared" si="9"/>
        <v>0</v>
      </c>
      <c r="U34" s="12">
        <f t="shared" si="10"/>
        <v>0</v>
      </c>
      <c r="V34" s="51">
        <f t="shared" si="11"/>
        <v>0</v>
      </c>
      <c r="W34" s="12">
        <f t="shared" si="12"/>
        <v>0</v>
      </c>
      <c r="X34" s="21" t="str">
        <f t="shared" si="13"/>
        <v/>
      </c>
      <c r="Z34" s="42" t="str">
        <f>IF(A34="","",'1.1 Other Data'!$B$32)</f>
        <v/>
      </c>
      <c r="AA34" s="59">
        <f t="shared" si="14"/>
        <v>0</v>
      </c>
      <c r="AB34" s="43" t="str">
        <f>IF(A34="","",'1.1 Other Data'!$B$29+AA34*O34)</f>
        <v/>
      </c>
      <c r="AC34" s="59" t="str">
        <f t="shared" si="15"/>
        <v/>
      </c>
      <c r="AD34" s="5">
        <f t="shared" si="16"/>
        <v>0</v>
      </c>
      <c r="AE34" s="5" t="str">
        <f t="shared" si="17"/>
        <v/>
      </c>
      <c r="AF34" s="5" t="str">
        <f t="shared" si="18"/>
        <v/>
      </c>
      <c r="AG34" s="7" t="e">
        <f t="shared" si="19"/>
        <v>#VALUE!</v>
      </c>
      <c r="AH34" s="7">
        <f t="shared" si="20"/>
        <v>0</v>
      </c>
      <c r="AI34" s="19">
        <f t="shared" si="21"/>
        <v>0</v>
      </c>
      <c r="AK34" s="23" cm="1">
        <f t="array" ref="AK34">_xlfn.IFNA(INDEX('3.0 Lead Time'!$U$8:$U$65,MATCH(A34,'3.0 Lead Time'!$A$8:$A$65,0),0),"")</f>
        <v>0</v>
      </c>
    </row>
    <row r="35" spans="1:37" x14ac:dyDescent="0.25">
      <c r="A35" s="10" t="str">
        <f>'1.2 Sorting'!K35</f>
        <v/>
      </c>
      <c r="B35" s="10" cm="1">
        <f t="array" ref="B35">_xlfn.IFNA(INDEX(' 1.0 Asset Data'!B$8:B$80,MATCH($A35,' 1.0 Asset Data'!$A$8:$A$80,0),0),0)</f>
        <v>0</v>
      </c>
      <c r="C35" s="10" cm="1">
        <f t="array" ref="C35">_xlfn.IFNA(INDEX(' 1.0 Asset Data'!C$8:C$80,MATCH($A35,' 1.0 Asset Data'!$A$8:$A$80,0),0),0)</f>
        <v>0</v>
      </c>
      <c r="D35" s="31" cm="1">
        <f t="array" ref="D35">_xlfn.IFNA(INDEX(' 1.0 Asset Data'!F$8:F$80,MATCH($A35,' 1.0 Asset Data'!$A$8:$A$80,0),0),0)</f>
        <v>0</v>
      </c>
      <c r="E35" s="60" cm="1">
        <f t="array" ref="E35">_xlfn.IFNA(INDEX(' 1.0 Asset Data'!E$8:E$80,MATCH($A35,' 1.0 Asset Data'!$A$8:$A$80,0),0),0)</f>
        <v>0</v>
      </c>
      <c r="F35" s="31" cm="1">
        <f t="array" ref="F35">_xlfn.IFNA(INDEX(' 1.0 Asset Data'!P$8:P$80,MATCH($A35,' 1.0 Asset Data'!$A$8:$A$80,0),0),0)</f>
        <v>0</v>
      </c>
      <c r="G35" s="37" cm="1">
        <f t="array" ref="G35">IF($A35="",0,INDEX(' 1.0 Asset Data'!J$8:J$75,MATCH($A35,' 1.0 Asset Data'!$A$8:$A$75,0),0))</f>
        <v>0</v>
      </c>
      <c r="H35" s="31" cm="1">
        <f t="array" ref="H35">IF($A35="",0,INDEX(' 1.0 Asset Data'!L$8:L$75,MATCH($A35,' 1.0 Asset Data'!$A$8:$A$75,0),0))</f>
        <v>0</v>
      </c>
      <c r="I35" s="31" cm="1">
        <f t="array" ref="I35">IF($A35="",0,INDEX(' 1.0 Asset Data'!N$8:N$75,MATCH($A35,' 1.0 Asset Data'!$A$8:$A$75,0),0))</f>
        <v>0</v>
      </c>
      <c r="J35" s="31" cm="1">
        <f t="array" ref="J35">IF($A35="",0,INDEX(' 1.0 Asset Data'!M$8:M$75,MATCH($A35,' 1.0 Asset Data'!$A$8:$A$75,0),0))</f>
        <v>0</v>
      </c>
      <c r="L35" s="46">
        <f t="shared" si="4"/>
        <v>0</v>
      </c>
      <c r="M35" s="15">
        <f t="shared" si="0"/>
        <v>0</v>
      </c>
      <c r="N35" s="17">
        <f t="shared" si="5"/>
        <v>0</v>
      </c>
      <c r="O35" s="12">
        <f t="shared" si="6"/>
        <v>0</v>
      </c>
      <c r="P35" s="24">
        <f t="shared" si="7"/>
        <v>0</v>
      </c>
      <c r="Q35" s="34">
        <f t="shared" si="2"/>
        <v>0</v>
      </c>
      <c r="R35" s="15">
        <f t="shared" si="8"/>
        <v>0</v>
      </c>
      <c r="T35" s="12">
        <f t="shared" si="9"/>
        <v>0</v>
      </c>
      <c r="U35" s="12">
        <f t="shared" si="10"/>
        <v>0</v>
      </c>
      <c r="V35" s="51">
        <f t="shared" si="11"/>
        <v>0</v>
      </c>
      <c r="W35" s="12">
        <f t="shared" si="12"/>
        <v>0</v>
      </c>
      <c r="X35" s="21" t="str">
        <f t="shared" si="13"/>
        <v/>
      </c>
      <c r="Z35" s="42" t="str">
        <f>IF(A35="","",'1.1 Other Data'!$B$32)</f>
        <v/>
      </c>
      <c r="AA35" s="59">
        <f t="shared" si="14"/>
        <v>0</v>
      </c>
      <c r="AB35" s="43" t="str">
        <f>IF(A35="","",'1.1 Other Data'!$B$29+AA35*O35)</f>
        <v/>
      </c>
      <c r="AC35" s="59" t="str">
        <f t="shared" si="15"/>
        <v/>
      </c>
      <c r="AD35" s="5">
        <f t="shared" si="16"/>
        <v>0</v>
      </c>
      <c r="AE35" s="5" t="str">
        <f t="shared" si="17"/>
        <v/>
      </c>
      <c r="AF35" s="5" t="str">
        <f t="shared" si="18"/>
        <v/>
      </c>
      <c r="AG35" s="7" t="e">
        <f t="shared" si="19"/>
        <v>#VALUE!</v>
      </c>
      <c r="AH35" s="7">
        <f t="shared" si="20"/>
        <v>0</v>
      </c>
      <c r="AI35" s="19">
        <f t="shared" si="21"/>
        <v>0</v>
      </c>
      <c r="AK35" s="23" cm="1">
        <f t="array" ref="AK35">_xlfn.IFNA(INDEX('3.0 Lead Time'!$U$8:$U$65,MATCH(A35,'3.0 Lead Time'!$A$8:$A$65,0),0),"")</f>
        <v>0</v>
      </c>
    </row>
    <row r="36" spans="1:37" x14ac:dyDescent="0.25">
      <c r="A36" s="10" t="str">
        <f>'1.2 Sorting'!K36</f>
        <v/>
      </c>
      <c r="B36" s="10" cm="1">
        <f t="array" ref="B36">_xlfn.IFNA(INDEX(' 1.0 Asset Data'!B$8:B$80,MATCH($A36,' 1.0 Asset Data'!$A$8:$A$80,0),0),0)</f>
        <v>0</v>
      </c>
      <c r="C36" s="10" cm="1">
        <f t="array" ref="C36">_xlfn.IFNA(INDEX(' 1.0 Asset Data'!C$8:C$80,MATCH($A36,' 1.0 Asset Data'!$A$8:$A$80,0),0),0)</f>
        <v>0</v>
      </c>
      <c r="D36" s="31" cm="1">
        <f t="array" ref="D36">_xlfn.IFNA(INDEX(' 1.0 Asset Data'!F$8:F$80,MATCH($A36,' 1.0 Asset Data'!$A$8:$A$80,0),0),0)</f>
        <v>0</v>
      </c>
      <c r="E36" s="60" cm="1">
        <f t="array" ref="E36">_xlfn.IFNA(INDEX(' 1.0 Asset Data'!E$8:E$80,MATCH($A36,' 1.0 Asset Data'!$A$8:$A$80,0),0),0)</f>
        <v>0</v>
      </c>
      <c r="F36" s="31" cm="1">
        <f t="array" ref="F36">_xlfn.IFNA(INDEX(' 1.0 Asset Data'!P$8:P$80,MATCH($A36,' 1.0 Asset Data'!$A$8:$A$80,0),0),0)</f>
        <v>0</v>
      </c>
      <c r="G36" s="37" cm="1">
        <f t="array" ref="G36">IF($A36="",0,INDEX(' 1.0 Asset Data'!J$8:J$75,MATCH($A36,' 1.0 Asset Data'!$A$8:$A$75,0),0))</f>
        <v>0</v>
      </c>
      <c r="H36" s="31" cm="1">
        <f t="array" ref="H36">IF($A36="",0,INDEX(' 1.0 Asset Data'!L$8:L$75,MATCH($A36,' 1.0 Asset Data'!$A$8:$A$75,0),0))</f>
        <v>0</v>
      </c>
      <c r="I36" s="31" cm="1">
        <f t="array" ref="I36">IF($A36="",0,INDEX(' 1.0 Asset Data'!N$8:N$75,MATCH($A36,' 1.0 Asset Data'!$A$8:$A$75,0),0))</f>
        <v>0</v>
      </c>
      <c r="J36" s="31" cm="1">
        <f t="array" ref="J36">IF($A36="",0,INDEX(' 1.0 Asset Data'!M$8:M$75,MATCH($A36,' 1.0 Asset Data'!$A$8:$A$75,0),0))</f>
        <v>0</v>
      </c>
      <c r="L36" s="46">
        <f t="shared" si="4"/>
        <v>0</v>
      </c>
      <c r="M36" s="15">
        <f t="shared" si="0"/>
        <v>0</v>
      </c>
      <c r="N36" s="17">
        <f t="shared" si="5"/>
        <v>0</v>
      </c>
      <c r="O36" s="12">
        <f t="shared" si="6"/>
        <v>0</v>
      </c>
      <c r="P36" s="24">
        <f t="shared" si="7"/>
        <v>0</v>
      </c>
      <c r="Q36" s="34">
        <f t="shared" si="2"/>
        <v>0</v>
      </c>
      <c r="R36" s="15">
        <f t="shared" si="8"/>
        <v>0</v>
      </c>
      <c r="T36" s="12">
        <f t="shared" si="9"/>
        <v>0</v>
      </c>
      <c r="U36" s="12">
        <f t="shared" si="10"/>
        <v>0</v>
      </c>
      <c r="V36" s="51">
        <f t="shared" si="11"/>
        <v>0</v>
      </c>
      <c r="W36" s="12">
        <f t="shared" si="12"/>
        <v>0</v>
      </c>
      <c r="X36" s="21" t="str">
        <f t="shared" si="13"/>
        <v/>
      </c>
      <c r="Z36" s="42" t="str">
        <f>IF(A36="","",'1.1 Other Data'!$B$32)</f>
        <v/>
      </c>
      <c r="AA36" s="59">
        <f t="shared" si="14"/>
        <v>0</v>
      </c>
      <c r="AB36" s="43" t="str">
        <f>IF(A36="","",'1.1 Other Data'!$B$29+AA36*O36)</f>
        <v/>
      </c>
      <c r="AC36" s="59" t="str">
        <f t="shared" si="15"/>
        <v/>
      </c>
      <c r="AD36" s="5">
        <f t="shared" si="16"/>
        <v>0</v>
      </c>
      <c r="AE36" s="5" t="str">
        <f t="shared" si="17"/>
        <v/>
      </c>
      <c r="AF36" s="5" t="str">
        <f t="shared" si="18"/>
        <v/>
      </c>
      <c r="AG36" s="7" t="e">
        <f t="shared" si="19"/>
        <v>#VALUE!</v>
      </c>
      <c r="AH36" s="7">
        <f t="shared" si="20"/>
        <v>0</v>
      </c>
      <c r="AI36" s="19">
        <f t="shared" si="21"/>
        <v>0</v>
      </c>
      <c r="AK36" s="23" cm="1">
        <f t="array" ref="AK36">_xlfn.IFNA(INDEX('3.0 Lead Time'!$U$8:$U$65,MATCH(A36,'3.0 Lead Time'!$A$8:$A$65,0),0),"")</f>
        <v>0</v>
      </c>
    </row>
    <row r="37" spans="1:37" x14ac:dyDescent="0.25">
      <c r="A37" s="10" t="str">
        <f>'1.2 Sorting'!K37</f>
        <v/>
      </c>
      <c r="B37" s="10" cm="1">
        <f t="array" ref="B37">_xlfn.IFNA(INDEX(' 1.0 Asset Data'!B$8:B$80,MATCH($A37,' 1.0 Asset Data'!$A$8:$A$80,0),0),0)</f>
        <v>0</v>
      </c>
      <c r="C37" s="10" cm="1">
        <f t="array" ref="C37">_xlfn.IFNA(INDEX(' 1.0 Asset Data'!C$8:C$80,MATCH($A37,' 1.0 Asset Data'!$A$8:$A$80,0),0),0)</f>
        <v>0</v>
      </c>
      <c r="D37" s="31" cm="1">
        <f t="array" ref="D37">_xlfn.IFNA(INDEX(' 1.0 Asset Data'!F$8:F$80,MATCH($A37,' 1.0 Asset Data'!$A$8:$A$80,0),0),0)</f>
        <v>0</v>
      </c>
      <c r="E37" s="60" cm="1">
        <f t="array" ref="E37">_xlfn.IFNA(INDEX(' 1.0 Asset Data'!E$8:E$80,MATCH($A37,' 1.0 Asset Data'!$A$8:$A$80,0),0),0)</f>
        <v>0</v>
      </c>
      <c r="F37" s="31" cm="1">
        <f t="array" ref="F37">_xlfn.IFNA(INDEX(' 1.0 Asset Data'!P$8:P$80,MATCH($A37,' 1.0 Asset Data'!$A$8:$A$80,0),0),0)</f>
        <v>0</v>
      </c>
      <c r="G37" s="37" cm="1">
        <f t="array" ref="G37">IF($A37="",0,INDEX(' 1.0 Asset Data'!J$8:J$75,MATCH($A37,' 1.0 Asset Data'!$A$8:$A$75,0),0))</f>
        <v>0</v>
      </c>
      <c r="H37" s="31" cm="1">
        <f t="array" ref="H37">IF($A37="",0,INDEX(' 1.0 Asset Data'!L$8:L$75,MATCH($A37,' 1.0 Asset Data'!$A$8:$A$75,0),0))</f>
        <v>0</v>
      </c>
      <c r="I37" s="31" cm="1">
        <f t="array" ref="I37">IF($A37="",0,INDEX(' 1.0 Asset Data'!N$8:N$75,MATCH($A37,' 1.0 Asset Data'!$A$8:$A$75,0),0))</f>
        <v>0</v>
      </c>
      <c r="J37" s="31" cm="1">
        <f t="array" ref="J37">IF($A37="",0,INDEX(' 1.0 Asset Data'!M$8:M$75,MATCH($A37,' 1.0 Asset Data'!$A$8:$A$75,0),0))</f>
        <v>0</v>
      </c>
      <c r="L37" s="46">
        <f t="shared" si="4"/>
        <v>0</v>
      </c>
      <c r="M37" s="15">
        <f t="shared" si="0"/>
        <v>0</v>
      </c>
      <c r="N37" s="17">
        <f t="shared" si="5"/>
        <v>0</v>
      </c>
      <c r="O37" s="12">
        <f t="shared" si="6"/>
        <v>0</v>
      </c>
      <c r="P37" s="24">
        <f t="shared" si="7"/>
        <v>0</v>
      </c>
      <c r="Q37" s="34">
        <f t="shared" si="2"/>
        <v>0</v>
      </c>
      <c r="R37" s="15">
        <f t="shared" si="8"/>
        <v>0</v>
      </c>
      <c r="T37" s="12">
        <f t="shared" si="9"/>
        <v>0</v>
      </c>
      <c r="U37" s="12">
        <f t="shared" si="10"/>
        <v>0</v>
      </c>
      <c r="V37" s="51">
        <f t="shared" si="11"/>
        <v>0</v>
      </c>
      <c r="W37" s="12">
        <f t="shared" si="12"/>
        <v>0</v>
      </c>
      <c r="X37" s="21" t="str">
        <f t="shared" si="13"/>
        <v/>
      </c>
      <c r="Z37" s="42" t="str">
        <f>IF(A37="","",'1.1 Other Data'!$B$32)</f>
        <v/>
      </c>
      <c r="AA37" s="59">
        <f t="shared" si="14"/>
        <v>0</v>
      </c>
      <c r="AB37" s="43" t="str">
        <f>IF(A37="","",'1.1 Other Data'!$B$29+AA37*O37)</f>
        <v/>
      </c>
      <c r="AC37" s="59" t="str">
        <f t="shared" si="15"/>
        <v/>
      </c>
      <c r="AD37" s="5">
        <f t="shared" si="16"/>
        <v>0</v>
      </c>
      <c r="AE37" s="5" t="str">
        <f t="shared" si="17"/>
        <v/>
      </c>
      <c r="AF37" s="5" t="str">
        <f t="shared" si="18"/>
        <v/>
      </c>
      <c r="AG37" s="7" t="e">
        <f t="shared" si="19"/>
        <v>#VALUE!</v>
      </c>
      <c r="AH37" s="7">
        <f t="shared" si="20"/>
        <v>0</v>
      </c>
      <c r="AI37" s="19">
        <f t="shared" si="21"/>
        <v>0</v>
      </c>
      <c r="AK37" s="23" cm="1">
        <f t="array" ref="AK37">_xlfn.IFNA(INDEX('3.0 Lead Time'!$U$8:$U$65,MATCH(A37,'3.0 Lead Time'!$A$8:$A$65,0),0),"")</f>
        <v>0</v>
      </c>
    </row>
    <row r="38" spans="1:37" x14ac:dyDescent="0.25">
      <c r="A38" s="10" t="str">
        <f>'1.2 Sorting'!K38</f>
        <v/>
      </c>
      <c r="B38" s="10" cm="1">
        <f t="array" ref="B38">_xlfn.IFNA(INDEX(' 1.0 Asset Data'!B$8:B$80,MATCH($A38,' 1.0 Asset Data'!$A$8:$A$80,0),0),0)</f>
        <v>0</v>
      </c>
      <c r="C38" s="10" cm="1">
        <f t="array" ref="C38">_xlfn.IFNA(INDEX(' 1.0 Asset Data'!C$8:C$80,MATCH($A38,' 1.0 Asset Data'!$A$8:$A$80,0),0),0)</f>
        <v>0</v>
      </c>
      <c r="D38" s="31" cm="1">
        <f t="array" ref="D38">_xlfn.IFNA(INDEX(' 1.0 Asset Data'!F$8:F$80,MATCH($A38,' 1.0 Asset Data'!$A$8:$A$80,0),0),0)</f>
        <v>0</v>
      </c>
      <c r="E38" s="60" cm="1">
        <f t="array" ref="E38">_xlfn.IFNA(INDEX(' 1.0 Asset Data'!E$8:E$80,MATCH($A38,' 1.0 Asset Data'!$A$8:$A$80,0),0),0)</f>
        <v>0</v>
      </c>
      <c r="F38" s="31" cm="1">
        <f t="array" ref="F38">_xlfn.IFNA(INDEX(' 1.0 Asset Data'!P$8:P$80,MATCH($A38,' 1.0 Asset Data'!$A$8:$A$80,0),0),0)</f>
        <v>0</v>
      </c>
      <c r="G38" s="37" cm="1">
        <f t="array" ref="G38">IF($A38="",0,INDEX(' 1.0 Asset Data'!J$8:J$75,MATCH($A38,' 1.0 Asset Data'!$A$8:$A$75,0),0))</f>
        <v>0</v>
      </c>
      <c r="H38" s="31" cm="1">
        <f t="array" ref="H38">IF($A38="",0,INDEX(' 1.0 Asset Data'!L$8:L$75,MATCH($A38,' 1.0 Asset Data'!$A$8:$A$75,0),0))</f>
        <v>0</v>
      </c>
      <c r="I38" s="31" cm="1">
        <f t="array" ref="I38">IF($A38="",0,INDEX(' 1.0 Asset Data'!N$8:N$75,MATCH($A38,' 1.0 Asset Data'!$A$8:$A$75,0),0))</f>
        <v>0</v>
      </c>
      <c r="J38" s="31" cm="1">
        <f t="array" ref="J38">IF($A38="",0,INDEX(' 1.0 Asset Data'!M$8:M$75,MATCH($A38,' 1.0 Asset Data'!$A$8:$A$75,0),0))</f>
        <v>0</v>
      </c>
      <c r="L38" s="46">
        <f t="shared" si="4"/>
        <v>0</v>
      </c>
      <c r="M38" s="15">
        <f t="shared" si="0"/>
        <v>0</v>
      </c>
      <c r="N38" s="17">
        <f t="shared" si="5"/>
        <v>0</v>
      </c>
      <c r="O38" s="12">
        <f t="shared" si="6"/>
        <v>0</v>
      </c>
      <c r="P38" s="24">
        <f t="shared" si="7"/>
        <v>0</v>
      </c>
      <c r="Q38" s="34">
        <f t="shared" si="2"/>
        <v>0</v>
      </c>
      <c r="R38" s="15">
        <f t="shared" si="8"/>
        <v>0</v>
      </c>
      <c r="T38" s="12">
        <f t="shared" si="9"/>
        <v>0</v>
      </c>
      <c r="U38" s="12">
        <f t="shared" si="10"/>
        <v>0</v>
      </c>
      <c r="V38" s="51">
        <f t="shared" si="11"/>
        <v>0</v>
      </c>
      <c r="W38" s="12">
        <f t="shared" si="12"/>
        <v>0</v>
      </c>
      <c r="X38" s="21" t="str">
        <f t="shared" si="13"/>
        <v/>
      </c>
      <c r="Z38" s="42" t="str">
        <f>IF(A38="","",'1.1 Other Data'!$B$32)</f>
        <v/>
      </c>
      <c r="AA38" s="59">
        <f t="shared" si="14"/>
        <v>0</v>
      </c>
      <c r="AB38" s="43" t="str">
        <f>IF(A38="","",'1.1 Other Data'!$B$29+AA38*O38)</f>
        <v/>
      </c>
      <c r="AC38" s="59" t="str">
        <f t="shared" si="15"/>
        <v/>
      </c>
      <c r="AD38" s="5">
        <f t="shared" si="16"/>
        <v>0</v>
      </c>
      <c r="AE38" s="5" t="str">
        <f t="shared" si="17"/>
        <v/>
      </c>
      <c r="AF38" s="5" t="str">
        <f t="shared" si="18"/>
        <v/>
      </c>
      <c r="AG38" s="7" t="e">
        <f t="shared" si="19"/>
        <v>#VALUE!</v>
      </c>
      <c r="AH38" s="7">
        <f t="shared" si="20"/>
        <v>0</v>
      </c>
      <c r="AI38" s="19">
        <f t="shared" si="21"/>
        <v>0</v>
      </c>
      <c r="AK38" s="23" cm="1">
        <f t="array" ref="AK38">_xlfn.IFNA(INDEX('3.0 Lead Time'!$U$8:$U$65,MATCH(A38,'3.0 Lead Time'!$A$8:$A$65,0),0),"")</f>
        <v>0</v>
      </c>
    </row>
    <row r="39" spans="1:37" x14ac:dyDescent="0.25">
      <c r="A39" s="10" t="str">
        <f>'1.2 Sorting'!K39</f>
        <v/>
      </c>
      <c r="B39" s="10" cm="1">
        <f t="array" ref="B39">_xlfn.IFNA(INDEX(' 1.0 Asset Data'!B$8:B$80,MATCH($A39,' 1.0 Asset Data'!$A$8:$A$80,0),0),0)</f>
        <v>0</v>
      </c>
      <c r="C39" s="10" cm="1">
        <f t="array" ref="C39">_xlfn.IFNA(INDEX(' 1.0 Asset Data'!C$8:C$80,MATCH($A39,' 1.0 Asset Data'!$A$8:$A$80,0),0),0)</f>
        <v>0</v>
      </c>
      <c r="D39" s="31" cm="1">
        <f t="array" ref="D39">_xlfn.IFNA(INDEX(' 1.0 Asset Data'!F$8:F$80,MATCH($A39,' 1.0 Asset Data'!$A$8:$A$80,0),0),0)</f>
        <v>0</v>
      </c>
      <c r="E39" s="60" cm="1">
        <f t="array" ref="E39">_xlfn.IFNA(INDEX(' 1.0 Asset Data'!E$8:E$80,MATCH($A39,' 1.0 Asset Data'!$A$8:$A$80,0),0),0)</f>
        <v>0</v>
      </c>
      <c r="F39" s="31" cm="1">
        <f t="array" ref="F39">_xlfn.IFNA(INDEX(' 1.0 Asset Data'!P$8:P$80,MATCH($A39,' 1.0 Asset Data'!$A$8:$A$80,0),0),0)</f>
        <v>0</v>
      </c>
      <c r="G39" s="37" cm="1">
        <f t="array" ref="G39">IF($A39="",0,INDEX(' 1.0 Asset Data'!J$8:J$75,MATCH($A39,' 1.0 Asset Data'!$A$8:$A$75,0),0))</f>
        <v>0</v>
      </c>
      <c r="H39" s="31" cm="1">
        <f t="array" ref="H39">IF($A39="",0,INDEX(' 1.0 Asset Data'!L$8:L$75,MATCH($A39,' 1.0 Asset Data'!$A$8:$A$75,0),0))</f>
        <v>0</v>
      </c>
      <c r="I39" s="31" cm="1">
        <f t="array" ref="I39">IF($A39="",0,INDEX(' 1.0 Asset Data'!N$8:N$75,MATCH($A39,' 1.0 Asset Data'!$A$8:$A$75,0),0))</f>
        <v>0</v>
      </c>
      <c r="J39" s="31" cm="1">
        <f t="array" ref="J39">IF($A39="",0,INDEX(' 1.0 Asset Data'!M$8:M$75,MATCH($A39,' 1.0 Asset Data'!$A$8:$A$75,0),0))</f>
        <v>0</v>
      </c>
      <c r="L39" s="46">
        <f t="shared" si="4"/>
        <v>0</v>
      </c>
      <c r="M39" s="15">
        <f t="shared" si="0"/>
        <v>0</v>
      </c>
      <c r="N39" s="17">
        <f t="shared" si="5"/>
        <v>0</v>
      </c>
      <c r="O39" s="12">
        <f t="shared" si="6"/>
        <v>0</v>
      </c>
      <c r="P39" s="24">
        <f t="shared" si="7"/>
        <v>0</v>
      </c>
      <c r="Q39" s="34">
        <f t="shared" si="2"/>
        <v>0</v>
      </c>
      <c r="R39" s="15">
        <f t="shared" si="8"/>
        <v>0</v>
      </c>
      <c r="T39" s="12">
        <f t="shared" si="9"/>
        <v>0</v>
      </c>
      <c r="U39" s="12">
        <f t="shared" si="10"/>
        <v>0</v>
      </c>
      <c r="V39" s="51">
        <f t="shared" si="11"/>
        <v>0</v>
      </c>
      <c r="W39" s="12">
        <f t="shared" si="12"/>
        <v>0</v>
      </c>
      <c r="X39" s="21" t="str">
        <f t="shared" si="13"/>
        <v/>
      </c>
      <c r="Z39" s="42" t="str">
        <f>IF(A39="","",'1.1 Other Data'!$B$32)</f>
        <v/>
      </c>
      <c r="AA39" s="59">
        <f t="shared" si="14"/>
        <v>0</v>
      </c>
      <c r="AB39" s="43" t="str">
        <f>IF(A39="","",'1.1 Other Data'!$B$29+AA39*O39)</f>
        <v/>
      </c>
      <c r="AC39" s="59" t="str">
        <f t="shared" si="15"/>
        <v/>
      </c>
      <c r="AD39" s="5">
        <f t="shared" si="16"/>
        <v>0</v>
      </c>
      <c r="AE39" s="5" t="str">
        <f t="shared" si="17"/>
        <v/>
      </c>
      <c r="AF39" s="5" t="str">
        <f t="shared" si="18"/>
        <v/>
      </c>
      <c r="AG39" s="7" t="e">
        <f t="shared" si="19"/>
        <v>#VALUE!</v>
      </c>
      <c r="AH39" s="7">
        <f t="shared" si="20"/>
        <v>0</v>
      </c>
      <c r="AI39" s="19">
        <f t="shared" si="21"/>
        <v>0</v>
      </c>
      <c r="AK39" s="23" cm="1">
        <f t="array" ref="AK39">_xlfn.IFNA(INDEX('3.0 Lead Time'!$U$8:$U$65,MATCH(A39,'3.0 Lead Time'!$A$8:$A$65,0),0),"")</f>
        <v>0</v>
      </c>
    </row>
    <row r="40" spans="1:37" x14ac:dyDescent="0.25">
      <c r="A40" s="10" t="str">
        <f>'1.2 Sorting'!K40</f>
        <v/>
      </c>
      <c r="B40" s="10" cm="1">
        <f t="array" ref="B40">_xlfn.IFNA(INDEX(' 1.0 Asset Data'!B$8:B$80,MATCH($A40,' 1.0 Asset Data'!$A$8:$A$80,0),0),0)</f>
        <v>0</v>
      </c>
      <c r="C40" s="10" cm="1">
        <f t="array" ref="C40">_xlfn.IFNA(INDEX(' 1.0 Asset Data'!C$8:C$80,MATCH($A40,' 1.0 Asset Data'!$A$8:$A$80,0),0),0)</f>
        <v>0</v>
      </c>
      <c r="D40" s="31" cm="1">
        <f t="array" ref="D40">_xlfn.IFNA(INDEX(' 1.0 Asset Data'!F$8:F$80,MATCH($A40,' 1.0 Asset Data'!$A$8:$A$80,0),0),0)</f>
        <v>0</v>
      </c>
      <c r="E40" s="60" cm="1">
        <f t="array" ref="E40">_xlfn.IFNA(INDEX(' 1.0 Asset Data'!E$8:E$80,MATCH($A40,' 1.0 Asset Data'!$A$8:$A$80,0),0),0)</f>
        <v>0</v>
      </c>
      <c r="F40" s="31" cm="1">
        <f t="array" ref="F40">_xlfn.IFNA(INDEX(' 1.0 Asset Data'!P$8:P$80,MATCH($A40,' 1.0 Asset Data'!$A$8:$A$80,0),0),0)</f>
        <v>0</v>
      </c>
      <c r="G40" s="37" cm="1">
        <f t="array" ref="G40">IF($A40="",0,INDEX(' 1.0 Asset Data'!J$8:J$75,MATCH($A40,' 1.0 Asset Data'!$A$8:$A$75,0),0))</f>
        <v>0</v>
      </c>
      <c r="H40" s="31" cm="1">
        <f t="array" ref="H40">IF($A40="",0,INDEX(' 1.0 Asset Data'!L$8:L$75,MATCH($A40,' 1.0 Asset Data'!$A$8:$A$75,0),0))</f>
        <v>0</v>
      </c>
      <c r="I40" s="31" cm="1">
        <f t="array" ref="I40">IF($A40="",0,INDEX(' 1.0 Asset Data'!N$8:N$75,MATCH($A40,' 1.0 Asset Data'!$A$8:$A$75,0),0))</f>
        <v>0</v>
      </c>
      <c r="J40" s="31" cm="1">
        <f t="array" ref="J40">IF($A40="",0,INDEX(' 1.0 Asset Data'!M$8:M$75,MATCH($A40,' 1.0 Asset Data'!$A$8:$A$75,0),0))</f>
        <v>0</v>
      </c>
      <c r="L40" s="46">
        <f t="shared" si="4"/>
        <v>0</v>
      </c>
      <c r="M40" s="15">
        <f t="shared" si="0"/>
        <v>0</v>
      </c>
      <c r="N40" s="17">
        <f t="shared" si="5"/>
        <v>0</v>
      </c>
      <c r="O40" s="12">
        <f t="shared" si="6"/>
        <v>0</v>
      </c>
      <c r="P40" s="24">
        <f t="shared" si="7"/>
        <v>0</v>
      </c>
      <c r="Q40" s="34">
        <f t="shared" si="2"/>
        <v>0</v>
      </c>
      <c r="R40" s="15">
        <f t="shared" si="8"/>
        <v>0</v>
      </c>
      <c r="T40" s="12">
        <f t="shared" si="9"/>
        <v>0</v>
      </c>
      <c r="U40" s="12">
        <f t="shared" si="10"/>
        <v>0</v>
      </c>
      <c r="V40" s="51">
        <f t="shared" si="11"/>
        <v>0</v>
      </c>
      <c r="W40" s="12">
        <f t="shared" si="12"/>
        <v>0</v>
      </c>
      <c r="X40" s="21" t="str">
        <f t="shared" si="13"/>
        <v/>
      </c>
      <c r="Z40" s="42" t="str">
        <f>IF(A40="","",'1.1 Other Data'!$B$32)</f>
        <v/>
      </c>
      <c r="AA40" s="59">
        <f t="shared" si="14"/>
        <v>0</v>
      </c>
      <c r="AB40" s="43" t="str">
        <f>IF(A40="","",'1.1 Other Data'!$B$29+AA40*O40)</f>
        <v/>
      </c>
      <c r="AC40" s="59" t="str">
        <f t="shared" si="15"/>
        <v/>
      </c>
      <c r="AD40" s="5">
        <f t="shared" si="16"/>
        <v>0</v>
      </c>
      <c r="AE40" s="5" t="str">
        <f t="shared" si="17"/>
        <v/>
      </c>
      <c r="AF40" s="5" t="str">
        <f t="shared" si="18"/>
        <v/>
      </c>
      <c r="AG40" s="7" t="e">
        <f t="shared" si="19"/>
        <v>#VALUE!</v>
      </c>
      <c r="AH40" s="7">
        <f t="shared" si="20"/>
        <v>0</v>
      </c>
      <c r="AI40" s="19">
        <f t="shared" si="21"/>
        <v>0</v>
      </c>
      <c r="AK40" s="23" cm="1">
        <f t="array" ref="AK40">_xlfn.IFNA(INDEX('3.0 Lead Time'!$U$8:$U$65,MATCH(A40,'3.0 Lead Time'!$A$8:$A$65,0),0),"")</f>
        <v>0</v>
      </c>
    </row>
    <row r="41" spans="1:37" x14ac:dyDescent="0.25">
      <c r="A41" s="10" t="str">
        <f>'1.2 Sorting'!K41</f>
        <v/>
      </c>
      <c r="B41" s="10" cm="1">
        <f t="array" ref="B41">_xlfn.IFNA(INDEX(' 1.0 Asset Data'!B$8:B$80,MATCH($A41,' 1.0 Asset Data'!$A$8:$A$80,0),0),0)</f>
        <v>0</v>
      </c>
      <c r="C41" s="10" cm="1">
        <f t="array" ref="C41">_xlfn.IFNA(INDEX(' 1.0 Asset Data'!C$8:C$80,MATCH($A41,' 1.0 Asset Data'!$A$8:$A$80,0),0),0)</f>
        <v>0</v>
      </c>
      <c r="D41" s="31" cm="1">
        <f t="array" ref="D41">_xlfn.IFNA(INDEX(' 1.0 Asset Data'!F$8:F$80,MATCH($A41,' 1.0 Asset Data'!$A$8:$A$80,0),0),0)</f>
        <v>0</v>
      </c>
      <c r="E41" s="60" cm="1">
        <f t="array" ref="E41">_xlfn.IFNA(INDEX(' 1.0 Asset Data'!E$8:E$80,MATCH($A41,' 1.0 Asset Data'!$A$8:$A$80,0),0),0)</f>
        <v>0</v>
      </c>
      <c r="F41" s="31" cm="1">
        <f t="array" ref="F41">_xlfn.IFNA(INDEX(' 1.0 Asset Data'!P$8:P$80,MATCH($A41,' 1.0 Asset Data'!$A$8:$A$80,0),0),0)</f>
        <v>0</v>
      </c>
      <c r="G41" s="37" cm="1">
        <f t="array" ref="G41">IF($A41="",0,INDEX(' 1.0 Asset Data'!J$8:J$75,MATCH($A41,' 1.0 Asset Data'!$A$8:$A$75,0),0))</f>
        <v>0</v>
      </c>
      <c r="H41" s="31" cm="1">
        <f t="array" ref="H41">IF($A41="",0,INDEX(' 1.0 Asset Data'!L$8:L$75,MATCH($A41,' 1.0 Asset Data'!$A$8:$A$75,0),0))</f>
        <v>0</v>
      </c>
      <c r="I41" s="31" cm="1">
        <f t="array" ref="I41">IF($A41="",0,INDEX(' 1.0 Asset Data'!N$8:N$75,MATCH($A41,' 1.0 Asset Data'!$A$8:$A$75,0),0))</f>
        <v>0</v>
      </c>
      <c r="J41" s="31" cm="1">
        <f t="array" ref="J41">IF($A41="",0,INDEX(' 1.0 Asset Data'!M$8:M$75,MATCH($A41,' 1.0 Asset Data'!$A$8:$A$75,0),0))</f>
        <v>0</v>
      </c>
      <c r="L41" s="46">
        <f t="shared" si="4"/>
        <v>0</v>
      </c>
      <c r="M41" s="15">
        <f t="shared" si="0"/>
        <v>0</v>
      </c>
      <c r="N41" s="17">
        <f t="shared" si="5"/>
        <v>0</v>
      </c>
      <c r="O41" s="12">
        <f t="shared" si="6"/>
        <v>0</v>
      </c>
      <c r="P41" s="24">
        <f t="shared" si="7"/>
        <v>0</v>
      </c>
      <c r="Q41" s="34">
        <f t="shared" si="2"/>
        <v>0</v>
      </c>
      <c r="R41" s="15">
        <f t="shared" si="8"/>
        <v>0</v>
      </c>
      <c r="T41" s="12">
        <f t="shared" si="9"/>
        <v>0</v>
      </c>
      <c r="U41" s="12">
        <f t="shared" si="10"/>
        <v>0</v>
      </c>
      <c r="V41" s="51">
        <f t="shared" si="11"/>
        <v>0</v>
      </c>
      <c r="W41" s="12">
        <f t="shared" si="12"/>
        <v>0</v>
      </c>
      <c r="X41" s="21" t="str">
        <f t="shared" si="13"/>
        <v/>
      </c>
      <c r="Z41" s="42" t="str">
        <f>IF(A41="","",'1.1 Other Data'!$B$32)</f>
        <v/>
      </c>
      <c r="AA41" s="59">
        <f t="shared" si="14"/>
        <v>0</v>
      </c>
      <c r="AB41" s="43" t="str">
        <f>IF(A41="","",'1.1 Other Data'!$B$29+AA41*O41)</f>
        <v/>
      </c>
      <c r="AC41" s="59" t="str">
        <f t="shared" si="15"/>
        <v/>
      </c>
      <c r="AD41" s="5">
        <f t="shared" si="16"/>
        <v>0</v>
      </c>
      <c r="AE41" s="5" t="str">
        <f t="shared" si="17"/>
        <v/>
      </c>
      <c r="AF41" s="5" t="str">
        <f t="shared" si="18"/>
        <v/>
      </c>
      <c r="AG41" s="7" t="e">
        <f t="shared" si="19"/>
        <v>#VALUE!</v>
      </c>
      <c r="AH41" s="7">
        <f t="shared" si="20"/>
        <v>0</v>
      </c>
      <c r="AI41" s="19">
        <f t="shared" si="21"/>
        <v>0</v>
      </c>
      <c r="AK41" s="23" cm="1">
        <f t="array" ref="AK41">_xlfn.IFNA(INDEX('3.0 Lead Time'!$U$8:$U$65,MATCH(A41,'3.0 Lead Time'!$A$8:$A$65,0),0),"")</f>
        <v>0</v>
      </c>
    </row>
    <row r="42" spans="1:37" x14ac:dyDescent="0.25">
      <c r="A42" s="10" t="str">
        <f>'1.2 Sorting'!K42</f>
        <v/>
      </c>
      <c r="B42" s="10" cm="1">
        <f t="array" ref="B42">_xlfn.IFNA(INDEX(' 1.0 Asset Data'!B$8:B$80,MATCH($A42,' 1.0 Asset Data'!$A$8:$A$80,0),0),0)</f>
        <v>0</v>
      </c>
      <c r="C42" s="10" cm="1">
        <f t="array" ref="C42">_xlfn.IFNA(INDEX(' 1.0 Asset Data'!C$8:C$80,MATCH($A42,' 1.0 Asset Data'!$A$8:$A$80,0),0),0)</f>
        <v>0</v>
      </c>
      <c r="D42" s="31" cm="1">
        <f t="array" ref="D42">_xlfn.IFNA(INDEX(' 1.0 Asset Data'!F$8:F$80,MATCH($A42,' 1.0 Asset Data'!$A$8:$A$80,0),0),0)</f>
        <v>0</v>
      </c>
      <c r="E42" s="60" cm="1">
        <f t="array" ref="E42">_xlfn.IFNA(INDEX(' 1.0 Asset Data'!E$8:E$80,MATCH($A42,' 1.0 Asset Data'!$A$8:$A$80,0),0),0)</f>
        <v>0</v>
      </c>
      <c r="F42" s="31" cm="1">
        <f t="array" ref="F42">_xlfn.IFNA(INDEX(' 1.0 Asset Data'!P$8:P$80,MATCH($A42,' 1.0 Asset Data'!$A$8:$A$80,0),0),0)</f>
        <v>0</v>
      </c>
      <c r="G42" s="37" cm="1">
        <f t="array" ref="G42">IF($A42="",0,INDEX(' 1.0 Asset Data'!J$8:J$75,MATCH($A42,' 1.0 Asset Data'!$A$8:$A$75,0),0))</f>
        <v>0</v>
      </c>
      <c r="H42" s="31" cm="1">
        <f t="array" ref="H42">IF($A42="",0,INDEX(' 1.0 Asset Data'!L$8:L$75,MATCH($A42,' 1.0 Asset Data'!$A$8:$A$75,0),0))</f>
        <v>0</v>
      </c>
      <c r="I42" s="31" cm="1">
        <f t="array" ref="I42">IF($A42="",0,INDEX(' 1.0 Asset Data'!N$8:N$75,MATCH($A42,' 1.0 Asset Data'!$A$8:$A$75,0),0))</f>
        <v>0</v>
      </c>
      <c r="J42" s="31" cm="1">
        <f t="array" ref="J42">IF($A42="",0,INDEX(' 1.0 Asset Data'!M$8:M$75,MATCH($A42,' 1.0 Asset Data'!$A$8:$A$75,0),0))</f>
        <v>0</v>
      </c>
      <c r="L42" s="46">
        <f t="shared" si="4"/>
        <v>0</v>
      </c>
      <c r="M42" s="15">
        <f t="shared" si="0"/>
        <v>0</v>
      </c>
      <c r="N42" s="17">
        <f t="shared" si="5"/>
        <v>0</v>
      </c>
      <c r="O42" s="12">
        <f t="shared" si="6"/>
        <v>0</v>
      </c>
      <c r="P42" s="24">
        <f t="shared" si="7"/>
        <v>0</v>
      </c>
      <c r="Q42" s="34">
        <f t="shared" si="2"/>
        <v>0</v>
      </c>
      <c r="R42" s="15">
        <f t="shared" si="8"/>
        <v>0</v>
      </c>
      <c r="T42" s="12">
        <f t="shared" si="9"/>
        <v>0</v>
      </c>
      <c r="U42" s="12">
        <f t="shared" si="10"/>
        <v>0</v>
      </c>
      <c r="V42" s="51">
        <f t="shared" si="11"/>
        <v>0</v>
      </c>
      <c r="W42" s="12">
        <f t="shared" si="12"/>
        <v>0</v>
      </c>
      <c r="X42" s="21" t="str">
        <f t="shared" si="13"/>
        <v/>
      </c>
      <c r="Z42" s="42" t="str">
        <f>IF(A42="","",'1.1 Other Data'!$B$32)</f>
        <v/>
      </c>
      <c r="AA42" s="59">
        <f t="shared" si="14"/>
        <v>0</v>
      </c>
      <c r="AB42" s="43" t="str">
        <f>IF(A42="","",'1.1 Other Data'!$B$29+AA42*O42)</f>
        <v/>
      </c>
      <c r="AC42" s="59" t="str">
        <f t="shared" si="15"/>
        <v/>
      </c>
      <c r="AD42" s="5">
        <f t="shared" si="16"/>
        <v>0</v>
      </c>
      <c r="AE42" s="5" t="str">
        <f t="shared" si="17"/>
        <v/>
      </c>
      <c r="AF42" s="5" t="str">
        <f t="shared" si="18"/>
        <v/>
      </c>
      <c r="AG42" s="7" t="e">
        <f t="shared" si="19"/>
        <v>#VALUE!</v>
      </c>
      <c r="AH42" s="7">
        <f t="shared" si="20"/>
        <v>0</v>
      </c>
      <c r="AI42" s="19">
        <f t="shared" si="21"/>
        <v>0</v>
      </c>
      <c r="AK42" s="23" cm="1">
        <f t="array" ref="AK42">_xlfn.IFNA(INDEX('3.0 Lead Time'!$U$8:$U$65,MATCH(A42,'3.0 Lead Time'!$A$8:$A$65,0),0),"")</f>
        <v>0</v>
      </c>
    </row>
    <row r="43" spans="1:37" x14ac:dyDescent="0.25">
      <c r="A43" s="10" t="str">
        <f>'1.2 Sorting'!K43</f>
        <v/>
      </c>
      <c r="B43" s="10" cm="1">
        <f t="array" ref="B43">_xlfn.IFNA(INDEX(' 1.0 Asset Data'!B$8:B$80,MATCH($A43,' 1.0 Asset Data'!$A$8:$A$80,0),0),0)</f>
        <v>0</v>
      </c>
      <c r="C43" s="10" cm="1">
        <f t="array" ref="C43">_xlfn.IFNA(INDEX(' 1.0 Asset Data'!C$8:C$80,MATCH($A43,' 1.0 Asset Data'!$A$8:$A$80,0),0),0)</f>
        <v>0</v>
      </c>
      <c r="D43" s="31" cm="1">
        <f t="array" ref="D43">_xlfn.IFNA(INDEX(' 1.0 Asset Data'!F$8:F$80,MATCH($A43,' 1.0 Asset Data'!$A$8:$A$80,0),0),0)</f>
        <v>0</v>
      </c>
      <c r="E43" s="60" cm="1">
        <f t="array" ref="E43">_xlfn.IFNA(INDEX(' 1.0 Asset Data'!E$8:E$80,MATCH($A43,' 1.0 Asset Data'!$A$8:$A$80,0),0),0)</f>
        <v>0</v>
      </c>
      <c r="F43" s="31" cm="1">
        <f t="array" ref="F43">_xlfn.IFNA(INDEX(' 1.0 Asset Data'!P$8:P$80,MATCH($A43,' 1.0 Asset Data'!$A$8:$A$80,0),0),0)</f>
        <v>0</v>
      </c>
      <c r="G43" s="37" cm="1">
        <f t="array" ref="G43">IF($A43="",0,INDEX(' 1.0 Asset Data'!J$8:J$75,MATCH($A43,' 1.0 Asset Data'!$A$8:$A$75,0),0))</f>
        <v>0</v>
      </c>
      <c r="H43" s="31" cm="1">
        <f t="array" ref="H43">IF($A43="",0,INDEX(' 1.0 Asset Data'!L$8:L$75,MATCH($A43,' 1.0 Asset Data'!$A$8:$A$75,0),0))</f>
        <v>0</v>
      </c>
      <c r="I43" s="31" cm="1">
        <f t="array" ref="I43">IF($A43="",0,INDEX(' 1.0 Asset Data'!N$8:N$75,MATCH($A43,' 1.0 Asset Data'!$A$8:$A$75,0),0))</f>
        <v>0</v>
      </c>
      <c r="J43" s="31" cm="1">
        <f t="array" ref="J43">IF($A43="",0,INDEX(' 1.0 Asset Data'!M$8:M$75,MATCH($A43,' 1.0 Asset Data'!$A$8:$A$75,0),0))</f>
        <v>0</v>
      </c>
      <c r="L43" s="46">
        <f t="shared" si="4"/>
        <v>0</v>
      </c>
      <c r="M43" s="15">
        <f t="shared" si="0"/>
        <v>0</v>
      </c>
      <c r="N43" s="17">
        <f t="shared" si="5"/>
        <v>0</v>
      </c>
      <c r="O43" s="12">
        <f t="shared" si="6"/>
        <v>0</v>
      </c>
      <c r="P43" s="24">
        <f t="shared" si="7"/>
        <v>0</v>
      </c>
      <c r="Q43" s="34">
        <f t="shared" si="2"/>
        <v>0</v>
      </c>
      <c r="R43" s="15">
        <f t="shared" si="8"/>
        <v>0</v>
      </c>
      <c r="T43" s="12">
        <f t="shared" si="9"/>
        <v>0</v>
      </c>
      <c r="U43" s="12">
        <f t="shared" si="10"/>
        <v>0</v>
      </c>
      <c r="V43" s="51">
        <f t="shared" si="11"/>
        <v>0</v>
      </c>
      <c r="W43" s="12">
        <f t="shared" si="12"/>
        <v>0</v>
      </c>
      <c r="X43" s="21" t="str">
        <f t="shared" si="13"/>
        <v/>
      </c>
      <c r="Z43" s="42" t="str">
        <f>IF(A43="","",'1.1 Other Data'!$B$32)</f>
        <v/>
      </c>
      <c r="AA43" s="59">
        <f t="shared" si="14"/>
        <v>0</v>
      </c>
      <c r="AB43" s="43" t="str">
        <f>IF(A43="","",'1.1 Other Data'!$B$29+AA43*O43)</f>
        <v/>
      </c>
      <c r="AC43" s="59" t="str">
        <f t="shared" si="15"/>
        <v/>
      </c>
      <c r="AD43" s="5">
        <f t="shared" si="16"/>
        <v>0</v>
      </c>
      <c r="AE43" s="5" t="str">
        <f t="shared" si="17"/>
        <v/>
      </c>
      <c r="AF43" s="5" t="str">
        <f t="shared" si="18"/>
        <v/>
      </c>
      <c r="AG43" s="7" t="e">
        <f t="shared" si="19"/>
        <v>#VALUE!</v>
      </c>
      <c r="AH43" s="7">
        <f t="shared" si="20"/>
        <v>0</v>
      </c>
      <c r="AI43" s="19">
        <f t="shared" si="21"/>
        <v>0</v>
      </c>
      <c r="AK43" s="23" cm="1">
        <f t="array" ref="AK43">_xlfn.IFNA(INDEX('3.0 Lead Time'!$U$8:$U$65,MATCH(A43,'3.0 Lead Time'!$A$8:$A$65,0),0),"")</f>
        <v>0</v>
      </c>
    </row>
    <row r="44" spans="1:37" x14ac:dyDescent="0.25">
      <c r="A44" s="10" t="str">
        <f>'1.2 Sorting'!K44</f>
        <v/>
      </c>
      <c r="B44" s="10" cm="1">
        <f t="array" ref="B44">_xlfn.IFNA(INDEX(' 1.0 Asset Data'!B$8:B$80,MATCH($A44,' 1.0 Asset Data'!$A$8:$A$80,0),0),0)</f>
        <v>0</v>
      </c>
      <c r="C44" s="10" cm="1">
        <f t="array" ref="C44">_xlfn.IFNA(INDEX(' 1.0 Asset Data'!C$8:C$80,MATCH($A44,' 1.0 Asset Data'!$A$8:$A$80,0),0),0)</f>
        <v>0</v>
      </c>
      <c r="D44" s="31" cm="1">
        <f t="array" ref="D44">_xlfn.IFNA(INDEX(' 1.0 Asset Data'!F$8:F$80,MATCH($A44,' 1.0 Asset Data'!$A$8:$A$80,0),0),0)</f>
        <v>0</v>
      </c>
      <c r="E44" s="60" cm="1">
        <f t="array" ref="E44">_xlfn.IFNA(INDEX(' 1.0 Asset Data'!E$8:E$80,MATCH($A44,' 1.0 Asset Data'!$A$8:$A$80,0),0),0)</f>
        <v>0</v>
      </c>
      <c r="F44" s="31" cm="1">
        <f t="array" ref="F44">_xlfn.IFNA(INDEX(' 1.0 Asset Data'!P$8:P$80,MATCH($A44,' 1.0 Asset Data'!$A$8:$A$80,0),0),0)</f>
        <v>0</v>
      </c>
      <c r="G44" s="37" cm="1">
        <f t="array" ref="G44">IF($A44="",0,INDEX(' 1.0 Asset Data'!J$8:J$75,MATCH($A44,' 1.0 Asset Data'!$A$8:$A$75,0),0))</f>
        <v>0</v>
      </c>
      <c r="H44" s="31" cm="1">
        <f t="array" ref="H44">IF($A44="",0,INDEX(' 1.0 Asset Data'!L$8:L$75,MATCH($A44,' 1.0 Asset Data'!$A$8:$A$75,0),0))</f>
        <v>0</v>
      </c>
      <c r="I44" s="31" cm="1">
        <f t="array" ref="I44">IF($A44="",0,INDEX(' 1.0 Asset Data'!N$8:N$75,MATCH($A44,' 1.0 Asset Data'!$A$8:$A$75,0),0))</f>
        <v>0</v>
      </c>
      <c r="J44" s="31" cm="1">
        <f t="array" ref="J44">IF($A44="",0,INDEX(' 1.0 Asset Data'!M$8:M$75,MATCH($A44,' 1.0 Asset Data'!$A$8:$A$75,0),0))</f>
        <v>0</v>
      </c>
      <c r="L44" s="46">
        <f t="shared" si="4"/>
        <v>0</v>
      </c>
      <c r="M44" s="15">
        <f t="shared" si="0"/>
        <v>0</v>
      </c>
      <c r="N44" s="17">
        <f t="shared" si="5"/>
        <v>0</v>
      </c>
      <c r="O44" s="12">
        <f t="shared" si="6"/>
        <v>0</v>
      </c>
      <c r="P44" s="24">
        <f t="shared" si="7"/>
        <v>0</v>
      </c>
      <c r="Q44" s="34">
        <f t="shared" si="2"/>
        <v>0</v>
      </c>
      <c r="R44" s="15">
        <f t="shared" si="8"/>
        <v>0</v>
      </c>
      <c r="T44" s="12">
        <f t="shared" si="9"/>
        <v>0</v>
      </c>
      <c r="U44" s="12">
        <f t="shared" si="10"/>
        <v>0</v>
      </c>
      <c r="V44" s="51">
        <f t="shared" si="11"/>
        <v>0</v>
      </c>
      <c r="W44" s="12">
        <f t="shared" si="12"/>
        <v>0</v>
      </c>
      <c r="X44" s="21" t="str">
        <f t="shared" si="13"/>
        <v/>
      </c>
      <c r="Z44" s="42" t="str">
        <f>IF(A44="","",'1.1 Other Data'!$B$32)</f>
        <v/>
      </c>
      <c r="AA44" s="59">
        <f t="shared" si="14"/>
        <v>0</v>
      </c>
      <c r="AB44" s="43" t="str">
        <f>IF(A44="","",'1.1 Other Data'!$B$29+AA44*O44)</f>
        <v/>
      </c>
      <c r="AC44" s="59" t="str">
        <f t="shared" si="15"/>
        <v/>
      </c>
      <c r="AD44" s="5">
        <f t="shared" si="16"/>
        <v>0</v>
      </c>
      <c r="AE44" s="5" t="str">
        <f t="shared" si="17"/>
        <v/>
      </c>
      <c r="AF44" s="5" t="str">
        <f t="shared" si="18"/>
        <v/>
      </c>
      <c r="AG44" s="7" t="e">
        <f t="shared" si="19"/>
        <v>#VALUE!</v>
      </c>
      <c r="AH44" s="7">
        <f t="shared" si="20"/>
        <v>0</v>
      </c>
      <c r="AI44" s="19">
        <f t="shared" si="21"/>
        <v>0</v>
      </c>
      <c r="AK44" s="23" cm="1">
        <f t="array" ref="AK44">_xlfn.IFNA(INDEX('3.0 Lead Time'!$U$8:$U$65,MATCH(A44,'3.0 Lead Time'!$A$8:$A$65,0),0),"")</f>
        <v>0</v>
      </c>
    </row>
    <row r="45" spans="1:37" x14ac:dyDescent="0.25">
      <c r="A45" s="10" t="str">
        <f>'1.2 Sorting'!K45</f>
        <v/>
      </c>
      <c r="B45" s="10" cm="1">
        <f t="array" ref="B45">_xlfn.IFNA(INDEX(' 1.0 Asset Data'!B$8:B$80,MATCH($A45,' 1.0 Asset Data'!$A$8:$A$80,0),0),0)</f>
        <v>0</v>
      </c>
      <c r="C45" s="10" cm="1">
        <f t="array" ref="C45">_xlfn.IFNA(INDEX(' 1.0 Asset Data'!C$8:C$80,MATCH($A45,' 1.0 Asset Data'!$A$8:$A$80,0),0),0)</f>
        <v>0</v>
      </c>
      <c r="D45" s="31" cm="1">
        <f t="array" ref="D45">_xlfn.IFNA(INDEX(' 1.0 Asset Data'!F$8:F$80,MATCH($A45,' 1.0 Asset Data'!$A$8:$A$80,0),0),0)</f>
        <v>0</v>
      </c>
      <c r="E45" s="60" cm="1">
        <f t="array" ref="E45">_xlfn.IFNA(INDEX(' 1.0 Asset Data'!E$8:E$80,MATCH($A45,' 1.0 Asset Data'!$A$8:$A$80,0),0),0)</f>
        <v>0</v>
      </c>
      <c r="F45" s="31" cm="1">
        <f t="array" ref="F45">_xlfn.IFNA(INDEX(' 1.0 Asset Data'!P$8:P$80,MATCH($A45,' 1.0 Asset Data'!$A$8:$A$80,0),0),0)</f>
        <v>0</v>
      </c>
      <c r="G45" s="37" cm="1">
        <f t="array" ref="G45">IF($A45="",0,INDEX(' 1.0 Asset Data'!J$8:J$75,MATCH($A45,' 1.0 Asset Data'!$A$8:$A$75,0),0))</f>
        <v>0</v>
      </c>
      <c r="H45" s="31" cm="1">
        <f t="array" ref="H45">IF($A45="",0,INDEX(' 1.0 Asset Data'!L$8:L$75,MATCH($A45,' 1.0 Asset Data'!$A$8:$A$75,0),0))</f>
        <v>0</v>
      </c>
      <c r="I45" s="31" cm="1">
        <f t="array" ref="I45">IF($A45="",0,INDEX(' 1.0 Asset Data'!N$8:N$75,MATCH($A45,' 1.0 Asset Data'!$A$8:$A$75,0),0))</f>
        <v>0</v>
      </c>
      <c r="J45" s="31" cm="1">
        <f t="array" ref="J45">IF($A45="",0,INDEX(' 1.0 Asset Data'!M$8:M$75,MATCH($A45,' 1.0 Asset Data'!$A$8:$A$75,0),0))</f>
        <v>0</v>
      </c>
      <c r="L45" s="46">
        <f t="shared" si="4"/>
        <v>0</v>
      </c>
      <c r="M45" s="15">
        <f t="shared" si="0"/>
        <v>0</v>
      </c>
      <c r="N45" s="17">
        <f t="shared" si="5"/>
        <v>0</v>
      </c>
      <c r="O45" s="12">
        <f t="shared" si="6"/>
        <v>0</v>
      </c>
      <c r="P45" s="24">
        <f t="shared" si="7"/>
        <v>0</v>
      </c>
      <c r="Q45" s="34">
        <f t="shared" si="2"/>
        <v>0</v>
      </c>
      <c r="R45" s="15">
        <f t="shared" si="8"/>
        <v>0</v>
      </c>
      <c r="T45" s="12">
        <f t="shared" si="9"/>
        <v>0</v>
      </c>
      <c r="U45" s="12">
        <f t="shared" si="10"/>
        <v>0</v>
      </c>
      <c r="V45" s="51">
        <f t="shared" si="11"/>
        <v>0</v>
      </c>
      <c r="W45" s="12">
        <f t="shared" si="12"/>
        <v>0</v>
      </c>
      <c r="X45" s="21" t="str">
        <f t="shared" si="13"/>
        <v/>
      </c>
      <c r="Z45" s="42" t="str">
        <f>IF(A45="","",'1.1 Other Data'!$B$32)</f>
        <v/>
      </c>
      <c r="AA45" s="59">
        <f t="shared" si="14"/>
        <v>0</v>
      </c>
      <c r="AB45" s="43" t="str">
        <f>IF(A45="","",'1.1 Other Data'!$B$29+AA45*O45)</f>
        <v/>
      </c>
      <c r="AC45" s="59" t="str">
        <f t="shared" si="15"/>
        <v/>
      </c>
      <c r="AD45" s="5">
        <f t="shared" si="16"/>
        <v>0</v>
      </c>
      <c r="AE45" s="5" t="str">
        <f t="shared" si="17"/>
        <v/>
      </c>
      <c r="AF45" s="5" t="str">
        <f t="shared" si="18"/>
        <v/>
      </c>
      <c r="AG45" s="7" t="e">
        <f t="shared" si="19"/>
        <v>#VALUE!</v>
      </c>
      <c r="AH45" s="7">
        <f t="shared" si="20"/>
        <v>0</v>
      </c>
      <c r="AI45" s="19">
        <f t="shared" si="21"/>
        <v>0</v>
      </c>
      <c r="AK45" s="23" cm="1">
        <f t="array" ref="AK45">_xlfn.IFNA(INDEX('3.0 Lead Time'!$U$8:$U$65,MATCH(A45,'3.0 Lead Time'!$A$8:$A$65,0),0),"")</f>
        <v>0</v>
      </c>
    </row>
    <row r="46" spans="1:37" x14ac:dyDescent="0.25">
      <c r="A46" s="10" t="str">
        <f>'1.2 Sorting'!K46</f>
        <v/>
      </c>
      <c r="B46" s="10" cm="1">
        <f t="array" ref="B46">_xlfn.IFNA(INDEX(' 1.0 Asset Data'!B$8:B$80,MATCH($A46,' 1.0 Asset Data'!$A$8:$A$80,0),0),0)</f>
        <v>0</v>
      </c>
      <c r="C46" s="10" cm="1">
        <f t="array" ref="C46">_xlfn.IFNA(INDEX(' 1.0 Asset Data'!C$8:C$80,MATCH($A46,' 1.0 Asset Data'!$A$8:$A$80,0),0),0)</f>
        <v>0</v>
      </c>
      <c r="D46" s="31" cm="1">
        <f t="array" ref="D46">_xlfn.IFNA(INDEX(' 1.0 Asset Data'!F$8:F$80,MATCH($A46,' 1.0 Asset Data'!$A$8:$A$80,0),0),0)</f>
        <v>0</v>
      </c>
      <c r="E46" s="60" cm="1">
        <f t="array" ref="E46">_xlfn.IFNA(INDEX(' 1.0 Asset Data'!E$8:E$80,MATCH($A46,' 1.0 Asset Data'!$A$8:$A$80,0),0),0)</f>
        <v>0</v>
      </c>
      <c r="F46" s="31" cm="1">
        <f t="array" ref="F46">_xlfn.IFNA(INDEX(' 1.0 Asset Data'!P$8:P$80,MATCH($A46,' 1.0 Asset Data'!$A$8:$A$80,0),0),0)</f>
        <v>0</v>
      </c>
      <c r="G46" s="37" cm="1">
        <f t="array" ref="G46">IF($A46="",0,INDEX(' 1.0 Asset Data'!J$8:J$75,MATCH($A46,' 1.0 Asset Data'!$A$8:$A$75,0),0))</f>
        <v>0</v>
      </c>
      <c r="H46" s="31" cm="1">
        <f t="array" ref="H46">IF($A46="",0,INDEX(' 1.0 Asset Data'!L$8:L$75,MATCH($A46,' 1.0 Asset Data'!$A$8:$A$75,0),0))</f>
        <v>0</v>
      </c>
      <c r="I46" s="31" cm="1">
        <f t="array" ref="I46">IF($A46="",0,INDEX(' 1.0 Asset Data'!N$8:N$75,MATCH($A46,' 1.0 Asset Data'!$A$8:$A$75,0),0))</f>
        <v>0</v>
      </c>
      <c r="J46" s="31" cm="1">
        <f t="array" ref="J46">IF($A46="",0,INDEX(' 1.0 Asset Data'!M$8:M$75,MATCH($A46,' 1.0 Asset Data'!$A$8:$A$75,0),0))</f>
        <v>0</v>
      </c>
      <c r="L46" s="46">
        <f t="shared" si="4"/>
        <v>0</v>
      </c>
      <c r="M46" s="15">
        <f t="shared" si="0"/>
        <v>0</v>
      </c>
      <c r="N46" s="17">
        <f t="shared" si="5"/>
        <v>0</v>
      </c>
      <c r="O46" s="12">
        <f t="shared" si="6"/>
        <v>0</v>
      </c>
      <c r="P46" s="24">
        <f t="shared" si="7"/>
        <v>0</v>
      </c>
      <c r="Q46" s="34">
        <f t="shared" si="2"/>
        <v>0</v>
      </c>
      <c r="R46" s="15">
        <f t="shared" si="8"/>
        <v>0</v>
      </c>
      <c r="T46" s="12">
        <f t="shared" si="9"/>
        <v>0</v>
      </c>
      <c r="U46" s="12">
        <f t="shared" si="10"/>
        <v>0</v>
      </c>
      <c r="V46" s="51">
        <f t="shared" si="11"/>
        <v>0</v>
      </c>
      <c r="W46" s="12">
        <f t="shared" si="12"/>
        <v>0</v>
      </c>
      <c r="X46" s="21" t="str">
        <f t="shared" si="13"/>
        <v/>
      </c>
      <c r="Z46" s="42" t="str">
        <f>IF(A46="","",'1.1 Other Data'!$B$32)</f>
        <v/>
      </c>
      <c r="AA46" s="59">
        <f t="shared" si="14"/>
        <v>0</v>
      </c>
      <c r="AB46" s="43" t="str">
        <f>IF(A46="","",'1.1 Other Data'!$B$29+AA46*O46)</f>
        <v/>
      </c>
      <c r="AC46" s="59" t="str">
        <f t="shared" si="15"/>
        <v/>
      </c>
      <c r="AD46" s="5">
        <f t="shared" si="16"/>
        <v>0</v>
      </c>
      <c r="AE46" s="5" t="str">
        <f t="shared" si="17"/>
        <v/>
      </c>
      <c r="AF46" s="5" t="str">
        <f t="shared" si="18"/>
        <v/>
      </c>
      <c r="AG46" s="7" t="e">
        <f t="shared" si="19"/>
        <v>#VALUE!</v>
      </c>
      <c r="AH46" s="7">
        <f t="shared" si="20"/>
        <v>0</v>
      </c>
      <c r="AI46" s="19">
        <f t="shared" si="21"/>
        <v>0</v>
      </c>
      <c r="AK46" s="23" cm="1">
        <f t="array" ref="AK46">_xlfn.IFNA(INDEX('3.0 Lead Time'!$U$8:$U$65,MATCH(A46,'3.0 Lead Time'!$A$8:$A$65,0),0),"")</f>
        <v>0</v>
      </c>
    </row>
    <row r="47" spans="1:37" x14ac:dyDescent="0.25">
      <c r="A47" s="10" t="str">
        <f>'1.2 Sorting'!K47</f>
        <v/>
      </c>
      <c r="B47" s="10" cm="1">
        <f t="array" ref="B47">_xlfn.IFNA(INDEX(' 1.0 Asset Data'!B$8:B$80,MATCH($A47,' 1.0 Asset Data'!$A$8:$A$80,0),0),0)</f>
        <v>0</v>
      </c>
      <c r="C47" s="10" cm="1">
        <f t="array" ref="C47">_xlfn.IFNA(INDEX(' 1.0 Asset Data'!C$8:C$80,MATCH($A47,' 1.0 Asset Data'!$A$8:$A$80,0),0),0)</f>
        <v>0</v>
      </c>
      <c r="D47" s="31" cm="1">
        <f t="array" ref="D47">_xlfn.IFNA(INDEX(' 1.0 Asset Data'!F$8:F$80,MATCH($A47,' 1.0 Asset Data'!$A$8:$A$80,0),0),0)</f>
        <v>0</v>
      </c>
      <c r="E47" s="60" cm="1">
        <f t="array" ref="E47">_xlfn.IFNA(INDEX(' 1.0 Asset Data'!E$8:E$80,MATCH($A47,' 1.0 Asset Data'!$A$8:$A$80,0),0),0)</f>
        <v>0</v>
      </c>
      <c r="F47" s="31" cm="1">
        <f t="array" ref="F47">_xlfn.IFNA(INDEX(' 1.0 Asset Data'!P$8:P$80,MATCH($A47,' 1.0 Asset Data'!$A$8:$A$80,0),0),0)</f>
        <v>0</v>
      </c>
      <c r="G47" s="37" cm="1">
        <f t="array" ref="G47">IF($A47="",0,INDEX(' 1.0 Asset Data'!J$8:J$75,MATCH($A47,' 1.0 Asset Data'!$A$8:$A$75,0),0))</f>
        <v>0</v>
      </c>
      <c r="H47" s="31" cm="1">
        <f t="array" ref="H47">IF($A47="",0,INDEX(' 1.0 Asset Data'!L$8:L$75,MATCH($A47,' 1.0 Asset Data'!$A$8:$A$75,0),0))</f>
        <v>0</v>
      </c>
      <c r="I47" s="31" cm="1">
        <f t="array" ref="I47">IF($A47="",0,INDEX(' 1.0 Asset Data'!N$8:N$75,MATCH($A47,' 1.0 Asset Data'!$A$8:$A$75,0),0))</f>
        <v>0</v>
      </c>
      <c r="J47" s="31" cm="1">
        <f t="array" ref="J47">IF($A47="",0,INDEX(' 1.0 Asset Data'!M$8:M$75,MATCH($A47,' 1.0 Asset Data'!$A$8:$A$75,0),0))</f>
        <v>0</v>
      </c>
      <c r="L47" s="46">
        <f t="shared" si="4"/>
        <v>0</v>
      </c>
      <c r="M47" s="15">
        <f t="shared" si="0"/>
        <v>0</v>
      </c>
      <c r="N47" s="17">
        <f t="shared" si="5"/>
        <v>0</v>
      </c>
      <c r="O47" s="12">
        <f t="shared" si="6"/>
        <v>0</v>
      </c>
      <c r="P47" s="24">
        <f t="shared" si="7"/>
        <v>0</v>
      </c>
      <c r="Q47" s="34">
        <f t="shared" si="2"/>
        <v>0</v>
      </c>
      <c r="R47" s="15">
        <f t="shared" si="8"/>
        <v>0</v>
      </c>
      <c r="T47" s="12">
        <f t="shared" si="9"/>
        <v>0</v>
      </c>
      <c r="U47" s="12">
        <f t="shared" si="10"/>
        <v>0</v>
      </c>
      <c r="V47" s="51">
        <f t="shared" si="11"/>
        <v>0</v>
      </c>
      <c r="W47" s="12">
        <f t="shared" si="12"/>
        <v>0</v>
      </c>
      <c r="X47" s="21" t="str">
        <f t="shared" si="13"/>
        <v/>
      </c>
      <c r="Z47" s="42" t="str">
        <f>IF(A47="","",'1.1 Other Data'!$B$32)</f>
        <v/>
      </c>
      <c r="AA47" s="59">
        <f t="shared" si="14"/>
        <v>0</v>
      </c>
      <c r="AB47" s="43" t="str">
        <f>IF(A47="","",'1.1 Other Data'!$B$29+AA47*O47)</f>
        <v/>
      </c>
      <c r="AC47" s="59" t="str">
        <f t="shared" si="15"/>
        <v/>
      </c>
      <c r="AD47" s="5">
        <f t="shared" si="16"/>
        <v>0</v>
      </c>
      <c r="AE47" s="5" t="str">
        <f t="shared" si="17"/>
        <v/>
      </c>
      <c r="AF47" s="5" t="str">
        <f t="shared" si="18"/>
        <v/>
      </c>
      <c r="AG47" s="7" t="e">
        <f t="shared" si="19"/>
        <v>#VALUE!</v>
      </c>
      <c r="AH47" s="7">
        <f t="shared" si="20"/>
        <v>0</v>
      </c>
      <c r="AI47" s="19">
        <f t="shared" si="21"/>
        <v>0</v>
      </c>
      <c r="AK47" s="23" cm="1">
        <f t="array" ref="AK47">_xlfn.IFNA(INDEX('3.0 Lead Time'!$U$8:$U$65,MATCH(A47,'3.0 Lead Time'!$A$8:$A$65,0),0),"")</f>
        <v>0</v>
      </c>
    </row>
    <row r="48" spans="1:37" x14ac:dyDescent="0.25">
      <c r="A48" s="10" t="str">
        <f>'1.2 Sorting'!K48</f>
        <v/>
      </c>
      <c r="B48" s="10" cm="1">
        <f t="array" ref="B48">_xlfn.IFNA(INDEX(' 1.0 Asset Data'!B$8:B$80,MATCH($A48,' 1.0 Asset Data'!$A$8:$A$80,0),0),0)</f>
        <v>0</v>
      </c>
      <c r="C48" s="10" cm="1">
        <f t="array" ref="C48">_xlfn.IFNA(INDEX(' 1.0 Asset Data'!C$8:C$80,MATCH($A48,' 1.0 Asset Data'!$A$8:$A$80,0),0),0)</f>
        <v>0</v>
      </c>
      <c r="D48" s="31" cm="1">
        <f t="array" ref="D48">_xlfn.IFNA(INDEX(' 1.0 Asset Data'!F$8:F$80,MATCH($A48,' 1.0 Asset Data'!$A$8:$A$80,0),0),0)</f>
        <v>0</v>
      </c>
      <c r="E48" s="60" cm="1">
        <f t="array" ref="E48">_xlfn.IFNA(INDEX(' 1.0 Asset Data'!E$8:E$80,MATCH($A48,' 1.0 Asset Data'!$A$8:$A$80,0),0),0)</f>
        <v>0</v>
      </c>
      <c r="F48" s="31" cm="1">
        <f t="array" ref="F48">_xlfn.IFNA(INDEX(' 1.0 Asset Data'!P$8:P$80,MATCH($A48,' 1.0 Asset Data'!$A$8:$A$80,0),0),0)</f>
        <v>0</v>
      </c>
      <c r="G48" s="37" cm="1">
        <f t="array" ref="G48">IF($A48="",0,INDEX(' 1.0 Asset Data'!J$8:J$75,MATCH($A48,' 1.0 Asset Data'!$A$8:$A$75,0),0))</f>
        <v>0</v>
      </c>
      <c r="H48" s="31" cm="1">
        <f t="array" ref="H48">IF($A48="",0,INDEX(' 1.0 Asset Data'!L$8:L$75,MATCH($A48,' 1.0 Asset Data'!$A$8:$A$75,0),0))</f>
        <v>0</v>
      </c>
      <c r="I48" s="31" cm="1">
        <f t="array" ref="I48">IF($A48="",0,INDEX(' 1.0 Asset Data'!N$8:N$75,MATCH($A48,' 1.0 Asset Data'!$A$8:$A$75,0),0))</f>
        <v>0</v>
      </c>
      <c r="J48" s="31" cm="1">
        <f t="array" ref="J48">IF($A48="",0,INDEX(' 1.0 Asset Data'!M$8:M$75,MATCH($A48,' 1.0 Asset Data'!$A$8:$A$75,0),0))</f>
        <v>0</v>
      </c>
      <c r="L48" s="46">
        <f t="shared" si="4"/>
        <v>0</v>
      </c>
      <c r="M48" s="15">
        <f t="shared" si="0"/>
        <v>0</v>
      </c>
      <c r="N48" s="17">
        <f t="shared" si="5"/>
        <v>0</v>
      </c>
      <c r="O48" s="12">
        <f t="shared" si="6"/>
        <v>0</v>
      </c>
      <c r="P48" s="24">
        <f t="shared" si="7"/>
        <v>0</v>
      </c>
      <c r="Q48" s="34">
        <f t="shared" si="2"/>
        <v>0</v>
      </c>
      <c r="R48" s="15">
        <f t="shared" si="8"/>
        <v>0</v>
      </c>
      <c r="T48" s="12">
        <f t="shared" si="9"/>
        <v>0</v>
      </c>
      <c r="U48" s="12">
        <f t="shared" si="10"/>
        <v>0</v>
      </c>
      <c r="V48" s="51">
        <f t="shared" si="11"/>
        <v>0</v>
      </c>
      <c r="W48" s="12">
        <f t="shared" si="12"/>
        <v>0</v>
      </c>
      <c r="X48" s="21" t="str">
        <f t="shared" si="13"/>
        <v/>
      </c>
      <c r="Z48" s="42" t="str">
        <f>IF(A48="","",'1.1 Other Data'!$B$32)</f>
        <v/>
      </c>
      <c r="AA48" s="59">
        <f>IF(X48="Buy Spares",ROUNDDOWN(Z48/O48,0),0)</f>
        <v>0</v>
      </c>
      <c r="AB48" s="43" t="str">
        <f>IF(A48="","",'1.1 Other Data'!$B$29+AA48*O48)</f>
        <v/>
      </c>
      <c r="AC48" s="59" t="str">
        <f t="shared" si="15"/>
        <v/>
      </c>
      <c r="AD48" s="5">
        <f t="shared" si="16"/>
        <v>0</v>
      </c>
      <c r="AE48" s="5" t="str">
        <f t="shared" si="17"/>
        <v/>
      </c>
      <c r="AF48" s="5" t="str">
        <f t="shared" si="18"/>
        <v/>
      </c>
      <c r="AG48" s="7" t="e">
        <f t="shared" si="19"/>
        <v>#VALUE!</v>
      </c>
      <c r="AH48" s="7">
        <f t="shared" si="20"/>
        <v>0</v>
      </c>
      <c r="AI48" s="19">
        <f t="shared" si="21"/>
        <v>0</v>
      </c>
      <c r="AK48" s="23" cm="1">
        <f t="array" ref="AK48">_xlfn.IFNA(INDEX('3.0 Lead Time'!$U$8:$U$65,MATCH(A48,'3.0 Lead Time'!$A$8:$A$65,0),0),"")</f>
        <v>0</v>
      </c>
    </row>
  </sheetData>
  <mergeCells count="2">
    <mergeCell ref="T6:W6"/>
    <mergeCell ref="A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73A6-F1B5-44BA-8745-CDF74684EA85}">
  <dimension ref="A1:AN65"/>
  <sheetViews>
    <sheetView zoomScale="85" zoomScaleNormal="85" workbookViewId="0">
      <selection activeCell="A3" sqref="A3"/>
    </sheetView>
  </sheetViews>
  <sheetFormatPr defaultRowHeight="15" x14ac:dyDescent="0.25"/>
  <cols>
    <col min="1" max="1" width="64.42578125" bestFit="1" customWidth="1"/>
    <col min="6" max="6" width="10.85546875" bestFit="1" customWidth="1"/>
    <col min="7" max="7" width="9.85546875" customWidth="1"/>
    <col min="8" max="8" width="40.85546875" customWidth="1"/>
    <col min="9" max="9" width="13" customWidth="1"/>
    <col min="10" max="10" width="9.85546875" customWidth="1"/>
    <col min="12" max="12" width="10.42578125" customWidth="1"/>
    <col min="18" max="18" width="11.28515625" bestFit="1" customWidth="1"/>
    <col min="19" max="19" width="10.28515625" customWidth="1"/>
    <col min="20" max="20" width="11.85546875" bestFit="1" customWidth="1"/>
    <col min="21" max="21" width="13.140625" bestFit="1" customWidth="1"/>
    <col min="22" max="22" width="57.85546875" bestFit="1" customWidth="1"/>
    <col min="24" max="24" width="21.42578125" bestFit="1" customWidth="1"/>
    <col min="30" max="30" width="11.28515625" bestFit="1" customWidth="1"/>
    <col min="31" max="31" width="11.28515625" customWidth="1"/>
    <col min="39" max="39" width="11.28515625" bestFit="1" customWidth="1"/>
  </cols>
  <sheetData>
    <row r="1" spans="1:40" ht="23.25" x14ac:dyDescent="0.35">
      <c r="A1" s="25"/>
    </row>
    <row r="2" spans="1:40" x14ac:dyDescent="0.25">
      <c r="R2" s="3"/>
    </row>
    <row r="3" spans="1:40" x14ac:dyDescent="0.25">
      <c r="A3" t="s">
        <v>104</v>
      </c>
      <c r="U3" s="21" t="s">
        <v>72</v>
      </c>
      <c r="V3" s="21" t="s">
        <v>139</v>
      </c>
    </row>
    <row r="4" spans="1:40" x14ac:dyDescent="0.25">
      <c r="C4" s="45"/>
      <c r="K4" s="4" t="s">
        <v>161</v>
      </c>
      <c r="L4" s="39">
        <v>0</v>
      </c>
      <c r="M4" s="4" t="s">
        <v>162</v>
      </c>
      <c r="N4" s="39">
        <v>0</v>
      </c>
      <c r="U4" s="19">
        <f>SUM(U8:U65)</f>
        <v>7702364.6271180017</v>
      </c>
      <c r="V4" s="19">
        <f>COUNTIF(V8:V65,"-")</f>
        <v>30</v>
      </c>
      <c r="X4" s="4" t="s">
        <v>161</v>
      </c>
      <c r="Y4" s="39">
        <v>0.5</v>
      </c>
      <c r="Z4" s="4" t="s">
        <v>162</v>
      </c>
      <c r="AA4" s="39">
        <v>0</v>
      </c>
      <c r="AG4" s="4" t="s">
        <v>161</v>
      </c>
      <c r="AH4" s="39">
        <v>0</v>
      </c>
      <c r="AI4" s="4" t="s">
        <v>162</v>
      </c>
      <c r="AJ4" s="39">
        <v>1</v>
      </c>
      <c r="AM4" s="12">
        <f>SUM(AM8:AM65)</f>
        <v>8088083.4361886876</v>
      </c>
    </row>
    <row r="5" spans="1:40" ht="26.25" thickBot="1" x14ac:dyDescent="0.4">
      <c r="A5" s="32" t="str" cm="1">
        <f t="array" aca="1" ref="A5" ca="1">RIGHT(CELL("filename",A2),LEN(CELL("filename",A2))-FIND("]",CELL("filename",A2)))</f>
        <v>3.0 Lead Time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1:40" ht="17.25" thickTop="1" thickBot="1" x14ac:dyDescent="0.3">
      <c r="A6" s="65" t="s">
        <v>163</v>
      </c>
      <c r="B6" s="65"/>
      <c r="C6" s="65"/>
      <c r="D6" s="65"/>
      <c r="E6" s="65"/>
      <c r="F6" s="65"/>
      <c r="G6" s="65"/>
      <c r="H6" s="65"/>
      <c r="I6" s="65"/>
      <c r="K6" s="65" t="s">
        <v>164</v>
      </c>
      <c r="L6" s="65"/>
      <c r="M6" s="65"/>
      <c r="N6" s="65"/>
      <c r="O6" s="65"/>
      <c r="P6" s="65"/>
      <c r="R6" s="65" t="s">
        <v>165</v>
      </c>
      <c r="S6" s="65"/>
      <c r="T6" s="65"/>
      <c r="U6" s="65"/>
      <c r="V6" s="62"/>
      <c r="X6" s="64" t="s">
        <v>166</v>
      </c>
      <c r="Y6" s="64"/>
      <c r="Z6" s="64"/>
      <c r="AA6" s="64"/>
      <c r="AB6" s="64"/>
      <c r="AC6" s="64"/>
      <c r="AD6" s="64"/>
      <c r="AE6" s="64"/>
      <c r="AG6" s="64" t="s">
        <v>167</v>
      </c>
      <c r="AH6" s="64"/>
      <c r="AI6" s="64"/>
      <c r="AJ6" s="64"/>
      <c r="AK6" s="64"/>
      <c r="AL6" s="64"/>
      <c r="AM6" s="64"/>
      <c r="AN6" s="64"/>
    </row>
    <row r="7" spans="1:40" ht="62.25" thickTop="1" thickBot="1" x14ac:dyDescent="0.3">
      <c r="A7" s="8" t="s">
        <v>57</v>
      </c>
      <c r="B7" s="6" t="s">
        <v>168</v>
      </c>
      <c r="C7" s="6" t="s">
        <v>106</v>
      </c>
      <c r="D7" s="6" t="s">
        <v>169</v>
      </c>
      <c r="E7" s="6" t="s">
        <v>170</v>
      </c>
      <c r="F7" s="6" t="s">
        <v>171</v>
      </c>
      <c r="G7" s="6" t="s">
        <v>172</v>
      </c>
      <c r="H7" s="6" t="s">
        <v>88</v>
      </c>
      <c r="I7" s="6" t="str">
        <f>' 1.0 Asset Data'!K7</f>
        <v>Lead duration economic cost</v>
      </c>
      <c r="K7" s="6" t="s">
        <v>173</v>
      </c>
      <c r="L7" s="20" t="s">
        <v>174</v>
      </c>
      <c r="M7" s="20" t="s">
        <v>175</v>
      </c>
      <c r="N7" s="20" t="s">
        <v>176</v>
      </c>
      <c r="O7" s="20" t="s">
        <v>78</v>
      </c>
      <c r="P7" s="20" t="s">
        <v>177</v>
      </c>
      <c r="R7" s="20" t="s">
        <v>178</v>
      </c>
      <c r="S7" s="20" t="s">
        <v>179</v>
      </c>
      <c r="T7" s="20" t="s">
        <v>180</v>
      </c>
      <c r="U7" s="20" t="s">
        <v>181</v>
      </c>
      <c r="V7" s="20" t="s">
        <v>182</v>
      </c>
      <c r="X7" s="6" t="s">
        <v>173</v>
      </c>
      <c r="Y7" s="20" t="s">
        <v>174</v>
      </c>
      <c r="Z7" s="20" t="s">
        <v>175</v>
      </c>
      <c r="AA7" s="20" t="s">
        <v>176</v>
      </c>
      <c r="AB7" s="20" t="s">
        <v>78</v>
      </c>
      <c r="AC7" s="20" t="s">
        <v>177</v>
      </c>
      <c r="AD7" s="20" t="s">
        <v>181</v>
      </c>
      <c r="AE7" s="20" t="s">
        <v>183</v>
      </c>
      <c r="AG7" s="6" t="s">
        <v>173</v>
      </c>
      <c r="AH7" s="20" t="s">
        <v>174</v>
      </c>
      <c r="AI7" s="20" t="s">
        <v>175</v>
      </c>
      <c r="AJ7" s="20" t="s">
        <v>176</v>
      </c>
      <c r="AK7" s="20" t="s">
        <v>78</v>
      </c>
      <c r="AL7" s="20" t="s">
        <v>177</v>
      </c>
      <c r="AM7" s="20" t="s">
        <v>181</v>
      </c>
      <c r="AN7" s="20" t="s">
        <v>183</v>
      </c>
    </row>
    <row r="8" spans="1:40" x14ac:dyDescent="0.25">
      <c r="A8" s="10" t="str">
        <f>'1.2 Sorting'!L8</f>
        <v>Spare 1</v>
      </c>
      <c r="B8" s="10" cm="1">
        <f t="array" ref="B8">IF($A8="",0,INDEX(' 1.0 Asset Data'!$B$8:$B$80,MATCH($A8,' 1.0 Asset Data'!$A$8:$A$80,0),0))</f>
        <v>120</v>
      </c>
      <c r="C8" s="10" cm="1">
        <f t="array" ref="C8">IF($A8="",0,INDEX(' 1.0 Asset Data'!$C$8:$C$80,MATCH($A8,' 1.0 Asset Data'!$A$8:$A$80,0),0))</f>
        <v>0</v>
      </c>
      <c r="D8" s="50" cm="1">
        <f t="array" ref="D8">IF($A8="",0,INDEX(' 1.0 Asset Data'!$E$8:$E$80,MATCH($A8,' 1.0 Asset Data'!$A$8:$A$80,0),0))</f>
        <v>0.10200000000000001</v>
      </c>
      <c r="E8" s="10" cm="1">
        <f t="array" ref="E8">IF($A8="",0,INDEX(' 1.0 Asset Data'!$I$8:$I$80,MATCH($A8,' 1.0 Asset Data'!$A$8:$A$80,0),0))</f>
        <v>30</v>
      </c>
      <c r="F8" s="31" cm="1">
        <f t="array" ref="F8">IF($A8="",0,INDEX(' 1.0 Asset Data'!$F$8:$F$80,MATCH($A8,' 1.0 Asset Data'!$A$8:$A$80,0),0))</f>
        <v>134189.12055854473</v>
      </c>
      <c r="G8" s="31" cm="1">
        <f t="array" ref="G8">IF($A8="",0,INDEX(' 1.0 Asset Data'!$G$8:$G$80,MATCH($A8,' 1.0 Asset Data'!$A$8:$A$80,0),0))</f>
        <v>0</v>
      </c>
      <c r="H8" s="51" t="str" cm="1">
        <f t="array" ref="H8">IFERROR(INDEX(' 1.0 Asset Data'!J$8:J$90,MATCH($A8,' 1.0 Asset Data'!$A$8:$A$90,0),0),"")</f>
        <v>Asset offline for lead time duration</v>
      </c>
      <c r="I8" s="51" cm="1">
        <f t="array" ref="I8">_xlfn.IFNA(INDEX(' 1.0 Asset Data'!$K$8:$K$75,MATCH($A8,' 1.0 Asset Data'!$A$8:$A$75,0),0),0)</f>
        <v>14231280</v>
      </c>
      <c r="K8" s="49">
        <f>$D8*(1+L$4)/52*$E8*(1+N$4)</f>
        <v>5.8846153846153847E-2</v>
      </c>
      <c r="L8" s="7">
        <f t="shared" ref="L8:L39" si="0">IF($A8="",0,ROUNDUP($B8*CritMin,0))</f>
        <v>5</v>
      </c>
      <c r="M8" s="12">
        <f>ROUNDUP(K8,0)</f>
        <v>1</v>
      </c>
      <c r="N8" s="12">
        <f t="shared" ref="N8:N39" si="1">L8+M8</f>
        <v>6</v>
      </c>
      <c r="O8" s="12">
        <f>$C8</f>
        <v>0</v>
      </c>
      <c r="P8" s="12">
        <f t="shared" ref="P8:P39" si="2">IF(MAX(N8-O8,0)=0,0,MAX(N8-O8,G8))</f>
        <v>6</v>
      </c>
      <c r="R8" s="12">
        <f>P8*$F8*(1+N$4)</f>
        <v>805134.72335126833</v>
      </c>
      <c r="S8" s="12">
        <f t="shared" ref="S8:S39" si="3">IF(A8="",0,FailureThreshold/D8)</f>
        <v>0.98039215686274506</v>
      </c>
      <c r="T8" s="12">
        <f t="shared" ref="T8:T39" si="4">I8/(1+NominalWACC)^S8</f>
        <v>13438061.053904613</v>
      </c>
      <c r="U8" s="19">
        <f>IF(T8&lt;R8,0,R8)</f>
        <v>805134.72335126833</v>
      </c>
      <c r="V8" s="19" t="str">
        <f>IF(U8=0,A8,"-")</f>
        <v>-</v>
      </c>
      <c r="X8" s="49">
        <f>$D8*(1+Y$4)/52*$E8*(1+AA$4)</f>
        <v>8.826923076923078E-2</v>
      </c>
      <c r="Y8" s="7">
        <f t="shared" ref="Y8:Y39" si="5">IF($A8="",0,ROUNDUP($B8*CritMin,0))</f>
        <v>5</v>
      </c>
      <c r="Z8" s="12">
        <f>ROUNDUP(X8,0)</f>
        <v>1</v>
      </c>
      <c r="AA8" s="12">
        <f t="shared" ref="AA8:AA39" si="6">Y8+Z8</f>
        <v>6</v>
      </c>
      <c r="AB8" s="12">
        <f>$C8</f>
        <v>0</v>
      </c>
      <c r="AC8" s="12">
        <f>MAX(AA8-AB8,0)</f>
        <v>6</v>
      </c>
      <c r="AD8" s="12">
        <f>AC8*$F8</f>
        <v>805134.72335126833</v>
      </c>
      <c r="AE8" s="12" t="str">
        <f>IF($A8="","",IF(AD8&gt;$U8,"Changes","Same"))</f>
        <v>Same</v>
      </c>
      <c r="AG8" s="49">
        <f>$D8*(1+AH$4)/52*$E8*(1+AJ$4)</f>
        <v>0.11769230769230769</v>
      </c>
      <c r="AH8" s="7">
        <f t="shared" ref="AH8:AH39" si="7">IF($A8="",0,ROUNDUP($B8*CritMin,0))</f>
        <v>5</v>
      </c>
      <c r="AI8" s="12">
        <f>ROUNDUP(AG8,0)</f>
        <v>1</v>
      </c>
      <c r="AJ8" s="12">
        <f t="shared" ref="AJ8:AJ39" si="8">AH8+AI8</f>
        <v>6</v>
      </c>
      <c r="AK8" s="12">
        <f>$C8</f>
        <v>0</v>
      </c>
      <c r="AL8" s="12">
        <f>MAX(AJ8-AK8,0)</f>
        <v>6</v>
      </c>
      <c r="AM8" s="12">
        <f>AL8*$F8</f>
        <v>805134.72335126833</v>
      </c>
      <c r="AN8" s="12" t="str">
        <f>IF($A8="","",IF(AM8&gt;$U8,"Changes","Same"))</f>
        <v>Same</v>
      </c>
    </row>
    <row r="9" spans="1:40" x14ac:dyDescent="0.25">
      <c r="A9" s="10" t="str">
        <f>'1.2 Sorting'!L9</f>
        <v>Spare 2</v>
      </c>
      <c r="B9" s="10" cm="1">
        <f t="array" ref="B9">IF($A9="",0,INDEX(' 1.0 Asset Data'!$B$8:$B$80,MATCH($A9,' 1.0 Asset Data'!$A$8:$A$80,0),0))</f>
        <v>10</v>
      </c>
      <c r="C9" s="10" cm="1">
        <f t="array" ref="C9">IF($A9="",0,INDEX(' 1.0 Asset Data'!$C$8:$C$80,MATCH($A9,' 1.0 Asset Data'!$A$8:$A$80,0),0))</f>
        <v>0</v>
      </c>
      <c r="D9" s="50" cm="1">
        <f t="array" ref="D9">IF($A9="",0,INDEX(' 1.0 Asset Data'!$E$8:$E$80,MATCH($A9,' 1.0 Asset Data'!$A$8:$A$80,0),0))</f>
        <v>0.85000000000000009</v>
      </c>
      <c r="E9" s="10" cm="1">
        <f t="array" ref="E9">IF($A9="",0,INDEX(' 1.0 Asset Data'!$I$8:$I$80,MATCH($A9,' 1.0 Asset Data'!$A$8:$A$80,0),0))</f>
        <v>30</v>
      </c>
      <c r="F9" s="31" cm="1">
        <f t="array" ref="F9">IF($A9="",0,INDEX(' 1.0 Asset Data'!$F$8:$F$80,MATCH($A9,' 1.0 Asset Data'!$A$8:$A$80,0),0))</f>
        <v>145857.7397375486</v>
      </c>
      <c r="G9" s="12" cm="1">
        <f t="array" ref="G9">IF($A9="",0,INDEX(' 1.0 Asset Data'!$G$8:$G$80,MATCH($A9,' 1.0 Asset Data'!$A$8:$A$80,0),0))</f>
        <v>0</v>
      </c>
      <c r="H9" s="51" t="str" cm="1">
        <f t="array" ref="H9">IFERROR(INDEX(' 1.0 Asset Data'!J$8:J$90,MATCH($A9,' 1.0 Asset Data'!$A$8:$A$90,0),0),"")</f>
        <v>Asset offline for lead time duration</v>
      </c>
      <c r="I9" s="51" cm="1">
        <f t="array" ref="I9">_xlfn.IFNA(INDEX(' 1.0 Asset Data'!$K$8:$K$75,MATCH($A9,' 1.0 Asset Data'!$A$8:$A$75,0),0),0)</f>
        <v>14231280</v>
      </c>
      <c r="K9" s="49">
        <f t="shared" ref="K9:K65" si="9">$D9*(1+L$4)/52*$E9*(1+N$4)</f>
        <v>0.49038461538461542</v>
      </c>
      <c r="L9" s="7">
        <f t="shared" si="0"/>
        <v>1</v>
      </c>
      <c r="M9" s="12">
        <f t="shared" ref="M9:M65" si="10">ROUNDUP(K9,0)</f>
        <v>1</v>
      </c>
      <c r="N9" s="12">
        <f t="shared" si="1"/>
        <v>2</v>
      </c>
      <c r="O9" s="12">
        <f t="shared" ref="O9:O65" si="11">$C9</f>
        <v>0</v>
      </c>
      <c r="P9" s="12">
        <f t="shared" si="2"/>
        <v>2</v>
      </c>
      <c r="R9" s="12">
        <f t="shared" ref="R9:R65" si="12">P9*$F9*(1+N$4)</f>
        <v>291715.47947509721</v>
      </c>
      <c r="S9" s="12">
        <f t="shared" si="3"/>
        <v>0.11764705882352941</v>
      </c>
      <c r="T9" s="12">
        <f t="shared" si="4"/>
        <v>14133674.36311857</v>
      </c>
      <c r="U9" s="19">
        <f t="shared" ref="U9:U65" si="13">IF(T9&lt;R9,0,R9)</f>
        <v>291715.47947509721</v>
      </c>
      <c r="V9" s="19" t="str">
        <f t="shared" ref="V9:V65" si="14">IF(U9=0,A9,"-")</f>
        <v>-</v>
      </c>
      <c r="X9" s="49">
        <f t="shared" ref="X9:X65" si="15">$D9*(1+Y$4)/52*$E9*(1+AA$4)</f>
        <v>0.73557692307692313</v>
      </c>
      <c r="Y9" s="7">
        <f t="shared" si="5"/>
        <v>1</v>
      </c>
      <c r="Z9" s="12">
        <f t="shared" ref="Z9:Z65" si="16">ROUNDUP(X9,0)</f>
        <v>1</v>
      </c>
      <c r="AA9" s="12">
        <f t="shared" si="6"/>
        <v>2</v>
      </c>
      <c r="AB9" s="12">
        <f t="shared" ref="AB9:AB65" si="17">$C9</f>
        <v>0</v>
      </c>
      <c r="AC9" s="12">
        <f t="shared" ref="AC9:AC65" si="18">MAX(AA9-AB9,0)</f>
        <v>2</v>
      </c>
      <c r="AD9" s="12">
        <f t="shared" ref="AD9:AD65" si="19">AC9*$F9</f>
        <v>291715.47947509721</v>
      </c>
      <c r="AE9" s="12" t="str">
        <f t="shared" ref="AE9:AE65" si="20">IF($A9="","",IF(AD9&gt;$U9,"Changes","Same"))</f>
        <v>Same</v>
      </c>
      <c r="AG9" s="49">
        <f t="shared" ref="AG9:AG65" si="21">$D9*(1+AH$4)/52*$E9*(1+AJ$4)</f>
        <v>0.98076923076923084</v>
      </c>
      <c r="AH9" s="7">
        <f t="shared" si="7"/>
        <v>1</v>
      </c>
      <c r="AI9" s="12">
        <f t="shared" ref="AI9:AI65" si="22">ROUNDUP(AG9,0)</f>
        <v>1</v>
      </c>
      <c r="AJ9" s="12">
        <f t="shared" si="8"/>
        <v>2</v>
      </c>
      <c r="AK9" s="12">
        <f t="shared" ref="AK9:AK65" si="23">$C9</f>
        <v>0</v>
      </c>
      <c r="AL9" s="12">
        <f t="shared" ref="AL9:AL65" si="24">MAX(AJ9-AK9,0)</f>
        <v>2</v>
      </c>
      <c r="AM9" s="12">
        <f t="shared" ref="AM9:AM65" si="25">AL9*$F9</f>
        <v>291715.47947509721</v>
      </c>
      <c r="AN9" s="12" t="str">
        <f t="shared" ref="AN9:AN65" si="26">IF($A9="","",IF(AM9&gt;$U9,"Changes","Same"))</f>
        <v>Same</v>
      </c>
    </row>
    <row r="10" spans="1:40" x14ac:dyDescent="0.25">
      <c r="A10" s="10" t="str">
        <f>'1.2 Sorting'!L10</f>
        <v>Spare 3</v>
      </c>
      <c r="B10" s="10" cm="1">
        <f t="array" ref="B10">IF($A10="",0,INDEX(' 1.0 Asset Data'!$B$8:$B$80,MATCH($A10,' 1.0 Asset Data'!$A$8:$A$80,0),0))</f>
        <v>10</v>
      </c>
      <c r="C10" s="10" cm="1">
        <f t="array" ref="C10">IF($A10="",0,INDEX(' 1.0 Asset Data'!$C$8:$C$80,MATCH($A10,' 1.0 Asset Data'!$A$8:$A$80,0),0))</f>
        <v>0</v>
      </c>
      <c r="D10" s="50" cm="1">
        <f t="array" ref="D10">IF($A10="",0,INDEX(' 1.0 Asset Data'!$E$8:$E$80,MATCH($A10,' 1.0 Asset Data'!$A$8:$A$80,0),0))</f>
        <v>0.85000000000000009</v>
      </c>
      <c r="E10" s="10" cm="1">
        <f t="array" ref="E10">IF($A10="",0,INDEX(' 1.0 Asset Data'!$I$8:$I$80,MATCH($A10,' 1.0 Asset Data'!$A$8:$A$80,0),0))</f>
        <v>30</v>
      </c>
      <c r="F10" s="31" cm="1">
        <f t="array" ref="F10">IF($A10="",0,INDEX(' 1.0 Asset Data'!$F$8:$F$80,MATCH($A10,' 1.0 Asset Data'!$A$8:$A$80,0),0))</f>
        <v>145857.7397375486</v>
      </c>
      <c r="G10" s="31" cm="1">
        <f t="array" ref="G10">IF($A10="",0,INDEX(' 1.0 Asset Data'!$G$8:$G$80,MATCH($A10,' 1.0 Asset Data'!$A$8:$A$80,0),0))</f>
        <v>0</v>
      </c>
      <c r="H10" s="51" t="str" cm="1">
        <f t="array" ref="H10">IFERROR(INDEX(' 1.0 Asset Data'!J$8:J$90,MATCH($A10,' 1.0 Asset Data'!$A$8:$A$90,0),0),"")</f>
        <v>Asset offline for lead time duration</v>
      </c>
      <c r="I10" s="51" cm="1">
        <f t="array" ref="I10">_xlfn.IFNA(INDEX(' 1.0 Asset Data'!$K$8:$K$75,MATCH($A10,' 1.0 Asset Data'!$A$8:$A$75,0),0),0)</f>
        <v>14231280</v>
      </c>
      <c r="K10" s="49">
        <f t="shared" si="9"/>
        <v>0.49038461538461542</v>
      </c>
      <c r="L10" s="7">
        <f t="shared" si="0"/>
        <v>1</v>
      </c>
      <c r="M10" s="12">
        <f t="shared" si="10"/>
        <v>1</v>
      </c>
      <c r="N10" s="12">
        <f t="shared" si="1"/>
        <v>2</v>
      </c>
      <c r="O10" s="12">
        <f t="shared" si="11"/>
        <v>0</v>
      </c>
      <c r="P10" s="12">
        <f t="shared" si="2"/>
        <v>2</v>
      </c>
      <c r="R10" s="12">
        <f t="shared" si="12"/>
        <v>291715.47947509721</v>
      </c>
      <c r="S10" s="12">
        <f t="shared" si="3"/>
        <v>0.11764705882352941</v>
      </c>
      <c r="T10" s="12">
        <f t="shared" si="4"/>
        <v>14133674.36311857</v>
      </c>
      <c r="U10" s="19">
        <f t="shared" si="13"/>
        <v>291715.47947509721</v>
      </c>
      <c r="V10" s="19" t="str">
        <f t="shared" si="14"/>
        <v>-</v>
      </c>
      <c r="X10" s="49">
        <f t="shared" si="15"/>
        <v>0.73557692307692313</v>
      </c>
      <c r="Y10" s="7">
        <f t="shared" si="5"/>
        <v>1</v>
      </c>
      <c r="Z10" s="12">
        <f t="shared" si="16"/>
        <v>1</v>
      </c>
      <c r="AA10" s="12">
        <f t="shared" si="6"/>
        <v>2</v>
      </c>
      <c r="AB10" s="12">
        <f t="shared" si="17"/>
        <v>0</v>
      </c>
      <c r="AC10" s="12">
        <f t="shared" si="18"/>
        <v>2</v>
      </c>
      <c r="AD10" s="12">
        <f t="shared" si="19"/>
        <v>291715.47947509721</v>
      </c>
      <c r="AE10" s="12" t="str">
        <f t="shared" si="20"/>
        <v>Same</v>
      </c>
      <c r="AG10" s="49">
        <f t="shared" si="21"/>
        <v>0.98076923076923084</v>
      </c>
      <c r="AH10" s="7">
        <f t="shared" si="7"/>
        <v>1</v>
      </c>
      <c r="AI10" s="12">
        <f t="shared" si="22"/>
        <v>1</v>
      </c>
      <c r="AJ10" s="12">
        <f t="shared" si="8"/>
        <v>2</v>
      </c>
      <c r="AK10" s="12">
        <f t="shared" si="23"/>
        <v>0</v>
      </c>
      <c r="AL10" s="12">
        <f t="shared" si="24"/>
        <v>2</v>
      </c>
      <c r="AM10" s="12">
        <f t="shared" si="25"/>
        <v>291715.47947509721</v>
      </c>
      <c r="AN10" s="12" t="str">
        <f t="shared" si="26"/>
        <v>Same</v>
      </c>
    </row>
    <row r="11" spans="1:40" x14ac:dyDescent="0.25">
      <c r="A11" s="10" t="str">
        <f>'1.2 Sorting'!L11</f>
        <v>Spare 4</v>
      </c>
      <c r="B11" s="10" cm="1">
        <f t="array" ref="B11">IF($A11="",0,INDEX(' 1.0 Asset Data'!$B$8:$B$80,MATCH($A11,' 1.0 Asset Data'!$A$8:$A$80,0),0))</f>
        <v>1</v>
      </c>
      <c r="C11" s="10" cm="1">
        <f t="array" ref="C11">IF($A11="",0,INDEX(' 1.0 Asset Data'!$C$8:$C$80,MATCH($A11,' 1.0 Asset Data'!$A$8:$A$80,0),0))</f>
        <v>0</v>
      </c>
      <c r="D11" s="50" cm="1">
        <f t="array" ref="D11">IF($A11="",0,INDEX(' 1.0 Asset Data'!$E$8:$E$80,MATCH($A11,' 1.0 Asset Data'!$A$8:$A$80,0),0))</f>
        <v>3.4000000000000002E-3</v>
      </c>
      <c r="E11" s="10" cm="1">
        <f t="array" ref="E11">IF($A11="",0,INDEX(' 1.0 Asset Data'!$I$8:$I$80,MATCH($A11,' 1.0 Asset Data'!$A$8:$A$80,0),0))</f>
        <v>52</v>
      </c>
      <c r="F11" s="31" cm="1">
        <f t="array" ref="F11">IF($A11="",0,INDEX(' 1.0 Asset Data'!$F$8:$F$80,MATCH($A11,' 1.0 Asset Data'!$A$8:$A$80,0),0))</f>
        <v>72112.066526244031</v>
      </c>
      <c r="G11" s="31" cm="1">
        <f t="array" ref="G11">IF($A11="",0,INDEX(' 1.0 Asset Data'!$G$8:$G$80,MATCH($A11,' 1.0 Asset Data'!$A$8:$A$80,0),0))</f>
        <v>0</v>
      </c>
      <c r="H11" s="51" t="str" cm="1">
        <f t="array" ref="H11">IFERROR(INDEX(' 1.0 Asset Data'!J$8:J$90,MATCH($A11,' 1.0 Asset Data'!$A$8:$A$90,0),0),"")</f>
        <v>Asset offline for lead time duration</v>
      </c>
      <c r="I11" s="51" cm="1">
        <f t="array" ref="I11">_xlfn.IFNA(INDEX(' 1.0 Asset Data'!$K$8:$K$75,MATCH($A11,' 1.0 Asset Data'!$A$8:$A$75,0),0),0)</f>
        <v>24667552</v>
      </c>
      <c r="K11" s="49">
        <f t="shared" si="9"/>
        <v>3.4000000000000002E-3</v>
      </c>
      <c r="L11" s="7">
        <f t="shared" si="0"/>
        <v>1</v>
      </c>
      <c r="M11" s="12">
        <f t="shared" si="10"/>
        <v>1</v>
      </c>
      <c r="N11" s="12">
        <f t="shared" si="1"/>
        <v>2</v>
      </c>
      <c r="O11" s="12">
        <f t="shared" si="11"/>
        <v>0</v>
      </c>
      <c r="P11" s="12">
        <f t="shared" si="2"/>
        <v>2</v>
      </c>
      <c r="R11" s="12">
        <f t="shared" si="12"/>
        <v>144224.13305248806</v>
      </c>
      <c r="S11" s="12">
        <f t="shared" si="3"/>
        <v>29.411764705882351</v>
      </c>
      <c r="T11" s="12">
        <f t="shared" si="4"/>
        <v>4414743.1945994468</v>
      </c>
      <c r="U11" s="19">
        <f t="shared" si="13"/>
        <v>144224.13305248806</v>
      </c>
      <c r="V11" s="19" t="str">
        <f t="shared" si="14"/>
        <v>-</v>
      </c>
      <c r="X11" s="49">
        <f t="shared" si="15"/>
        <v>5.1000000000000004E-3</v>
      </c>
      <c r="Y11" s="7">
        <f t="shared" si="5"/>
        <v>1</v>
      </c>
      <c r="Z11" s="12">
        <f t="shared" si="16"/>
        <v>1</v>
      </c>
      <c r="AA11" s="12">
        <f t="shared" si="6"/>
        <v>2</v>
      </c>
      <c r="AB11" s="12">
        <f t="shared" si="17"/>
        <v>0</v>
      </c>
      <c r="AC11" s="12">
        <f t="shared" si="18"/>
        <v>2</v>
      </c>
      <c r="AD11" s="12">
        <f t="shared" si="19"/>
        <v>144224.13305248806</v>
      </c>
      <c r="AE11" s="12" t="str">
        <f t="shared" si="20"/>
        <v>Same</v>
      </c>
      <c r="AG11" s="49">
        <f t="shared" si="21"/>
        <v>6.8000000000000005E-3</v>
      </c>
      <c r="AH11" s="7">
        <f t="shared" si="7"/>
        <v>1</v>
      </c>
      <c r="AI11" s="12">
        <f t="shared" si="22"/>
        <v>1</v>
      </c>
      <c r="AJ11" s="12">
        <f t="shared" si="8"/>
        <v>2</v>
      </c>
      <c r="AK11" s="12">
        <f t="shared" si="23"/>
        <v>0</v>
      </c>
      <c r="AL11" s="12">
        <f t="shared" si="24"/>
        <v>2</v>
      </c>
      <c r="AM11" s="12">
        <f t="shared" si="25"/>
        <v>144224.13305248806</v>
      </c>
      <c r="AN11" s="12" t="str">
        <f t="shared" si="26"/>
        <v>Same</v>
      </c>
    </row>
    <row r="12" spans="1:40" x14ac:dyDescent="0.25">
      <c r="A12" s="10" t="str">
        <f>'1.2 Sorting'!L12</f>
        <v>Spare 5</v>
      </c>
      <c r="B12" s="10" cm="1">
        <f t="array" ref="B12">IF($A12="",0,INDEX(' 1.0 Asset Data'!$B$8:$B$80,MATCH($A12,' 1.0 Asset Data'!$A$8:$A$80,0),0))</f>
        <v>1</v>
      </c>
      <c r="C12" s="10" cm="1">
        <f t="array" ref="C12">IF($A12="",0,INDEX(' 1.0 Asset Data'!$C$8:$C$80,MATCH($A12,' 1.0 Asset Data'!$A$8:$A$80,0),0))</f>
        <v>0</v>
      </c>
      <c r="D12" s="50" cm="1">
        <f t="array" ref="D12">IF($A12="",0,INDEX(' 1.0 Asset Data'!$E$8:$E$80,MATCH($A12,' 1.0 Asset Data'!$A$8:$A$80,0),0))</f>
        <v>6.2809200000000002E-4</v>
      </c>
      <c r="E12" s="10" cm="1">
        <f t="array" ref="E12">IF($A12="",0,INDEX(' 1.0 Asset Data'!$I$8:$I$80,MATCH($A12,' 1.0 Asset Data'!$A$8:$A$80,0),0))</f>
        <v>25</v>
      </c>
      <c r="F12" s="31" cm="1">
        <f t="array" ref="F12">IF($A12="",0,INDEX(' 1.0 Asset Data'!$F$8:$F$80,MATCH($A12,' 1.0 Asset Data'!$A$8:$A$80,0),0))</f>
        <v>9807.2410475691886</v>
      </c>
      <c r="G12" s="31" cm="1">
        <f t="array" ref="G12">IF($A12="",0,INDEX(' 1.0 Asset Data'!$G$8:$G$80,MATCH($A12,' 1.0 Asset Data'!$A$8:$A$80,0),0))</f>
        <v>0</v>
      </c>
      <c r="H12" s="51" t="str" cm="1">
        <f t="array" ref="H12">IFERROR(INDEX(' 1.0 Asset Data'!J$8:J$90,MATCH($A12,' 1.0 Asset Data'!$A$8:$A$90,0),0),"")</f>
        <v>Asset offline for lead time duration</v>
      </c>
      <c r="I12" s="51" cm="1">
        <f t="array" ref="I12">_xlfn.IFNA(INDEX(' 1.0 Asset Data'!$K$8:$K$75,MATCH($A12,' 1.0 Asset Data'!$A$8:$A$75,0),0),0)</f>
        <v>11859400</v>
      </c>
      <c r="K12" s="49">
        <f t="shared" si="9"/>
        <v>3.0196730769230766E-4</v>
      </c>
      <c r="L12" s="7">
        <f t="shared" si="0"/>
        <v>1</v>
      </c>
      <c r="M12" s="12">
        <f t="shared" si="10"/>
        <v>1</v>
      </c>
      <c r="N12" s="12">
        <f t="shared" si="1"/>
        <v>2</v>
      </c>
      <c r="O12" s="12">
        <f t="shared" si="11"/>
        <v>0</v>
      </c>
      <c r="P12" s="12">
        <f t="shared" si="2"/>
        <v>2</v>
      </c>
      <c r="R12" s="12">
        <f t="shared" si="12"/>
        <v>19614.482095138377</v>
      </c>
      <c r="S12" s="12">
        <f t="shared" si="3"/>
        <v>159.21234468835777</v>
      </c>
      <c r="T12" s="12">
        <f t="shared" si="4"/>
        <v>1069.5310441588197</v>
      </c>
      <c r="U12" s="19">
        <f t="shared" si="13"/>
        <v>0</v>
      </c>
      <c r="V12" s="19" t="str">
        <f t="shared" si="14"/>
        <v>Spare 5</v>
      </c>
      <c r="X12" s="49">
        <f t="shared" si="15"/>
        <v>4.5295096153846157E-4</v>
      </c>
      <c r="Y12" s="7">
        <f t="shared" si="5"/>
        <v>1</v>
      </c>
      <c r="Z12" s="12">
        <f t="shared" si="16"/>
        <v>1</v>
      </c>
      <c r="AA12" s="12">
        <f t="shared" si="6"/>
        <v>2</v>
      </c>
      <c r="AB12" s="12">
        <f t="shared" si="17"/>
        <v>0</v>
      </c>
      <c r="AC12" s="12">
        <f t="shared" si="18"/>
        <v>2</v>
      </c>
      <c r="AD12" s="12">
        <f t="shared" si="19"/>
        <v>19614.482095138377</v>
      </c>
      <c r="AE12" s="12" t="str">
        <f t="shared" si="20"/>
        <v>Changes</v>
      </c>
      <c r="AG12" s="49">
        <f t="shared" si="21"/>
        <v>6.0393461538461532E-4</v>
      </c>
      <c r="AH12" s="7">
        <f t="shared" si="7"/>
        <v>1</v>
      </c>
      <c r="AI12" s="12">
        <f t="shared" si="22"/>
        <v>1</v>
      </c>
      <c r="AJ12" s="12">
        <f t="shared" si="8"/>
        <v>2</v>
      </c>
      <c r="AK12" s="12">
        <f t="shared" si="23"/>
        <v>0</v>
      </c>
      <c r="AL12" s="12">
        <f t="shared" si="24"/>
        <v>2</v>
      </c>
      <c r="AM12" s="12">
        <f t="shared" si="25"/>
        <v>19614.482095138377</v>
      </c>
      <c r="AN12" s="12" t="str">
        <f t="shared" si="26"/>
        <v>Changes</v>
      </c>
    </row>
    <row r="13" spans="1:40" x14ac:dyDescent="0.25">
      <c r="A13" s="10" t="str">
        <f>'1.2 Sorting'!L13</f>
        <v>Spare 6</v>
      </c>
      <c r="B13" s="10" cm="1">
        <f t="array" ref="B13">IF($A13="",0,INDEX(' 1.0 Asset Data'!$B$8:$B$80,MATCH($A13,' 1.0 Asset Data'!$A$8:$A$80,0),0))</f>
        <v>3</v>
      </c>
      <c r="C13" s="10" cm="1">
        <f t="array" ref="C13">IF($A13="",0,INDEX(' 1.0 Asset Data'!$C$8:$C$80,MATCH($A13,' 1.0 Asset Data'!$A$8:$A$80,0),0))</f>
        <v>1</v>
      </c>
      <c r="D13" s="50" cm="1">
        <f t="array" ref="D13">IF($A13="",0,INDEX(' 1.0 Asset Data'!$E$8:$E$80,MATCH($A13,' 1.0 Asset Data'!$A$8:$A$80,0),0))</f>
        <v>7.8660000000000015E-3</v>
      </c>
      <c r="E13" s="10" cm="1">
        <f t="array" ref="E13">IF($A13="",0,INDEX(' 1.0 Asset Data'!$I$8:$I$80,MATCH($A13,' 1.0 Asset Data'!$A$8:$A$80,0),0))</f>
        <v>32</v>
      </c>
      <c r="F13" s="31" cm="1">
        <f t="array" ref="F13">IF($A13="",0,INDEX(' 1.0 Asset Data'!$F$8:$F$80,MATCH($A13,' 1.0 Asset Data'!$A$8:$A$80,0),0))</f>
        <v>23075.861288398093</v>
      </c>
      <c r="G13" s="31" cm="1">
        <f t="array" ref="G13">IF($A13="",0,INDEX(' 1.0 Asset Data'!$G$8:$G$80,MATCH($A13,' 1.0 Asset Data'!$A$8:$A$80,0),0))</f>
        <v>0</v>
      </c>
      <c r="H13" s="51" t="str" cm="1">
        <f t="array" ref="H13">IFERROR(INDEX(' 1.0 Asset Data'!J$8:J$90,MATCH($A13,' 1.0 Asset Data'!$A$8:$A$90,0),0),"")</f>
        <v>Asset offline for lead time duration</v>
      </c>
      <c r="I13" s="51" cm="1">
        <f t="array" ref="I13">_xlfn.IFNA(INDEX(' 1.0 Asset Data'!$K$8:$K$75,MATCH($A13,' 1.0 Asset Data'!$A$8:$A$75,0),0),0)</f>
        <v>15180032</v>
      </c>
      <c r="K13" s="49">
        <f t="shared" si="9"/>
        <v>4.8406153846153859E-3</v>
      </c>
      <c r="L13" s="7">
        <f t="shared" si="0"/>
        <v>1</v>
      </c>
      <c r="M13" s="12">
        <f t="shared" si="10"/>
        <v>1</v>
      </c>
      <c r="N13" s="12">
        <f t="shared" si="1"/>
        <v>2</v>
      </c>
      <c r="O13" s="12">
        <f t="shared" si="11"/>
        <v>1</v>
      </c>
      <c r="P13" s="12">
        <f t="shared" si="2"/>
        <v>1</v>
      </c>
      <c r="R13" s="12">
        <f t="shared" si="12"/>
        <v>23075.861288398093</v>
      </c>
      <c r="S13" s="12">
        <f t="shared" si="3"/>
        <v>12.712941774726669</v>
      </c>
      <c r="T13" s="12">
        <f t="shared" si="4"/>
        <v>7215958.6663126005</v>
      </c>
      <c r="U13" s="19">
        <f t="shared" si="13"/>
        <v>23075.861288398093</v>
      </c>
      <c r="V13" s="19" t="str">
        <f t="shared" si="14"/>
        <v>-</v>
      </c>
      <c r="X13" s="49">
        <f t="shared" si="15"/>
        <v>7.260923076923078E-3</v>
      </c>
      <c r="Y13" s="7">
        <f t="shared" si="5"/>
        <v>1</v>
      </c>
      <c r="Z13" s="12">
        <f t="shared" si="16"/>
        <v>1</v>
      </c>
      <c r="AA13" s="12">
        <f t="shared" si="6"/>
        <v>2</v>
      </c>
      <c r="AB13" s="12">
        <f t="shared" si="17"/>
        <v>1</v>
      </c>
      <c r="AC13" s="12">
        <f t="shared" si="18"/>
        <v>1</v>
      </c>
      <c r="AD13" s="12">
        <f t="shared" si="19"/>
        <v>23075.861288398093</v>
      </c>
      <c r="AE13" s="12" t="str">
        <f t="shared" si="20"/>
        <v>Same</v>
      </c>
      <c r="AG13" s="49">
        <f t="shared" si="21"/>
        <v>9.6812307692307718E-3</v>
      </c>
      <c r="AH13" s="7">
        <f t="shared" si="7"/>
        <v>1</v>
      </c>
      <c r="AI13" s="12">
        <f t="shared" si="22"/>
        <v>1</v>
      </c>
      <c r="AJ13" s="12">
        <f t="shared" si="8"/>
        <v>2</v>
      </c>
      <c r="AK13" s="12">
        <f t="shared" si="23"/>
        <v>1</v>
      </c>
      <c r="AL13" s="12">
        <f t="shared" si="24"/>
        <v>1</v>
      </c>
      <c r="AM13" s="12">
        <f t="shared" si="25"/>
        <v>23075.861288398093</v>
      </c>
      <c r="AN13" s="12" t="str">
        <f t="shared" si="26"/>
        <v>Same</v>
      </c>
    </row>
    <row r="14" spans="1:40" x14ac:dyDescent="0.25">
      <c r="A14" s="10" t="str">
        <f>'1.2 Sorting'!L14</f>
        <v>Spare 7</v>
      </c>
      <c r="B14" s="10" cm="1">
        <f t="array" ref="B14">IF($A14="",0,INDEX(' 1.0 Asset Data'!$B$8:$B$80,MATCH($A14,' 1.0 Asset Data'!$A$8:$A$80,0),0))</f>
        <v>1</v>
      </c>
      <c r="C14" s="10" cm="1">
        <f t="array" ref="C14">IF($A14="",0,INDEX(' 1.0 Asset Data'!$C$8:$C$80,MATCH($A14,' 1.0 Asset Data'!$A$8:$A$80,0),0))</f>
        <v>0</v>
      </c>
      <c r="D14" s="50" cm="1">
        <f t="array" ref="D14">IF($A14="",0,INDEX(' 1.0 Asset Data'!$E$8:$E$80,MATCH($A14,' 1.0 Asset Data'!$A$8:$A$80,0),0))</f>
        <v>1.4566666666666667E-4</v>
      </c>
      <c r="E14" s="10" cm="1">
        <f t="array" ref="E14">IF($A14="",0,INDEX(' 1.0 Asset Data'!$I$8:$I$80,MATCH($A14,' 1.0 Asset Data'!$A$8:$A$80,0),0))</f>
        <v>104</v>
      </c>
      <c r="F14" s="31" cm="1">
        <f t="array" ref="F14">IF($A14="",0,INDEX(' 1.0 Asset Data'!$F$8:$F$80,MATCH($A14,' 1.0 Asset Data'!$A$8:$A$80,0),0))</f>
        <v>87591.656729110589</v>
      </c>
      <c r="G14" s="31" cm="1">
        <f t="array" ref="G14">IF($A14="",0,INDEX(' 1.0 Asset Data'!$G$8:$G$80,MATCH($A14,' 1.0 Asset Data'!$A$8:$A$80,0),0))</f>
        <v>0</v>
      </c>
      <c r="H14" s="51" t="str" cm="1">
        <f t="array" ref="H14">IFERROR(INDEX(' 1.0 Asset Data'!J$8:J$90,MATCH($A14,' 1.0 Asset Data'!$A$8:$A$90,0),0),"")</f>
        <v>Asset offline for lead time duration</v>
      </c>
      <c r="I14" s="51" cm="1">
        <f t="array" ref="I14">_xlfn.IFNA(INDEX(' 1.0 Asset Data'!$K$8:$K$75,MATCH($A14,' 1.0 Asset Data'!$A$8:$A$75,0),0),0)</f>
        <v>49335104</v>
      </c>
      <c r="K14" s="49">
        <f t="shared" si="9"/>
        <v>2.9133333333333333E-4</v>
      </c>
      <c r="L14" s="7">
        <f t="shared" si="0"/>
        <v>1</v>
      </c>
      <c r="M14" s="12">
        <f t="shared" si="10"/>
        <v>1</v>
      </c>
      <c r="N14" s="12">
        <f t="shared" si="1"/>
        <v>2</v>
      </c>
      <c r="O14" s="12">
        <f t="shared" si="11"/>
        <v>0</v>
      </c>
      <c r="P14" s="12">
        <f t="shared" si="2"/>
        <v>2</v>
      </c>
      <c r="R14" s="12">
        <f t="shared" si="12"/>
        <v>175183.31345822118</v>
      </c>
      <c r="S14" s="12">
        <f t="shared" si="3"/>
        <v>686.49885583524031</v>
      </c>
      <c r="T14" s="12">
        <f t="shared" si="4"/>
        <v>1.787758851295957E-10</v>
      </c>
      <c r="U14" s="19">
        <f t="shared" si="13"/>
        <v>0</v>
      </c>
      <c r="V14" s="19" t="str">
        <f t="shared" si="14"/>
        <v>Spare 7</v>
      </c>
      <c r="X14" s="49">
        <f t="shared" si="15"/>
        <v>4.37E-4</v>
      </c>
      <c r="Y14" s="7">
        <f t="shared" si="5"/>
        <v>1</v>
      </c>
      <c r="Z14" s="12">
        <f t="shared" si="16"/>
        <v>1</v>
      </c>
      <c r="AA14" s="12">
        <f t="shared" si="6"/>
        <v>2</v>
      </c>
      <c r="AB14" s="12">
        <f t="shared" si="17"/>
        <v>0</v>
      </c>
      <c r="AC14" s="12">
        <f t="shared" si="18"/>
        <v>2</v>
      </c>
      <c r="AD14" s="12">
        <f t="shared" si="19"/>
        <v>175183.31345822118</v>
      </c>
      <c r="AE14" s="12" t="str">
        <f t="shared" si="20"/>
        <v>Changes</v>
      </c>
      <c r="AG14" s="49">
        <f t="shared" si="21"/>
        <v>5.8266666666666666E-4</v>
      </c>
      <c r="AH14" s="7">
        <f t="shared" si="7"/>
        <v>1</v>
      </c>
      <c r="AI14" s="12">
        <f t="shared" si="22"/>
        <v>1</v>
      </c>
      <c r="AJ14" s="12">
        <f t="shared" si="8"/>
        <v>2</v>
      </c>
      <c r="AK14" s="12">
        <f t="shared" si="23"/>
        <v>0</v>
      </c>
      <c r="AL14" s="12">
        <f t="shared" si="24"/>
        <v>2</v>
      </c>
      <c r="AM14" s="12">
        <f t="shared" si="25"/>
        <v>175183.31345822118</v>
      </c>
      <c r="AN14" s="12" t="str">
        <f t="shared" si="26"/>
        <v>Changes</v>
      </c>
    </row>
    <row r="15" spans="1:40" x14ac:dyDescent="0.25">
      <c r="A15" s="10" t="str">
        <f>'1.2 Sorting'!L15</f>
        <v>Spare 8</v>
      </c>
      <c r="B15" s="10" cm="1">
        <f t="array" ref="B15">IF($A15="",0,INDEX(' 1.0 Asset Data'!$B$8:$B$80,MATCH($A15,' 1.0 Asset Data'!$A$8:$A$80,0),0))</f>
        <v>2</v>
      </c>
      <c r="C15" s="10" cm="1">
        <f t="array" ref="C15">IF($A15="",0,INDEX(' 1.0 Asset Data'!$C$8:$C$80,MATCH($A15,' 1.0 Asset Data'!$A$8:$A$80,0),0))</f>
        <v>0</v>
      </c>
      <c r="D15" s="50" cm="1">
        <f t="array" ref="D15">IF($A15="",0,INDEX(' 1.0 Asset Data'!$E$8:$E$80,MATCH($A15,' 1.0 Asset Data'!$A$8:$A$80,0),0))</f>
        <v>6.2500000000000003E-3</v>
      </c>
      <c r="E15" s="10" cm="1">
        <f t="array" ref="E15">IF($A15="",0,INDEX(' 1.0 Asset Data'!$I$8:$I$80,MATCH($A15,' 1.0 Asset Data'!$A$8:$A$80,0),0))</f>
        <v>12</v>
      </c>
      <c r="F15" s="31" cm="1">
        <f t="array" ref="F15">IF($A15="",0,INDEX(' 1.0 Asset Data'!$F$8:$F$80,MATCH($A15,' 1.0 Asset Data'!$A$8:$A$80,0),0))</f>
        <v>10239.236666814271</v>
      </c>
      <c r="G15" s="31" cm="1">
        <f t="array" ref="G15">IF($A15="",0,INDEX(' 1.0 Asset Data'!$G$8:$G$80,MATCH($A15,' 1.0 Asset Data'!$A$8:$A$80,0),0))</f>
        <v>0</v>
      </c>
      <c r="H15" s="51" t="str" cm="1">
        <f t="array" ref="H15">IFERROR(INDEX(' 1.0 Asset Data'!J$8:J$90,MATCH($A15,' 1.0 Asset Data'!$A$8:$A$90,0),0),"")</f>
        <v>Asset offline for lead time duration</v>
      </c>
      <c r="I15" s="51" cm="1">
        <f t="array" ref="I15">_xlfn.IFNA(INDEX(' 1.0 Asset Data'!$K$8:$K$75,MATCH($A15,' 1.0 Asset Data'!$A$8:$A$75,0),0),0)</f>
        <v>5692512</v>
      </c>
      <c r="K15" s="49">
        <f t="shared" si="9"/>
        <v>1.4423076923076924E-3</v>
      </c>
      <c r="L15" s="7">
        <f t="shared" si="0"/>
        <v>1</v>
      </c>
      <c r="M15" s="12">
        <f t="shared" si="10"/>
        <v>1</v>
      </c>
      <c r="N15" s="12">
        <f t="shared" si="1"/>
        <v>2</v>
      </c>
      <c r="O15" s="12">
        <f t="shared" si="11"/>
        <v>0</v>
      </c>
      <c r="P15" s="12">
        <f t="shared" si="2"/>
        <v>2</v>
      </c>
      <c r="R15" s="12">
        <f t="shared" si="12"/>
        <v>20478.473333628543</v>
      </c>
      <c r="S15" s="12">
        <f t="shared" si="3"/>
        <v>16</v>
      </c>
      <c r="T15" s="12">
        <f t="shared" si="4"/>
        <v>2232625.8292735987</v>
      </c>
      <c r="U15" s="19">
        <f t="shared" si="13"/>
        <v>20478.473333628543</v>
      </c>
      <c r="V15" s="19" t="str">
        <f t="shared" si="14"/>
        <v>-</v>
      </c>
      <c r="X15" s="49">
        <f t="shared" si="15"/>
        <v>2.163461538461539E-3</v>
      </c>
      <c r="Y15" s="7">
        <f t="shared" si="5"/>
        <v>1</v>
      </c>
      <c r="Z15" s="12">
        <f t="shared" si="16"/>
        <v>1</v>
      </c>
      <c r="AA15" s="12">
        <f t="shared" si="6"/>
        <v>2</v>
      </c>
      <c r="AB15" s="12">
        <f t="shared" si="17"/>
        <v>0</v>
      </c>
      <c r="AC15" s="12">
        <f t="shared" si="18"/>
        <v>2</v>
      </c>
      <c r="AD15" s="12">
        <f t="shared" si="19"/>
        <v>20478.473333628543</v>
      </c>
      <c r="AE15" s="12" t="str">
        <f t="shared" si="20"/>
        <v>Same</v>
      </c>
      <c r="AG15" s="49">
        <f t="shared" si="21"/>
        <v>2.8846153846153848E-3</v>
      </c>
      <c r="AH15" s="7">
        <f t="shared" si="7"/>
        <v>1</v>
      </c>
      <c r="AI15" s="12">
        <f t="shared" si="22"/>
        <v>1</v>
      </c>
      <c r="AJ15" s="12">
        <f t="shared" si="8"/>
        <v>2</v>
      </c>
      <c r="AK15" s="12">
        <f t="shared" si="23"/>
        <v>0</v>
      </c>
      <c r="AL15" s="12">
        <f t="shared" si="24"/>
        <v>2</v>
      </c>
      <c r="AM15" s="12">
        <f t="shared" si="25"/>
        <v>20478.473333628543</v>
      </c>
      <c r="AN15" s="12" t="str">
        <f t="shared" si="26"/>
        <v>Same</v>
      </c>
    </row>
    <row r="16" spans="1:40" x14ac:dyDescent="0.25">
      <c r="A16" s="10" t="str">
        <f>'1.2 Sorting'!L16</f>
        <v>Spare 9</v>
      </c>
      <c r="B16" s="10" cm="1">
        <f t="array" ref="B16">IF($A16="",0,INDEX(' 1.0 Asset Data'!$B$8:$B$80,MATCH($A16,' 1.0 Asset Data'!$A$8:$A$80,0),0))</f>
        <v>1</v>
      </c>
      <c r="C16" s="10" cm="1">
        <f t="array" ref="C16">IF($A16="",0,INDEX(' 1.0 Asset Data'!$C$8:$C$80,MATCH($A16,' 1.0 Asset Data'!$A$8:$A$80,0),0))</f>
        <v>0</v>
      </c>
      <c r="D16" s="50" cm="1">
        <f t="array" ref="D16">IF($A16="",0,INDEX(' 1.0 Asset Data'!$E$8:$E$80,MATCH($A16,' 1.0 Asset Data'!$A$8:$A$80,0),0))</f>
        <v>3.5714285714285709E-3</v>
      </c>
      <c r="E16" s="10" cm="1">
        <f t="array" ref="E16">IF($A16="",0,INDEX(' 1.0 Asset Data'!$I$8:$I$80,MATCH($A16,' 1.0 Asset Data'!$A$8:$A$80,0),0))</f>
        <v>12</v>
      </c>
      <c r="F16" s="31" cm="1">
        <f t="array" ref="F16">IF($A16="",0,INDEX(' 1.0 Asset Data'!$F$8:$F$80,MATCH($A16,' 1.0 Asset Data'!$A$8:$A$80,0),0))</f>
        <v>6398.522332664319</v>
      </c>
      <c r="G16" s="31" cm="1">
        <f t="array" ref="G16">IF($A16="",0,INDEX(' 1.0 Asset Data'!$G$8:$G$80,MATCH($A16,' 1.0 Asset Data'!$A$8:$A$80,0),0))</f>
        <v>0</v>
      </c>
      <c r="H16" s="51" t="str" cm="1">
        <f t="array" ref="H16">IFERROR(INDEX(' 1.0 Asset Data'!J$8:J$90,MATCH($A16,' 1.0 Asset Data'!$A$8:$A$90,0),0),"")</f>
        <v>Asset offline for lead time duration</v>
      </c>
      <c r="I16" s="51" cm="1">
        <f t="array" ref="I16">_xlfn.IFNA(INDEX(' 1.0 Asset Data'!$K$8:$K$75,MATCH($A16,' 1.0 Asset Data'!$A$8:$A$75,0),0),0)</f>
        <v>5692512</v>
      </c>
      <c r="K16" s="49">
        <f t="shared" si="9"/>
        <v>8.2417582417582407E-4</v>
      </c>
      <c r="L16" s="7">
        <f t="shared" si="0"/>
        <v>1</v>
      </c>
      <c r="M16" s="12">
        <f t="shared" si="10"/>
        <v>1</v>
      </c>
      <c r="N16" s="12">
        <f t="shared" si="1"/>
        <v>2</v>
      </c>
      <c r="O16" s="12">
        <f t="shared" si="11"/>
        <v>0</v>
      </c>
      <c r="P16" s="12">
        <f t="shared" si="2"/>
        <v>2</v>
      </c>
      <c r="R16" s="12">
        <f t="shared" si="12"/>
        <v>12797.044665328638</v>
      </c>
      <c r="S16" s="12">
        <f t="shared" si="3"/>
        <v>28.000000000000007</v>
      </c>
      <c r="T16" s="12">
        <f t="shared" si="4"/>
        <v>1106496.2267668392</v>
      </c>
      <c r="U16" s="19">
        <f t="shared" si="13"/>
        <v>12797.044665328638</v>
      </c>
      <c r="V16" s="19" t="str">
        <f t="shared" si="14"/>
        <v>-</v>
      </c>
      <c r="X16" s="49">
        <f t="shared" si="15"/>
        <v>1.2362637362637362E-3</v>
      </c>
      <c r="Y16" s="7">
        <f t="shared" si="5"/>
        <v>1</v>
      </c>
      <c r="Z16" s="12">
        <f t="shared" si="16"/>
        <v>1</v>
      </c>
      <c r="AA16" s="12">
        <f t="shared" si="6"/>
        <v>2</v>
      </c>
      <c r="AB16" s="12">
        <f t="shared" si="17"/>
        <v>0</v>
      </c>
      <c r="AC16" s="12">
        <f t="shared" si="18"/>
        <v>2</v>
      </c>
      <c r="AD16" s="12">
        <f t="shared" si="19"/>
        <v>12797.044665328638</v>
      </c>
      <c r="AE16" s="12" t="str">
        <f t="shared" si="20"/>
        <v>Same</v>
      </c>
      <c r="AG16" s="49">
        <f t="shared" si="21"/>
        <v>1.6483516483516481E-3</v>
      </c>
      <c r="AH16" s="7">
        <f t="shared" si="7"/>
        <v>1</v>
      </c>
      <c r="AI16" s="12">
        <f t="shared" si="22"/>
        <v>1</v>
      </c>
      <c r="AJ16" s="12">
        <f t="shared" si="8"/>
        <v>2</v>
      </c>
      <c r="AK16" s="12">
        <f t="shared" si="23"/>
        <v>0</v>
      </c>
      <c r="AL16" s="12">
        <f t="shared" si="24"/>
        <v>2</v>
      </c>
      <c r="AM16" s="12">
        <f t="shared" si="25"/>
        <v>12797.044665328638</v>
      </c>
      <c r="AN16" s="12" t="str">
        <f t="shared" si="26"/>
        <v>Same</v>
      </c>
    </row>
    <row r="17" spans="1:40" x14ac:dyDescent="0.25">
      <c r="A17" s="10" t="str">
        <f>'1.2 Sorting'!L17</f>
        <v>Spare 10</v>
      </c>
      <c r="B17" s="10" cm="1">
        <f t="array" ref="B17">IF($A17="",0,INDEX(' 1.0 Asset Data'!$B$8:$B$80,MATCH($A17,' 1.0 Asset Data'!$A$8:$A$80,0),0))</f>
        <v>2</v>
      </c>
      <c r="C17" s="10" cm="1">
        <f t="array" ref="C17">IF($A17="",0,INDEX(' 1.0 Asset Data'!$C$8:$C$80,MATCH($A17,' 1.0 Asset Data'!$A$8:$A$80,0),0))</f>
        <v>0</v>
      </c>
      <c r="D17" s="50" cm="1">
        <f t="array" ref="D17">IF($A17="",0,INDEX(' 1.0 Asset Data'!$E$8:$E$80,MATCH($A17,' 1.0 Asset Data'!$A$8:$A$80,0),0))</f>
        <v>1.6849199663016006E-3</v>
      </c>
      <c r="E17" s="10" cm="1">
        <f t="array" ref="E17">IF($A17="",0,INDEX(' 1.0 Asset Data'!$I$8:$I$80,MATCH($A17,' 1.0 Asset Data'!$A$8:$A$80,0),0))</f>
        <v>12</v>
      </c>
      <c r="F17" s="31" cm="1">
        <f t="array" ref="F17">IF($A17="",0,INDEX(' 1.0 Asset Data'!$F$8:$F$80,MATCH($A17,' 1.0 Asset Data'!$A$8:$A$80,0),0))</f>
        <v>1250.8759759892168</v>
      </c>
      <c r="G17" s="31" cm="1">
        <f t="array" ref="G17">IF($A17="",0,INDEX(' 1.0 Asset Data'!$G$8:$G$80,MATCH($A17,' 1.0 Asset Data'!$A$8:$A$80,0),0))</f>
        <v>0</v>
      </c>
      <c r="H17" s="51" t="str" cm="1">
        <f t="array" ref="H17">IFERROR(INDEX(' 1.0 Asset Data'!J$8:J$90,MATCH($A17,' 1.0 Asset Data'!$A$8:$A$90,0),0),"")</f>
        <v>Asset offline for lead time duration</v>
      </c>
      <c r="I17" s="51" cm="1">
        <f t="array" ref="I17">_xlfn.IFNA(INDEX(' 1.0 Asset Data'!$K$8:$K$75,MATCH($A17,' 1.0 Asset Data'!$A$8:$A$75,0),0),0)</f>
        <v>5692512</v>
      </c>
      <c r="K17" s="49">
        <f t="shared" si="9"/>
        <v>3.888276845311386E-4</v>
      </c>
      <c r="L17" s="7">
        <f t="shared" si="0"/>
        <v>1</v>
      </c>
      <c r="M17" s="12">
        <f t="shared" si="10"/>
        <v>1</v>
      </c>
      <c r="N17" s="12">
        <f t="shared" si="1"/>
        <v>2</v>
      </c>
      <c r="O17" s="12">
        <f t="shared" si="11"/>
        <v>0</v>
      </c>
      <c r="P17" s="12">
        <f t="shared" si="2"/>
        <v>2</v>
      </c>
      <c r="R17" s="12">
        <f t="shared" si="12"/>
        <v>2501.7519519784337</v>
      </c>
      <c r="S17" s="12">
        <f t="shared" si="3"/>
        <v>59.350000000000009</v>
      </c>
      <c r="T17" s="12">
        <f t="shared" si="4"/>
        <v>176802.12994994081</v>
      </c>
      <c r="U17" s="19">
        <f t="shared" si="13"/>
        <v>2501.7519519784337</v>
      </c>
      <c r="V17" s="19" t="str">
        <f t="shared" si="14"/>
        <v>-</v>
      </c>
      <c r="X17" s="49">
        <f t="shared" si="15"/>
        <v>5.8324152679670789E-4</v>
      </c>
      <c r="Y17" s="7">
        <f t="shared" si="5"/>
        <v>1</v>
      </c>
      <c r="Z17" s="12">
        <f t="shared" si="16"/>
        <v>1</v>
      </c>
      <c r="AA17" s="12">
        <f t="shared" si="6"/>
        <v>2</v>
      </c>
      <c r="AB17" s="12">
        <f t="shared" si="17"/>
        <v>0</v>
      </c>
      <c r="AC17" s="12">
        <f t="shared" si="18"/>
        <v>2</v>
      </c>
      <c r="AD17" s="12">
        <f t="shared" si="19"/>
        <v>2501.7519519784337</v>
      </c>
      <c r="AE17" s="12" t="str">
        <f t="shared" si="20"/>
        <v>Same</v>
      </c>
      <c r="AG17" s="49">
        <f t="shared" si="21"/>
        <v>7.7765536906227719E-4</v>
      </c>
      <c r="AH17" s="7">
        <f t="shared" si="7"/>
        <v>1</v>
      </c>
      <c r="AI17" s="12">
        <f t="shared" si="22"/>
        <v>1</v>
      </c>
      <c r="AJ17" s="12">
        <f t="shared" si="8"/>
        <v>2</v>
      </c>
      <c r="AK17" s="12">
        <f t="shared" si="23"/>
        <v>0</v>
      </c>
      <c r="AL17" s="12">
        <f t="shared" si="24"/>
        <v>2</v>
      </c>
      <c r="AM17" s="12">
        <f t="shared" si="25"/>
        <v>2501.7519519784337</v>
      </c>
      <c r="AN17" s="12" t="str">
        <f t="shared" si="26"/>
        <v>Same</v>
      </c>
    </row>
    <row r="18" spans="1:40" x14ac:dyDescent="0.25">
      <c r="A18" s="10" t="str">
        <f>'1.2 Sorting'!L18</f>
        <v>Spare 11</v>
      </c>
      <c r="B18" s="10" cm="1">
        <f t="array" ref="B18">IF($A18="",0,INDEX(' 1.0 Asset Data'!$B$8:$B$80,MATCH($A18,' 1.0 Asset Data'!$A$8:$A$80,0),0))</f>
        <v>1</v>
      </c>
      <c r="C18" s="10" cm="1">
        <f t="array" ref="C18">IF($A18="",0,INDEX(' 1.0 Asset Data'!$C$8:$C$80,MATCH($A18,' 1.0 Asset Data'!$A$8:$A$80,0),0))</f>
        <v>0</v>
      </c>
      <c r="D18" s="50" cm="1">
        <f t="array" ref="D18">IF($A18="",0,INDEX(' 1.0 Asset Data'!$E$8:$E$80,MATCH($A18,' 1.0 Asset Data'!$A$8:$A$80,0),0))</f>
        <v>0.02</v>
      </c>
      <c r="E18" s="10" cm="1">
        <f t="array" ref="E18">IF($A18="",0,INDEX(' 1.0 Asset Data'!$I$8:$I$80,MATCH($A18,' 1.0 Asset Data'!$A$8:$A$80,0),0))</f>
        <v>20</v>
      </c>
      <c r="F18" s="31" cm="1">
        <f t="array" ref="F18">IF($A18="",0,INDEX(' 1.0 Asset Data'!$F$8:$F$80,MATCH($A18,' 1.0 Asset Data'!$A$8:$A$80,0),0))</f>
        <v>1334.8900340780449</v>
      </c>
      <c r="G18" s="31" cm="1">
        <f t="array" ref="G18">IF($A18="",0,INDEX(' 1.0 Asset Data'!$G$8:$G$80,MATCH($A18,' 1.0 Asset Data'!$A$8:$A$80,0),0))</f>
        <v>0</v>
      </c>
      <c r="H18" s="51" t="str" cm="1">
        <f t="array" ref="H18">IFERROR(INDEX(' 1.0 Asset Data'!J$8:J$90,MATCH($A18,' 1.0 Asset Data'!$A$8:$A$90,0),0),"")</f>
        <v>Asset offline for lead time duration</v>
      </c>
      <c r="I18" s="51" cm="1">
        <f t="array" ref="I18">_xlfn.IFNA(INDEX(' 1.0 Asset Data'!$K$8:$K$75,MATCH($A18,' 1.0 Asset Data'!$A$8:$A$75,0),0),0)</f>
        <v>9487520</v>
      </c>
      <c r="K18" s="49">
        <f t="shared" si="9"/>
        <v>7.6923076923076927E-3</v>
      </c>
      <c r="L18" s="7">
        <f t="shared" si="0"/>
        <v>1</v>
      </c>
      <c r="M18" s="12">
        <f t="shared" si="10"/>
        <v>1</v>
      </c>
      <c r="N18" s="12">
        <f t="shared" si="1"/>
        <v>2</v>
      </c>
      <c r="O18" s="12">
        <f t="shared" si="11"/>
        <v>0</v>
      </c>
      <c r="P18" s="12">
        <f t="shared" si="2"/>
        <v>2</v>
      </c>
      <c r="R18" s="12">
        <f t="shared" si="12"/>
        <v>2669.7800681560898</v>
      </c>
      <c r="S18" s="12">
        <f t="shared" si="3"/>
        <v>5</v>
      </c>
      <c r="T18" s="12">
        <f t="shared" si="4"/>
        <v>7081499.0509805586</v>
      </c>
      <c r="U18" s="19">
        <f t="shared" si="13"/>
        <v>2669.7800681560898</v>
      </c>
      <c r="V18" s="19" t="str">
        <f t="shared" si="14"/>
        <v>-</v>
      </c>
      <c r="X18" s="49">
        <f t="shared" si="15"/>
        <v>1.1538461538461537E-2</v>
      </c>
      <c r="Y18" s="7">
        <f t="shared" si="5"/>
        <v>1</v>
      </c>
      <c r="Z18" s="12">
        <f t="shared" si="16"/>
        <v>1</v>
      </c>
      <c r="AA18" s="12">
        <f t="shared" si="6"/>
        <v>2</v>
      </c>
      <c r="AB18" s="12">
        <f t="shared" si="17"/>
        <v>0</v>
      </c>
      <c r="AC18" s="12">
        <f t="shared" si="18"/>
        <v>2</v>
      </c>
      <c r="AD18" s="12">
        <f t="shared" si="19"/>
        <v>2669.7800681560898</v>
      </c>
      <c r="AE18" s="12" t="str">
        <f t="shared" si="20"/>
        <v>Same</v>
      </c>
      <c r="AG18" s="49">
        <f t="shared" si="21"/>
        <v>1.5384615384615385E-2</v>
      </c>
      <c r="AH18" s="7">
        <f t="shared" si="7"/>
        <v>1</v>
      </c>
      <c r="AI18" s="12">
        <f t="shared" si="22"/>
        <v>1</v>
      </c>
      <c r="AJ18" s="12">
        <f t="shared" si="8"/>
        <v>2</v>
      </c>
      <c r="AK18" s="12">
        <f t="shared" si="23"/>
        <v>0</v>
      </c>
      <c r="AL18" s="12">
        <f t="shared" si="24"/>
        <v>2</v>
      </c>
      <c r="AM18" s="12">
        <f t="shared" si="25"/>
        <v>2669.7800681560898</v>
      </c>
      <c r="AN18" s="12" t="str">
        <f t="shared" si="26"/>
        <v>Same</v>
      </c>
    </row>
    <row r="19" spans="1:40" x14ac:dyDescent="0.25">
      <c r="A19" s="10" t="str">
        <f>'1.2 Sorting'!L19</f>
        <v>Spare 12</v>
      </c>
      <c r="B19" s="10" cm="1">
        <f t="array" ref="B19">IF($A19="",0,INDEX(' 1.0 Asset Data'!$B$8:$B$80,MATCH($A19,' 1.0 Asset Data'!$A$8:$A$80,0),0))</f>
        <v>2</v>
      </c>
      <c r="C19" s="10" cm="1">
        <f t="array" ref="C19">IF($A19="",0,INDEX(' 1.0 Asset Data'!$C$8:$C$80,MATCH($A19,' 1.0 Asset Data'!$A$8:$A$80,0),0))</f>
        <v>0</v>
      </c>
      <c r="D19" s="50" cm="1">
        <f t="array" ref="D19">IF($A19="",0,INDEX(' 1.0 Asset Data'!$E$8:$E$80,MATCH($A19,' 1.0 Asset Data'!$A$8:$A$80,0),0))</f>
        <v>7.3664825046040514E-4</v>
      </c>
      <c r="E19" s="10" cm="1">
        <f t="array" ref="E19">IF($A19="",0,INDEX(' 1.0 Asset Data'!$I$8:$I$80,MATCH($A19,' 1.0 Asset Data'!$A$8:$A$80,0),0))</f>
        <v>24</v>
      </c>
      <c r="F19" s="31" cm="1">
        <f t="array" ref="F19">IF($A19="",0,INDEX(' 1.0 Asset Data'!$F$8:$F$80,MATCH($A19,' 1.0 Asset Data'!$A$8:$A$80,0),0))</f>
        <v>1414.2366444952713</v>
      </c>
      <c r="G19" s="31" cm="1">
        <f t="array" ref="G19">IF($A19="",0,INDEX(' 1.0 Asset Data'!$G$8:$G$80,MATCH($A19,' 1.0 Asset Data'!$A$8:$A$80,0),0))</f>
        <v>0</v>
      </c>
      <c r="H19" s="51" t="str" cm="1">
        <f t="array" ref="H19">IFERROR(INDEX(' 1.0 Asset Data'!J$8:J$90,MATCH($A19,' 1.0 Asset Data'!$A$8:$A$90,0),0),"")</f>
        <v>Asset offline for lead time duration</v>
      </c>
      <c r="I19" s="51" cm="1">
        <f t="array" ref="I19">_xlfn.IFNA(INDEX(' 1.0 Asset Data'!$K$8:$K$75,MATCH($A19,' 1.0 Asset Data'!$A$8:$A$75,0),0),0)</f>
        <v>11385024</v>
      </c>
      <c r="K19" s="49">
        <f t="shared" si="9"/>
        <v>3.3999150021249468E-4</v>
      </c>
      <c r="L19" s="7">
        <f t="shared" si="0"/>
        <v>1</v>
      </c>
      <c r="M19" s="12">
        <f t="shared" si="10"/>
        <v>1</v>
      </c>
      <c r="N19" s="12">
        <f t="shared" si="1"/>
        <v>2</v>
      </c>
      <c r="O19" s="12">
        <f t="shared" si="11"/>
        <v>0</v>
      </c>
      <c r="P19" s="12">
        <f t="shared" si="2"/>
        <v>2</v>
      </c>
      <c r="R19" s="12">
        <f t="shared" si="12"/>
        <v>2828.4732889905426</v>
      </c>
      <c r="S19" s="12">
        <f t="shared" si="3"/>
        <v>135.75</v>
      </c>
      <c r="T19" s="12">
        <f t="shared" si="4"/>
        <v>4050.7667882161813</v>
      </c>
      <c r="U19" s="19">
        <f t="shared" si="13"/>
        <v>2828.4732889905426</v>
      </c>
      <c r="V19" s="19" t="str">
        <f t="shared" si="14"/>
        <v>-</v>
      </c>
      <c r="X19" s="49">
        <f t="shared" si="15"/>
        <v>5.0998725031874191E-4</v>
      </c>
      <c r="Y19" s="7">
        <f t="shared" si="5"/>
        <v>1</v>
      </c>
      <c r="Z19" s="12">
        <f t="shared" si="16"/>
        <v>1</v>
      </c>
      <c r="AA19" s="12">
        <f t="shared" si="6"/>
        <v>2</v>
      </c>
      <c r="AB19" s="12">
        <f t="shared" si="17"/>
        <v>0</v>
      </c>
      <c r="AC19" s="12">
        <f t="shared" si="18"/>
        <v>2</v>
      </c>
      <c r="AD19" s="12">
        <f t="shared" si="19"/>
        <v>2828.4732889905426</v>
      </c>
      <c r="AE19" s="12" t="str">
        <f t="shared" si="20"/>
        <v>Same</v>
      </c>
      <c r="AG19" s="49">
        <f t="shared" si="21"/>
        <v>6.7998300042498936E-4</v>
      </c>
      <c r="AH19" s="7">
        <f t="shared" si="7"/>
        <v>1</v>
      </c>
      <c r="AI19" s="12">
        <f t="shared" si="22"/>
        <v>1</v>
      </c>
      <c r="AJ19" s="12">
        <f t="shared" si="8"/>
        <v>2</v>
      </c>
      <c r="AK19" s="12">
        <f t="shared" si="23"/>
        <v>0</v>
      </c>
      <c r="AL19" s="12">
        <f t="shared" si="24"/>
        <v>2</v>
      </c>
      <c r="AM19" s="12">
        <f t="shared" si="25"/>
        <v>2828.4732889905426</v>
      </c>
      <c r="AN19" s="12" t="str">
        <f t="shared" si="26"/>
        <v>Same</v>
      </c>
    </row>
    <row r="20" spans="1:40" x14ac:dyDescent="0.25">
      <c r="A20" s="10" t="str">
        <f>'1.2 Sorting'!L20</f>
        <v>Spare 13</v>
      </c>
      <c r="B20" s="10" cm="1">
        <f t="array" ref="B20">IF($A20="",0,INDEX(' 1.0 Asset Data'!$B$8:$B$80,MATCH($A20,' 1.0 Asset Data'!$A$8:$A$80,0),0))</f>
        <v>3</v>
      </c>
      <c r="C20" s="10" cm="1">
        <f t="array" ref="C20">IF($A20="",0,INDEX(' 1.0 Asset Data'!$C$8:$C$80,MATCH($A20,' 1.0 Asset Data'!$A$8:$A$80,0),0))</f>
        <v>1</v>
      </c>
      <c r="D20" s="50" cm="1">
        <f t="array" ref="D20">IF($A20="",0,INDEX(' 1.0 Asset Data'!$E$8:$E$80,MATCH($A20,' 1.0 Asset Data'!$A$8:$A$80,0),0))</f>
        <v>0.16666666666666666</v>
      </c>
      <c r="E20" s="10" cm="1">
        <f t="array" ref="E20">IF($A20="",0,INDEX(' 1.0 Asset Data'!$I$8:$I$80,MATCH($A20,' 1.0 Asset Data'!$A$8:$A$80,0),0))</f>
        <v>48</v>
      </c>
      <c r="F20" s="31" cm="1">
        <f t="array" ref="F20">IF($A20="",0,INDEX(' 1.0 Asset Data'!$F$8:$F$80,MATCH($A20,' 1.0 Asset Data'!$A$8:$A$80,0),0))</f>
        <v>58343.095895019447</v>
      </c>
      <c r="G20" s="31" cm="1">
        <f t="array" ref="G20">IF($A20="",0,INDEX(' 1.0 Asset Data'!$G$8:$G$80,MATCH($A20,' 1.0 Asset Data'!$A$8:$A$80,0),0))</f>
        <v>0</v>
      </c>
      <c r="H20" s="51" t="str" cm="1">
        <f t="array" ref="H20">IFERROR(INDEX(' 1.0 Asset Data'!J$8:J$90,MATCH($A20,' 1.0 Asset Data'!$A$8:$A$90,0),0),"")</f>
        <v>Asset offline for lead time duration</v>
      </c>
      <c r="I20" s="51" cm="1">
        <f t="array" ref="I20">_xlfn.IFNA(INDEX(' 1.0 Asset Data'!$K$8:$K$75,MATCH($A20,' 1.0 Asset Data'!$A$8:$A$75,0),0),0)</f>
        <v>22770048</v>
      </c>
      <c r="K20" s="49">
        <f t="shared" si="9"/>
        <v>0.15384615384615385</v>
      </c>
      <c r="L20" s="7">
        <f t="shared" si="0"/>
        <v>1</v>
      </c>
      <c r="M20" s="12">
        <f t="shared" si="10"/>
        <v>1</v>
      </c>
      <c r="N20" s="12">
        <f t="shared" si="1"/>
        <v>2</v>
      </c>
      <c r="O20" s="12">
        <f t="shared" si="11"/>
        <v>1</v>
      </c>
      <c r="P20" s="12">
        <f t="shared" si="2"/>
        <v>1</v>
      </c>
      <c r="R20" s="12">
        <f t="shared" si="12"/>
        <v>58343.095895019447</v>
      </c>
      <c r="S20" s="12">
        <f t="shared" si="3"/>
        <v>0.60000000000000009</v>
      </c>
      <c r="T20" s="12">
        <f t="shared" si="4"/>
        <v>21984705.166985188</v>
      </c>
      <c r="U20" s="19">
        <f t="shared" si="13"/>
        <v>58343.095895019447</v>
      </c>
      <c r="V20" s="19" t="str">
        <f t="shared" si="14"/>
        <v>-</v>
      </c>
      <c r="X20" s="49">
        <f t="shared" si="15"/>
        <v>0.23076923076923078</v>
      </c>
      <c r="Y20" s="7">
        <f t="shared" si="5"/>
        <v>1</v>
      </c>
      <c r="Z20" s="12">
        <f t="shared" si="16"/>
        <v>1</v>
      </c>
      <c r="AA20" s="12">
        <f t="shared" si="6"/>
        <v>2</v>
      </c>
      <c r="AB20" s="12">
        <f t="shared" si="17"/>
        <v>1</v>
      </c>
      <c r="AC20" s="12">
        <f t="shared" si="18"/>
        <v>1</v>
      </c>
      <c r="AD20" s="12">
        <f t="shared" si="19"/>
        <v>58343.095895019447</v>
      </c>
      <c r="AE20" s="12" t="str">
        <f t="shared" si="20"/>
        <v>Same</v>
      </c>
      <c r="AG20" s="49">
        <f t="shared" si="21"/>
        <v>0.30769230769230771</v>
      </c>
      <c r="AH20" s="7">
        <f t="shared" si="7"/>
        <v>1</v>
      </c>
      <c r="AI20" s="12">
        <f t="shared" si="22"/>
        <v>1</v>
      </c>
      <c r="AJ20" s="12">
        <f t="shared" si="8"/>
        <v>2</v>
      </c>
      <c r="AK20" s="12">
        <f t="shared" si="23"/>
        <v>1</v>
      </c>
      <c r="AL20" s="12">
        <f t="shared" si="24"/>
        <v>1</v>
      </c>
      <c r="AM20" s="12">
        <f t="shared" si="25"/>
        <v>58343.095895019447</v>
      </c>
      <c r="AN20" s="12" t="str">
        <f t="shared" si="26"/>
        <v>Same</v>
      </c>
    </row>
    <row r="21" spans="1:40" x14ac:dyDescent="0.25">
      <c r="A21" s="10" t="str">
        <f>'1.2 Sorting'!L21</f>
        <v>Spare 14</v>
      </c>
      <c r="B21" s="10" cm="1">
        <f t="array" ref="B21">IF($A21="",0,INDEX(' 1.0 Asset Data'!$B$8:$B$80,MATCH($A21,' 1.0 Asset Data'!$A$8:$A$80,0),0))</f>
        <v>6</v>
      </c>
      <c r="C21" s="10" cm="1">
        <f t="array" ref="C21">IF($A21="",0,INDEX(' 1.0 Asset Data'!$C$8:$C$80,MATCH($A21,' 1.0 Asset Data'!$A$8:$A$80,0),0))</f>
        <v>0</v>
      </c>
      <c r="D21" s="50" cm="1">
        <f t="array" ref="D21">IF($A21="",0,INDEX(' 1.0 Asset Data'!$E$8:$E$80,MATCH($A21,' 1.0 Asset Data'!$A$8:$A$80,0),0))</f>
        <v>0.33333333333333331</v>
      </c>
      <c r="E21" s="10" cm="1">
        <f t="array" ref="E21">IF($A21="",0,INDEX(' 1.0 Asset Data'!$I$8:$I$80,MATCH($A21,' 1.0 Asset Data'!$A$8:$A$80,0),0))</f>
        <v>104</v>
      </c>
      <c r="F21" s="31" cm="1">
        <f t="array" ref="F21">IF($A21="",0,INDEX(' 1.0 Asset Data'!$F$8:$F$80,MATCH($A21,' 1.0 Asset Data'!$A$8:$A$80,0),0))</f>
        <v>58343.095895019447</v>
      </c>
      <c r="G21" s="31" cm="1">
        <f t="array" ref="G21">IF($A21="",0,INDEX(' 1.0 Asset Data'!$G$8:$G$80,MATCH($A21,' 1.0 Asset Data'!$A$8:$A$80,0),0))</f>
        <v>0</v>
      </c>
      <c r="H21" s="51" t="str" cm="1">
        <f t="array" ref="H21">IFERROR(INDEX(' 1.0 Asset Data'!J$8:J$90,MATCH($A21,' 1.0 Asset Data'!$A$8:$A$90,0),0),"")</f>
        <v>Asset offline for lead time duration</v>
      </c>
      <c r="I21" s="51" cm="1">
        <f t="array" ref="I21">_xlfn.IFNA(INDEX(' 1.0 Asset Data'!$K$8:$K$75,MATCH($A21,' 1.0 Asset Data'!$A$8:$A$75,0),0),0)</f>
        <v>49335104</v>
      </c>
      <c r="K21" s="49">
        <f t="shared" si="9"/>
        <v>0.66666666666666663</v>
      </c>
      <c r="L21" s="7">
        <f t="shared" si="0"/>
        <v>1</v>
      </c>
      <c r="M21" s="12">
        <f t="shared" si="10"/>
        <v>1</v>
      </c>
      <c r="N21" s="12">
        <f t="shared" si="1"/>
        <v>2</v>
      </c>
      <c r="O21" s="12">
        <f t="shared" si="11"/>
        <v>0</v>
      </c>
      <c r="P21" s="12">
        <f t="shared" si="2"/>
        <v>2</v>
      </c>
      <c r="R21" s="12">
        <f t="shared" si="12"/>
        <v>116686.19179003889</v>
      </c>
      <c r="S21" s="12">
        <f t="shared" si="3"/>
        <v>0.30000000000000004</v>
      </c>
      <c r="T21" s="12">
        <f t="shared" si="4"/>
        <v>48476850.670694992</v>
      </c>
      <c r="U21" s="19">
        <f t="shared" si="13"/>
        <v>116686.19179003889</v>
      </c>
      <c r="V21" s="19" t="str">
        <f t="shared" si="14"/>
        <v>-</v>
      </c>
      <c r="X21" s="49">
        <f t="shared" si="15"/>
        <v>1</v>
      </c>
      <c r="Y21" s="7">
        <f t="shared" si="5"/>
        <v>1</v>
      </c>
      <c r="Z21" s="12">
        <f t="shared" si="16"/>
        <v>1</v>
      </c>
      <c r="AA21" s="12">
        <f t="shared" si="6"/>
        <v>2</v>
      </c>
      <c r="AB21" s="12">
        <f t="shared" si="17"/>
        <v>0</v>
      </c>
      <c r="AC21" s="12">
        <f t="shared" si="18"/>
        <v>2</v>
      </c>
      <c r="AD21" s="12">
        <f t="shared" si="19"/>
        <v>116686.19179003889</v>
      </c>
      <c r="AE21" s="12" t="str">
        <f t="shared" si="20"/>
        <v>Same</v>
      </c>
      <c r="AG21" s="49">
        <f t="shared" si="21"/>
        <v>1.3333333333333333</v>
      </c>
      <c r="AH21" s="7">
        <f t="shared" si="7"/>
        <v>1</v>
      </c>
      <c r="AI21" s="12">
        <f t="shared" si="22"/>
        <v>2</v>
      </c>
      <c r="AJ21" s="12">
        <f t="shared" si="8"/>
        <v>3</v>
      </c>
      <c r="AK21" s="12">
        <f t="shared" si="23"/>
        <v>0</v>
      </c>
      <c r="AL21" s="12">
        <f t="shared" si="24"/>
        <v>3</v>
      </c>
      <c r="AM21" s="12">
        <f t="shared" si="25"/>
        <v>175029.28768505834</v>
      </c>
      <c r="AN21" s="12" t="str">
        <f t="shared" si="26"/>
        <v>Changes</v>
      </c>
    </row>
    <row r="22" spans="1:40" x14ac:dyDescent="0.25">
      <c r="A22" s="10" t="str">
        <f>'1.2 Sorting'!L22</f>
        <v>Spare 15</v>
      </c>
      <c r="B22" s="10" cm="1">
        <f t="array" ref="B22">IF($A22="",0,INDEX(' 1.0 Asset Data'!$B$8:$B$80,MATCH($A22,' 1.0 Asset Data'!$A$8:$A$80,0),0))</f>
        <v>3</v>
      </c>
      <c r="C22" s="10" cm="1">
        <f t="array" ref="C22">IF($A22="",0,INDEX(' 1.0 Asset Data'!$C$8:$C$80,MATCH($A22,' 1.0 Asset Data'!$A$8:$A$80,0),0))</f>
        <v>1</v>
      </c>
      <c r="D22" s="50" cm="1">
        <f t="array" ref="D22">IF($A22="",0,INDEX(' 1.0 Asset Data'!$E$8:$E$80,MATCH($A22,' 1.0 Asset Data'!$A$8:$A$80,0),0))</f>
        <v>0.16666666666666666</v>
      </c>
      <c r="E22" s="10" cm="1">
        <f t="array" ref="E22">IF($A22="",0,INDEX(' 1.0 Asset Data'!$I$8:$I$80,MATCH($A22,' 1.0 Asset Data'!$A$8:$A$80,0),0))</f>
        <v>104</v>
      </c>
      <c r="F22" s="31" cm="1">
        <f t="array" ref="F22">IF($A22="",0,INDEX(' 1.0 Asset Data'!$F$8:$F$80,MATCH($A22,' 1.0 Asset Data'!$A$8:$A$80,0),0))</f>
        <v>58343.095895019447</v>
      </c>
      <c r="G22" s="31" cm="1">
        <f t="array" ref="G22">IF($A22="",0,INDEX(' 1.0 Asset Data'!$G$8:$G$80,MATCH($A22,' 1.0 Asset Data'!$A$8:$A$80,0),0))</f>
        <v>0</v>
      </c>
      <c r="H22" s="51" t="str" cm="1">
        <f t="array" ref="H22">IFERROR(INDEX(' 1.0 Asset Data'!J$8:J$90,MATCH($A22,' 1.0 Asset Data'!$A$8:$A$90,0),0),"")</f>
        <v>Asset offline for lead time duration</v>
      </c>
      <c r="I22" s="51" cm="1">
        <f t="array" ref="I22">_xlfn.IFNA(INDEX(' 1.0 Asset Data'!$K$8:$K$75,MATCH($A22,' 1.0 Asset Data'!$A$8:$A$75,0),0),0)</f>
        <v>49335104</v>
      </c>
      <c r="K22" s="49">
        <f t="shared" si="9"/>
        <v>0.33333333333333331</v>
      </c>
      <c r="L22" s="7">
        <f t="shared" si="0"/>
        <v>1</v>
      </c>
      <c r="M22" s="12">
        <f t="shared" si="10"/>
        <v>1</v>
      </c>
      <c r="N22" s="12">
        <f t="shared" si="1"/>
        <v>2</v>
      </c>
      <c r="O22" s="12">
        <f t="shared" si="11"/>
        <v>1</v>
      </c>
      <c r="P22" s="12">
        <f t="shared" si="2"/>
        <v>1</v>
      </c>
      <c r="R22" s="12">
        <f t="shared" si="12"/>
        <v>58343.095895019447</v>
      </c>
      <c r="S22" s="12">
        <f t="shared" si="3"/>
        <v>0.60000000000000009</v>
      </c>
      <c r="T22" s="12">
        <f t="shared" si="4"/>
        <v>47633527.861801237</v>
      </c>
      <c r="U22" s="19">
        <f t="shared" si="13"/>
        <v>58343.095895019447</v>
      </c>
      <c r="V22" s="19" t="str">
        <f t="shared" si="14"/>
        <v>-</v>
      </c>
      <c r="X22" s="49">
        <f t="shared" si="15"/>
        <v>0.5</v>
      </c>
      <c r="Y22" s="7">
        <f t="shared" si="5"/>
        <v>1</v>
      </c>
      <c r="Z22" s="12">
        <f t="shared" si="16"/>
        <v>1</v>
      </c>
      <c r="AA22" s="12">
        <f t="shared" si="6"/>
        <v>2</v>
      </c>
      <c r="AB22" s="12">
        <f t="shared" si="17"/>
        <v>1</v>
      </c>
      <c r="AC22" s="12">
        <f t="shared" si="18"/>
        <v>1</v>
      </c>
      <c r="AD22" s="12">
        <f t="shared" si="19"/>
        <v>58343.095895019447</v>
      </c>
      <c r="AE22" s="12" t="str">
        <f t="shared" si="20"/>
        <v>Same</v>
      </c>
      <c r="AG22" s="49">
        <f t="shared" si="21"/>
        <v>0.66666666666666663</v>
      </c>
      <c r="AH22" s="7">
        <f t="shared" si="7"/>
        <v>1</v>
      </c>
      <c r="AI22" s="12">
        <f t="shared" si="22"/>
        <v>1</v>
      </c>
      <c r="AJ22" s="12">
        <f t="shared" si="8"/>
        <v>2</v>
      </c>
      <c r="AK22" s="12">
        <f t="shared" si="23"/>
        <v>1</v>
      </c>
      <c r="AL22" s="12">
        <f t="shared" si="24"/>
        <v>1</v>
      </c>
      <c r="AM22" s="12">
        <f t="shared" si="25"/>
        <v>58343.095895019447</v>
      </c>
      <c r="AN22" s="12" t="str">
        <f t="shared" si="26"/>
        <v>Same</v>
      </c>
    </row>
    <row r="23" spans="1:40" x14ac:dyDescent="0.25">
      <c r="A23" s="10" t="str">
        <f>'1.2 Sorting'!L23</f>
        <v>Spare 16</v>
      </c>
      <c r="B23" s="10" cm="1">
        <f t="array" ref="B23">IF($A23="",0,INDEX(' 1.0 Asset Data'!$B$8:$B$80,MATCH($A23,' 1.0 Asset Data'!$A$8:$A$80,0),0))</f>
        <v>6</v>
      </c>
      <c r="C23" s="10" cm="1">
        <f t="array" ref="C23">IF($A23="",0,INDEX(' 1.0 Asset Data'!$C$8:$C$80,MATCH($A23,' 1.0 Asset Data'!$A$8:$A$80,0),0))</f>
        <v>0</v>
      </c>
      <c r="D23" s="50" cm="1">
        <f t="array" ref="D23">IF($A23="",0,INDEX(' 1.0 Asset Data'!$E$8:$E$80,MATCH($A23,' 1.0 Asset Data'!$A$8:$A$80,0),0))</f>
        <v>0.33333333333333331</v>
      </c>
      <c r="E23" s="10" cm="1">
        <f t="array" ref="E23">IF($A23="",0,INDEX(' 1.0 Asset Data'!$I$8:$I$80,MATCH($A23,' 1.0 Asset Data'!$A$8:$A$80,0),0))</f>
        <v>104</v>
      </c>
      <c r="F23" s="31" cm="1">
        <f t="array" ref="F23">IF($A23="",0,INDEX(' 1.0 Asset Data'!$F$8:$F$80,MATCH($A23,' 1.0 Asset Data'!$A$8:$A$80,0),0))</f>
        <v>58343.095895019447</v>
      </c>
      <c r="G23" s="31" cm="1">
        <f t="array" ref="G23">IF($A23="",0,INDEX(' 1.0 Asset Data'!$G$8:$G$80,MATCH($A23,' 1.0 Asset Data'!$A$8:$A$80,0),0))</f>
        <v>0</v>
      </c>
      <c r="H23" s="51" t="str" cm="1">
        <f t="array" ref="H23">IFERROR(INDEX(' 1.0 Asset Data'!J$8:J$90,MATCH($A23,' 1.0 Asset Data'!$A$8:$A$90,0),0),"")</f>
        <v>Asset offline for lead time duration</v>
      </c>
      <c r="I23" s="51" cm="1">
        <f t="array" ref="I23">_xlfn.IFNA(INDEX(' 1.0 Asset Data'!$K$8:$K$75,MATCH($A23,' 1.0 Asset Data'!$A$8:$A$75,0),0),0)</f>
        <v>49335104</v>
      </c>
      <c r="K23" s="49">
        <f t="shared" si="9"/>
        <v>0.66666666666666663</v>
      </c>
      <c r="L23" s="7">
        <f t="shared" si="0"/>
        <v>1</v>
      </c>
      <c r="M23" s="12">
        <f t="shared" si="10"/>
        <v>1</v>
      </c>
      <c r="N23" s="12">
        <f t="shared" si="1"/>
        <v>2</v>
      </c>
      <c r="O23" s="12">
        <f t="shared" si="11"/>
        <v>0</v>
      </c>
      <c r="P23" s="12">
        <f t="shared" si="2"/>
        <v>2</v>
      </c>
      <c r="R23" s="12">
        <f t="shared" si="12"/>
        <v>116686.19179003889</v>
      </c>
      <c r="S23" s="12">
        <f t="shared" si="3"/>
        <v>0.30000000000000004</v>
      </c>
      <c r="T23" s="12">
        <f t="shared" si="4"/>
        <v>48476850.670694992</v>
      </c>
      <c r="U23" s="19">
        <f t="shared" si="13"/>
        <v>116686.19179003889</v>
      </c>
      <c r="V23" s="19" t="str">
        <f t="shared" si="14"/>
        <v>-</v>
      </c>
      <c r="X23" s="49">
        <f t="shared" si="15"/>
        <v>1</v>
      </c>
      <c r="Y23" s="7">
        <f t="shared" si="5"/>
        <v>1</v>
      </c>
      <c r="Z23" s="12">
        <f t="shared" si="16"/>
        <v>1</v>
      </c>
      <c r="AA23" s="12">
        <f t="shared" si="6"/>
        <v>2</v>
      </c>
      <c r="AB23" s="12">
        <f t="shared" si="17"/>
        <v>0</v>
      </c>
      <c r="AC23" s="12">
        <f t="shared" si="18"/>
        <v>2</v>
      </c>
      <c r="AD23" s="12">
        <f t="shared" si="19"/>
        <v>116686.19179003889</v>
      </c>
      <c r="AE23" s="12" t="str">
        <f t="shared" si="20"/>
        <v>Same</v>
      </c>
      <c r="AG23" s="49">
        <f t="shared" si="21"/>
        <v>1.3333333333333333</v>
      </c>
      <c r="AH23" s="7">
        <f t="shared" si="7"/>
        <v>1</v>
      </c>
      <c r="AI23" s="12">
        <f t="shared" si="22"/>
        <v>2</v>
      </c>
      <c r="AJ23" s="12">
        <f t="shared" si="8"/>
        <v>3</v>
      </c>
      <c r="AK23" s="12">
        <f t="shared" si="23"/>
        <v>0</v>
      </c>
      <c r="AL23" s="12">
        <f t="shared" si="24"/>
        <v>3</v>
      </c>
      <c r="AM23" s="12">
        <f t="shared" si="25"/>
        <v>175029.28768505834</v>
      </c>
      <c r="AN23" s="12" t="str">
        <f t="shared" si="26"/>
        <v>Changes</v>
      </c>
    </row>
    <row r="24" spans="1:40" x14ac:dyDescent="0.25">
      <c r="A24" s="10" t="str">
        <f>'1.2 Sorting'!L24</f>
        <v>Spare 17</v>
      </c>
      <c r="B24" s="10" cm="1">
        <f t="array" ref="B24">IF($A24="",0,INDEX(' 1.0 Asset Data'!$B$8:$B$80,MATCH($A24,' 1.0 Asset Data'!$A$8:$A$80,0),0))</f>
        <v>24</v>
      </c>
      <c r="C24" s="10" cm="1">
        <f t="array" ref="C24">IF($A24="",0,INDEX(' 1.0 Asset Data'!$C$8:$C$80,MATCH($A24,' 1.0 Asset Data'!$A$8:$A$80,0),0))</f>
        <v>5</v>
      </c>
      <c r="D24" s="50" cm="1">
        <f t="array" ref="D24">IF($A24="",0,INDEX(' 1.0 Asset Data'!$E$8:$E$80,MATCH($A24,' 1.0 Asset Data'!$A$8:$A$80,0),0))</f>
        <v>5.6764800000000011E-2</v>
      </c>
      <c r="E24" s="10" cm="1">
        <f t="array" ref="E24">IF($A24="",0,INDEX(' 1.0 Asset Data'!$I$8:$I$80,MATCH($A24,' 1.0 Asset Data'!$A$8:$A$80,0),0))</f>
        <v>40</v>
      </c>
      <c r="F24" s="31" cm="1">
        <f t="array" ref="F24">IF($A24="",0,INDEX(' 1.0 Asset Data'!$F$8:$F$80,MATCH($A24,' 1.0 Asset Data'!$A$8:$A$80,0),0))</f>
        <v>10976.016619014934</v>
      </c>
      <c r="G24" s="31" cm="1">
        <f t="array" ref="G24">IF($A24="",0,INDEX(' 1.0 Asset Data'!$G$8:$G$80,MATCH($A24,' 1.0 Asset Data'!$A$8:$A$80,0),0))</f>
        <v>0</v>
      </c>
      <c r="H24" s="51" t="str" cm="1">
        <f t="array" ref="H24">IFERROR(INDEX(' 1.0 Asset Data'!J$8:J$90,MATCH($A24,' 1.0 Asset Data'!$A$8:$A$90,0),0),"")</f>
        <v>Asset offline for lead time duration</v>
      </c>
      <c r="I24" s="51" cm="1">
        <f t="array" ref="I24">_xlfn.IFNA(INDEX(' 1.0 Asset Data'!$K$8:$K$75,MATCH($A24,' 1.0 Asset Data'!$A$8:$A$75,0),0),0)</f>
        <v>18975040</v>
      </c>
      <c r="K24" s="49">
        <f t="shared" si="9"/>
        <v>4.3665230769230776E-2</v>
      </c>
      <c r="L24" s="7">
        <f t="shared" si="0"/>
        <v>1</v>
      </c>
      <c r="M24" s="12">
        <f t="shared" si="10"/>
        <v>1</v>
      </c>
      <c r="N24" s="12">
        <f t="shared" si="1"/>
        <v>2</v>
      </c>
      <c r="O24" s="12">
        <f t="shared" si="11"/>
        <v>5</v>
      </c>
      <c r="P24" s="12">
        <f t="shared" si="2"/>
        <v>0</v>
      </c>
      <c r="R24" s="12">
        <f t="shared" si="12"/>
        <v>0</v>
      </c>
      <c r="S24" s="12">
        <f t="shared" si="3"/>
        <v>1.7616551102091433</v>
      </c>
      <c r="T24" s="12">
        <f t="shared" si="4"/>
        <v>17116973.175457947</v>
      </c>
      <c r="U24" s="19">
        <f t="shared" si="13"/>
        <v>0</v>
      </c>
      <c r="V24" s="19" t="str">
        <f t="shared" si="14"/>
        <v>Spare 17</v>
      </c>
      <c r="X24" s="49">
        <f t="shared" si="15"/>
        <v>6.549784615384617E-2</v>
      </c>
      <c r="Y24" s="7">
        <f t="shared" si="5"/>
        <v>1</v>
      </c>
      <c r="Z24" s="12">
        <f t="shared" si="16"/>
        <v>1</v>
      </c>
      <c r="AA24" s="12">
        <f t="shared" si="6"/>
        <v>2</v>
      </c>
      <c r="AB24" s="12">
        <f t="shared" si="17"/>
        <v>5</v>
      </c>
      <c r="AC24" s="12">
        <f t="shared" si="18"/>
        <v>0</v>
      </c>
      <c r="AD24" s="12">
        <f t="shared" si="19"/>
        <v>0</v>
      </c>
      <c r="AE24" s="12" t="str">
        <f t="shared" si="20"/>
        <v>Same</v>
      </c>
      <c r="AG24" s="49">
        <f t="shared" si="21"/>
        <v>8.7330461538461551E-2</v>
      </c>
      <c r="AH24" s="7">
        <f t="shared" si="7"/>
        <v>1</v>
      </c>
      <c r="AI24" s="12">
        <f t="shared" si="22"/>
        <v>1</v>
      </c>
      <c r="AJ24" s="12">
        <f t="shared" si="8"/>
        <v>2</v>
      </c>
      <c r="AK24" s="12">
        <f t="shared" si="23"/>
        <v>5</v>
      </c>
      <c r="AL24" s="12">
        <f t="shared" si="24"/>
        <v>0</v>
      </c>
      <c r="AM24" s="12">
        <f t="shared" si="25"/>
        <v>0</v>
      </c>
      <c r="AN24" s="12" t="str">
        <f t="shared" si="26"/>
        <v>Same</v>
      </c>
    </row>
    <row r="25" spans="1:40" x14ac:dyDescent="0.25">
      <c r="A25" s="10" t="str">
        <f>'1.2 Sorting'!L25</f>
        <v>Spare 18</v>
      </c>
      <c r="B25" s="10" cm="1">
        <f t="array" ref="B25">IF($A25="",0,INDEX(' 1.0 Asset Data'!$B$8:$B$80,MATCH($A25,' 1.0 Asset Data'!$A$8:$A$80,0),0))</f>
        <v>30</v>
      </c>
      <c r="C25" s="10" cm="1">
        <f t="array" ref="C25">IF($A25="",0,INDEX(' 1.0 Asset Data'!$C$8:$C$80,MATCH($A25,' 1.0 Asset Data'!$A$8:$A$80,0),0))</f>
        <v>0</v>
      </c>
      <c r="D25" s="50" cm="1">
        <f t="array" ref="D25">IF($A25="",0,INDEX(' 1.0 Asset Data'!$E$8:$E$80,MATCH($A25,' 1.0 Asset Data'!$A$8:$A$80,0),0))</f>
        <v>8.8694999999999996E-2</v>
      </c>
      <c r="E25" s="10" cm="1">
        <f t="array" ref="E25">IF($A25="",0,INDEX(' 1.0 Asset Data'!$I$8:$I$80,MATCH($A25,' 1.0 Asset Data'!$A$8:$A$80,0),0))</f>
        <v>40</v>
      </c>
      <c r="F25" s="31" cm="1">
        <f t="array" ref="F25">IF($A25="",0,INDEX(' 1.0 Asset Data'!$F$8:$F$80,MATCH($A25,' 1.0 Asset Data'!$A$8:$A$80,0),0))</f>
        <v>12104.045372287597</v>
      </c>
      <c r="G25" s="31" cm="1">
        <f t="array" ref="G25">IF($A25="",0,INDEX(' 1.0 Asset Data'!$G$8:$G$80,MATCH($A25,' 1.0 Asset Data'!$A$8:$A$80,0),0))</f>
        <v>0</v>
      </c>
      <c r="H25" s="51" t="str" cm="1">
        <f t="array" ref="H25">IFERROR(INDEX(' 1.0 Asset Data'!J$8:J$90,MATCH($A25,' 1.0 Asset Data'!$A$8:$A$90,0),0),"")</f>
        <v>Asset offline for lead time duration</v>
      </c>
      <c r="I25" s="51" cm="1">
        <f t="array" ref="I25">_xlfn.IFNA(INDEX(' 1.0 Asset Data'!$K$8:$K$75,MATCH($A25,' 1.0 Asset Data'!$A$8:$A$75,0),0),0)</f>
        <v>18975040</v>
      </c>
      <c r="K25" s="49">
        <f t="shared" si="9"/>
        <v>6.8226923076923074E-2</v>
      </c>
      <c r="L25" s="7">
        <f t="shared" si="0"/>
        <v>2</v>
      </c>
      <c r="M25" s="12">
        <f t="shared" si="10"/>
        <v>1</v>
      </c>
      <c r="N25" s="12">
        <f t="shared" si="1"/>
        <v>3</v>
      </c>
      <c r="O25" s="12">
        <f t="shared" si="11"/>
        <v>0</v>
      </c>
      <c r="P25" s="12">
        <f t="shared" si="2"/>
        <v>3</v>
      </c>
      <c r="R25" s="12">
        <f t="shared" si="12"/>
        <v>36312.136116862792</v>
      </c>
      <c r="S25" s="12">
        <f t="shared" si="3"/>
        <v>1.127459270533852</v>
      </c>
      <c r="T25" s="12">
        <f t="shared" si="4"/>
        <v>17763929.171121333</v>
      </c>
      <c r="U25" s="19">
        <f t="shared" si="13"/>
        <v>36312.136116862792</v>
      </c>
      <c r="V25" s="19" t="str">
        <f t="shared" si="14"/>
        <v>-</v>
      </c>
      <c r="X25" s="49">
        <f t="shared" si="15"/>
        <v>0.10234038461538462</v>
      </c>
      <c r="Y25" s="7">
        <f t="shared" si="5"/>
        <v>2</v>
      </c>
      <c r="Z25" s="12">
        <f t="shared" si="16"/>
        <v>1</v>
      </c>
      <c r="AA25" s="12">
        <f t="shared" si="6"/>
        <v>3</v>
      </c>
      <c r="AB25" s="12">
        <f t="shared" si="17"/>
        <v>0</v>
      </c>
      <c r="AC25" s="12">
        <f t="shared" si="18"/>
        <v>3</v>
      </c>
      <c r="AD25" s="12">
        <f t="shared" si="19"/>
        <v>36312.136116862792</v>
      </c>
      <c r="AE25" s="12" t="str">
        <f t="shared" si="20"/>
        <v>Same</v>
      </c>
      <c r="AG25" s="49">
        <f t="shared" si="21"/>
        <v>0.13645384615384615</v>
      </c>
      <c r="AH25" s="7">
        <f t="shared" si="7"/>
        <v>2</v>
      </c>
      <c r="AI25" s="12">
        <f t="shared" si="22"/>
        <v>1</v>
      </c>
      <c r="AJ25" s="12">
        <f t="shared" si="8"/>
        <v>3</v>
      </c>
      <c r="AK25" s="12">
        <f t="shared" si="23"/>
        <v>0</v>
      </c>
      <c r="AL25" s="12">
        <f t="shared" si="24"/>
        <v>3</v>
      </c>
      <c r="AM25" s="12">
        <f t="shared" si="25"/>
        <v>36312.136116862792</v>
      </c>
      <c r="AN25" s="12" t="str">
        <f t="shared" si="26"/>
        <v>Same</v>
      </c>
    </row>
    <row r="26" spans="1:40" x14ac:dyDescent="0.25">
      <c r="A26" s="10" t="str">
        <f>'1.2 Sorting'!L26</f>
        <v>Spare 21</v>
      </c>
      <c r="B26" s="10" cm="1">
        <f t="array" ref="B26">IF($A26="",0,INDEX(' 1.0 Asset Data'!$B$8:$B$80,MATCH($A26,' 1.0 Asset Data'!$A$8:$A$80,0),0))</f>
        <v>3</v>
      </c>
      <c r="C26" s="10" cm="1">
        <f t="array" ref="C26">IF($A26="",0,INDEX(' 1.0 Asset Data'!$C$8:$C$80,MATCH($A26,' 1.0 Asset Data'!$A$8:$A$80,0),0))</f>
        <v>1</v>
      </c>
      <c r="D26" s="50" cm="1">
        <f t="array" ref="D26">IF($A26="",0,INDEX(' 1.0 Asset Data'!$E$8:$E$80,MATCH($A26,' 1.0 Asset Data'!$A$8:$A$80,0),0))</f>
        <v>6.2809200000000002E-4</v>
      </c>
      <c r="E26" s="10" cm="1">
        <f t="array" ref="E26">IF($A26="",0,INDEX(' 1.0 Asset Data'!$I$8:$I$80,MATCH($A26,' 1.0 Asset Data'!$A$8:$A$80,0),0))</f>
        <v>100</v>
      </c>
      <c r="F26" s="31" cm="1">
        <f t="array" ref="F26">IF($A26="",0,INDEX(' 1.0 Asset Data'!$F$8:$F$80,MATCH($A26,' 1.0 Asset Data'!$A$8:$A$80,0),0))</f>
        <v>9807.2410475691886</v>
      </c>
      <c r="G26" s="31" cm="1">
        <f t="array" ref="G26">IF($A26="",0,INDEX(' 1.0 Asset Data'!$G$8:$G$80,MATCH($A26,' 1.0 Asset Data'!$A$8:$A$80,0),0))</f>
        <v>0</v>
      </c>
      <c r="H26" s="51" t="str" cm="1">
        <f t="array" ref="H26">IFERROR(INDEX(' 1.0 Asset Data'!J$8:J$90,MATCH($A26,' 1.0 Asset Data'!$A$8:$A$90,0),0),"")</f>
        <v>Asset offline for lead time duration</v>
      </c>
      <c r="I26" s="51" cm="1">
        <f t="array" ref="I26">_xlfn.IFNA(INDEX(' 1.0 Asset Data'!$K$8:$K$75,MATCH($A26,' 1.0 Asset Data'!$A$8:$A$75,0),0),0)</f>
        <v>47437600</v>
      </c>
      <c r="K26" s="49">
        <f t="shared" si="9"/>
        <v>1.2078692307692306E-3</v>
      </c>
      <c r="L26" s="7">
        <f t="shared" si="0"/>
        <v>1</v>
      </c>
      <c r="M26" s="12">
        <f t="shared" si="10"/>
        <v>1</v>
      </c>
      <c r="N26" s="12">
        <f t="shared" si="1"/>
        <v>2</v>
      </c>
      <c r="O26" s="12">
        <f t="shared" si="11"/>
        <v>1</v>
      </c>
      <c r="P26" s="12">
        <f t="shared" si="2"/>
        <v>1</v>
      </c>
      <c r="R26" s="12">
        <f t="shared" si="12"/>
        <v>9807.2410475691886</v>
      </c>
      <c r="S26" s="12">
        <f t="shared" si="3"/>
        <v>159.21234468835777</v>
      </c>
      <c r="T26" s="12">
        <f t="shared" si="4"/>
        <v>4278.1241766352787</v>
      </c>
      <c r="U26" s="19">
        <f t="shared" si="13"/>
        <v>0</v>
      </c>
      <c r="V26" s="19" t="str">
        <f t="shared" si="14"/>
        <v>Spare 21</v>
      </c>
      <c r="X26" s="49">
        <f t="shared" si="15"/>
        <v>1.8118038461538463E-3</v>
      </c>
      <c r="Y26" s="7">
        <f t="shared" si="5"/>
        <v>1</v>
      </c>
      <c r="Z26" s="12">
        <f t="shared" si="16"/>
        <v>1</v>
      </c>
      <c r="AA26" s="12">
        <f t="shared" si="6"/>
        <v>2</v>
      </c>
      <c r="AB26" s="12">
        <f t="shared" si="17"/>
        <v>1</v>
      </c>
      <c r="AC26" s="12">
        <f t="shared" si="18"/>
        <v>1</v>
      </c>
      <c r="AD26" s="12">
        <f t="shared" si="19"/>
        <v>9807.2410475691886</v>
      </c>
      <c r="AE26" s="12" t="str">
        <f t="shared" si="20"/>
        <v>Changes</v>
      </c>
      <c r="AG26" s="49">
        <f t="shared" si="21"/>
        <v>2.4157384615384613E-3</v>
      </c>
      <c r="AH26" s="7">
        <f t="shared" si="7"/>
        <v>1</v>
      </c>
      <c r="AI26" s="12">
        <f t="shared" si="22"/>
        <v>1</v>
      </c>
      <c r="AJ26" s="12">
        <f t="shared" si="8"/>
        <v>2</v>
      </c>
      <c r="AK26" s="12">
        <f t="shared" si="23"/>
        <v>1</v>
      </c>
      <c r="AL26" s="12">
        <f t="shared" si="24"/>
        <v>1</v>
      </c>
      <c r="AM26" s="12">
        <f t="shared" si="25"/>
        <v>9807.2410475691886</v>
      </c>
      <c r="AN26" s="12" t="str">
        <f t="shared" si="26"/>
        <v>Changes</v>
      </c>
    </row>
    <row r="27" spans="1:40" x14ac:dyDescent="0.25">
      <c r="A27" s="10" t="str">
        <f>'1.2 Sorting'!L27</f>
        <v>Spare 22</v>
      </c>
      <c r="B27" s="10" cm="1">
        <f t="array" ref="B27">IF($A27="",0,INDEX(' 1.0 Asset Data'!$B$8:$B$80,MATCH($A27,' 1.0 Asset Data'!$A$8:$A$80,0),0))</f>
        <v>3</v>
      </c>
      <c r="C27" s="10" cm="1">
        <f t="array" ref="C27">IF($A27="",0,INDEX(' 1.0 Asset Data'!$C$8:$C$80,MATCH($A27,' 1.0 Asset Data'!$A$8:$A$80,0),0))</f>
        <v>1</v>
      </c>
      <c r="D27" s="50" cm="1">
        <f t="array" ref="D27">IF($A27="",0,INDEX(' 1.0 Asset Data'!$E$8:$E$80,MATCH($A27,' 1.0 Asset Data'!$A$8:$A$80,0),0))</f>
        <v>6.2809200000000002E-4</v>
      </c>
      <c r="E27" s="10" cm="1">
        <f t="array" ref="E27">IF($A27="",0,INDEX(' 1.0 Asset Data'!$I$8:$I$80,MATCH($A27,' 1.0 Asset Data'!$A$8:$A$80,0),0))</f>
        <v>100</v>
      </c>
      <c r="F27" s="31" cm="1">
        <f t="array" ref="F27">IF($A27="",0,INDEX(' 1.0 Asset Data'!$F$8:$F$80,MATCH($A27,' 1.0 Asset Data'!$A$8:$A$80,0),0))</f>
        <v>9807.2410475691886</v>
      </c>
      <c r="G27" s="31" cm="1">
        <f t="array" ref="G27">IF($A27="",0,INDEX(' 1.0 Asset Data'!$G$8:$G$80,MATCH($A27,' 1.0 Asset Data'!$A$8:$A$80,0),0))</f>
        <v>0</v>
      </c>
      <c r="H27" s="51" t="str" cm="1">
        <f t="array" ref="H27">IFERROR(INDEX(' 1.0 Asset Data'!J$8:J$90,MATCH($A27,' 1.0 Asset Data'!$A$8:$A$90,0),0),"")</f>
        <v>Asset offline for lead time duration</v>
      </c>
      <c r="I27" s="51" cm="1">
        <f t="array" ref="I27">_xlfn.IFNA(INDEX(' 1.0 Asset Data'!$K$8:$K$75,MATCH($A27,' 1.0 Asset Data'!$A$8:$A$75,0),0),0)</f>
        <v>47437600</v>
      </c>
      <c r="K27" s="49">
        <f t="shared" si="9"/>
        <v>1.2078692307692306E-3</v>
      </c>
      <c r="L27" s="7">
        <f t="shared" si="0"/>
        <v>1</v>
      </c>
      <c r="M27" s="12">
        <f t="shared" si="10"/>
        <v>1</v>
      </c>
      <c r="N27" s="12">
        <f t="shared" si="1"/>
        <v>2</v>
      </c>
      <c r="O27" s="12">
        <f t="shared" si="11"/>
        <v>1</v>
      </c>
      <c r="P27" s="12">
        <f t="shared" si="2"/>
        <v>1</v>
      </c>
      <c r="R27" s="12">
        <f t="shared" si="12"/>
        <v>9807.2410475691886</v>
      </c>
      <c r="S27" s="12">
        <f t="shared" si="3"/>
        <v>159.21234468835777</v>
      </c>
      <c r="T27" s="12">
        <f t="shared" si="4"/>
        <v>4278.1241766352787</v>
      </c>
      <c r="U27" s="19">
        <f t="shared" si="13"/>
        <v>0</v>
      </c>
      <c r="V27" s="19" t="str">
        <f t="shared" si="14"/>
        <v>Spare 22</v>
      </c>
      <c r="X27" s="49">
        <f t="shared" si="15"/>
        <v>1.8118038461538463E-3</v>
      </c>
      <c r="Y27" s="7">
        <f t="shared" si="5"/>
        <v>1</v>
      </c>
      <c r="Z27" s="12">
        <f t="shared" si="16"/>
        <v>1</v>
      </c>
      <c r="AA27" s="12">
        <f t="shared" si="6"/>
        <v>2</v>
      </c>
      <c r="AB27" s="12">
        <f t="shared" si="17"/>
        <v>1</v>
      </c>
      <c r="AC27" s="12">
        <f t="shared" si="18"/>
        <v>1</v>
      </c>
      <c r="AD27" s="12">
        <f t="shared" si="19"/>
        <v>9807.2410475691886</v>
      </c>
      <c r="AE27" s="12" t="str">
        <f t="shared" si="20"/>
        <v>Changes</v>
      </c>
      <c r="AG27" s="49">
        <f t="shared" si="21"/>
        <v>2.4157384615384613E-3</v>
      </c>
      <c r="AH27" s="7">
        <f t="shared" si="7"/>
        <v>1</v>
      </c>
      <c r="AI27" s="12">
        <f t="shared" si="22"/>
        <v>1</v>
      </c>
      <c r="AJ27" s="12">
        <f t="shared" si="8"/>
        <v>2</v>
      </c>
      <c r="AK27" s="12">
        <f t="shared" si="23"/>
        <v>1</v>
      </c>
      <c r="AL27" s="12">
        <f t="shared" si="24"/>
        <v>1</v>
      </c>
      <c r="AM27" s="12">
        <f t="shared" si="25"/>
        <v>9807.2410475691886</v>
      </c>
      <c r="AN27" s="12" t="str">
        <f t="shared" si="26"/>
        <v>Changes</v>
      </c>
    </row>
    <row r="28" spans="1:40" x14ac:dyDescent="0.25">
      <c r="A28" s="10" t="str">
        <f>'1.2 Sorting'!L28</f>
        <v>Spare 23</v>
      </c>
      <c r="B28" s="10" cm="1">
        <f t="array" ref="B28">IF($A28="",0,INDEX(' 1.0 Asset Data'!$B$8:$B$80,MATCH($A28,' 1.0 Asset Data'!$A$8:$A$80,0),0))</f>
        <v>6</v>
      </c>
      <c r="C28" s="10" cm="1">
        <f t="array" ref="C28">IF($A28="",0,INDEX(' 1.0 Asset Data'!$C$8:$C$80,MATCH($A28,' 1.0 Asset Data'!$A$8:$A$80,0),0))</f>
        <v>1</v>
      </c>
      <c r="D28" s="50" cm="1">
        <f t="array" ref="D28">IF($A28="",0,INDEX(' 1.0 Asset Data'!$E$8:$E$80,MATCH($A28,' 1.0 Asset Data'!$A$8:$A$80,0),0))</f>
        <v>1.256184E-3</v>
      </c>
      <c r="E28" s="10" cm="1">
        <f t="array" ref="E28">IF($A28="",0,INDEX(' 1.0 Asset Data'!$I$8:$I$80,MATCH($A28,' 1.0 Asset Data'!$A$8:$A$80,0),0))</f>
        <v>100</v>
      </c>
      <c r="F28" s="31" cm="1">
        <f t="array" ref="F28">IF($A28="",0,INDEX(' 1.0 Asset Data'!$F$8:$F$80,MATCH($A28,' 1.0 Asset Data'!$A$8:$A$80,0),0))</f>
        <v>9807.2410475691886</v>
      </c>
      <c r="G28" s="31" cm="1">
        <f t="array" ref="G28">IF($A28="",0,INDEX(' 1.0 Asset Data'!$G$8:$G$80,MATCH($A28,' 1.0 Asset Data'!$A$8:$A$80,0),0))</f>
        <v>0</v>
      </c>
      <c r="H28" s="51" t="str" cm="1">
        <f t="array" ref="H28">IFERROR(INDEX(' 1.0 Asset Data'!J$8:J$90,MATCH($A28,' 1.0 Asset Data'!$A$8:$A$90,0),0),"")</f>
        <v>Asset offline for lead time duration</v>
      </c>
      <c r="I28" s="51" cm="1">
        <f t="array" ref="I28">_xlfn.IFNA(INDEX(' 1.0 Asset Data'!$K$8:$K$75,MATCH($A28,' 1.0 Asset Data'!$A$8:$A$75,0),0),0)</f>
        <v>47437600</v>
      </c>
      <c r="K28" s="49">
        <f t="shared" si="9"/>
        <v>2.4157384615384613E-3</v>
      </c>
      <c r="L28" s="7">
        <f t="shared" si="0"/>
        <v>1</v>
      </c>
      <c r="M28" s="12">
        <f t="shared" si="10"/>
        <v>1</v>
      </c>
      <c r="N28" s="12">
        <f t="shared" si="1"/>
        <v>2</v>
      </c>
      <c r="O28" s="12">
        <f t="shared" si="11"/>
        <v>1</v>
      </c>
      <c r="P28" s="12">
        <f t="shared" si="2"/>
        <v>1</v>
      </c>
      <c r="R28" s="12">
        <f t="shared" si="12"/>
        <v>9807.2410475691886</v>
      </c>
      <c r="S28" s="12">
        <f t="shared" si="3"/>
        <v>79.606172344178887</v>
      </c>
      <c r="T28" s="12">
        <f t="shared" si="4"/>
        <v>450493.00043569342</v>
      </c>
      <c r="U28" s="19">
        <f t="shared" si="13"/>
        <v>9807.2410475691886</v>
      </c>
      <c r="V28" s="19" t="str">
        <f t="shared" si="14"/>
        <v>-</v>
      </c>
      <c r="X28" s="49">
        <f t="shared" si="15"/>
        <v>3.6236076923076926E-3</v>
      </c>
      <c r="Y28" s="7">
        <f t="shared" si="5"/>
        <v>1</v>
      </c>
      <c r="Z28" s="12">
        <f t="shared" si="16"/>
        <v>1</v>
      </c>
      <c r="AA28" s="12">
        <f t="shared" si="6"/>
        <v>2</v>
      </c>
      <c r="AB28" s="12">
        <f t="shared" si="17"/>
        <v>1</v>
      </c>
      <c r="AC28" s="12">
        <f t="shared" si="18"/>
        <v>1</v>
      </c>
      <c r="AD28" s="12">
        <f t="shared" si="19"/>
        <v>9807.2410475691886</v>
      </c>
      <c r="AE28" s="12" t="str">
        <f t="shared" si="20"/>
        <v>Same</v>
      </c>
      <c r="AG28" s="49">
        <f t="shared" si="21"/>
        <v>4.8314769230769225E-3</v>
      </c>
      <c r="AH28" s="7">
        <f t="shared" si="7"/>
        <v>1</v>
      </c>
      <c r="AI28" s="12">
        <f t="shared" si="22"/>
        <v>1</v>
      </c>
      <c r="AJ28" s="12">
        <f t="shared" si="8"/>
        <v>2</v>
      </c>
      <c r="AK28" s="12">
        <f t="shared" si="23"/>
        <v>1</v>
      </c>
      <c r="AL28" s="12">
        <f t="shared" si="24"/>
        <v>1</v>
      </c>
      <c r="AM28" s="12">
        <f t="shared" si="25"/>
        <v>9807.2410475691886</v>
      </c>
      <c r="AN28" s="12" t="str">
        <f t="shared" si="26"/>
        <v>Same</v>
      </c>
    </row>
    <row r="29" spans="1:40" x14ac:dyDescent="0.25">
      <c r="A29" s="10" t="str">
        <f>'1.2 Sorting'!L29</f>
        <v>Spare 28</v>
      </c>
      <c r="B29" s="10" cm="1">
        <f t="array" ref="B29">IF($A29="",0,INDEX(' 1.0 Asset Data'!$B$8:$B$80,MATCH($A29,' 1.0 Asset Data'!$A$8:$A$80,0),0))</f>
        <v>18</v>
      </c>
      <c r="C29" s="10" cm="1">
        <f t="array" ref="C29">IF($A29="",0,INDEX(' 1.0 Asset Data'!$C$8:$C$80,MATCH($A29,' 1.0 Asset Data'!$A$8:$A$80,0),0))</f>
        <v>2</v>
      </c>
      <c r="D29" s="50" cm="1">
        <f t="array" ref="D29">IF($A29="",0,INDEX(' 1.0 Asset Data'!$E$8:$E$80,MATCH($A29,' 1.0 Asset Data'!$A$8:$A$80,0),0))</f>
        <v>3.7685519999999997E-3</v>
      </c>
      <c r="E29" s="10" cm="1">
        <f t="array" ref="E29">IF($A29="",0,INDEX(' 1.0 Asset Data'!$I$8:$I$80,MATCH($A29,' 1.0 Asset Data'!$A$8:$A$80,0),0))</f>
        <v>100</v>
      </c>
      <c r="F29" s="31" cm="1">
        <f t="array" ref="F29">IF($A29="",0,INDEX(' 1.0 Asset Data'!$F$8:$F$80,MATCH($A29,' 1.0 Asset Data'!$A$8:$A$80,0),0))</f>
        <v>22861.50875407979</v>
      </c>
      <c r="G29" s="31" cm="1">
        <f t="array" ref="G29">IF($A29="",0,INDEX(' 1.0 Asset Data'!$G$8:$G$80,MATCH($A29,' 1.0 Asset Data'!$A$8:$A$80,0),0))</f>
        <v>0</v>
      </c>
      <c r="H29" s="51" t="str" cm="1">
        <f t="array" ref="H29">IFERROR(INDEX(' 1.0 Asset Data'!J$8:J$90,MATCH($A29,' 1.0 Asset Data'!$A$8:$A$90,0),0),"")</f>
        <v>Asset offline for lead time duration</v>
      </c>
      <c r="I29" s="51" cm="1">
        <f t="array" ref="I29">_xlfn.IFNA(INDEX(' 1.0 Asset Data'!$K$8:$K$75,MATCH($A29,' 1.0 Asset Data'!$A$8:$A$75,0),0),0)</f>
        <v>47437600</v>
      </c>
      <c r="K29" s="49">
        <f t="shared" si="9"/>
        <v>7.2472153846153842E-3</v>
      </c>
      <c r="L29" s="7">
        <f t="shared" si="0"/>
        <v>1</v>
      </c>
      <c r="M29" s="12">
        <f t="shared" si="10"/>
        <v>1</v>
      </c>
      <c r="N29" s="12">
        <f t="shared" si="1"/>
        <v>2</v>
      </c>
      <c r="O29" s="12">
        <f t="shared" si="11"/>
        <v>2</v>
      </c>
      <c r="P29" s="12">
        <f t="shared" si="2"/>
        <v>0</v>
      </c>
      <c r="R29" s="12">
        <f t="shared" si="12"/>
        <v>0</v>
      </c>
      <c r="S29" s="12">
        <f t="shared" si="3"/>
        <v>26.535390781392962</v>
      </c>
      <c r="T29" s="12">
        <f t="shared" si="4"/>
        <v>10045644.883590192</v>
      </c>
      <c r="U29" s="19">
        <f t="shared" si="13"/>
        <v>0</v>
      </c>
      <c r="V29" s="19" t="str">
        <f t="shared" si="14"/>
        <v>Spare 28</v>
      </c>
      <c r="X29" s="49">
        <f t="shared" si="15"/>
        <v>1.0870823076923075E-2</v>
      </c>
      <c r="Y29" s="7">
        <f t="shared" si="5"/>
        <v>1</v>
      </c>
      <c r="Z29" s="12">
        <f t="shared" si="16"/>
        <v>1</v>
      </c>
      <c r="AA29" s="12">
        <f t="shared" si="6"/>
        <v>2</v>
      </c>
      <c r="AB29" s="12">
        <f t="shared" si="17"/>
        <v>2</v>
      </c>
      <c r="AC29" s="12">
        <f t="shared" si="18"/>
        <v>0</v>
      </c>
      <c r="AD29" s="12">
        <f t="shared" si="19"/>
        <v>0</v>
      </c>
      <c r="AE29" s="12" t="str">
        <f t="shared" si="20"/>
        <v>Same</v>
      </c>
      <c r="AG29" s="49">
        <f t="shared" si="21"/>
        <v>1.4494430769230768E-2</v>
      </c>
      <c r="AH29" s="7">
        <f t="shared" si="7"/>
        <v>1</v>
      </c>
      <c r="AI29" s="12">
        <f t="shared" si="22"/>
        <v>1</v>
      </c>
      <c r="AJ29" s="12">
        <f t="shared" si="8"/>
        <v>2</v>
      </c>
      <c r="AK29" s="12">
        <f t="shared" si="23"/>
        <v>2</v>
      </c>
      <c r="AL29" s="12">
        <f t="shared" si="24"/>
        <v>0</v>
      </c>
      <c r="AM29" s="12">
        <f t="shared" si="25"/>
        <v>0</v>
      </c>
      <c r="AN29" s="12" t="str">
        <f t="shared" si="26"/>
        <v>Same</v>
      </c>
    </row>
    <row r="30" spans="1:40" x14ac:dyDescent="0.25">
      <c r="A30" s="10" t="str">
        <f>'1.2 Sorting'!L30</f>
        <v>Spare 29</v>
      </c>
      <c r="B30" s="10" cm="1">
        <f t="array" ref="B30">IF($A30="",0,INDEX(' 1.0 Asset Data'!$B$8:$B$80,MATCH($A30,' 1.0 Asset Data'!$A$8:$A$80,0),0))</f>
        <v>18</v>
      </c>
      <c r="C30" s="10" cm="1">
        <f t="array" ref="C30">IF($A30="",0,INDEX(' 1.0 Asset Data'!$C$8:$C$80,MATCH($A30,' 1.0 Asset Data'!$A$8:$A$80,0),0))</f>
        <v>1</v>
      </c>
      <c r="D30" s="50" cm="1">
        <f t="array" ref="D30">IF($A30="",0,INDEX(' 1.0 Asset Data'!$E$8:$E$80,MATCH($A30,' 1.0 Asset Data'!$A$8:$A$80,0),0))</f>
        <v>1.5731999999999999E-2</v>
      </c>
      <c r="E30" s="10" cm="1">
        <f t="array" ref="E30">IF($A30="",0,INDEX(' 1.0 Asset Data'!$I$8:$I$80,MATCH($A30,' 1.0 Asset Data'!$A$8:$A$80,0),0))</f>
        <v>104</v>
      </c>
      <c r="F30" s="31" cm="1">
        <f t="array" ref="F30">IF($A30="",0,INDEX(' 1.0 Asset Data'!$F$8:$F$80,MATCH($A30,' 1.0 Asset Data'!$A$8:$A$80,0),0))</f>
        <v>22703.749022779662</v>
      </c>
      <c r="G30" s="31" cm="1">
        <f t="array" ref="G30">IF($A30="",0,INDEX(' 1.0 Asset Data'!$G$8:$G$80,MATCH($A30,' 1.0 Asset Data'!$A$8:$A$80,0),0))</f>
        <v>0</v>
      </c>
      <c r="H30" s="51" t="str" cm="1">
        <f t="array" ref="H30">IFERROR(INDEX(' 1.0 Asset Data'!J$8:J$90,MATCH($A30,' 1.0 Asset Data'!$A$8:$A$90,0),0),"")</f>
        <v>Asset offline for lead time duration</v>
      </c>
      <c r="I30" s="51" cm="1">
        <f t="array" ref="I30">_xlfn.IFNA(INDEX(' 1.0 Asset Data'!$K$8:$K$75,MATCH($A30,' 1.0 Asset Data'!$A$8:$A$75,0),0),0)</f>
        <v>49335104</v>
      </c>
      <c r="K30" s="49">
        <f t="shared" si="9"/>
        <v>3.1463999999999999E-2</v>
      </c>
      <c r="L30" s="7">
        <f t="shared" si="0"/>
        <v>1</v>
      </c>
      <c r="M30" s="12">
        <f t="shared" si="10"/>
        <v>1</v>
      </c>
      <c r="N30" s="12">
        <f t="shared" si="1"/>
        <v>2</v>
      </c>
      <c r="O30" s="12">
        <f t="shared" si="11"/>
        <v>1</v>
      </c>
      <c r="P30" s="12">
        <f t="shared" si="2"/>
        <v>1</v>
      </c>
      <c r="R30" s="12">
        <f t="shared" si="12"/>
        <v>22703.749022779662</v>
      </c>
      <c r="S30" s="12">
        <f t="shared" si="3"/>
        <v>6.3564708873633364</v>
      </c>
      <c r="T30" s="12">
        <f t="shared" si="4"/>
        <v>34014706.107833095</v>
      </c>
      <c r="U30" s="19">
        <f t="shared" si="13"/>
        <v>22703.749022779662</v>
      </c>
      <c r="V30" s="19" t="str">
        <f t="shared" si="14"/>
        <v>-</v>
      </c>
      <c r="X30" s="49">
        <f t="shared" si="15"/>
        <v>4.7196000000000002E-2</v>
      </c>
      <c r="Y30" s="7">
        <f t="shared" si="5"/>
        <v>1</v>
      </c>
      <c r="Z30" s="12">
        <f t="shared" si="16"/>
        <v>1</v>
      </c>
      <c r="AA30" s="12">
        <f t="shared" si="6"/>
        <v>2</v>
      </c>
      <c r="AB30" s="12">
        <f t="shared" si="17"/>
        <v>1</v>
      </c>
      <c r="AC30" s="12">
        <f t="shared" si="18"/>
        <v>1</v>
      </c>
      <c r="AD30" s="12">
        <f t="shared" si="19"/>
        <v>22703.749022779662</v>
      </c>
      <c r="AE30" s="12" t="str">
        <f t="shared" si="20"/>
        <v>Same</v>
      </c>
      <c r="AG30" s="49">
        <f t="shared" si="21"/>
        <v>6.2927999999999998E-2</v>
      </c>
      <c r="AH30" s="7">
        <f t="shared" si="7"/>
        <v>1</v>
      </c>
      <c r="AI30" s="12">
        <f t="shared" si="22"/>
        <v>1</v>
      </c>
      <c r="AJ30" s="12">
        <f t="shared" si="8"/>
        <v>2</v>
      </c>
      <c r="AK30" s="12">
        <f t="shared" si="23"/>
        <v>1</v>
      </c>
      <c r="AL30" s="12">
        <f t="shared" si="24"/>
        <v>1</v>
      </c>
      <c r="AM30" s="12">
        <f t="shared" si="25"/>
        <v>22703.749022779662</v>
      </c>
      <c r="AN30" s="12" t="str">
        <f t="shared" si="26"/>
        <v>Same</v>
      </c>
    </row>
    <row r="31" spans="1:40" x14ac:dyDescent="0.25">
      <c r="A31" s="10" t="str">
        <f>'1.2 Sorting'!L31</f>
        <v>Spare 57</v>
      </c>
      <c r="B31" s="10" cm="1">
        <f t="array" ref="B31">IF($A31="",0,INDEX(' 1.0 Asset Data'!$B$8:$B$80,MATCH($A31,' 1.0 Asset Data'!$A$8:$A$80,0),0))</f>
        <v>6</v>
      </c>
      <c r="C31" s="10" cm="1">
        <f t="array" ref="C31">IF($A31="",0,INDEX(' 1.0 Asset Data'!$C$8:$C$80,MATCH($A31,' 1.0 Asset Data'!$A$8:$A$80,0),0))</f>
        <v>1</v>
      </c>
      <c r="D31" s="50" cm="1">
        <f t="array" ref="D31">IF($A31="",0,INDEX(' 1.0 Asset Data'!$E$8:$E$80,MATCH($A31,' 1.0 Asset Data'!$A$8:$A$80,0),0))</f>
        <v>5.8026240000000007E-2</v>
      </c>
      <c r="E31" s="10" cm="1">
        <f t="array" ref="E31">IF($A31="",0,INDEX(' 1.0 Asset Data'!$I$8:$I$80,MATCH($A31,' 1.0 Asset Data'!$A$8:$A$80,0),0))</f>
        <v>104</v>
      </c>
      <c r="F31" s="31" cm="1">
        <f t="array" ref="F31">IF($A31="",0,INDEX(' 1.0 Asset Data'!$F$8:$F$80,MATCH($A31,' 1.0 Asset Data'!$A$8:$A$80,0),0))</f>
        <v>2882608.5641234214</v>
      </c>
      <c r="G31" s="31" cm="1">
        <f t="array" ref="G31">IF($A31="",0,INDEX(' 1.0 Asset Data'!$G$8:$G$80,MATCH($A31,' 1.0 Asset Data'!$A$8:$A$80,0),0))</f>
        <v>0</v>
      </c>
      <c r="H31" s="51" t="str" cm="1">
        <f t="array" ref="H31">IFERROR(INDEX(' 1.0 Asset Data'!J$8:J$90,MATCH($A31,' 1.0 Asset Data'!$A$8:$A$90,0),0),"")</f>
        <v>Asset offline for lead time duration</v>
      </c>
      <c r="I31" s="51" cm="1">
        <f t="array" ref="I31">_xlfn.IFNA(INDEX(' 1.0 Asset Data'!$K$8:$K$75,MATCH($A31,' 1.0 Asset Data'!$A$8:$A$75,0),0),0)</f>
        <v>49335104</v>
      </c>
      <c r="K31" s="49">
        <f t="shared" si="9"/>
        <v>0.11605248000000001</v>
      </c>
      <c r="L31" s="7">
        <f t="shared" si="0"/>
        <v>1</v>
      </c>
      <c r="M31" s="12">
        <f t="shared" si="10"/>
        <v>1</v>
      </c>
      <c r="N31" s="12">
        <f t="shared" si="1"/>
        <v>2</v>
      </c>
      <c r="O31" s="12">
        <f t="shared" si="11"/>
        <v>1</v>
      </c>
      <c r="P31" s="12">
        <f t="shared" si="2"/>
        <v>1</v>
      </c>
      <c r="R31" s="12">
        <f t="shared" si="12"/>
        <v>2882608.5641234214</v>
      </c>
      <c r="S31" s="12">
        <f t="shared" si="3"/>
        <v>1.7233582599872057</v>
      </c>
      <c r="T31" s="12">
        <f t="shared" si="4"/>
        <v>44603944.698925413</v>
      </c>
      <c r="U31" s="19">
        <f t="shared" si="13"/>
        <v>2882608.5641234214</v>
      </c>
      <c r="V31" s="19" t="str">
        <f t="shared" si="14"/>
        <v>-</v>
      </c>
      <c r="X31" s="49">
        <f t="shared" si="15"/>
        <v>0.17407872000000002</v>
      </c>
      <c r="Y31" s="7">
        <f t="shared" si="5"/>
        <v>1</v>
      </c>
      <c r="Z31" s="12">
        <f t="shared" si="16"/>
        <v>1</v>
      </c>
      <c r="AA31" s="12">
        <f t="shared" si="6"/>
        <v>2</v>
      </c>
      <c r="AB31" s="12">
        <f t="shared" si="17"/>
        <v>1</v>
      </c>
      <c r="AC31" s="12">
        <f t="shared" si="18"/>
        <v>1</v>
      </c>
      <c r="AD31" s="12">
        <f t="shared" si="19"/>
        <v>2882608.5641234214</v>
      </c>
      <c r="AE31" s="12" t="str">
        <f t="shared" si="20"/>
        <v>Same</v>
      </c>
      <c r="AG31" s="49">
        <f t="shared" si="21"/>
        <v>0.23210496000000003</v>
      </c>
      <c r="AH31" s="7">
        <f t="shared" si="7"/>
        <v>1</v>
      </c>
      <c r="AI31" s="12">
        <f t="shared" si="22"/>
        <v>1</v>
      </c>
      <c r="AJ31" s="12">
        <f t="shared" si="8"/>
        <v>2</v>
      </c>
      <c r="AK31" s="12">
        <f t="shared" si="23"/>
        <v>1</v>
      </c>
      <c r="AL31" s="12">
        <f t="shared" si="24"/>
        <v>1</v>
      </c>
      <c r="AM31" s="12">
        <f t="shared" si="25"/>
        <v>2882608.5641234214</v>
      </c>
      <c r="AN31" s="12" t="str">
        <f t="shared" si="26"/>
        <v>Same</v>
      </c>
    </row>
    <row r="32" spans="1:40" x14ac:dyDescent="0.25">
      <c r="A32" s="10" t="str">
        <f>'1.2 Sorting'!L32</f>
        <v>Spare 58</v>
      </c>
      <c r="B32" s="10" cm="1">
        <f t="array" ref="B32">IF($A32="",0,INDEX(' 1.0 Asset Data'!$B$8:$B$80,MATCH($A32,' 1.0 Asset Data'!$A$8:$A$80,0),0))</f>
        <v>6</v>
      </c>
      <c r="C32" s="10" cm="1">
        <f t="array" ref="C32">IF($A32="",0,INDEX(' 1.0 Asset Data'!$C$8:$C$80,MATCH($A32,' 1.0 Asset Data'!$A$8:$A$80,0),0))</f>
        <v>0</v>
      </c>
      <c r="D32" s="50" cm="1">
        <f t="array" ref="D32">IF($A32="",0,INDEX(' 1.0 Asset Data'!$E$8:$E$80,MATCH($A32,' 1.0 Asset Data'!$A$8:$A$80,0),0))</f>
        <v>4.1942880000000001E-4</v>
      </c>
      <c r="E32" s="10" cm="1">
        <f t="array" ref="E32">IF($A32="",0,INDEX(' 1.0 Asset Data'!$I$8:$I$80,MATCH($A32,' 1.0 Asset Data'!$A$8:$A$80,0),0))</f>
        <v>100</v>
      </c>
      <c r="F32" s="31" cm="1">
        <f t="array" ref="F32">IF($A32="",0,INDEX(' 1.0 Asset Data'!$F$8:$F$80,MATCH($A32,' 1.0 Asset Data'!$A$8:$A$80,0),0))</f>
        <v>9807.2410475691886</v>
      </c>
      <c r="G32" s="31" cm="1">
        <f t="array" ref="G32">IF($A32="",0,INDEX(' 1.0 Asset Data'!$G$8:$G$80,MATCH($A32,' 1.0 Asset Data'!$A$8:$A$80,0),0))</f>
        <v>0</v>
      </c>
      <c r="H32" s="51" t="str" cm="1">
        <f t="array" ref="H32">IFERROR(INDEX(' 1.0 Asset Data'!J$8:J$90,MATCH($A32,' 1.0 Asset Data'!$A$8:$A$90,0),0),"")</f>
        <v>Asset offline for lead time duration</v>
      </c>
      <c r="I32" s="51" cm="1">
        <f t="array" ref="I32">_xlfn.IFNA(INDEX(' 1.0 Asset Data'!$K$8:$K$75,MATCH($A32,' 1.0 Asset Data'!$A$8:$A$75,0),0),0)</f>
        <v>47437600</v>
      </c>
      <c r="K32" s="49">
        <f t="shared" si="9"/>
        <v>8.0659384615384619E-4</v>
      </c>
      <c r="L32" s="7">
        <f t="shared" si="0"/>
        <v>1</v>
      </c>
      <c r="M32" s="12">
        <f t="shared" si="10"/>
        <v>1</v>
      </c>
      <c r="N32" s="12">
        <f t="shared" si="1"/>
        <v>2</v>
      </c>
      <c r="O32" s="12">
        <f t="shared" si="11"/>
        <v>0</v>
      </c>
      <c r="P32" s="12">
        <f t="shared" si="2"/>
        <v>2</v>
      </c>
      <c r="R32" s="12">
        <f t="shared" si="12"/>
        <v>19614.482095138377</v>
      </c>
      <c r="S32" s="12">
        <f t="shared" si="3"/>
        <v>238.41948859973374</v>
      </c>
      <c r="T32" s="12">
        <f t="shared" si="4"/>
        <v>41.586870696745805</v>
      </c>
      <c r="U32" s="19">
        <f t="shared" si="13"/>
        <v>0</v>
      </c>
      <c r="V32" s="19" t="str">
        <f t="shared" si="14"/>
        <v>Spare 58</v>
      </c>
      <c r="X32" s="49">
        <f t="shared" si="15"/>
        <v>1.2098907692307693E-3</v>
      </c>
      <c r="Y32" s="7">
        <f t="shared" si="5"/>
        <v>1</v>
      </c>
      <c r="Z32" s="12">
        <f t="shared" si="16"/>
        <v>1</v>
      </c>
      <c r="AA32" s="12">
        <f t="shared" si="6"/>
        <v>2</v>
      </c>
      <c r="AB32" s="12">
        <f t="shared" si="17"/>
        <v>0</v>
      </c>
      <c r="AC32" s="12">
        <f t="shared" si="18"/>
        <v>2</v>
      </c>
      <c r="AD32" s="12">
        <f t="shared" si="19"/>
        <v>19614.482095138377</v>
      </c>
      <c r="AE32" s="12" t="str">
        <f t="shared" si="20"/>
        <v>Changes</v>
      </c>
      <c r="AG32" s="49">
        <f t="shared" si="21"/>
        <v>1.6131876923076924E-3</v>
      </c>
      <c r="AH32" s="7">
        <f t="shared" si="7"/>
        <v>1</v>
      </c>
      <c r="AI32" s="12">
        <f t="shared" si="22"/>
        <v>1</v>
      </c>
      <c r="AJ32" s="12">
        <f t="shared" si="8"/>
        <v>2</v>
      </c>
      <c r="AK32" s="12">
        <f t="shared" si="23"/>
        <v>0</v>
      </c>
      <c r="AL32" s="12">
        <f t="shared" si="24"/>
        <v>2</v>
      </c>
      <c r="AM32" s="12">
        <f t="shared" si="25"/>
        <v>19614.482095138377</v>
      </c>
      <c r="AN32" s="12" t="str">
        <f t="shared" si="26"/>
        <v>Changes</v>
      </c>
    </row>
    <row r="33" spans="1:40" x14ac:dyDescent="0.25">
      <c r="A33" s="10" t="str">
        <f>'1.2 Sorting'!L33</f>
        <v>Spare 59</v>
      </c>
      <c r="B33" s="10" cm="1">
        <f t="array" ref="B33">IF($A33="",0,INDEX(' 1.0 Asset Data'!$B$8:$B$80,MATCH($A33,' 1.0 Asset Data'!$A$8:$A$80,0),0))</f>
        <v>12</v>
      </c>
      <c r="C33" s="10" cm="1">
        <f t="array" ref="C33">IF($A33="",0,INDEX(' 1.0 Asset Data'!$C$8:$C$80,MATCH($A33,' 1.0 Asset Data'!$A$8:$A$80,0),0))</f>
        <v>2</v>
      </c>
      <c r="D33" s="50" cm="1">
        <f t="array" ref="D33">IF($A33="",0,INDEX(' 1.0 Asset Data'!$E$8:$E$80,MATCH($A33,' 1.0 Asset Data'!$A$8:$A$80,0),0))</f>
        <v>8.3885760000000002E-4</v>
      </c>
      <c r="E33" s="10" cm="1">
        <f t="array" ref="E33">IF($A33="",0,INDEX(' 1.0 Asset Data'!$I$8:$I$80,MATCH($A33,' 1.0 Asset Data'!$A$8:$A$80,0),0))</f>
        <v>100</v>
      </c>
      <c r="F33" s="31" cm="1">
        <f t="array" ref="F33">IF($A33="",0,INDEX(' 1.0 Asset Data'!$F$8:$F$80,MATCH($A33,' 1.0 Asset Data'!$A$8:$A$80,0),0))</f>
        <v>19568.274363189521</v>
      </c>
      <c r="G33" s="31" cm="1">
        <f t="array" ref="G33">IF($A33="",0,INDEX(' 1.0 Asset Data'!$G$8:$G$80,MATCH($A33,' 1.0 Asset Data'!$A$8:$A$80,0),0))</f>
        <v>0</v>
      </c>
      <c r="H33" s="51" t="str" cm="1">
        <f t="array" ref="H33">IFERROR(INDEX(' 1.0 Asset Data'!J$8:J$90,MATCH($A33,' 1.0 Asset Data'!$A$8:$A$90,0),0),"")</f>
        <v>Asset offline for lead time duration</v>
      </c>
      <c r="I33" s="51" cm="1">
        <f t="array" ref="I33">_xlfn.IFNA(INDEX(' 1.0 Asset Data'!$K$8:$K$75,MATCH($A33,' 1.0 Asset Data'!$A$8:$A$75,0),0),0)</f>
        <v>47437600</v>
      </c>
      <c r="K33" s="49">
        <f t="shared" si="9"/>
        <v>1.6131876923076924E-3</v>
      </c>
      <c r="L33" s="7">
        <f t="shared" si="0"/>
        <v>1</v>
      </c>
      <c r="M33" s="12">
        <f t="shared" si="10"/>
        <v>1</v>
      </c>
      <c r="N33" s="12">
        <f t="shared" si="1"/>
        <v>2</v>
      </c>
      <c r="O33" s="12">
        <f t="shared" si="11"/>
        <v>2</v>
      </c>
      <c r="P33" s="12">
        <f t="shared" si="2"/>
        <v>0</v>
      </c>
      <c r="R33" s="12">
        <f t="shared" si="12"/>
        <v>0</v>
      </c>
      <c r="S33" s="12">
        <f t="shared" si="3"/>
        <v>119.20974429986687</v>
      </c>
      <c r="T33" s="12">
        <f t="shared" si="4"/>
        <v>44416.003167371426</v>
      </c>
      <c r="U33" s="19">
        <f t="shared" si="13"/>
        <v>0</v>
      </c>
      <c r="V33" s="19" t="str">
        <f t="shared" si="14"/>
        <v>Spare 59</v>
      </c>
      <c r="X33" s="49">
        <f t="shared" si="15"/>
        <v>2.4197815384615386E-3</v>
      </c>
      <c r="Y33" s="7">
        <f t="shared" si="5"/>
        <v>1</v>
      </c>
      <c r="Z33" s="12">
        <f t="shared" si="16"/>
        <v>1</v>
      </c>
      <c r="AA33" s="12">
        <f t="shared" si="6"/>
        <v>2</v>
      </c>
      <c r="AB33" s="12">
        <f t="shared" si="17"/>
        <v>2</v>
      </c>
      <c r="AC33" s="12">
        <f t="shared" si="18"/>
        <v>0</v>
      </c>
      <c r="AD33" s="12">
        <f t="shared" si="19"/>
        <v>0</v>
      </c>
      <c r="AE33" s="12" t="str">
        <f t="shared" si="20"/>
        <v>Same</v>
      </c>
      <c r="AG33" s="49">
        <f t="shared" si="21"/>
        <v>3.2263753846153848E-3</v>
      </c>
      <c r="AH33" s="7">
        <f t="shared" si="7"/>
        <v>1</v>
      </c>
      <c r="AI33" s="12">
        <f t="shared" si="22"/>
        <v>1</v>
      </c>
      <c r="AJ33" s="12">
        <f t="shared" si="8"/>
        <v>2</v>
      </c>
      <c r="AK33" s="12">
        <f t="shared" si="23"/>
        <v>2</v>
      </c>
      <c r="AL33" s="12">
        <f t="shared" si="24"/>
        <v>0</v>
      </c>
      <c r="AM33" s="12">
        <f t="shared" si="25"/>
        <v>0</v>
      </c>
      <c r="AN33" s="12" t="str">
        <f t="shared" si="26"/>
        <v>Same</v>
      </c>
    </row>
    <row r="34" spans="1:40" x14ac:dyDescent="0.25">
      <c r="A34" s="10" t="str">
        <f>'1.2 Sorting'!L34</f>
        <v>Spare 60</v>
      </c>
      <c r="B34" s="10" cm="1">
        <f t="array" ref="B34">IF($A34="",0,INDEX(' 1.0 Asset Data'!$B$8:$B$80,MATCH($A34,' 1.0 Asset Data'!$A$8:$A$80,0),0))</f>
        <v>12</v>
      </c>
      <c r="C34" s="10" cm="1">
        <f t="array" ref="C34">IF($A34="",0,INDEX(' 1.0 Asset Data'!$C$8:$C$80,MATCH($A34,' 1.0 Asset Data'!$A$8:$A$80,0),0))</f>
        <v>0</v>
      </c>
      <c r="D34" s="50" cm="1">
        <f t="array" ref="D34">IF($A34="",0,INDEX(' 1.0 Asset Data'!$E$8:$E$80,MATCH($A34,' 1.0 Asset Data'!$A$8:$A$80,0),0))</f>
        <v>8.3885760000000002E-4</v>
      </c>
      <c r="E34" s="10" cm="1">
        <f t="array" ref="E34">IF($A34="",0,INDEX(' 1.0 Asset Data'!$I$8:$I$80,MATCH($A34,' 1.0 Asset Data'!$A$8:$A$80,0),0))</f>
        <v>100</v>
      </c>
      <c r="F34" s="31" cm="1">
        <f t="array" ref="F34">IF($A34="",0,INDEX(' 1.0 Asset Data'!$F$8:$F$80,MATCH($A34,' 1.0 Asset Data'!$A$8:$A$80,0),0))</f>
        <v>1870.3629682025335</v>
      </c>
      <c r="G34" s="31" cm="1">
        <f t="array" ref="G34">IF($A34="",0,INDEX(' 1.0 Asset Data'!$G$8:$G$80,MATCH($A34,' 1.0 Asset Data'!$A$8:$A$80,0),0))</f>
        <v>0</v>
      </c>
      <c r="H34" s="51" t="str" cm="1">
        <f t="array" ref="H34">IFERROR(INDEX(' 1.0 Asset Data'!J$8:J$90,MATCH($A34,' 1.0 Asset Data'!$A$8:$A$90,0),0),"")</f>
        <v>Asset offline for lead time duration</v>
      </c>
      <c r="I34" s="51" cm="1">
        <f t="array" ref="I34">_xlfn.IFNA(INDEX(' 1.0 Asset Data'!$K$8:$K$75,MATCH($A34,' 1.0 Asset Data'!$A$8:$A$75,0),0),0)</f>
        <v>47437600</v>
      </c>
      <c r="K34" s="49">
        <f t="shared" si="9"/>
        <v>1.6131876923076924E-3</v>
      </c>
      <c r="L34" s="7">
        <f t="shared" si="0"/>
        <v>1</v>
      </c>
      <c r="M34" s="12">
        <f t="shared" si="10"/>
        <v>1</v>
      </c>
      <c r="N34" s="12">
        <f t="shared" si="1"/>
        <v>2</v>
      </c>
      <c r="O34" s="12">
        <f t="shared" si="11"/>
        <v>0</v>
      </c>
      <c r="P34" s="12">
        <f t="shared" si="2"/>
        <v>2</v>
      </c>
      <c r="R34" s="12">
        <f t="shared" si="12"/>
        <v>3740.7259364050669</v>
      </c>
      <c r="S34" s="12">
        <f t="shared" si="3"/>
        <v>119.20974429986687</v>
      </c>
      <c r="T34" s="12">
        <f t="shared" si="4"/>
        <v>44416.003167371426</v>
      </c>
      <c r="U34" s="19">
        <f t="shared" si="13"/>
        <v>3740.7259364050669</v>
      </c>
      <c r="V34" s="19" t="str">
        <f t="shared" si="14"/>
        <v>-</v>
      </c>
      <c r="X34" s="49">
        <f t="shared" si="15"/>
        <v>2.4197815384615386E-3</v>
      </c>
      <c r="Y34" s="7">
        <f t="shared" si="5"/>
        <v>1</v>
      </c>
      <c r="Z34" s="12">
        <f t="shared" si="16"/>
        <v>1</v>
      </c>
      <c r="AA34" s="12">
        <f t="shared" si="6"/>
        <v>2</v>
      </c>
      <c r="AB34" s="12">
        <f t="shared" si="17"/>
        <v>0</v>
      </c>
      <c r="AC34" s="12">
        <f t="shared" si="18"/>
        <v>2</v>
      </c>
      <c r="AD34" s="12">
        <f t="shared" si="19"/>
        <v>3740.7259364050669</v>
      </c>
      <c r="AE34" s="12" t="str">
        <f t="shared" si="20"/>
        <v>Same</v>
      </c>
      <c r="AG34" s="49">
        <f t="shared" si="21"/>
        <v>3.2263753846153848E-3</v>
      </c>
      <c r="AH34" s="7">
        <f t="shared" si="7"/>
        <v>1</v>
      </c>
      <c r="AI34" s="12">
        <f t="shared" si="22"/>
        <v>1</v>
      </c>
      <c r="AJ34" s="12">
        <f t="shared" si="8"/>
        <v>2</v>
      </c>
      <c r="AK34" s="12">
        <f t="shared" si="23"/>
        <v>0</v>
      </c>
      <c r="AL34" s="12">
        <f t="shared" si="24"/>
        <v>2</v>
      </c>
      <c r="AM34" s="12">
        <f t="shared" si="25"/>
        <v>3740.7259364050669</v>
      </c>
      <c r="AN34" s="12" t="str">
        <f t="shared" si="26"/>
        <v>Same</v>
      </c>
    </row>
    <row r="35" spans="1:40" x14ac:dyDescent="0.25">
      <c r="A35" s="10" t="str">
        <f>'1.2 Sorting'!L35</f>
        <v>Spare 61</v>
      </c>
      <c r="B35" s="10" cm="1">
        <f t="array" ref="B35">IF($A35="",0,INDEX(' 1.0 Asset Data'!$B$8:$B$80,MATCH($A35,' 1.0 Asset Data'!$A$8:$A$80,0),0))</f>
        <v>12</v>
      </c>
      <c r="C35" s="10" cm="1">
        <f t="array" ref="C35">IF($A35="",0,INDEX(' 1.0 Asset Data'!$C$8:$C$80,MATCH($A35,' 1.0 Asset Data'!$A$8:$A$80,0),0))</f>
        <v>0</v>
      </c>
      <c r="D35" s="50" cm="1">
        <f t="array" ref="D35">IF($A35="",0,INDEX(' 1.0 Asset Data'!$E$8:$E$80,MATCH($A35,' 1.0 Asset Data'!$A$8:$A$80,0),0))</f>
        <v>1.2439199999999999E-2</v>
      </c>
      <c r="E35" s="10" cm="1">
        <f t="array" ref="E35">IF($A35="",0,INDEX(' 1.0 Asset Data'!$I$8:$I$80,MATCH($A35,' 1.0 Asset Data'!$A$8:$A$80,0),0))</f>
        <v>104</v>
      </c>
      <c r="F35" s="31" cm="1">
        <f t="array" ref="F35">IF($A35="",0,INDEX(' 1.0 Asset Data'!$F$8:$F$80,MATCH($A35,' 1.0 Asset Data'!$A$8:$A$80,0),0))</f>
        <v>14542.716768984337</v>
      </c>
      <c r="G35" s="31" cm="1">
        <f t="array" ref="G35">IF($A35="",0,INDEX(' 1.0 Asset Data'!$G$8:$G$80,MATCH($A35,' 1.0 Asset Data'!$A$8:$A$80,0),0))</f>
        <v>0</v>
      </c>
      <c r="H35" s="51" t="str" cm="1">
        <f t="array" ref="H35">IFERROR(INDEX(' 1.0 Asset Data'!J$8:J$90,MATCH($A35,' 1.0 Asset Data'!$A$8:$A$90,0),0),"")</f>
        <v>Asset offline for lead time duration</v>
      </c>
      <c r="I35" s="51" cm="1">
        <f t="array" ref="I35">_xlfn.IFNA(INDEX(' 1.0 Asset Data'!$K$8:$K$75,MATCH($A35,' 1.0 Asset Data'!$A$8:$A$75,0),0),0)</f>
        <v>49335104</v>
      </c>
      <c r="K35" s="49">
        <f t="shared" si="9"/>
        <v>2.4878399999999998E-2</v>
      </c>
      <c r="L35" s="7">
        <f t="shared" si="0"/>
        <v>1</v>
      </c>
      <c r="M35" s="12">
        <f t="shared" si="10"/>
        <v>1</v>
      </c>
      <c r="N35" s="12">
        <f t="shared" si="1"/>
        <v>2</v>
      </c>
      <c r="O35" s="12">
        <f t="shared" si="11"/>
        <v>0</v>
      </c>
      <c r="P35" s="12">
        <f t="shared" si="2"/>
        <v>2</v>
      </c>
      <c r="R35" s="12">
        <f t="shared" si="12"/>
        <v>29085.433537968675</v>
      </c>
      <c r="S35" s="12">
        <f t="shared" si="3"/>
        <v>8.0391021930670785</v>
      </c>
      <c r="T35" s="12">
        <f t="shared" si="4"/>
        <v>30826103.501095999</v>
      </c>
      <c r="U35" s="19">
        <f t="shared" si="13"/>
        <v>29085.433537968675</v>
      </c>
      <c r="V35" s="19" t="str">
        <f t="shared" si="14"/>
        <v>-</v>
      </c>
      <c r="X35" s="49">
        <f t="shared" si="15"/>
        <v>3.7317599999999999E-2</v>
      </c>
      <c r="Y35" s="7">
        <f t="shared" si="5"/>
        <v>1</v>
      </c>
      <c r="Z35" s="12">
        <f t="shared" si="16"/>
        <v>1</v>
      </c>
      <c r="AA35" s="12">
        <f t="shared" si="6"/>
        <v>2</v>
      </c>
      <c r="AB35" s="12">
        <f t="shared" si="17"/>
        <v>0</v>
      </c>
      <c r="AC35" s="12">
        <f t="shared" si="18"/>
        <v>2</v>
      </c>
      <c r="AD35" s="12">
        <f t="shared" si="19"/>
        <v>29085.433537968675</v>
      </c>
      <c r="AE35" s="12" t="str">
        <f t="shared" si="20"/>
        <v>Same</v>
      </c>
      <c r="AG35" s="49">
        <f t="shared" si="21"/>
        <v>4.9756799999999997E-2</v>
      </c>
      <c r="AH35" s="7">
        <f t="shared" si="7"/>
        <v>1</v>
      </c>
      <c r="AI35" s="12">
        <f t="shared" si="22"/>
        <v>1</v>
      </c>
      <c r="AJ35" s="12">
        <f t="shared" si="8"/>
        <v>2</v>
      </c>
      <c r="AK35" s="12">
        <f t="shared" si="23"/>
        <v>0</v>
      </c>
      <c r="AL35" s="12">
        <f t="shared" si="24"/>
        <v>2</v>
      </c>
      <c r="AM35" s="12">
        <f t="shared" si="25"/>
        <v>29085.433537968675</v>
      </c>
      <c r="AN35" s="12" t="str">
        <f t="shared" si="26"/>
        <v>Same</v>
      </c>
    </row>
    <row r="36" spans="1:40" x14ac:dyDescent="0.25">
      <c r="A36" s="10" t="str">
        <f>'1.2 Sorting'!L36</f>
        <v>Spare 65</v>
      </c>
      <c r="B36" s="10" cm="1">
        <f t="array" ref="B36">IF($A36="",0,INDEX(' 1.0 Asset Data'!$B$8:$B$80,MATCH($A36,' 1.0 Asset Data'!$A$8:$A$80,0),0))</f>
        <v>6</v>
      </c>
      <c r="C36" s="10" cm="1">
        <f t="array" ref="C36">IF($A36="",0,INDEX(' 1.0 Asset Data'!$C$8:$C$80,MATCH($A36,' 1.0 Asset Data'!$A$8:$A$80,0),0))</f>
        <v>0</v>
      </c>
      <c r="D36" s="50" cm="1">
        <f t="array" ref="D36">IF($A36="",0,INDEX(' 1.0 Asset Data'!$E$8:$E$80,MATCH($A36,' 1.0 Asset Data'!$A$8:$A$80,0),0))</f>
        <v>5.2440000000000004E-3</v>
      </c>
      <c r="E36" s="10" cm="1">
        <f t="array" ref="E36">IF($A36="",0,INDEX(' 1.0 Asset Data'!$I$8:$I$80,MATCH($A36,' 1.0 Asset Data'!$A$8:$A$80,0),0))</f>
        <v>104</v>
      </c>
      <c r="F36" s="31" cm="1">
        <f t="array" ref="F36">IF($A36="",0,INDEX(' 1.0 Asset Data'!$F$8:$F$80,MATCH($A36,' 1.0 Asset Data'!$A$8:$A$80,0),0))</f>
        <v>10011.675255585336</v>
      </c>
      <c r="G36" s="31" cm="1">
        <f t="array" ref="G36">IF($A36="",0,INDEX(' 1.0 Asset Data'!$G$8:$G$80,MATCH($A36,' 1.0 Asset Data'!$A$8:$A$80,0),0))</f>
        <v>0</v>
      </c>
      <c r="H36" s="51" t="str" cm="1">
        <f t="array" ref="H36">IFERROR(INDEX(' 1.0 Asset Data'!J$8:J$90,MATCH($A36,' 1.0 Asset Data'!$A$8:$A$90,0),0),"")</f>
        <v>Asset offline for lead time duration</v>
      </c>
      <c r="I36" s="51" cm="1">
        <f t="array" ref="I36">_xlfn.IFNA(INDEX(' 1.0 Asset Data'!$K$8:$K$75,MATCH($A36,' 1.0 Asset Data'!$A$8:$A$75,0),0),0)</f>
        <v>49335104</v>
      </c>
      <c r="K36" s="49">
        <f t="shared" si="9"/>
        <v>1.0488000000000001E-2</v>
      </c>
      <c r="L36" s="7">
        <f t="shared" si="0"/>
        <v>1</v>
      </c>
      <c r="M36" s="12">
        <f t="shared" si="10"/>
        <v>1</v>
      </c>
      <c r="N36" s="12">
        <f t="shared" si="1"/>
        <v>2</v>
      </c>
      <c r="O36" s="12">
        <f t="shared" si="11"/>
        <v>0</v>
      </c>
      <c r="P36" s="12">
        <f t="shared" si="2"/>
        <v>2</v>
      </c>
      <c r="R36" s="12">
        <f t="shared" si="12"/>
        <v>20023.350511170673</v>
      </c>
      <c r="S36" s="12">
        <f t="shared" si="3"/>
        <v>19.069412662090006</v>
      </c>
      <c r="T36" s="12">
        <f t="shared" si="4"/>
        <v>16169182.866076592</v>
      </c>
      <c r="U36" s="19">
        <f t="shared" si="13"/>
        <v>20023.350511170673</v>
      </c>
      <c r="V36" s="19" t="str">
        <f t="shared" si="14"/>
        <v>-</v>
      </c>
      <c r="X36" s="49">
        <f t="shared" si="15"/>
        <v>1.5732000000000003E-2</v>
      </c>
      <c r="Y36" s="7">
        <f t="shared" si="5"/>
        <v>1</v>
      </c>
      <c r="Z36" s="12">
        <f t="shared" si="16"/>
        <v>1</v>
      </c>
      <c r="AA36" s="12">
        <f t="shared" si="6"/>
        <v>2</v>
      </c>
      <c r="AB36" s="12">
        <f t="shared" si="17"/>
        <v>0</v>
      </c>
      <c r="AC36" s="12">
        <f t="shared" si="18"/>
        <v>2</v>
      </c>
      <c r="AD36" s="12">
        <f t="shared" si="19"/>
        <v>20023.350511170673</v>
      </c>
      <c r="AE36" s="12" t="str">
        <f t="shared" si="20"/>
        <v>Same</v>
      </c>
      <c r="AG36" s="49">
        <f t="shared" si="21"/>
        <v>2.0976000000000002E-2</v>
      </c>
      <c r="AH36" s="7">
        <f t="shared" si="7"/>
        <v>1</v>
      </c>
      <c r="AI36" s="12">
        <f t="shared" si="22"/>
        <v>1</v>
      </c>
      <c r="AJ36" s="12">
        <f t="shared" si="8"/>
        <v>2</v>
      </c>
      <c r="AK36" s="12">
        <f t="shared" si="23"/>
        <v>0</v>
      </c>
      <c r="AL36" s="12">
        <f t="shared" si="24"/>
        <v>2</v>
      </c>
      <c r="AM36" s="12">
        <f t="shared" si="25"/>
        <v>20023.350511170673</v>
      </c>
      <c r="AN36" s="12" t="str">
        <f t="shared" si="26"/>
        <v>Same</v>
      </c>
    </row>
    <row r="37" spans="1:40" x14ac:dyDescent="0.25">
      <c r="A37" s="10" t="str">
        <f>'1.2 Sorting'!L37</f>
        <v>Spare 66</v>
      </c>
      <c r="B37" s="10" cm="1">
        <f t="array" ref="B37">IF($A37="",0,INDEX(' 1.0 Asset Data'!$B$8:$B$80,MATCH($A37,' 1.0 Asset Data'!$A$8:$A$80,0),0))</f>
        <v>24</v>
      </c>
      <c r="C37" s="10" cm="1">
        <f t="array" ref="C37">IF($A37="",0,INDEX(' 1.0 Asset Data'!$C$8:$C$80,MATCH($A37,' 1.0 Asset Data'!$A$8:$A$80,0),0))</f>
        <v>0</v>
      </c>
      <c r="D37" s="50" cm="1">
        <f t="array" ref="D37">IF($A37="",0,INDEX(' 1.0 Asset Data'!$E$8:$E$80,MATCH($A37,' 1.0 Asset Data'!$A$8:$A$80,0),0))</f>
        <v>2.0976000000000002E-2</v>
      </c>
      <c r="E37" s="10" cm="1">
        <f t="array" ref="E37">IF($A37="",0,INDEX(' 1.0 Asset Data'!$I$8:$I$80,MATCH($A37,' 1.0 Asset Data'!$A$8:$A$80,0),0))</f>
        <v>104</v>
      </c>
      <c r="F37" s="31" cm="1">
        <f t="array" ref="F37">IF($A37="",0,INDEX(' 1.0 Asset Data'!$F$8:$F$80,MATCH($A37,' 1.0 Asset Data'!$A$8:$A$80,0),0))</f>
        <v>10011.675255585336</v>
      </c>
      <c r="G37" s="31" cm="1">
        <f t="array" ref="G37">IF($A37="",0,INDEX(' 1.0 Asset Data'!$G$8:$G$80,MATCH($A37,' 1.0 Asset Data'!$A$8:$A$80,0),0))</f>
        <v>0</v>
      </c>
      <c r="H37" s="51" t="str" cm="1">
        <f t="array" ref="H37">IFERROR(INDEX(' 1.0 Asset Data'!J$8:J$90,MATCH($A37,' 1.0 Asset Data'!$A$8:$A$90,0),0),"")</f>
        <v>Asset offline for lead time duration</v>
      </c>
      <c r="I37" s="51" cm="1">
        <f t="array" ref="I37">_xlfn.IFNA(INDEX(' 1.0 Asset Data'!$K$8:$K$75,MATCH($A37,' 1.0 Asset Data'!$A$8:$A$75,0),0),0)</f>
        <v>49335104</v>
      </c>
      <c r="K37" s="49">
        <f t="shared" si="9"/>
        <v>4.1952000000000003E-2</v>
      </c>
      <c r="L37" s="7">
        <f>IF($A37="",0,ROUNDUP($B37*CritMin,0))</f>
        <v>1</v>
      </c>
      <c r="M37" s="12">
        <f>ROUNDUP(K37,0)</f>
        <v>1</v>
      </c>
      <c r="N37" s="12">
        <f t="shared" si="1"/>
        <v>2</v>
      </c>
      <c r="O37" s="12">
        <f>$C37</f>
        <v>0</v>
      </c>
      <c r="P37" s="12">
        <f t="shared" si="2"/>
        <v>2</v>
      </c>
      <c r="R37" s="12">
        <f t="shared" si="12"/>
        <v>20023.350511170673</v>
      </c>
      <c r="S37" s="12">
        <f t="shared" si="3"/>
        <v>4.7673531655225014</v>
      </c>
      <c r="T37" s="12">
        <f t="shared" si="4"/>
        <v>37328372.407264553</v>
      </c>
      <c r="U37" s="19">
        <f t="shared" si="13"/>
        <v>20023.350511170673</v>
      </c>
      <c r="V37" s="19" t="str">
        <f t="shared" si="14"/>
        <v>-</v>
      </c>
      <c r="X37" s="49">
        <f t="shared" si="15"/>
        <v>6.2928000000000012E-2</v>
      </c>
      <c r="Y37" s="7">
        <f t="shared" si="5"/>
        <v>1</v>
      </c>
      <c r="Z37" s="12">
        <f t="shared" si="16"/>
        <v>1</v>
      </c>
      <c r="AA37" s="12">
        <f t="shared" si="6"/>
        <v>2</v>
      </c>
      <c r="AB37" s="12">
        <f t="shared" si="17"/>
        <v>0</v>
      </c>
      <c r="AC37" s="12">
        <f t="shared" si="18"/>
        <v>2</v>
      </c>
      <c r="AD37" s="12">
        <f t="shared" si="19"/>
        <v>20023.350511170673</v>
      </c>
      <c r="AE37" s="12" t="str">
        <f t="shared" si="20"/>
        <v>Same</v>
      </c>
      <c r="AG37" s="49">
        <f t="shared" si="21"/>
        <v>8.3904000000000006E-2</v>
      </c>
      <c r="AH37" s="7">
        <f t="shared" si="7"/>
        <v>1</v>
      </c>
      <c r="AI37" s="12">
        <f t="shared" si="22"/>
        <v>1</v>
      </c>
      <c r="AJ37" s="12">
        <f t="shared" si="8"/>
        <v>2</v>
      </c>
      <c r="AK37" s="12">
        <f t="shared" si="23"/>
        <v>0</v>
      </c>
      <c r="AL37" s="12">
        <f t="shared" si="24"/>
        <v>2</v>
      </c>
      <c r="AM37" s="12">
        <f t="shared" si="25"/>
        <v>20023.350511170673</v>
      </c>
      <c r="AN37" s="12" t="str">
        <f t="shared" si="26"/>
        <v>Same</v>
      </c>
    </row>
    <row r="38" spans="1:40" x14ac:dyDescent="0.25">
      <c r="A38" s="10" t="str">
        <f>'1.2 Sorting'!L38</f>
        <v>Spare 68</v>
      </c>
      <c r="B38" s="10" cm="1">
        <f t="array" ref="B38">IF($A38="",0,INDEX(' 1.0 Asset Data'!$B$8:$B$80,MATCH($A38,' 1.0 Asset Data'!$A$8:$A$80,0),0))</f>
        <v>1260</v>
      </c>
      <c r="C38" s="10" cm="1">
        <f t="array" ref="C38">IF($A38="",0,INDEX(' 1.0 Asset Data'!$C$8:$C$80,MATCH($A38,' 1.0 Asset Data'!$A$8:$A$80,0),0))</f>
        <v>12</v>
      </c>
      <c r="D38" s="50" cm="1">
        <f t="array" ref="D38">IF($A38="",0,INDEX(' 1.0 Asset Data'!$E$8:$E$80,MATCH($A38,' 1.0 Asset Data'!$A$8:$A$80,0),0))</f>
        <v>4.7619047619047623E-3</v>
      </c>
      <c r="E38" s="10" cm="1">
        <f t="array" ref="E38">IF($A38="",0,INDEX(' 1.0 Asset Data'!$I$8:$I$80,MATCH($A38,' 1.0 Asset Data'!$A$8:$A$80,0),0))</f>
        <v>104</v>
      </c>
      <c r="F38" s="31" cm="1">
        <f t="array" ref="F38">IF($A38="",0,INDEX(' 1.0 Asset Data'!$F$8:$F$80,MATCH($A38,' 1.0 Asset Data'!$A$8:$A$80,0),0))</f>
        <v>46674.476716015553</v>
      </c>
      <c r="G38" s="31" cm="1">
        <f t="array" ref="G38">IF($A38="",0,INDEX(' 1.0 Asset Data'!$G$8:$G$80,MATCH($A38,' 1.0 Asset Data'!$A$8:$A$80,0),0))</f>
        <v>0</v>
      </c>
      <c r="H38" s="51" t="str" cm="1">
        <f t="array" ref="H38">IFERROR(INDEX(' 1.0 Asset Data'!J$8:J$90,MATCH($A38,' 1.0 Asset Data'!$A$8:$A$90,0),0),"")</f>
        <v>Asset offline for lead time duration</v>
      </c>
      <c r="I38" s="51" cm="1">
        <f t="array" ref="I38">_xlfn.IFNA(INDEX(' 1.0 Asset Data'!$K$8:$K$75,MATCH($A38,' 1.0 Asset Data'!$A$8:$A$75,0),0),0)</f>
        <v>49335104</v>
      </c>
      <c r="K38" s="49">
        <f t="shared" si="9"/>
        <v>9.5238095238095247E-3</v>
      </c>
      <c r="L38" s="7">
        <f t="shared" si="0"/>
        <v>51</v>
      </c>
      <c r="M38" s="12">
        <f t="shared" si="10"/>
        <v>1</v>
      </c>
      <c r="N38" s="12">
        <f t="shared" si="1"/>
        <v>52</v>
      </c>
      <c r="O38" s="12">
        <f t="shared" si="11"/>
        <v>12</v>
      </c>
      <c r="P38" s="12">
        <f t="shared" si="2"/>
        <v>40</v>
      </c>
      <c r="R38" s="12">
        <f t="shared" si="12"/>
        <v>1866979.0686406221</v>
      </c>
      <c r="S38" s="12">
        <f t="shared" si="3"/>
        <v>21</v>
      </c>
      <c r="T38" s="12">
        <f t="shared" si="4"/>
        <v>14442438.767668387</v>
      </c>
      <c r="U38" s="19">
        <f t="shared" si="13"/>
        <v>1866979.0686406221</v>
      </c>
      <c r="V38" s="19" t="str">
        <f t="shared" si="14"/>
        <v>-</v>
      </c>
      <c r="X38" s="49">
        <f t="shared" si="15"/>
        <v>1.4285714285714285E-2</v>
      </c>
      <c r="Y38" s="7">
        <f t="shared" si="5"/>
        <v>51</v>
      </c>
      <c r="Z38" s="12">
        <f t="shared" si="16"/>
        <v>1</v>
      </c>
      <c r="AA38" s="12">
        <f t="shared" si="6"/>
        <v>52</v>
      </c>
      <c r="AB38" s="12">
        <f t="shared" si="17"/>
        <v>12</v>
      </c>
      <c r="AC38" s="12">
        <f t="shared" si="18"/>
        <v>40</v>
      </c>
      <c r="AD38" s="12">
        <f t="shared" si="19"/>
        <v>1866979.0686406221</v>
      </c>
      <c r="AE38" s="12" t="str">
        <f t="shared" si="20"/>
        <v>Same</v>
      </c>
      <c r="AG38" s="49">
        <f t="shared" si="21"/>
        <v>1.9047619047619049E-2</v>
      </c>
      <c r="AH38" s="7">
        <f t="shared" si="7"/>
        <v>51</v>
      </c>
      <c r="AI38" s="12">
        <f t="shared" si="22"/>
        <v>1</v>
      </c>
      <c r="AJ38" s="12">
        <f t="shared" si="8"/>
        <v>52</v>
      </c>
      <c r="AK38" s="12">
        <f t="shared" si="23"/>
        <v>12</v>
      </c>
      <c r="AL38" s="12">
        <f t="shared" si="24"/>
        <v>40</v>
      </c>
      <c r="AM38" s="12">
        <f t="shared" si="25"/>
        <v>1866979.0686406221</v>
      </c>
      <c r="AN38" s="12" t="str">
        <f t="shared" si="26"/>
        <v>Same</v>
      </c>
    </row>
    <row r="39" spans="1:40" x14ac:dyDescent="0.25">
      <c r="A39" s="10" t="str">
        <f>'1.2 Sorting'!L39</f>
        <v>Spare 32</v>
      </c>
      <c r="B39" s="10" cm="1">
        <f t="array" ref="B39">IF($A39="",0,INDEX(' 1.0 Asset Data'!$B$8:$B$80,MATCH($A39,' 1.0 Asset Data'!$A$8:$A$80,0),0))</f>
        <v>3</v>
      </c>
      <c r="C39" s="10" cm="1">
        <f t="array" ref="C39">IF($A39="",0,INDEX(' 1.0 Asset Data'!$C$8:$C$80,MATCH($A39,' 1.0 Asset Data'!$A$8:$A$80,0),0))</f>
        <v>1</v>
      </c>
      <c r="D39" s="50" cm="1">
        <f t="array" ref="D39">IF($A39="",0,INDEX(' 1.0 Asset Data'!$E$8:$E$80,MATCH($A39,' 1.0 Asset Data'!$A$8:$A$80,0),0))</f>
        <v>3.7054799999999993E-3</v>
      </c>
      <c r="E39" s="10" cm="1">
        <f t="array" ref="E39">IF($A39="",0,INDEX(' 1.0 Asset Data'!$I$8:$I$80,MATCH($A39,' 1.0 Asset Data'!$A$8:$A$80,0),0))</f>
        <v>34</v>
      </c>
      <c r="F39" s="31" cm="1">
        <f t="array" ref="F39">IF($A39="",0,INDEX(' 1.0 Asset Data'!$F$8:$F$80,MATCH($A39,' 1.0 Asset Data'!$A$8:$A$80,0),0))</f>
        <v>21031.898204987549</v>
      </c>
      <c r="G39" s="31" cm="1">
        <f t="array" ref="G39">IF($A39="",0,INDEX(' 1.0 Asset Data'!$G$8:$G$80,MATCH($A39,' 1.0 Asset Data'!$A$8:$A$80,0),0))</f>
        <v>0</v>
      </c>
      <c r="H39" s="51" t="str" cm="1">
        <f t="array" ref="H39">IFERROR(INDEX(' 1.0 Asset Data'!J$8:J$90,MATCH($A39,' 1.0 Asset Data'!$A$8:$A$90,0),0),"")</f>
        <v>Re-engineer, asset offline for lead time (at least)</v>
      </c>
      <c r="I39" s="51" cm="1">
        <f t="array" ref="I39">_xlfn.IFNA(INDEX(' 1.0 Asset Data'!$K$8:$K$75,MATCH($A39,' 1.0 Asset Data'!$A$8:$A$75,0),0),0)</f>
        <v>16128784</v>
      </c>
      <c r="K39" s="49">
        <f t="shared" si="9"/>
        <v>2.4228138461538456E-3</v>
      </c>
      <c r="L39" s="7">
        <f t="shared" si="0"/>
        <v>1</v>
      </c>
      <c r="M39" s="12">
        <f t="shared" si="10"/>
        <v>1</v>
      </c>
      <c r="N39" s="12">
        <f t="shared" si="1"/>
        <v>2</v>
      </c>
      <c r="O39" s="12">
        <f t="shared" si="11"/>
        <v>1</v>
      </c>
      <c r="P39" s="12">
        <f t="shared" si="2"/>
        <v>1</v>
      </c>
      <c r="R39" s="12">
        <f t="shared" si="12"/>
        <v>21031.898204987549</v>
      </c>
      <c r="S39" s="12">
        <f t="shared" si="3"/>
        <v>26.987057007459228</v>
      </c>
      <c r="T39" s="12">
        <f t="shared" si="4"/>
        <v>3326457.1399861136</v>
      </c>
      <c r="U39" s="19">
        <f t="shared" si="13"/>
        <v>21031.898204987549</v>
      </c>
      <c r="V39" s="19" t="str">
        <f t="shared" si="14"/>
        <v>-</v>
      </c>
      <c r="X39" s="49">
        <f t="shared" si="15"/>
        <v>3.6342207692307686E-3</v>
      </c>
      <c r="Y39" s="7">
        <f t="shared" si="5"/>
        <v>1</v>
      </c>
      <c r="Z39" s="12">
        <f t="shared" si="16"/>
        <v>1</v>
      </c>
      <c r="AA39" s="12">
        <f t="shared" si="6"/>
        <v>2</v>
      </c>
      <c r="AB39" s="12">
        <f t="shared" si="17"/>
        <v>1</v>
      </c>
      <c r="AC39" s="12">
        <f t="shared" si="18"/>
        <v>1</v>
      </c>
      <c r="AD39" s="12">
        <f t="shared" si="19"/>
        <v>21031.898204987549</v>
      </c>
      <c r="AE39" s="12" t="str">
        <f t="shared" si="20"/>
        <v>Same</v>
      </c>
      <c r="AG39" s="49">
        <f t="shared" si="21"/>
        <v>4.8456276923076911E-3</v>
      </c>
      <c r="AH39" s="7">
        <f t="shared" si="7"/>
        <v>1</v>
      </c>
      <c r="AI39" s="12">
        <f t="shared" si="22"/>
        <v>1</v>
      </c>
      <c r="AJ39" s="12">
        <f t="shared" si="8"/>
        <v>2</v>
      </c>
      <c r="AK39" s="12">
        <f t="shared" si="23"/>
        <v>1</v>
      </c>
      <c r="AL39" s="12">
        <f t="shared" si="24"/>
        <v>1</v>
      </c>
      <c r="AM39" s="12">
        <f t="shared" si="25"/>
        <v>21031.898204987549</v>
      </c>
      <c r="AN39" s="12" t="str">
        <f t="shared" si="26"/>
        <v>Same</v>
      </c>
    </row>
    <row r="40" spans="1:40" x14ac:dyDescent="0.25">
      <c r="A40" s="10" t="str">
        <f>'1.2 Sorting'!L40</f>
        <v>Spare 43</v>
      </c>
      <c r="B40" s="10" cm="1">
        <f t="array" ref="B40">IF($A40="",0,INDEX(' 1.0 Asset Data'!$B$8:$B$80,MATCH($A40,' 1.0 Asset Data'!$A$8:$A$80,0),0))</f>
        <v>18</v>
      </c>
      <c r="C40" s="10" cm="1">
        <f t="array" ref="C40">IF($A40="",0,INDEX(' 1.0 Asset Data'!$C$8:$C$80,MATCH($A40,' 1.0 Asset Data'!$A$8:$A$80,0),0))</f>
        <v>0</v>
      </c>
      <c r="D40" s="50" cm="1">
        <f t="array" ref="D40">IF($A40="",0,INDEX(' 1.0 Asset Data'!$E$8:$E$80,MATCH($A40,' 1.0 Asset Data'!$A$8:$A$80,0),0))</f>
        <v>3.1536000000000002E-2</v>
      </c>
      <c r="E40" s="10" cm="1">
        <f t="array" ref="E40">IF($A40="",0,INDEX(' 1.0 Asset Data'!$I$8:$I$80,MATCH($A40,' 1.0 Asset Data'!$A$8:$A$80,0),0))</f>
        <v>104</v>
      </c>
      <c r="F40" s="31" cm="1">
        <f t="array" ref="F40">IF($A40="",0,INDEX(' 1.0 Asset Data'!$F$8:$F$80,MATCH($A40,' 1.0 Asset Data'!$A$8:$A$80,0),0))</f>
        <v>13949.60085611557</v>
      </c>
      <c r="G40" s="31" cm="1">
        <f t="array" ref="G40">IF($A40="",0,INDEX(' 1.0 Asset Data'!$G$8:$G$80,MATCH($A40,' 1.0 Asset Data'!$A$8:$A$80,0),0))</f>
        <v>0</v>
      </c>
      <c r="H40" s="51" t="str" cm="1">
        <f t="array" ref="H40">IFERROR(INDEX(' 1.0 Asset Data'!J$8:J$90,MATCH($A40,' 1.0 Asset Data'!$A$8:$A$90,0),0),"")</f>
        <v>Re-engineer, asset offline for lead time (at least)</v>
      </c>
      <c r="I40" s="51" cm="1">
        <f t="array" ref="I40">_xlfn.IFNA(INDEX(' 1.0 Asset Data'!$K$8:$K$75,MATCH($A40,' 1.0 Asset Data'!$A$8:$A$75,0),0),0)</f>
        <v>49335104</v>
      </c>
      <c r="K40" s="49">
        <f t="shared" si="9"/>
        <v>6.3072000000000003E-2</v>
      </c>
      <c r="L40" s="7">
        <f t="shared" ref="L40:L65" si="27">IF($A40="",0,ROUNDUP($B40*CritMin,0))</f>
        <v>1</v>
      </c>
      <c r="M40" s="12">
        <f t="shared" si="10"/>
        <v>1</v>
      </c>
      <c r="N40" s="12">
        <f t="shared" ref="N40:N65" si="28">L40+M40</f>
        <v>2</v>
      </c>
      <c r="O40" s="12">
        <f t="shared" si="11"/>
        <v>0</v>
      </c>
      <c r="P40" s="12">
        <f t="shared" ref="P40:P65" si="29">IF(MAX(N40-O40,0)=0,0,MAX(N40-O40,G40))</f>
        <v>2</v>
      </c>
      <c r="R40" s="12">
        <f t="shared" si="12"/>
        <v>27899.201712231141</v>
      </c>
      <c r="S40" s="12">
        <f t="shared" ref="S40:S65" si="30">IF(A40="",0,FailureThreshold/D40)</f>
        <v>3.1709791983764588</v>
      </c>
      <c r="T40" s="12">
        <f t="shared" ref="T40:T65" si="31">I40/(1+NominalWACC)^S40</f>
        <v>40982243.938301571</v>
      </c>
      <c r="U40" s="19">
        <f t="shared" si="13"/>
        <v>27899.201712231141</v>
      </c>
      <c r="V40" s="19" t="str">
        <f t="shared" si="14"/>
        <v>-</v>
      </c>
      <c r="X40" s="49">
        <f t="shared" si="15"/>
        <v>9.4607999999999998E-2</v>
      </c>
      <c r="Y40" s="7">
        <f t="shared" ref="Y40:Y65" si="32">IF($A40="",0,ROUNDUP($B40*CritMin,0))</f>
        <v>1</v>
      </c>
      <c r="Z40" s="12">
        <f t="shared" si="16"/>
        <v>1</v>
      </c>
      <c r="AA40" s="12">
        <f t="shared" ref="AA40:AA65" si="33">Y40+Z40</f>
        <v>2</v>
      </c>
      <c r="AB40" s="12">
        <f t="shared" si="17"/>
        <v>0</v>
      </c>
      <c r="AC40" s="12">
        <f t="shared" si="18"/>
        <v>2</v>
      </c>
      <c r="AD40" s="12">
        <f t="shared" si="19"/>
        <v>27899.201712231141</v>
      </c>
      <c r="AE40" s="12" t="str">
        <f t="shared" si="20"/>
        <v>Same</v>
      </c>
      <c r="AG40" s="49">
        <f t="shared" si="21"/>
        <v>0.12614400000000001</v>
      </c>
      <c r="AH40" s="7">
        <f t="shared" ref="AH40:AH65" si="34">IF($A40="",0,ROUNDUP($B40*CritMin,0))</f>
        <v>1</v>
      </c>
      <c r="AI40" s="12">
        <f t="shared" si="22"/>
        <v>1</v>
      </c>
      <c r="AJ40" s="12">
        <f t="shared" ref="AJ40:AJ65" si="35">AH40+AI40</f>
        <v>2</v>
      </c>
      <c r="AK40" s="12">
        <f t="shared" si="23"/>
        <v>0</v>
      </c>
      <c r="AL40" s="12">
        <f t="shared" si="24"/>
        <v>2</v>
      </c>
      <c r="AM40" s="12">
        <f t="shared" si="25"/>
        <v>27899.201712231141</v>
      </c>
      <c r="AN40" s="12" t="str">
        <f t="shared" si="26"/>
        <v>Same</v>
      </c>
    </row>
    <row r="41" spans="1:40" x14ac:dyDescent="0.25">
      <c r="A41" s="10" t="str">
        <f>'1.2 Sorting'!L41</f>
        <v>Spare 44</v>
      </c>
      <c r="B41" s="10" cm="1">
        <f t="array" ref="B41">IF($A41="",0,INDEX(' 1.0 Asset Data'!$B$8:$B$80,MATCH($A41,' 1.0 Asset Data'!$A$8:$A$80,0),0))</f>
        <v>18</v>
      </c>
      <c r="C41" s="10" cm="1">
        <f t="array" ref="C41">IF($A41="",0,INDEX(' 1.0 Asset Data'!$C$8:$C$80,MATCH($A41,' 1.0 Asset Data'!$A$8:$A$80,0),0))</f>
        <v>0</v>
      </c>
      <c r="D41" s="50" cm="1">
        <f t="array" ref="D41">IF($A41="",0,INDEX(' 1.0 Asset Data'!$E$8:$E$80,MATCH($A41,' 1.0 Asset Data'!$A$8:$A$80,0),0))</f>
        <v>3.1536000000000002E-2</v>
      </c>
      <c r="E41" s="10" cm="1">
        <f t="array" ref="E41">IF($A41="",0,INDEX(' 1.0 Asset Data'!$I$8:$I$80,MATCH($A41,' 1.0 Asset Data'!$A$8:$A$80,0),0))</f>
        <v>104</v>
      </c>
      <c r="F41" s="31" cm="1">
        <f t="array" ref="F41">IF($A41="",0,INDEX(' 1.0 Asset Data'!$F$8:$F$80,MATCH($A41,' 1.0 Asset Data'!$A$8:$A$80,0),0))</f>
        <v>13949.60085611557</v>
      </c>
      <c r="G41" s="31" cm="1">
        <f t="array" ref="G41">IF($A41="",0,INDEX(' 1.0 Asset Data'!$G$8:$G$80,MATCH($A41,' 1.0 Asset Data'!$A$8:$A$80,0),0))</f>
        <v>0</v>
      </c>
      <c r="H41" s="51" t="str" cm="1">
        <f t="array" ref="H41">IFERROR(INDEX(' 1.0 Asset Data'!J$8:J$90,MATCH($A41,' 1.0 Asset Data'!$A$8:$A$90,0),0),"")</f>
        <v>Re-engineer, asset offline for lead time (at least)</v>
      </c>
      <c r="I41" s="51" cm="1">
        <f t="array" ref="I41">_xlfn.IFNA(INDEX(' 1.0 Asset Data'!$K$8:$K$75,MATCH($A41,' 1.0 Asset Data'!$A$8:$A$75,0),0),0)</f>
        <v>49335104</v>
      </c>
      <c r="K41" s="49">
        <f t="shared" si="9"/>
        <v>6.3072000000000003E-2</v>
      </c>
      <c r="L41" s="7">
        <f t="shared" si="27"/>
        <v>1</v>
      </c>
      <c r="M41" s="12">
        <f t="shared" si="10"/>
        <v>1</v>
      </c>
      <c r="N41" s="12">
        <f t="shared" si="28"/>
        <v>2</v>
      </c>
      <c r="O41" s="12">
        <f t="shared" si="11"/>
        <v>0</v>
      </c>
      <c r="P41" s="12">
        <f t="shared" si="29"/>
        <v>2</v>
      </c>
      <c r="R41" s="12">
        <f t="shared" si="12"/>
        <v>27899.201712231141</v>
      </c>
      <c r="S41" s="12">
        <f t="shared" si="30"/>
        <v>3.1709791983764588</v>
      </c>
      <c r="T41" s="12">
        <f t="shared" si="31"/>
        <v>40982243.938301571</v>
      </c>
      <c r="U41" s="19">
        <f t="shared" si="13"/>
        <v>27899.201712231141</v>
      </c>
      <c r="V41" s="19" t="str">
        <f t="shared" si="14"/>
        <v>-</v>
      </c>
      <c r="X41" s="49">
        <f t="shared" si="15"/>
        <v>9.4607999999999998E-2</v>
      </c>
      <c r="Y41" s="7">
        <f t="shared" si="32"/>
        <v>1</v>
      </c>
      <c r="Z41" s="12">
        <f t="shared" si="16"/>
        <v>1</v>
      </c>
      <c r="AA41" s="12">
        <f t="shared" si="33"/>
        <v>2</v>
      </c>
      <c r="AB41" s="12">
        <f t="shared" si="17"/>
        <v>0</v>
      </c>
      <c r="AC41" s="12">
        <f t="shared" si="18"/>
        <v>2</v>
      </c>
      <c r="AD41" s="12">
        <f t="shared" si="19"/>
        <v>27899.201712231141</v>
      </c>
      <c r="AE41" s="12" t="str">
        <f t="shared" si="20"/>
        <v>Same</v>
      </c>
      <c r="AG41" s="49">
        <f t="shared" si="21"/>
        <v>0.12614400000000001</v>
      </c>
      <c r="AH41" s="7">
        <f t="shared" si="34"/>
        <v>1</v>
      </c>
      <c r="AI41" s="12">
        <f t="shared" si="22"/>
        <v>1</v>
      </c>
      <c r="AJ41" s="12">
        <f t="shared" si="35"/>
        <v>2</v>
      </c>
      <c r="AK41" s="12">
        <f t="shared" si="23"/>
        <v>0</v>
      </c>
      <c r="AL41" s="12">
        <f t="shared" si="24"/>
        <v>2</v>
      </c>
      <c r="AM41" s="12">
        <f t="shared" si="25"/>
        <v>27899.201712231141</v>
      </c>
      <c r="AN41" s="12" t="str">
        <f t="shared" si="26"/>
        <v>Same</v>
      </c>
    </row>
    <row r="42" spans="1:40" x14ac:dyDescent="0.25">
      <c r="A42" s="10" t="str">
        <f>'1.2 Sorting'!L42</f>
        <v>Spare 46</v>
      </c>
      <c r="B42" s="10" cm="1">
        <f t="array" ref="B42">IF($A42="",0,INDEX(' 1.0 Asset Data'!$B$8:$B$80,MATCH($A42,' 1.0 Asset Data'!$A$8:$A$80,0),0))</f>
        <v>15</v>
      </c>
      <c r="C42" s="10" cm="1">
        <f t="array" ref="C42">IF($A42="",0,INDEX(' 1.0 Asset Data'!$C$8:$C$80,MATCH($A42,' 1.0 Asset Data'!$A$8:$A$80,0),0))</f>
        <v>1</v>
      </c>
      <c r="D42" s="50" cm="1">
        <f t="array" ref="D42">IF($A42="",0,INDEX(' 1.0 Asset Data'!$E$8:$E$80,MATCH($A42,' 1.0 Asset Data'!$A$8:$A$80,0),0))</f>
        <v>9.920700000000001E-3</v>
      </c>
      <c r="E42" s="10" cm="1">
        <f t="array" ref="E42">IF($A42="",0,INDEX(' 1.0 Asset Data'!$I$8:$I$80,MATCH($A42,' 1.0 Asset Data'!$A$8:$A$80,0),0))</f>
        <v>104</v>
      </c>
      <c r="F42" s="31" cm="1">
        <f t="array" ref="F42">IF($A42="",0,INDEX(' 1.0 Asset Data'!$F$8:$F$80,MATCH($A42,' 1.0 Asset Data'!$A$8:$A$80,0),0))</f>
        <v>334177.58466749237</v>
      </c>
      <c r="G42" s="31" cm="1">
        <f t="array" ref="G42">IF($A42="",0,INDEX(' 1.0 Asset Data'!$G$8:$G$80,MATCH($A42,' 1.0 Asset Data'!$A$8:$A$80,0),0))</f>
        <v>0</v>
      </c>
      <c r="H42" s="51" t="str" cm="1">
        <f t="array" ref="H42">IFERROR(INDEX(' 1.0 Asset Data'!J$8:J$90,MATCH($A42,' 1.0 Asset Data'!$A$8:$A$90,0),0),"")</f>
        <v>Re-engineer, asset offline for lead time (at least)</v>
      </c>
      <c r="I42" s="51" cm="1">
        <f t="array" ref="I42">_xlfn.IFNA(INDEX(' 1.0 Asset Data'!$K$8:$K$75,MATCH($A42,' 1.0 Asset Data'!$A$8:$A$75,0),0),0)</f>
        <v>49335104</v>
      </c>
      <c r="K42" s="49">
        <f t="shared" si="9"/>
        <v>1.9841400000000002E-2</v>
      </c>
      <c r="L42" s="7">
        <f t="shared" si="27"/>
        <v>1</v>
      </c>
      <c r="M42" s="12">
        <f t="shared" si="10"/>
        <v>1</v>
      </c>
      <c r="N42" s="12">
        <f t="shared" si="28"/>
        <v>2</v>
      </c>
      <c r="O42" s="12">
        <f t="shared" si="11"/>
        <v>1</v>
      </c>
      <c r="P42" s="12">
        <f t="shared" si="29"/>
        <v>1</v>
      </c>
      <c r="R42" s="12">
        <f t="shared" si="12"/>
        <v>334177.58466749237</v>
      </c>
      <c r="S42" s="12">
        <f t="shared" si="30"/>
        <v>10.079933875633776</v>
      </c>
      <c r="T42" s="12">
        <f t="shared" si="31"/>
        <v>27357114.093464483</v>
      </c>
      <c r="U42" s="19">
        <f t="shared" si="13"/>
        <v>334177.58466749237</v>
      </c>
      <c r="V42" s="19" t="str">
        <f t="shared" si="14"/>
        <v>-</v>
      </c>
      <c r="X42" s="49">
        <f t="shared" si="15"/>
        <v>2.97621E-2</v>
      </c>
      <c r="Y42" s="7">
        <f t="shared" si="32"/>
        <v>1</v>
      </c>
      <c r="Z42" s="12">
        <f t="shared" si="16"/>
        <v>1</v>
      </c>
      <c r="AA42" s="12">
        <f t="shared" si="33"/>
        <v>2</v>
      </c>
      <c r="AB42" s="12">
        <f t="shared" si="17"/>
        <v>1</v>
      </c>
      <c r="AC42" s="12">
        <f t="shared" si="18"/>
        <v>1</v>
      </c>
      <c r="AD42" s="12">
        <f t="shared" si="19"/>
        <v>334177.58466749237</v>
      </c>
      <c r="AE42" s="12" t="str">
        <f t="shared" si="20"/>
        <v>Same</v>
      </c>
      <c r="AG42" s="49">
        <f t="shared" si="21"/>
        <v>3.9682800000000004E-2</v>
      </c>
      <c r="AH42" s="7">
        <f t="shared" si="34"/>
        <v>1</v>
      </c>
      <c r="AI42" s="12">
        <f t="shared" si="22"/>
        <v>1</v>
      </c>
      <c r="AJ42" s="12">
        <f t="shared" si="35"/>
        <v>2</v>
      </c>
      <c r="AK42" s="12">
        <f t="shared" si="23"/>
        <v>1</v>
      </c>
      <c r="AL42" s="12">
        <f t="shared" si="24"/>
        <v>1</v>
      </c>
      <c r="AM42" s="12">
        <f t="shared" si="25"/>
        <v>334177.58466749237</v>
      </c>
      <c r="AN42" s="12" t="str">
        <f t="shared" si="26"/>
        <v>Same</v>
      </c>
    </row>
    <row r="43" spans="1:40" x14ac:dyDescent="0.25">
      <c r="A43" s="10" t="str">
        <f>'1.2 Sorting'!L43</f>
        <v>Spare 47</v>
      </c>
      <c r="B43" s="10" cm="1">
        <f t="array" ref="B43">IF($A43="",0,INDEX(' 1.0 Asset Data'!$B$8:$B$80,MATCH($A43,' 1.0 Asset Data'!$A$8:$A$80,0),0))</f>
        <v>3</v>
      </c>
      <c r="C43" s="10" cm="1">
        <f t="array" ref="C43">IF($A43="",0,INDEX(' 1.0 Asset Data'!$C$8:$C$80,MATCH($A43,' 1.0 Asset Data'!$A$8:$A$80,0),0))</f>
        <v>1</v>
      </c>
      <c r="D43" s="50" cm="1">
        <f t="array" ref="D43">IF($A43="",0,INDEX(' 1.0 Asset Data'!$E$8:$E$80,MATCH($A43,' 1.0 Asset Data'!$A$8:$A$80,0),0))</f>
        <v>1.9841400000000001E-3</v>
      </c>
      <c r="E43" s="10" cm="1">
        <f t="array" ref="E43">IF($A43="",0,INDEX(' 1.0 Asset Data'!$I$8:$I$80,MATCH($A43,' 1.0 Asset Data'!$A$8:$A$80,0),0))</f>
        <v>104</v>
      </c>
      <c r="F43" s="31" cm="1">
        <f t="array" ref="F43">IF($A43="",0,INDEX(' 1.0 Asset Data'!$F$8:$F$80,MATCH($A43,' 1.0 Asset Data'!$A$8:$A$80,0),0))</f>
        <v>334177.58466749237</v>
      </c>
      <c r="G43" s="31" cm="1">
        <f t="array" ref="G43">IF($A43="",0,INDEX(' 1.0 Asset Data'!$G$8:$G$80,MATCH($A43,' 1.0 Asset Data'!$A$8:$A$80,0),0))</f>
        <v>0</v>
      </c>
      <c r="H43" s="51" t="str" cm="1">
        <f t="array" ref="H43">IFERROR(INDEX(' 1.0 Asset Data'!J$8:J$90,MATCH($A43,' 1.0 Asset Data'!$A$8:$A$90,0),0),"")</f>
        <v>Re-engineer, asset offline for lead time (at least)</v>
      </c>
      <c r="I43" s="51" cm="1">
        <f t="array" ref="I43">_xlfn.IFNA(INDEX(' 1.0 Asset Data'!$K$8:$K$75,MATCH($A43,' 1.0 Asset Data'!$A$8:$A$75,0),0),0)</f>
        <v>49335104</v>
      </c>
      <c r="K43" s="49">
        <f t="shared" si="9"/>
        <v>3.9682800000000002E-3</v>
      </c>
      <c r="L43" s="7">
        <f t="shared" si="27"/>
        <v>1</v>
      </c>
      <c r="M43" s="12">
        <f t="shared" si="10"/>
        <v>1</v>
      </c>
      <c r="N43" s="12">
        <f t="shared" si="28"/>
        <v>2</v>
      </c>
      <c r="O43" s="12">
        <f t="shared" si="11"/>
        <v>1</v>
      </c>
      <c r="P43" s="12">
        <f t="shared" si="29"/>
        <v>1</v>
      </c>
      <c r="R43" s="12">
        <f t="shared" si="12"/>
        <v>334177.58466749237</v>
      </c>
      <c r="S43" s="12">
        <f t="shared" si="30"/>
        <v>50.39966937816888</v>
      </c>
      <c r="T43" s="12">
        <f t="shared" si="31"/>
        <v>2586587.7482898361</v>
      </c>
      <c r="U43" s="19">
        <f t="shared" si="13"/>
        <v>334177.58466749237</v>
      </c>
      <c r="V43" s="19" t="str">
        <f t="shared" si="14"/>
        <v>-</v>
      </c>
      <c r="X43" s="49">
        <f t="shared" si="15"/>
        <v>5.9524199999999999E-3</v>
      </c>
      <c r="Y43" s="7">
        <f t="shared" si="32"/>
        <v>1</v>
      </c>
      <c r="Z43" s="12">
        <f t="shared" si="16"/>
        <v>1</v>
      </c>
      <c r="AA43" s="12">
        <f t="shared" si="33"/>
        <v>2</v>
      </c>
      <c r="AB43" s="12">
        <f t="shared" si="17"/>
        <v>1</v>
      </c>
      <c r="AC43" s="12">
        <f t="shared" si="18"/>
        <v>1</v>
      </c>
      <c r="AD43" s="12">
        <f t="shared" si="19"/>
        <v>334177.58466749237</v>
      </c>
      <c r="AE43" s="12" t="str">
        <f t="shared" si="20"/>
        <v>Same</v>
      </c>
      <c r="AG43" s="49">
        <f t="shared" si="21"/>
        <v>7.9365600000000005E-3</v>
      </c>
      <c r="AH43" s="7">
        <f t="shared" si="34"/>
        <v>1</v>
      </c>
      <c r="AI43" s="12">
        <f t="shared" si="22"/>
        <v>1</v>
      </c>
      <c r="AJ43" s="12">
        <f t="shared" si="35"/>
        <v>2</v>
      </c>
      <c r="AK43" s="12">
        <f t="shared" si="23"/>
        <v>1</v>
      </c>
      <c r="AL43" s="12">
        <f t="shared" si="24"/>
        <v>1</v>
      </c>
      <c r="AM43" s="12">
        <f t="shared" si="25"/>
        <v>334177.58466749237</v>
      </c>
      <c r="AN43" s="12" t="str">
        <f t="shared" si="26"/>
        <v>Same</v>
      </c>
    </row>
    <row r="44" spans="1:40" x14ac:dyDescent="0.25">
      <c r="A44" s="10" t="str">
        <f>'1.2 Sorting'!L44</f>
        <v>Spare 48</v>
      </c>
      <c r="B44" s="10" cm="1">
        <f t="array" ref="B44">IF($A44="",0,INDEX(' 1.0 Asset Data'!$B$8:$B$80,MATCH($A44,' 1.0 Asset Data'!$A$8:$A$80,0),0))</f>
        <v>18</v>
      </c>
      <c r="C44" s="10" cm="1">
        <f t="array" ref="C44">IF($A44="",0,INDEX(' 1.0 Asset Data'!$C$8:$C$80,MATCH($A44,' 1.0 Asset Data'!$A$8:$A$80,0),0))</f>
        <v>0</v>
      </c>
      <c r="D44" s="50" cm="1">
        <f t="array" ref="D44">IF($A44="",0,INDEX(' 1.0 Asset Data'!$E$8:$E$80,MATCH($A44,' 1.0 Asset Data'!$A$8:$A$80,0),0))</f>
        <v>1.190484E-2</v>
      </c>
      <c r="E44" s="10" cm="1">
        <f t="array" ref="E44">IF($A44="",0,INDEX(' 1.0 Asset Data'!$I$8:$I$80,MATCH($A44,' 1.0 Asset Data'!$A$8:$A$80,0),0))</f>
        <v>104</v>
      </c>
      <c r="F44" s="31" cm="1">
        <f t="array" ref="F44">IF($A44="",0,INDEX(' 1.0 Asset Data'!$F$8:$F$80,MATCH($A44,' 1.0 Asset Data'!$A$8:$A$80,0),0))</f>
        <v>24342.023155511804</v>
      </c>
      <c r="G44" s="31" cm="1">
        <f t="array" ref="G44">IF($A44="",0,INDEX(' 1.0 Asset Data'!$G$8:$G$80,MATCH($A44,' 1.0 Asset Data'!$A$8:$A$80,0),0))</f>
        <v>0</v>
      </c>
      <c r="H44" s="51" t="str" cm="1">
        <f t="array" ref="H44">IFERROR(INDEX(' 1.0 Asset Data'!J$8:J$90,MATCH($A44,' 1.0 Asset Data'!$A$8:$A$90,0),0),"")</f>
        <v>Re-engineer, asset offline for lead time (at least)</v>
      </c>
      <c r="I44" s="51" cm="1">
        <f t="array" ref="I44">_xlfn.IFNA(INDEX(' 1.0 Asset Data'!$K$8:$K$75,MATCH($A44,' 1.0 Asset Data'!$A$8:$A$75,0),0),0)</f>
        <v>49335104</v>
      </c>
      <c r="K44" s="49">
        <f t="shared" si="9"/>
        <v>2.380968E-2</v>
      </c>
      <c r="L44" s="7">
        <f t="shared" si="27"/>
        <v>1</v>
      </c>
      <c r="M44" s="12">
        <f t="shared" si="10"/>
        <v>1</v>
      </c>
      <c r="N44" s="12">
        <f t="shared" si="28"/>
        <v>2</v>
      </c>
      <c r="O44" s="12">
        <f t="shared" si="11"/>
        <v>0</v>
      </c>
      <c r="P44" s="12">
        <f t="shared" si="29"/>
        <v>2</v>
      </c>
      <c r="R44" s="12">
        <f t="shared" si="12"/>
        <v>48684.046311023609</v>
      </c>
      <c r="S44" s="12">
        <f t="shared" si="30"/>
        <v>8.3999448963614807</v>
      </c>
      <c r="T44" s="12">
        <f t="shared" si="31"/>
        <v>30182224.333179947</v>
      </c>
      <c r="U44" s="19">
        <f t="shared" si="13"/>
        <v>48684.046311023609</v>
      </c>
      <c r="V44" s="19" t="str">
        <f t="shared" si="14"/>
        <v>-</v>
      </c>
      <c r="X44" s="49">
        <f t="shared" si="15"/>
        <v>3.571452E-2</v>
      </c>
      <c r="Y44" s="7">
        <f t="shared" si="32"/>
        <v>1</v>
      </c>
      <c r="Z44" s="12">
        <f t="shared" si="16"/>
        <v>1</v>
      </c>
      <c r="AA44" s="12">
        <f t="shared" si="33"/>
        <v>2</v>
      </c>
      <c r="AB44" s="12">
        <f t="shared" si="17"/>
        <v>0</v>
      </c>
      <c r="AC44" s="12">
        <f t="shared" si="18"/>
        <v>2</v>
      </c>
      <c r="AD44" s="12">
        <f t="shared" si="19"/>
        <v>48684.046311023609</v>
      </c>
      <c r="AE44" s="12" t="str">
        <f t="shared" si="20"/>
        <v>Same</v>
      </c>
      <c r="AG44" s="49">
        <f t="shared" si="21"/>
        <v>4.7619359999999999E-2</v>
      </c>
      <c r="AH44" s="7">
        <f t="shared" si="34"/>
        <v>1</v>
      </c>
      <c r="AI44" s="12">
        <f t="shared" si="22"/>
        <v>1</v>
      </c>
      <c r="AJ44" s="12">
        <f t="shared" si="35"/>
        <v>2</v>
      </c>
      <c r="AK44" s="12">
        <f t="shared" si="23"/>
        <v>0</v>
      </c>
      <c r="AL44" s="12">
        <f t="shared" si="24"/>
        <v>2</v>
      </c>
      <c r="AM44" s="12">
        <f t="shared" si="25"/>
        <v>48684.046311023609</v>
      </c>
      <c r="AN44" s="12" t="str">
        <f t="shared" si="26"/>
        <v>Same</v>
      </c>
    </row>
    <row r="45" spans="1:40" x14ac:dyDescent="0.25">
      <c r="A45" s="10" t="str">
        <f>'1.2 Sorting'!L45</f>
        <v>Spare 41</v>
      </c>
      <c r="B45" s="10" cm="1">
        <f t="array" ref="B45">IF($A45="",0,INDEX(' 1.0 Asset Data'!$B$8:$B$80,MATCH($A45,' 1.0 Asset Data'!$A$8:$A$80,0),0))</f>
        <v>18</v>
      </c>
      <c r="C45" s="10" cm="1">
        <f t="array" ref="C45">IF($A45="",0,INDEX(' 1.0 Asset Data'!$C$8:$C$80,MATCH($A45,' 1.0 Asset Data'!$A$8:$A$80,0),0))</f>
        <v>0</v>
      </c>
      <c r="D45" s="50" cm="1">
        <f t="array" ref="D45">IF($A45="",0,INDEX(' 1.0 Asset Data'!$E$8:$E$80,MATCH($A45,' 1.0 Asset Data'!$A$8:$A$80,0),0))</f>
        <v>0.29170800000000002</v>
      </c>
      <c r="E45" s="10" cm="1">
        <f t="array" ref="E45">IF($A45="",0,INDEX(' 1.0 Asset Data'!$I$8:$I$80,MATCH($A45,' 1.0 Asset Data'!$A$8:$A$80,0),0))</f>
        <v>104</v>
      </c>
      <c r="F45" s="31" cm="1">
        <f t="array" ref="F45">IF($A45="",0,INDEX(' 1.0 Asset Data'!$F$8:$F$80,MATCH($A45,' 1.0 Asset Data'!$A$8:$A$80,0),0))</f>
        <v>35005.857537011667</v>
      </c>
      <c r="G45" s="31" cm="1">
        <f t="array" ref="G45">IF($A45="",0,INDEX(' 1.0 Asset Data'!$G$8:$G$80,MATCH($A45,' 1.0 Asset Data'!$A$8:$A$80,0),0))</f>
        <v>0</v>
      </c>
      <c r="H45" s="51" t="str" cm="1">
        <f t="array" ref="H45">IFERROR(INDEX(' 1.0 Asset Data'!J$8:J$90,MATCH($A45,' 1.0 Asset Data'!$A$8:$A$90,0),0),"")</f>
        <v>Re-engineer, asset offline for lead time (at least)</v>
      </c>
      <c r="I45" s="51" cm="1">
        <f t="array" ref="I45">_xlfn.IFNA(INDEX(' 1.0 Asset Data'!$K$8:$K$75,MATCH($A45,' 1.0 Asset Data'!$A$8:$A$75,0),0),0)</f>
        <v>49335104</v>
      </c>
      <c r="K45" s="49">
        <f t="shared" si="9"/>
        <v>0.58341600000000005</v>
      </c>
      <c r="L45" s="7">
        <f t="shared" si="27"/>
        <v>1</v>
      </c>
      <c r="M45" s="12">
        <f t="shared" si="10"/>
        <v>1</v>
      </c>
      <c r="N45" s="12">
        <f t="shared" si="28"/>
        <v>2</v>
      </c>
      <c r="O45" s="12">
        <f t="shared" si="11"/>
        <v>0</v>
      </c>
      <c r="P45" s="12">
        <f t="shared" si="29"/>
        <v>2</v>
      </c>
      <c r="R45" s="12">
        <f t="shared" si="12"/>
        <v>70011.715074023334</v>
      </c>
      <c r="S45" s="12">
        <f t="shared" si="30"/>
        <v>0.34280856198664417</v>
      </c>
      <c r="T45" s="12">
        <f t="shared" si="31"/>
        <v>48355605.399234094</v>
      </c>
      <c r="U45" s="19">
        <f t="shared" si="13"/>
        <v>70011.715074023334</v>
      </c>
      <c r="V45" s="19" t="str">
        <f t="shared" si="14"/>
        <v>-</v>
      </c>
      <c r="X45" s="49">
        <f t="shared" si="15"/>
        <v>0.87512400000000001</v>
      </c>
      <c r="Y45" s="7">
        <f t="shared" si="32"/>
        <v>1</v>
      </c>
      <c r="Z45" s="12">
        <f t="shared" si="16"/>
        <v>1</v>
      </c>
      <c r="AA45" s="12">
        <f t="shared" si="33"/>
        <v>2</v>
      </c>
      <c r="AB45" s="12">
        <f t="shared" si="17"/>
        <v>0</v>
      </c>
      <c r="AC45" s="12">
        <f t="shared" si="18"/>
        <v>2</v>
      </c>
      <c r="AD45" s="12">
        <f t="shared" si="19"/>
        <v>70011.715074023334</v>
      </c>
      <c r="AE45" s="12" t="str">
        <f t="shared" si="20"/>
        <v>Same</v>
      </c>
      <c r="AG45" s="49">
        <f t="shared" si="21"/>
        <v>1.1668320000000001</v>
      </c>
      <c r="AH45" s="7">
        <f t="shared" si="34"/>
        <v>1</v>
      </c>
      <c r="AI45" s="12">
        <f t="shared" si="22"/>
        <v>2</v>
      </c>
      <c r="AJ45" s="12">
        <f t="shared" si="35"/>
        <v>3</v>
      </c>
      <c r="AK45" s="12">
        <f t="shared" si="23"/>
        <v>0</v>
      </c>
      <c r="AL45" s="12">
        <f t="shared" si="24"/>
        <v>3</v>
      </c>
      <c r="AM45" s="12">
        <f t="shared" si="25"/>
        <v>105017.57261103499</v>
      </c>
      <c r="AN45" s="12" t="str">
        <f t="shared" si="26"/>
        <v>Changes</v>
      </c>
    </row>
    <row r="46" spans="1:40" x14ac:dyDescent="0.25">
      <c r="A46" s="10" t="str">
        <f>'1.2 Sorting'!L46</f>
        <v>Spare 42</v>
      </c>
      <c r="B46" s="10" cm="1">
        <f t="array" ref="B46">IF($A46="",0,INDEX(' 1.0 Asset Data'!$B$8:$B$80,MATCH($A46,' 1.0 Asset Data'!$A$8:$A$80,0),0))</f>
        <v>18</v>
      </c>
      <c r="C46" s="10" cm="1">
        <f t="array" ref="C46">IF($A46="",0,INDEX(' 1.0 Asset Data'!$C$8:$C$80,MATCH($A46,' 1.0 Asset Data'!$A$8:$A$80,0),0))</f>
        <v>4</v>
      </c>
      <c r="D46" s="50" cm="1">
        <f t="array" ref="D46">IF($A46="",0,INDEX(' 1.0 Asset Data'!$E$8:$E$80,MATCH($A46,' 1.0 Asset Data'!$A$8:$A$80,0),0))</f>
        <v>0.29170800000000002</v>
      </c>
      <c r="E46" s="10" cm="1">
        <f t="array" ref="E46">IF($A46="",0,INDEX(' 1.0 Asset Data'!$I$8:$I$80,MATCH($A46,' 1.0 Asset Data'!$A$8:$A$80,0),0))</f>
        <v>104</v>
      </c>
      <c r="F46" s="31" cm="1">
        <f t="array" ref="F46">IF($A46="",0,INDEX(' 1.0 Asset Data'!$F$8:$F$80,MATCH($A46,' 1.0 Asset Data'!$A$8:$A$80,0),0))</f>
        <v>35005.857537011667</v>
      </c>
      <c r="G46" s="31" cm="1">
        <f t="array" ref="G46">IF($A46="",0,INDEX(' 1.0 Asset Data'!$G$8:$G$80,MATCH($A46,' 1.0 Asset Data'!$A$8:$A$80,0),0))</f>
        <v>0</v>
      </c>
      <c r="H46" s="51" t="str" cm="1">
        <f t="array" ref="H46">IFERROR(INDEX(' 1.0 Asset Data'!J$8:J$90,MATCH($A46,' 1.0 Asset Data'!$A$8:$A$90,0),0),"")</f>
        <v>Re-engineer, asset offline for lead time (at least)</v>
      </c>
      <c r="I46" s="51" cm="1">
        <f t="array" ref="I46">_xlfn.IFNA(INDEX(' 1.0 Asset Data'!$K$8:$K$75,MATCH($A46,' 1.0 Asset Data'!$A$8:$A$75,0),0),0)</f>
        <v>49335104</v>
      </c>
      <c r="K46" s="49">
        <f t="shared" si="9"/>
        <v>0.58341600000000005</v>
      </c>
      <c r="L46" s="7">
        <f t="shared" si="27"/>
        <v>1</v>
      </c>
      <c r="M46" s="12">
        <f t="shared" si="10"/>
        <v>1</v>
      </c>
      <c r="N46" s="12">
        <f t="shared" si="28"/>
        <v>2</v>
      </c>
      <c r="O46" s="12">
        <f t="shared" si="11"/>
        <v>4</v>
      </c>
      <c r="P46" s="12">
        <f t="shared" si="29"/>
        <v>0</v>
      </c>
      <c r="R46" s="12">
        <f t="shared" si="12"/>
        <v>0</v>
      </c>
      <c r="S46" s="12">
        <f t="shared" si="30"/>
        <v>0.34280856198664417</v>
      </c>
      <c r="T46" s="12">
        <f t="shared" si="31"/>
        <v>48355605.399234094</v>
      </c>
      <c r="U46" s="19">
        <f t="shared" si="13"/>
        <v>0</v>
      </c>
      <c r="V46" s="19" t="str">
        <f t="shared" si="14"/>
        <v>Spare 42</v>
      </c>
      <c r="X46" s="49">
        <f t="shared" si="15"/>
        <v>0.87512400000000001</v>
      </c>
      <c r="Y46" s="7">
        <f t="shared" si="32"/>
        <v>1</v>
      </c>
      <c r="Z46" s="12">
        <f t="shared" si="16"/>
        <v>1</v>
      </c>
      <c r="AA46" s="12">
        <f t="shared" si="33"/>
        <v>2</v>
      </c>
      <c r="AB46" s="12">
        <f t="shared" si="17"/>
        <v>4</v>
      </c>
      <c r="AC46" s="12">
        <f t="shared" si="18"/>
        <v>0</v>
      </c>
      <c r="AD46" s="12">
        <f t="shared" si="19"/>
        <v>0</v>
      </c>
      <c r="AE46" s="12" t="str">
        <f t="shared" si="20"/>
        <v>Same</v>
      </c>
      <c r="AG46" s="49">
        <f t="shared" si="21"/>
        <v>1.1668320000000001</v>
      </c>
      <c r="AH46" s="7">
        <f t="shared" si="34"/>
        <v>1</v>
      </c>
      <c r="AI46" s="12">
        <f t="shared" si="22"/>
        <v>2</v>
      </c>
      <c r="AJ46" s="12">
        <f t="shared" si="35"/>
        <v>3</v>
      </c>
      <c r="AK46" s="12">
        <f t="shared" si="23"/>
        <v>4</v>
      </c>
      <c r="AL46" s="12">
        <f t="shared" si="24"/>
        <v>0</v>
      </c>
      <c r="AM46" s="12">
        <f t="shared" si="25"/>
        <v>0</v>
      </c>
      <c r="AN46" s="12" t="str">
        <f t="shared" si="26"/>
        <v>Same</v>
      </c>
    </row>
    <row r="47" spans="1:40" x14ac:dyDescent="0.25">
      <c r="A47" s="10" t="str">
        <f>'1.2 Sorting'!L47</f>
        <v/>
      </c>
      <c r="B47" s="10" cm="1">
        <f t="array" ref="B47">IF($A47="",0,INDEX(' 1.0 Asset Data'!$B$8:$B$80,MATCH($A47,' 1.0 Asset Data'!$A$8:$A$80,0),0))</f>
        <v>0</v>
      </c>
      <c r="C47" s="10" cm="1">
        <f t="array" ref="C47">IF($A47="",0,INDEX(' 1.0 Asset Data'!$C$8:$C$80,MATCH($A47,' 1.0 Asset Data'!$A$8:$A$80,0),0))</f>
        <v>0</v>
      </c>
      <c r="D47" s="50" cm="1">
        <f t="array" ref="D47">IF($A47="",0,INDEX(' 1.0 Asset Data'!$E$8:$E$80,MATCH($A47,' 1.0 Asset Data'!$A$8:$A$80,0),0))</f>
        <v>0</v>
      </c>
      <c r="E47" s="10" cm="1">
        <f t="array" ref="E47">IF($A47="",0,INDEX(' 1.0 Asset Data'!$I$8:$I$80,MATCH($A47,' 1.0 Asset Data'!$A$8:$A$80,0),0))</f>
        <v>0</v>
      </c>
      <c r="F47" s="31" cm="1">
        <f t="array" ref="F47">IF($A47="",0,INDEX(' 1.0 Asset Data'!$F$8:$F$80,MATCH($A47,' 1.0 Asset Data'!$A$8:$A$80,0),0))</f>
        <v>0</v>
      </c>
      <c r="G47" s="31" cm="1">
        <f t="array" ref="G47">IF($A47="",0,INDEX(' 1.0 Asset Data'!$G$8:$G$80,MATCH($A47,' 1.0 Asset Data'!$A$8:$A$80,0),0))</f>
        <v>0</v>
      </c>
      <c r="H47" s="51" t="str" cm="1">
        <f t="array" ref="H47">IFERROR(INDEX(' 1.0 Asset Data'!J$8:J$90,MATCH($A47,' 1.0 Asset Data'!$A$8:$A$90,0),0),"")</f>
        <v/>
      </c>
      <c r="I47" s="51" cm="1">
        <f t="array" ref="I47">_xlfn.IFNA(INDEX(' 1.0 Asset Data'!$K$8:$K$75,MATCH($A47,' 1.0 Asset Data'!$A$8:$A$75,0),0),0)</f>
        <v>0</v>
      </c>
      <c r="K47" s="49">
        <f t="shared" si="9"/>
        <v>0</v>
      </c>
      <c r="L47" s="7">
        <f t="shared" si="27"/>
        <v>0</v>
      </c>
      <c r="M47" s="12">
        <f t="shared" si="10"/>
        <v>0</v>
      </c>
      <c r="N47" s="12">
        <f t="shared" si="28"/>
        <v>0</v>
      </c>
      <c r="O47" s="12">
        <f t="shared" si="11"/>
        <v>0</v>
      </c>
      <c r="P47" s="12">
        <f t="shared" si="29"/>
        <v>0</v>
      </c>
      <c r="R47" s="12">
        <f t="shared" si="12"/>
        <v>0</v>
      </c>
      <c r="S47" s="12">
        <f t="shared" si="30"/>
        <v>0</v>
      </c>
      <c r="T47" s="12">
        <f t="shared" si="31"/>
        <v>0</v>
      </c>
      <c r="U47" s="19">
        <f t="shared" si="13"/>
        <v>0</v>
      </c>
      <c r="V47" s="19" t="str">
        <f t="shared" si="14"/>
        <v/>
      </c>
      <c r="X47" s="49">
        <f t="shared" si="15"/>
        <v>0</v>
      </c>
      <c r="Y47" s="7">
        <f t="shared" si="32"/>
        <v>0</v>
      </c>
      <c r="Z47" s="12">
        <f t="shared" si="16"/>
        <v>0</v>
      </c>
      <c r="AA47" s="12">
        <f t="shared" si="33"/>
        <v>0</v>
      </c>
      <c r="AB47" s="12">
        <f t="shared" si="17"/>
        <v>0</v>
      </c>
      <c r="AC47" s="12">
        <f t="shared" si="18"/>
        <v>0</v>
      </c>
      <c r="AD47" s="12">
        <f t="shared" si="19"/>
        <v>0</v>
      </c>
      <c r="AE47" s="12" t="str">
        <f t="shared" si="20"/>
        <v/>
      </c>
      <c r="AG47" s="49">
        <f t="shared" si="21"/>
        <v>0</v>
      </c>
      <c r="AH47" s="7">
        <f t="shared" si="34"/>
        <v>0</v>
      </c>
      <c r="AI47" s="12">
        <f t="shared" si="22"/>
        <v>0</v>
      </c>
      <c r="AJ47" s="12">
        <f t="shared" si="35"/>
        <v>0</v>
      </c>
      <c r="AK47" s="12">
        <f t="shared" si="23"/>
        <v>0</v>
      </c>
      <c r="AL47" s="12">
        <f t="shared" si="24"/>
        <v>0</v>
      </c>
      <c r="AM47" s="12">
        <f t="shared" si="25"/>
        <v>0</v>
      </c>
      <c r="AN47" s="12" t="str">
        <f t="shared" si="26"/>
        <v/>
      </c>
    </row>
    <row r="48" spans="1:40" x14ac:dyDescent="0.25">
      <c r="A48" s="10" t="str">
        <f>'1.2 Sorting'!L48</f>
        <v/>
      </c>
      <c r="B48" s="10" cm="1">
        <f t="array" ref="B48">IF($A48="",0,INDEX(' 1.0 Asset Data'!$B$8:$B$80,MATCH($A48,' 1.0 Asset Data'!$A$8:$A$80,0),0))</f>
        <v>0</v>
      </c>
      <c r="C48" s="10" cm="1">
        <f t="array" ref="C48">IF($A48="",0,INDEX(' 1.0 Asset Data'!$C$8:$C$80,MATCH($A48,' 1.0 Asset Data'!$A$8:$A$80,0),0))</f>
        <v>0</v>
      </c>
      <c r="D48" s="50" cm="1">
        <f t="array" ref="D48">IF($A48="",0,INDEX(' 1.0 Asset Data'!$E$8:$E$80,MATCH($A48,' 1.0 Asset Data'!$A$8:$A$80,0),0))</f>
        <v>0</v>
      </c>
      <c r="E48" s="10" cm="1">
        <f t="array" ref="E48">IF($A48="",0,INDEX(' 1.0 Asset Data'!$I$8:$I$80,MATCH($A48,' 1.0 Asset Data'!$A$8:$A$80,0),0))</f>
        <v>0</v>
      </c>
      <c r="F48" s="31" cm="1">
        <f t="array" ref="F48">IF($A48="",0,INDEX(' 1.0 Asset Data'!$F$8:$F$80,MATCH($A48,' 1.0 Asset Data'!$A$8:$A$80,0),0))</f>
        <v>0</v>
      </c>
      <c r="G48" s="31" cm="1">
        <f t="array" ref="G48">IF($A48="",0,INDEX(' 1.0 Asset Data'!$G$8:$G$80,MATCH($A48,' 1.0 Asset Data'!$A$8:$A$80,0),0))</f>
        <v>0</v>
      </c>
      <c r="H48" s="51" t="str" cm="1">
        <f t="array" ref="H48">IFERROR(INDEX(' 1.0 Asset Data'!J$8:J$90,MATCH($A48,' 1.0 Asset Data'!$A$8:$A$90,0),0),"")</f>
        <v/>
      </c>
      <c r="I48" s="51" cm="1">
        <f t="array" ref="I48">_xlfn.IFNA(INDEX(' 1.0 Asset Data'!$K$8:$K$75,MATCH($A48,' 1.0 Asset Data'!$A$8:$A$75,0),0),0)</f>
        <v>0</v>
      </c>
      <c r="K48" s="49">
        <f t="shared" si="9"/>
        <v>0</v>
      </c>
      <c r="L48" s="7">
        <f t="shared" si="27"/>
        <v>0</v>
      </c>
      <c r="M48" s="12">
        <f t="shared" si="10"/>
        <v>0</v>
      </c>
      <c r="N48" s="12">
        <f t="shared" si="28"/>
        <v>0</v>
      </c>
      <c r="O48" s="12">
        <f t="shared" si="11"/>
        <v>0</v>
      </c>
      <c r="P48" s="12">
        <f t="shared" si="29"/>
        <v>0</v>
      </c>
      <c r="R48" s="12">
        <f t="shared" si="12"/>
        <v>0</v>
      </c>
      <c r="S48" s="12">
        <f t="shared" si="30"/>
        <v>0</v>
      </c>
      <c r="T48" s="12">
        <f t="shared" si="31"/>
        <v>0</v>
      </c>
      <c r="U48" s="19">
        <f t="shared" si="13"/>
        <v>0</v>
      </c>
      <c r="V48" s="19" t="str">
        <f t="shared" si="14"/>
        <v/>
      </c>
      <c r="X48" s="49">
        <f t="shared" si="15"/>
        <v>0</v>
      </c>
      <c r="Y48" s="7">
        <f t="shared" si="32"/>
        <v>0</v>
      </c>
      <c r="Z48" s="12">
        <f t="shared" si="16"/>
        <v>0</v>
      </c>
      <c r="AA48" s="12">
        <f t="shared" si="33"/>
        <v>0</v>
      </c>
      <c r="AB48" s="12">
        <f t="shared" si="17"/>
        <v>0</v>
      </c>
      <c r="AC48" s="12">
        <f t="shared" si="18"/>
        <v>0</v>
      </c>
      <c r="AD48" s="12">
        <f t="shared" si="19"/>
        <v>0</v>
      </c>
      <c r="AE48" s="12" t="str">
        <f t="shared" si="20"/>
        <v/>
      </c>
      <c r="AG48" s="49">
        <f t="shared" si="21"/>
        <v>0</v>
      </c>
      <c r="AH48" s="7">
        <f t="shared" si="34"/>
        <v>0</v>
      </c>
      <c r="AI48" s="12">
        <f t="shared" si="22"/>
        <v>0</v>
      </c>
      <c r="AJ48" s="12">
        <f t="shared" si="35"/>
        <v>0</v>
      </c>
      <c r="AK48" s="12">
        <f t="shared" si="23"/>
        <v>0</v>
      </c>
      <c r="AL48" s="12">
        <f t="shared" si="24"/>
        <v>0</v>
      </c>
      <c r="AM48" s="12">
        <f t="shared" si="25"/>
        <v>0</v>
      </c>
      <c r="AN48" s="12" t="str">
        <f t="shared" si="26"/>
        <v/>
      </c>
    </row>
    <row r="49" spans="1:40" x14ac:dyDescent="0.25">
      <c r="A49" s="10" t="str">
        <f>'1.2 Sorting'!L49</f>
        <v/>
      </c>
      <c r="B49" s="10" cm="1">
        <f t="array" ref="B49">IF($A49="",0,INDEX(' 1.0 Asset Data'!$B$8:$B$80,MATCH($A49,' 1.0 Asset Data'!$A$8:$A$80,0),0))</f>
        <v>0</v>
      </c>
      <c r="C49" s="10" cm="1">
        <f t="array" ref="C49">IF($A49="",0,INDEX(' 1.0 Asset Data'!$C$8:$C$80,MATCH($A49,' 1.0 Asset Data'!$A$8:$A$80,0),0))</f>
        <v>0</v>
      </c>
      <c r="D49" s="50" cm="1">
        <f t="array" ref="D49">IF($A49="",0,INDEX(' 1.0 Asset Data'!$E$8:$E$80,MATCH($A49,' 1.0 Asset Data'!$A$8:$A$80,0),0))</f>
        <v>0</v>
      </c>
      <c r="E49" s="10" cm="1">
        <f t="array" ref="E49">IF($A49="",0,INDEX(' 1.0 Asset Data'!$I$8:$I$80,MATCH($A49,' 1.0 Asset Data'!$A$8:$A$80,0),0))</f>
        <v>0</v>
      </c>
      <c r="F49" s="31" cm="1">
        <f t="array" ref="F49">IF($A49="",0,INDEX(' 1.0 Asset Data'!$F$8:$F$80,MATCH($A49,' 1.0 Asset Data'!$A$8:$A$80,0),0))</f>
        <v>0</v>
      </c>
      <c r="G49" s="31" cm="1">
        <f t="array" ref="G49">IF($A49="",0,INDEX(' 1.0 Asset Data'!$G$8:$G$80,MATCH($A49,' 1.0 Asset Data'!$A$8:$A$80,0),0))</f>
        <v>0</v>
      </c>
      <c r="H49" s="51" t="str" cm="1">
        <f t="array" ref="H49">IFERROR(INDEX(' 1.0 Asset Data'!J$8:J$90,MATCH($A49,' 1.0 Asset Data'!$A$8:$A$90,0),0),"")</f>
        <v/>
      </c>
      <c r="I49" s="51" cm="1">
        <f t="array" ref="I49">_xlfn.IFNA(INDEX(' 1.0 Asset Data'!$K$8:$K$75,MATCH($A49,' 1.0 Asset Data'!$A$8:$A$75,0),0),0)</f>
        <v>0</v>
      </c>
      <c r="K49" s="49">
        <f t="shared" si="9"/>
        <v>0</v>
      </c>
      <c r="L49" s="7">
        <f t="shared" si="27"/>
        <v>0</v>
      </c>
      <c r="M49" s="12">
        <f t="shared" si="10"/>
        <v>0</v>
      </c>
      <c r="N49" s="12">
        <f t="shared" si="28"/>
        <v>0</v>
      </c>
      <c r="O49" s="12">
        <f t="shared" si="11"/>
        <v>0</v>
      </c>
      <c r="P49" s="12">
        <f t="shared" si="29"/>
        <v>0</v>
      </c>
      <c r="R49" s="12">
        <f t="shared" si="12"/>
        <v>0</v>
      </c>
      <c r="S49" s="12">
        <f t="shared" si="30"/>
        <v>0</v>
      </c>
      <c r="T49" s="12">
        <f t="shared" si="31"/>
        <v>0</v>
      </c>
      <c r="U49" s="19">
        <f t="shared" si="13"/>
        <v>0</v>
      </c>
      <c r="V49" s="19" t="str">
        <f t="shared" si="14"/>
        <v/>
      </c>
      <c r="X49" s="49">
        <f t="shared" si="15"/>
        <v>0</v>
      </c>
      <c r="Y49" s="7">
        <f t="shared" si="32"/>
        <v>0</v>
      </c>
      <c r="Z49" s="12">
        <f t="shared" si="16"/>
        <v>0</v>
      </c>
      <c r="AA49" s="12">
        <f t="shared" si="33"/>
        <v>0</v>
      </c>
      <c r="AB49" s="12">
        <f t="shared" si="17"/>
        <v>0</v>
      </c>
      <c r="AC49" s="12">
        <f t="shared" si="18"/>
        <v>0</v>
      </c>
      <c r="AD49" s="12">
        <f t="shared" si="19"/>
        <v>0</v>
      </c>
      <c r="AE49" s="12" t="str">
        <f t="shared" si="20"/>
        <v/>
      </c>
      <c r="AG49" s="49">
        <f t="shared" si="21"/>
        <v>0</v>
      </c>
      <c r="AH49" s="7">
        <f t="shared" si="34"/>
        <v>0</v>
      </c>
      <c r="AI49" s="12">
        <f t="shared" si="22"/>
        <v>0</v>
      </c>
      <c r="AJ49" s="12">
        <f t="shared" si="35"/>
        <v>0</v>
      </c>
      <c r="AK49" s="12">
        <f t="shared" si="23"/>
        <v>0</v>
      </c>
      <c r="AL49" s="12">
        <f t="shared" si="24"/>
        <v>0</v>
      </c>
      <c r="AM49" s="12">
        <f t="shared" si="25"/>
        <v>0</v>
      </c>
      <c r="AN49" s="12" t="str">
        <f t="shared" si="26"/>
        <v/>
      </c>
    </row>
    <row r="50" spans="1:40" x14ac:dyDescent="0.25">
      <c r="A50" s="10" t="str">
        <f>'1.2 Sorting'!L50</f>
        <v/>
      </c>
      <c r="B50" s="10" cm="1">
        <f t="array" ref="B50">IF($A50="",0,INDEX(' 1.0 Asset Data'!$B$8:$B$80,MATCH($A50,' 1.0 Asset Data'!$A$8:$A$80,0),0))</f>
        <v>0</v>
      </c>
      <c r="C50" s="10" cm="1">
        <f t="array" ref="C50">IF($A50="",0,INDEX(' 1.0 Asset Data'!$C$8:$C$80,MATCH($A50,' 1.0 Asset Data'!$A$8:$A$80,0),0))</f>
        <v>0</v>
      </c>
      <c r="D50" s="50" cm="1">
        <f t="array" ref="D50">IF($A50="",0,INDEX(' 1.0 Asset Data'!$E$8:$E$80,MATCH($A50,' 1.0 Asset Data'!$A$8:$A$80,0),0))</f>
        <v>0</v>
      </c>
      <c r="E50" s="10" cm="1">
        <f t="array" ref="E50">IF($A50="",0,INDEX(' 1.0 Asset Data'!$I$8:$I$80,MATCH($A50,' 1.0 Asset Data'!$A$8:$A$80,0),0))</f>
        <v>0</v>
      </c>
      <c r="F50" s="31" cm="1">
        <f t="array" ref="F50">IF($A50="",0,INDEX(' 1.0 Asset Data'!$F$8:$F$80,MATCH($A50,' 1.0 Asset Data'!$A$8:$A$80,0),0))</f>
        <v>0</v>
      </c>
      <c r="G50" s="31" cm="1">
        <f t="array" ref="G50">IF($A50="",0,INDEX(' 1.0 Asset Data'!$G$8:$G$80,MATCH($A50,' 1.0 Asset Data'!$A$8:$A$80,0),0))</f>
        <v>0</v>
      </c>
      <c r="H50" s="51" t="str" cm="1">
        <f t="array" ref="H50">IFERROR(INDEX(' 1.0 Asset Data'!J$8:J$90,MATCH($A50,' 1.0 Asset Data'!$A$8:$A$90,0),0),"")</f>
        <v/>
      </c>
      <c r="I50" s="51" cm="1">
        <f t="array" ref="I50">_xlfn.IFNA(INDEX(' 1.0 Asset Data'!$K$8:$K$75,MATCH($A50,' 1.0 Asset Data'!$A$8:$A$75,0),0),0)</f>
        <v>0</v>
      </c>
      <c r="K50" s="49">
        <f t="shared" si="9"/>
        <v>0</v>
      </c>
      <c r="L50" s="7">
        <f t="shared" si="27"/>
        <v>0</v>
      </c>
      <c r="M50" s="12">
        <f t="shared" si="10"/>
        <v>0</v>
      </c>
      <c r="N50" s="12">
        <f t="shared" si="28"/>
        <v>0</v>
      </c>
      <c r="O50" s="12">
        <f t="shared" si="11"/>
        <v>0</v>
      </c>
      <c r="P50" s="12">
        <f t="shared" si="29"/>
        <v>0</v>
      </c>
      <c r="R50" s="12">
        <f t="shared" si="12"/>
        <v>0</v>
      </c>
      <c r="S50" s="12">
        <f t="shared" si="30"/>
        <v>0</v>
      </c>
      <c r="T50" s="12">
        <f t="shared" si="31"/>
        <v>0</v>
      </c>
      <c r="U50" s="19">
        <f t="shared" si="13"/>
        <v>0</v>
      </c>
      <c r="V50" s="19" t="str">
        <f t="shared" si="14"/>
        <v/>
      </c>
      <c r="X50" s="49">
        <f t="shared" si="15"/>
        <v>0</v>
      </c>
      <c r="Y50" s="7">
        <f t="shared" si="32"/>
        <v>0</v>
      </c>
      <c r="Z50" s="12">
        <f t="shared" si="16"/>
        <v>0</v>
      </c>
      <c r="AA50" s="12">
        <f t="shared" si="33"/>
        <v>0</v>
      </c>
      <c r="AB50" s="12">
        <f t="shared" si="17"/>
        <v>0</v>
      </c>
      <c r="AC50" s="12">
        <f t="shared" si="18"/>
        <v>0</v>
      </c>
      <c r="AD50" s="12">
        <f t="shared" si="19"/>
        <v>0</v>
      </c>
      <c r="AE50" s="12" t="str">
        <f t="shared" si="20"/>
        <v/>
      </c>
      <c r="AG50" s="49">
        <f t="shared" si="21"/>
        <v>0</v>
      </c>
      <c r="AH50" s="7">
        <f t="shared" si="34"/>
        <v>0</v>
      </c>
      <c r="AI50" s="12">
        <f t="shared" si="22"/>
        <v>0</v>
      </c>
      <c r="AJ50" s="12">
        <f t="shared" si="35"/>
        <v>0</v>
      </c>
      <c r="AK50" s="12">
        <f t="shared" si="23"/>
        <v>0</v>
      </c>
      <c r="AL50" s="12">
        <f t="shared" si="24"/>
        <v>0</v>
      </c>
      <c r="AM50" s="12">
        <f t="shared" si="25"/>
        <v>0</v>
      </c>
      <c r="AN50" s="12" t="str">
        <f t="shared" si="26"/>
        <v/>
      </c>
    </row>
    <row r="51" spans="1:40" x14ac:dyDescent="0.25">
      <c r="A51" s="10" t="str">
        <f>'1.2 Sorting'!L51</f>
        <v/>
      </c>
      <c r="B51" s="10" cm="1">
        <f t="array" ref="B51">IF($A51="",0,INDEX(' 1.0 Asset Data'!$B$8:$B$80,MATCH($A51,' 1.0 Asset Data'!$A$8:$A$80,0),0))</f>
        <v>0</v>
      </c>
      <c r="C51" s="10" cm="1">
        <f t="array" ref="C51">IF($A51="",0,INDEX(' 1.0 Asset Data'!$C$8:$C$80,MATCH($A51,' 1.0 Asset Data'!$A$8:$A$80,0),0))</f>
        <v>0</v>
      </c>
      <c r="D51" s="50" cm="1">
        <f t="array" ref="D51">IF($A51="",0,INDEX(' 1.0 Asset Data'!$E$8:$E$80,MATCH($A51,' 1.0 Asset Data'!$A$8:$A$80,0),0))</f>
        <v>0</v>
      </c>
      <c r="E51" s="10" cm="1">
        <f t="array" ref="E51">IF($A51="",0,INDEX(' 1.0 Asset Data'!$I$8:$I$80,MATCH($A51,' 1.0 Asset Data'!$A$8:$A$80,0),0))</f>
        <v>0</v>
      </c>
      <c r="F51" s="31" cm="1">
        <f t="array" ref="F51">IF($A51="",0,INDEX(' 1.0 Asset Data'!$F$8:$F$80,MATCH($A51,' 1.0 Asset Data'!$A$8:$A$80,0),0))</f>
        <v>0</v>
      </c>
      <c r="G51" s="31" cm="1">
        <f t="array" ref="G51">IF($A51="",0,INDEX(' 1.0 Asset Data'!$G$8:$G$80,MATCH($A51,' 1.0 Asset Data'!$A$8:$A$80,0),0))</f>
        <v>0</v>
      </c>
      <c r="H51" s="51" t="str" cm="1">
        <f t="array" ref="H51">IFERROR(INDEX(' 1.0 Asset Data'!J$8:J$90,MATCH($A51,' 1.0 Asset Data'!$A$8:$A$90,0),0),"")</f>
        <v/>
      </c>
      <c r="I51" s="51" cm="1">
        <f t="array" ref="I51">_xlfn.IFNA(INDEX(' 1.0 Asset Data'!$K$8:$K$75,MATCH($A51,' 1.0 Asset Data'!$A$8:$A$75,0),0),0)</f>
        <v>0</v>
      </c>
      <c r="K51" s="49">
        <f t="shared" si="9"/>
        <v>0</v>
      </c>
      <c r="L51" s="7">
        <f t="shared" si="27"/>
        <v>0</v>
      </c>
      <c r="M51" s="12">
        <f t="shared" si="10"/>
        <v>0</v>
      </c>
      <c r="N51" s="12">
        <f t="shared" si="28"/>
        <v>0</v>
      </c>
      <c r="O51" s="12">
        <f t="shared" si="11"/>
        <v>0</v>
      </c>
      <c r="P51" s="12">
        <f t="shared" si="29"/>
        <v>0</v>
      </c>
      <c r="R51" s="12">
        <f t="shared" si="12"/>
        <v>0</v>
      </c>
      <c r="S51" s="12">
        <f t="shared" si="30"/>
        <v>0</v>
      </c>
      <c r="T51" s="12">
        <f t="shared" si="31"/>
        <v>0</v>
      </c>
      <c r="U51" s="19">
        <f t="shared" si="13"/>
        <v>0</v>
      </c>
      <c r="V51" s="19" t="str">
        <f t="shared" si="14"/>
        <v/>
      </c>
      <c r="X51" s="49">
        <f t="shared" si="15"/>
        <v>0</v>
      </c>
      <c r="Y51" s="7">
        <f t="shared" si="32"/>
        <v>0</v>
      </c>
      <c r="Z51" s="12">
        <f t="shared" si="16"/>
        <v>0</v>
      </c>
      <c r="AA51" s="12">
        <f t="shared" si="33"/>
        <v>0</v>
      </c>
      <c r="AB51" s="12">
        <f t="shared" si="17"/>
        <v>0</v>
      </c>
      <c r="AC51" s="12">
        <f t="shared" si="18"/>
        <v>0</v>
      </c>
      <c r="AD51" s="12">
        <f t="shared" si="19"/>
        <v>0</v>
      </c>
      <c r="AE51" s="12" t="str">
        <f t="shared" si="20"/>
        <v/>
      </c>
      <c r="AG51" s="49">
        <f t="shared" si="21"/>
        <v>0</v>
      </c>
      <c r="AH51" s="7">
        <f t="shared" si="34"/>
        <v>0</v>
      </c>
      <c r="AI51" s="12">
        <f t="shared" si="22"/>
        <v>0</v>
      </c>
      <c r="AJ51" s="12">
        <f t="shared" si="35"/>
        <v>0</v>
      </c>
      <c r="AK51" s="12">
        <f t="shared" si="23"/>
        <v>0</v>
      </c>
      <c r="AL51" s="12">
        <f t="shared" si="24"/>
        <v>0</v>
      </c>
      <c r="AM51" s="12">
        <f t="shared" si="25"/>
        <v>0</v>
      </c>
      <c r="AN51" s="12" t="str">
        <f t="shared" si="26"/>
        <v/>
      </c>
    </row>
    <row r="52" spans="1:40" x14ac:dyDescent="0.25">
      <c r="A52" s="10" t="str">
        <f>'1.2 Sorting'!L52</f>
        <v/>
      </c>
      <c r="B52" s="10" cm="1">
        <f t="array" ref="B52">IF($A52="",0,INDEX(' 1.0 Asset Data'!$B$8:$B$80,MATCH($A52,' 1.0 Asset Data'!$A$8:$A$80,0),0))</f>
        <v>0</v>
      </c>
      <c r="C52" s="10" cm="1">
        <f t="array" ref="C52">IF($A52="",0,INDEX(' 1.0 Asset Data'!$C$8:$C$80,MATCH($A52,' 1.0 Asset Data'!$A$8:$A$80,0),0))</f>
        <v>0</v>
      </c>
      <c r="D52" s="50" cm="1">
        <f t="array" ref="D52">IF($A52="",0,INDEX(' 1.0 Asset Data'!$E$8:$E$80,MATCH($A52,' 1.0 Asset Data'!$A$8:$A$80,0),0))</f>
        <v>0</v>
      </c>
      <c r="E52" s="10" cm="1">
        <f t="array" ref="E52">IF($A52="",0,INDEX(' 1.0 Asset Data'!$I$8:$I$80,MATCH($A52,' 1.0 Asset Data'!$A$8:$A$80,0),0))</f>
        <v>0</v>
      </c>
      <c r="F52" s="31" cm="1">
        <f t="array" ref="F52">IF($A52="",0,INDEX(' 1.0 Asset Data'!$F$8:$F$80,MATCH($A52,' 1.0 Asset Data'!$A$8:$A$80,0),0))</f>
        <v>0</v>
      </c>
      <c r="G52" s="31" cm="1">
        <f t="array" ref="G52">IF($A52="",0,INDEX(' 1.0 Asset Data'!$G$8:$G$80,MATCH($A52,' 1.0 Asset Data'!$A$8:$A$80,0),0))</f>
        <v>0</v>
      </c>
      <c r="H52" s="51" t="str" cm="1">
        <f t="array" ref="H52">IFERROR(INDEX(' 1.0 Asset Data'!J$8:J$90,MATCH($A52,' 1.0 Asset Data'!$A$8:$A$90,0),0),"")</f>
        <v/>
      </c>
      <c r="I52" s="51" cm="1">
        <f t="array" ref="I52">_xlfn.IFNA(INDEX(' 1.0 Asset Data'!$K$8:$K$75,MATCH($A52,' 1.0 Asset Data'!$A$8:$A$75,0),0),0)</f>
        <v>0</v>
      </c>
      <c r="K52" s="49">
        <f t="shared" si="9"/>
        <v>0</v>
      </c>
      <c r="L52" s="7">
        <f t="shared" si="27"/>
        <v>0</v>
      </c>
      <c r="M52" s="12">
        <f t="shared" si="10"/>
        <v>0</v>
      </c>
      <c r="N52" s="12">
        <f t="shared" si="28"/>
        <v>0</v>
      </c>
      <c r="O52" s="12">
        <f t="shared" si="11"/>
        <v>0</v>
      </c>
      <c r="P52" s="12">
        <f t="shared" si="29"/>
        <v>0</v>
      </c>
      <c r="R52" s="12">
        <f t="shared" si="12"/>
        <v>0</v>
      </c>
      <c r="S52" s="12">
        <f t="shared" si="30"/>
        <v>0</v>
      </c>
      <c r="T52" s="12">
        <f t="shared" si="31"/>
        <v>0</v>
      </c>
      <c r="U52" s="19">
        <f t="shared" si="13"/>
        <v>0</v>
      </c>
      <c r="V52" s="19" t="str">
        <f t="shared" si="14"/>
        <v/>
      </c>
      <c r="X52" s="49">
        <f t="shared" si="15"/>
        <v>0</v>
      </c>
      <c r="Y52" s="7">
        <f t="shared" si="32"/>
        <v>0</v>
      </c>
      <c r="Z52" s="12">
        <f t="shared" si="16"/>
        <v>0</v>
      </c>
      <c r="AA52" s="12">
        <f t="shared" si="33"/>
        <v>0</v>
      </c>
      <c r="AB52" s="12">
        <f t="shared" si="17"/>
        <v>0</v>
      </c>
      <c r="AC52" s="12">
        <f t="shared" si="18"/>
        <v>0</v>
      </c>
      <c r="AD52" s="12">
        <f t="shared" si="19"/>
        <v>0</v>
      </c>
      <c r="AE52" s="12" t="str">
        <f t="shared" si="20"/>
        <v/>
      </c>
      <c r="AG52" s="49">
        <f t="shared" si="21"/>
        <v>0</v>
      </c>
      <c r="AH52" s="7">
        <f t="shared" si="34"/>
        <v>0</v>
      </c>
      <c r="AI52" s="12">
        <f t="shared" si="22"/>
        <v>0</v>
      </c>
      <c r="AJ52" s="12">
        <f t="shared" si="35"/>
        <v>0</v>
      </c>
      <c r="AK52" s="12">
        <f t="shared" si="23"/>
        <v>0</v>
      </c>
      <c r="AL52" s="12">
        <f t="shared" si="24"/>
        <v>0</v>
      </c>
      <c r="AM52" s="12">
        <f t="shared" si="25"/>
        <v>0</v>
      </c>
      <c r="AN52" s="12" t="str">
        <f t="shared" si="26"/>
        <v/>
      </c>
    </row>
    <row r="53" spans="1:40" x14ac:dyDescent="0.25">
      <c r="A53" s="10" t="str">
        <f>'1.2 Sorting'!L53</f>
        <v/>
      </c>
      <c r="B53" s="10" cm="1">
        <f t="array" ref="B53">IF($A53="",0,INDEX(' 1.0 Asset Data'!$B$8:$B$80,MATCH($A53,' 1.0 Asset Data'!$A$8:$A$80,0),0))</f>
        <v>0</v>
      </c>
      <c r="C53" s="10" cm="1">
        <f t="array" ref="C53">IF($A53="",0,INDEX(' 1.0 Asset Data'!$C$8:$C$80,MATCH($A53,' 1.0 Asset Data'!$A$8:$A$80,0),0))</f>
        <v>0</v>
      </c>
      <c r="D53" s="50" cm="1">
        <f t="array" ref="D53">IF($A53="",0,INDEX(' 1.0 Asset Data'!$E$8:$E$80,MATCH($A53,' 1.0 Asset Data'!$A$8:$A$80,0),0))</f>
        <v>0</v>
      </c>
      <c r="E53" s="10" cm="1">
        <f t="array" ref="E53">IF($A53="",0,INDEX(' 1.0 Asset Data'!$I$8:$I$80,MATCH($A53,' 1.0 Asset Data'!$A$8:$A$80,0),0))</f>
        <v>0</v>
      </c>
      <c r="F53" s="31" cm="1">
        <f t="array" ref="F53">IF($A53="",0,INDEX(' 1.0 Asset Data'!$F$8:$F$80,MATCH($A53,' 1.0 Asset Data'!$A$8:$A$80,0),0))</f>
        <v>0</v>
      </c>
      <c r="G53" s="31" cm="1">
        <f t="array" ref="G53">IF($A53="",0,INDEX(' 1.0 Asset Data'!$G$8:$G$80,MATCH($A53,' 1.0 Asset Data'!$A$8:$A$80,0),0))</f>
        <v>0</v>
      </c>
      <c r="H53" s="51" t="str" cm="1">
        <f t="array" ref="H53">IFERROR(INDEX(' 1.0 Asset Data'!J$8:J$90,MATCH($A53,' 1.0 Asset Data'!$A$8:$A$90,0),0),"")</f>
        <v/>
      </c>
      <c r="I53" s="51" cm="1">
        <f t="array" ref="I53">_xlfn.IFNA(INDEX(' 1.0 Asset Data'!$K$8:$K$75,MATCH($A53,' 1.0 Asset Data'!$A$8:$A$75,0),0),0)</f>
        <v>0</v>
      </c>
      <c r="K53" s="49">
        <f t="shared" si="9"/>
        <v>0</v>
      </c>
      <c r="L53" s="7">
        <f t="shared" si="27"/>
        <v>0</v>
      </c>
      <c r="M53" s="12">
        <f t="shared" si="10"/>
        <v>0</v>
      </c>
      <c r="N53" s="12">
        <f t="shared" si="28"/>
        <v>0</v>
      </c>
      <c r="O53" s="12">
        <f t="shared" si="11"/>
        <v>0</v>
      </c>
      <c r="P53" s="12">
        <f t="shared" si="29"/>
        <v>0</v>
      </c>
      <c r="R53" s="12">
        <f t="shared" si="12"/>
        <v>0</v>
      </c>
      <c r="S53" s="12">
        <f t="shared" si="30"/>
        <v>0</v>
      </c>
      <c r="T53" s="12">
        <f t="shared" si="31"/>
        <v>0</v>
      </c>
      <c r="U53" s="19">
        <f t="shared" si="13"/>
        <v>0</v>
      </c>
      <c r="V53" s="19" t="str">
        <f t="shared" si="14"/>
        <v/>
      </c>
      <c r="X53" s="49">
        <f t="shared" si="15"/>
        <v>0</v>
      </c>
      <c r="Y53" s="7">
        <f t="shared" si="32"/>
        <v>0</v>
      </c>
      <c r="Z53" s="12">
        <f t="shared" si="16"/>
        <v>0</v>
      </c>
      <c r="AA53" s="12">
        <f t="shared" si="33"/>
        <v>0</v>
      </c>
      <c r="AB53" s="12">
        <f t="shared" si="17"/>
        <v>0</v>
      </c>
      <c r="AC53" s="12">
        <f t="shared" si="18"/>
        <v>0</v>
      </c>
      <c r="AD53" s="12">
        <f t="shared" si="19"/>
        <v>0</v>
      </c>
      <c r="AE53" s="12" t="str">
        <f t="shared" si="20"/>
        <v/>
      </c>
      <c r="AG53" s="49">
        <f t="shared" si="21"/>
        <v>0</v>
      </c>
      <c r="AH53" s="7">
        <f t="shared" si="34"/>
        <v>0</v>
      </c>
      <c r="AI53" s="12">
        <f t="shared" si="22"/>
        <v>0</v>
      </c>
      <c r="AJ53" s="12">
        <f t="shared" si="35"/>
        <v>0</v>
      </c>
      <c r="AK53" s="12">
        <f t="shared" si="23"/>
        <v>0</v>
      </c>
      <c r="AL53" s="12">
        <f t="shared" si="24"/>
        <v>0</v>
      </c>
      <c r="AM53" s="12">
        <f t="shared" si="25"/>
        <v>0</v>
      </c>
      <c r="AN53" s="12" t="str">
        <f t="shared" si="26"/>
        <v/>
      </c>
    </row>
    <row r="54" spans="1:40" x14ac:dyDescent="0.25">
      <c r="A54" s="10" t="str">
        <f>'1.2 Sorting'!L54</f>
        <v/>
      </c>
      <c r="B54" s="10" cm="1">
        <f t="array" ref="B54">IF($A54="",0,INDEX(' 1.0 Asset Data'!$B$8:$B$80,MATCH($A54,' 1.0 Asset Data'!$A$8:$A$80,0),0))</f>
        <v>0</v>
      </c>
      <c r="C54" s="10" cm="1">
        <f t="array" ref="C54">IF($A54="",0,INDEX(' 1.0 Asset Data'!$C$8:$C$80,MATCH($A54,' 1.0 Asset Data'!$A$8:$A$80,0),0))</f>
        <v>0</v>
      </c>
      <c r="D54" s="50" cm="1">
        <f t="array" ref="D54">IF($A54="",0,INDEX(' 1.0 Asset Data'!$E$8:$E$80,MATCH($A54,' 1.0 Asset Data'!$A$8:$A$80,0),0))</f>
        <v>0</v>
      </c>
      <c r="E54" s="10" cm="1">
        <f t="array" ref="E54">IF($A54="",0,INDEX(' 1.0 Asset Data'!$I$8:$I$80,MATCH($A54,' 1.0 Asset Data'!$A$8:$A$80,0),0))</f>
        <v>0</v>
      </c>
      <c r="F54" s="31" cm="1">
        <f t="array" ref="F54">IF($A54="",0,INDEX(' 1.0 Asset Data'!$F$8:$F$80,MATCH($A54,' 1.0 Asset Data'!$A$8:$A$80,0),0))</f>
        <v>0</v>
      </c>
      <c r="G54" s="31" cm="1">
        <f t="array" ref="G54">IF($A54="",0,INDEX(' 1.0 Asset Data'!$G$8:$G$80,MATCH($A54,' 1.0 Asset Data'!$A$8:$A$80,0),0))</f>
        <v>0</v>
      </c>
      <c r="H54" s="51" t="str" cm="1">
        <f t="array" ref="H54">IFERROR(INDEX(' 1.0 Asset Data'!J$8:J$90,MATCH($A54,' 1.0 Asset Data'!$A$8:$A$90,0),0),"")</f>
        <v/>
      </c>
      <c r="I54" s="51" cm="1">
        <f t="array" ref="I54">_xlfn.IFNA(INDEX(' 1.0 Asset Data'!$K$8:$K$75,MATCH($A54,' 1.0 Asset Data'!$A$8:$A$75,0),0),0)</f>
        <v>0</v>
      </c>
      <c r="K54" s="49">
        <f t="shared" si="9"/>
        <v>0</v>
      </c>
      <c r="L54" s="7">
        <f t="shared" si="27"/>
        <v>0</v>
      </c>
      <c r="M54" s="12">
        <f t="shared" si="10"/>
        <v>0</v>
      </c>
      <c r="N54" s="12">
        <f t="shared" si="28"/>
        <v>0</v>
      </c>
      <c r="O54" s="12">
        <f t="shared" si="11"/>
        <v>0</v>
      </c>
      <c r="P54" s="12">
        <f t="shared" si="29"/>
        <v>0</v>
      </c>
      <c r="R54" s="12">
        <f t="shared" si="12"/>
        <v>0</v>
      </c>
      <c r="S54" s="12">
        <f t="shared" si="30"/>
        <v>0</v>
      </c>
      <c r="T54" s="12">
        <f t="shared" si="31"/>
        <v>0</v>
      </c>
      <c r="U54" s="19">
        <f t="shared" si="13"/>
        <v>0</v>
      </c>
      <c r="V54" s="19" t="str">
        <f t="shared" si="14"/>
        <v/>
      </c>
      <c r="X54" s="49">
        <f t="shared" si="15"/>
        <v>0</v>
      </c>
      <c r="Y54" s="7">
        <f t="shared" si="32"/>
        <v>0</v>
      </c>
      <c r="Z54" s="12">
        <f t="shared" si="16"/>
        <v>0</v>
      </c>
      <c r="AA54" s="12">
        <f t="shared" si="33"/>
        <v>0</v>
      </c>
      <c r="AB54" s="12">
        <f t="shared" si="17"/>
        <v>0</v>
      </c>
      <c r="AC54" s="12">
        <f t="shared" si="18"/>
        <v>0</v>
      </c>
      <c r="AD54" s="12">
        <f t="shared" si="19"/>
        <v>0</v>
      </c>
      <c r="AE54" s="12" t="str">
        <f t="shared" si="20"/>
        <v/>
      </c>
      <c r="AG54" s="49">
        <f t="shared" si="21"/>
        <v>0</v>
      </c>
      <c r="AH54" s="7">
        <f t="shared" si="34"/>
        <v>0</v>
      </c>
      <c r="AI54" s="12">
        <f t="shared" si="22"/>
        <v>0</v>
      </c>
      <c r="AJ54" s="12">
        <f t="shared" si="35"/>
        <v>0</v>
      </c>
      <c r="AK54" s="12">
        <f t="shared" si="23"/>
        <v>0</v>
      </c>
      <c r="AL54" s="12">
        <f t="shared" si="24"/>
        <v>0</v>
      </c>
      <c r="AM54" s="12">
        <f t="shared" si="25"/>
        <v>0</v>
      </c>
      <c r="AN54" s="12" t="str">
        <f t="shared" si="26"/>
        <v/>
      </c>
    </row>
    <row r="55" spans="1:40" x14ac:dyDescent="0.25">
      <c r="A55" s="10" t="str">
        <f>'1.2 Sorting'!L55</f>
        <v/>
      </c>
      <c r="B55" s="10" cm="1">
        <f t="array" ref="B55">IF($A55="",0,INDEX(' 1.0 Asset Data'!$B$8:$B$80,MATCH($A55,' 1.0 Asset Data'!$A$8:$A$80,0),0))</f>
        <v>0</v>
      </c>
      <c r="C55" s="10" cm="1">
        <f t="array" ref="C55">IF($A55="",0,INDEX(' 1.0 Asset Data'!$C$8:$C$80,MATCH($A55,' 1.0 Asset Data'!$A$8:$A$80,0),0))</f>
        <v>0</v>
      </c>
      <c r="D55" s="50" cm="1">
        <f t="array" ref="D55">IF($A55="",0,INDEX(' 1.0 Asset Data'!$E$8:$E$80,MATCH($A55,' 1.0 Asset Data'!$A$8:$A$80,0),0))</f>
        <v>0</v>
      </c>
      <c r="E55" s="10" cm="1">
        <f t="array" ref="E55">IF($A55="",0,INDEX(' 1.0 Asset Data'!$I$8:$I$80,MATCH($A55,' 1.0 Asset Data'!$A$8:$A$80,0),0))</f>
        <v>0</v>
      </c>
      <c r="F55" s="31" cm="1">
        <f t="array" ref="F55">IF($A55="",0,INDEX(' 1.0 Asset Data'!$F$8:$F$80,MATCH($A55,' 1.0 Asset Data'!$A$8:$A$80,0),0))</f>
        <v>0</v>
      </c>
      <c r="G55" s="31" cm="1">
        <f t="array" ref="G55">IF($A55="",0,INDEX(' 1.0 Asset Data'!$G$8:$G$80,MATCH($A55,' 1.0 Asset Data'!$A$8:$A$80,0),0))</f>
        <v>0</v>
      </c>
      <c r="H55" s="51" t="str" cm="1">
        <f t="array" ref="H55">IFERROR(INDEX(' 1.0 Asset Data'!J$8:J$90,MATCH($A55,' 1.0 Asset Data'!$A$8:$A$90,0),0),"")</f>
        <v/>
      </c>
      <c r="I55" s="51" cm="1">
        <f t="array" ref="I55">_xlfn.IFNA(INDEX(' 1.0 Asset Data'!$K$8:$K$75,MATCH($A55,' 1.0 Asset Data'!$A$8:$A$75,0),0),0)</f>
        <v>0</v>
      </c>
      <c r="K55" s="49">
        <f t="shared" si="9"/>
        <v>0</v>
      </c>
      <c r="L55" s="7">
        <f t="shared" si="27"/>
        <v>0</v>
      </c>
      <c r="M55" s="12">
        <f t="shared" si="10"/>
        <v>0</v>
      </c>
      <c r="N55" s="12">
        <f t="shared" si="28"/>
        <v>0</v>
      </c>
      <c r="O55" s="12">
        <f t="shared" si="11"/>
        <v>0</v>
      </c>
      <c r="P55" s="12">
        <f t="shared" si="29"/>
        <v>0</v>
      </c>
      <c r="R55" s="12">
        <f t="shared" si="12"/>
        <v>0</v>
      </c>
      <c r="S55" s="12">
        <f t="shared" si="30"/>
        <v>0</v>
      </c>
      <c r="T55" s="12">
        <f t="shared" si="31"/>
        <v>0</v>
      </c>
      <c r="U55" s="19">
        <f t="shared" si="13"/>
        <v>0</v>
      </c>
      <c r="V55" s="19" t="str">
        <f t="shared" si="14"/>
        <v/>
      </c>
      <c r="X55" s="49">
        <f t="shared" si="15"/>
        <v>0</v>
      </c>
      <c r="Y55" s="7">
        <f t="shared" si="32"/>
        <v>0</v>
      </c>
      <c r="Z55" s="12">
        <f t="shared" si="16"/>
        <v>0</v>
      </c>
      <c r="AA55" s="12">
        <f t="shared" si="33"/>
        <v>0</v>
      </c>
      <c r="AB55" s="12">
        <f t="shared" si="17"/>
        <v>0</v>
      </c>
      <c r="AC55" s="12">
        <f t="shared" si="18"/>
        <v>0</v>
      </c>
      <c r="AD55" s="12">
        <f t="shared" si="19"/>
        <v>0</v>
      </c>
      <c r="AE55" s="12" t="str">
        <f t="shared" si="20"/>
        <v/>
      </c>
      <c r="AG55" s="49">
        <f t="shared" si="21"/>
        <v>0</v>
      </c>
      <c r="AH55" s="7">
        <f t="shared" si="34"/>
        <v>0</v>
      </c>
      <c r="AI55" s="12">
        <f t="shared" si="22"/>
        <v>0</v>
      </c>
      <c r="AJ55" s="12">
        <f t="shared" si="35"/>
        <v>0</v>
      </c>
      <c r="AK55" s="12">
        <f t="shared" si="23"/>
        <v>0</v>
      </c>
      <c r="AL55" s="12">
        <f t="shared" si="24"/>
        <v>0</v>
      </c>
      <c r="AM55" s="12">
        <f t="shared" si="25"/>
        <v>0</v>
      </c>
      <c r="AN55" s="12" t="str">
        <f t="shared" si="26"/>
        <v/>
      </c>
    </row>
    <row r="56" spans="1:40" x14ac:dyDescent="0.25">
      <c r="A56" s="10" t="str">
        <f>'1.2 Sorting'!L56</f>
        <v/>
      </c>
      <c r="B56" s="10" cm="1">
        <f t="array" ref="B56">IF($A56="",0,INDEX(' 1.0 Asset Data'!$B$8:$B$80,MATCH($A56,' 1.0 Asset Data'!$A$8:$A$80,0),0))</f>
        <v>0</v>
      </c>
      <c r="C56" s="10" cm="1">
        <f t="array" ref="C56">IF($A56="",0,INDEX(' 1.0 Asset Data'!$C$8:$C$80,MATCH($A56,' 1.0 Asset Data'!$A$8:$A$80,0),0))</f>
        <v>0</v>
      </c>
      <c r="D56" s="50" cm="1">
        <f t="array" ref="D56">IF($A56="",0,INDEX(' 1.0 Asset Data'!$E$8:$E$80,MATCH($A56,' 1.0 Asset Data'!$A$8:$A$80,0),0))</f>
        <v>0</v>
      </c>
      <c r="E56" s="10" cm="1">
        <f t="array" ref="E56">IF($A56="",0,INDEX(' 1.0 Asset Data'!$I$8:$I$80,MATCH($A56,' 1.0 Asset Data'!$A$8:$A$80,0),0))</f>
        <v>0</v>
      </c>
      <c r="F56" s="31" cm="1">
        <f t="array" ref="F56">IF($A56="",0,INDEX(' 1.0 Asset Data'!$F$8:$F$80,MATCH($A56,' 1.0 Asset Data'!$A$8:$A$80,0),0))</f>
        <v>0</v>
      </c>
      <c r="G56" s="31" cm="1">
        <f t="array" ref="G56">IF($A56="",0,INDEX(' 1.0 Asset Data'!$G$8:$G$80,MATCH($A56,' 1.0 Asset Data'!$A$8:$A$80,0),0))</f>
        <v>0</v>
      </c>
      <c r="H56" s="51" t="str" cm="1">
        <f t="array" ref="H56">IFERROR(INDEX(' 1.0 Asset Data'!J$8:J$90,MATCH($A56,' 1.0 Asset Data'!$A$8:$A$90,0),0),"")</f>
        <v/>
      </c>
      <c r="I56" s="51" cm="1">
        <f t="array" ref="I56">_xlfn.IFNA(INDEX(' 1.0 Asset Data'!$K$8:$K$75,MATCH($A56,' 1.0 Asset Data'!$A$8:$A$75,0),0),0)</f>
        <v>0</v>
      </c>
      <c r="K56" s="49">
        <f t="shared" si="9"/>
        <v>0</v>
      </c>
      <c r="L56" s="7">
        <f t="shared" si="27"/>
        <v>0</v>
      </c>
      <c r="M56" s="12">
        <f t="shared" si="10"/>
        <v>0</v>
      </c>
      <c r="N56" s="12">
        <f t="shared" si="28"/>
        <v>0</v>
      </c>
      <c r="O56" s="12">
        <f t="shared" si="11"/>
        <v>0</v>
      </c>
      <c r="P56" s="12">
        <f t="shared" si="29"/>
        <v>0</v>
      </c>
      <c r="R56" s="12">
        <f t="shared" si="12"/>
        <v>0</v>
      </c>
      <c r="S56" s="12">
        <f t="shared" si="30"/>
        <v>0</v>
      </c>
      <c r="T56" s="12">
        <f t="shared" si="31"/>
        <v>0</v>
      </c>
      <c r="U56" s="19">
        <f t="shared" si="13"/>
        <v>0</v>
      </c>
      <c r="V56" s="19" t="str">
        <f t="shared" si="14"/>
        <v/>
      </c>
      <c r="X56" s="49">
        <f t="shared" si="15"/>
        <v>0</v>
      </c>
      <c r="Y56" s="7">
        <f t="shared" si="32"/>
        <v>0</v>
      </c>
      <c r="Z56" s="12">
        <f t="shared" si="16"/>
        <v>0</v>
      </c>
      <c r="AA56" s="12">
        <f t="shared" si="33"/>
        <v>0</v>
      </c>
      <c r="AB56" s="12">
        <f t="shared" si="17"/>
        <v>0</v>
      </c>
      <c r="AC56" s="12">
        <f t="shared" si="18"/>
        <v>0</v>
      </c>
      <c r="AD56" s="12">
        <f t="shared" si="19"/>
        <v>0</v>
      </c>
      <c r="AE56" s="12" t="str">
        <f t="shared" si="20"/>
        <v/>
      </c>
      <c r="AG56" s="49">
        <f t="shared" si="21"/>
        <v>0</v>
      </c>
      <c r="AH56" s="7">
        <f t="shared" si="34"/>
        <v>0</v>
      </c>
      <c r="AI56" s="12">
        <f t="shared" si="22"/>
        <v>0</v>
      </c>
      <c r="AJ56" s="12">
        <f t="shared" si="35"/>
        <v>0</v>
      </c>
      <c r="AK56" s="12">
        <f t="shared" si="23"/>
        <v>0</v>
      </c>
      <c r="AL56" s="12">
        <f t="shared" si="24"/>
        <v>0</v>
      </c>
      <c r="AM56" s="12">
        <f t="shared" si="25"/>
        <v>0</v>
      </c>
      <c r="AN56" s="12" t="str">
        <f t="shared" si="26"/>
        <v/>
      </c>
    </row>
    <row r="57" spans="1:40" x14ac:dyDescent="0.25">
      <c r="A57" s="10" t="str">
        <f>'1.2 Sorting'!L57</f>
        <v/>
      </c>
      <c r="B57" s="10" cm="1">
        <f t="array" ref="B57">IF($A57="",0,INDEX(' 1.0 Asset Data'!$B$8:$B$80,MATCH($A57,' 1.0 Asset Data'!$A$8:$A$80,0),0))</f>
        <v>0</v>
      </c>
      <c r="C57" s="10" cm="1">
        <f t="array" ref="C57">IF($A57="",0,INDEX(' 1.0 Asset Data'!$C$8:$C$80,MATCH($A57,' 1.0 Asset Data'!$A$8:$A$80,0),0))</f>
        <v>0</v>
      </c>
      <c r="D57" s="50" cm="1">
        <f t="array" ref="D57">IF($A57="",0,INDEX(' 1.0 Asset Data'!$E$8:$E$80,MATCH($A57,' 1.0 Asset Data'!$A$8:$A$80,0),0))</f>
        <v>0</v>
      </c>
      <c r="E57" s="10" cm="1">
        <f t="array" ref="E57">IF($A57="",0,INDEX(' 1.0 Asset Data'!$I$8:$I$80,MATCH($A57,' 1.0 Asset Data'!$A$8:$A$80,0),0))</f>
        <v>0</v>
      </c>
      <c r="F57" s="31" cm="1">
        <f t="array" ref="F57">IF($A57="",0,INDEX(' 1.0 Asset Data'!$F$8:$F$80,MATCH($A57,' 1.0 Asset Data'!$A$8:$A$80,0),0))</f>
        <v>0</v>
      </c>
      <c r="G57" s="31" cm="1">
        <f t="array" ref="G57">IF($A57="",0,INDEX(' 1.0 Asset Data'!$G$8:$G$80,MATCH($A57,' 1.0 Asset Data'!$A$8:$A$80,0),0))</f>
        <v>0</v>
      </c>
      <c r="H57" s="51" t="str" cm="1">
        <f t="array" ref="H57">IFERROR(INDEX(' 1.0 Asset Data'!J$8:J$90,MATCH($A57,' 1.0 Asset Data'!$A$8:$A$90,0),0),"")</f>
        <v/>
      </c>
      <c r="I57" s="51" cm="1">
        <f t="array" ref="I57">_xlfn.IFNA(INDEX(' 1.0 Asset Data'!$K$8:$K$75,MATCH($A57,' 1.0 Asset Data'!$A$8:$A$75,0),0),0)</f>
        <v>0</v>
      </c>
      <c r="K57" s="49">
        <f t="shared" si="9"/>
        <v>0</v>
      </c>
      <c r="L57" s="7">
        <f t="shared" si="27"/>
        <v>0</v>
      </c>
      <c r="M57" s="12">
        <f t="shared" si="10"/>
        <v>0</v>
      </c>
      <c r="N57" s="12">
        <f t="shared" si="28"/>
        <v>0</v>
      </c>
      <c r="O57" s="12">
        <f t="shared" si="11"/>
        <v>0</v>
      </c>
      <c r="P57" s="12">
        <f t="shared" si="29"/>
        <v>0</v>
      </c>
      <c r="R57" s="12">
        <f t="shared" si="12"/>
        <v>0</v>
      </c>
      <c r="S57" s="12">
        <f t="shared" si="30"/>
        <v>0</v>
      </c>
      <c r="T57" s="12">
        <f t="shared" si="31"/>
        <v>0</v>
      </c>
      <c r="U57" s="19">
        <f t="shared" si="13"/>
        <v>0</v>
      </c>
      <c r="V57" s="19" t="str">
        <f t="shared" si="14"/>
        <v/>
      </c>
      <c r="X57" s="49">
        <f t="shared" si="15"/>
        <v>0</v>
      </c>
      <c r="Y57" s="7">
        <f t="shared" si="32"/>
        <v>0</v>
      </c>
      <c r="Z57" s="12">
        <f t="shared" si="16"/>
        <v>0</v>
      </c>
      <c r="AA57" s="12">
        <f t="shared" si="33"/>
        <v>0</v>
      </c>
      <c r="AB57" s="12">
        <f t="shared" si="17"/>
        <v>0</v>
      </c>
      <c r="AC57" s="12">
        <f t="shared" si="18"/>
        <v>0</v>
      </c>
      <c r="AD57" s="12">
        <f t="shared" si="19"/>
        <v>0</v>
      </c>
      <c r="AE57" s="12" t="str">
        <f t="shared" si="20"/>
        <v/>
      </c>
      <c r="AG57" s="49">
        <f t="shared" si="21"/>
        <v>0</v>
      </c>
      <c r="AH57" s="7">
        <f t="shared" si="34"/>
        <v>0</v>
      </c>
      <c r="AI57" s="12">
        <f t="shared" si="22"/>
        <v>0</v>
      </c>
      <c r="AJ57" s="12">
        <f t="shared" si="35"/>
        <v>0</v>
      </c>
      <c r="AK57" s="12">
        <f t="shared" si="23"/>
        <v>0</v>
      </c>
      <c r="AL57" s="12">
        <f t="shared" si="24"/>
        <v>0</v>
      </c>
      <c r="AM57" s="12">
        <f t="shared" si="25"/>
        <v>0</v>
      </c>
      <c r="AN57" s="12" t="str">
        <f t="shared" si="26"/>
        <v/>
      </c>
    </row>
    <row r="58" spans="1:40" x14ac:dyDescent="0.25">
      <c r="A58" s="10" t="str">
        <f>'1.2 Sorting'!L58</f>
        <v/>
      </c>
      <c r="B58" s="10" cm="1">
        <f t="array" ref="B58">IF($A58="",0,INDEX(' 1.0 Asset Data'!$B$8:$B$80,MATCH($A58,' 1.0 Asset Data'!$A$8:$A$80,0),0))</f>
        <v>0</v>
      </c>
      <c r="C58" s="10" cm="1">
        <f t="array" ref="C58">IF($A58="",0,INDEX(' 1.0 Asset Data'!$C$8:$C$80,MATCH($A58,' 1.0 Asset Data'!$A$8:$A$80,0),0))</f>
        <v>0</v>
      </c>
      <c r="D58" s="50" cm="1">
        <f t="array" ref="D58">IF($A58="",0,INDEX(' 1.0 Asset Data'!$E$8:$E$80,MATCH($A58,' 1.0 Asset Data'!$A$8:$A$80,0),0))</f>
        <v>0</v>
      </c>
      <c r="E58" s="10" cm="1">
        <f t="array" ref="E58">IF($A58="",0,INDEX(' 1.0 Asset Data'!$I$8:$I$80,MATCH($A58,' 1.0 Asset Data'!$A$8:$A$80,0),0))</f>
        <v>0</v>
      </c>
      <c r="F58" s="31" cm="1">
        <f t="array" ref="F58">IF($A58="",0,INDEX(' 1.0 Asset Data'!$F$8:$F$80,MATCH($A58,' 1.0 Asset Data'!$A$8:$A$80,0),0))</f>
        <v>0</v>
      </c>
      <c r="G58" s="31" cm="1">
        <f t="array" ref="G58">IF($A58="",0,INDEX(' 1.0 Asset Data'!$G$8:$G$80,MATCH($A58,' 1.0 Asset Data'!$A$8:$A$80,0),0))</f>
        <v>0</v>
      </c>
      <c r="H58" s="51" t="str" cm="1">
        <f t="array" ref="H58">IFERROR(INDEX(' 1.0 Asset Data'!J$8:J$90,MATCH($A58,' 1.0 Asset Data'!$A$8:$A$90,0),0),"")</f>
        <v/>
      </c>
      <c r="I58" s="51" cm="1">
        <f t="array" ref="I58">_xlfn.IFNA(INDEX(' 1.0 Asset Data'!$K$8:$K$75,MATCH($A58,' 1.0 Asset Data'!$A$8:$A$75,0),0),0)</f>
        <v>0</v>
      </c>
      <c r="K58" s="49">
        <f t="shared" si="9"/>
        <v>0</v>
      </c>
      <c r="L58" s="7">
        <f t="shared" si="27"/>
        <v>0</v>
      </c>
      <c r="M58" s="12">
        <f t="shared" si="10"/>
        <v>0</v>
      </c>
      <c r="N58" s="12">
        <f t="shared" si="28"/>
        <v>0</v>
      </c>
      <c r="O58" s="12">
        <f t="shared" si="11"/>
        <v>0</v>
      </c>
      <c r="P58" s="12">
        <f t="shared" si="29"/>
        <v>0</v>
      </c>
      <c r="R58" s="12">
        <f t="shared" si="12"/>
        <v>0</v>
      </c>
      <c r="S58" s="12">
        <f t="shared" si="30"/>
        <v>0</v>
      </c>
      <c r="T58" s="12">
        <f t="shared" si="31"/>
        <v>0</v>
      </c>
      <c r="U58" s="19">
        <f t="shared" si="13"/>
        <v>0</v>
      </c>
      <c r="V58" s="19" t="str">
        <f t="shared" si="14"/>
        <v/>
      </c>
      <c r="X58" s="49">
        <f t="shared" si="15"/>
        <v>0</v>
      </c>
      <c r="Y58" s="7">
        <f t="shared" si="32"/>
        <v>0</v>
      </c>
      <c r="Z58" s="12">
        <f t="shared" si="16"/>
        <v>0</v>
      </c>
      <c r="AA58" s="12">
        <f t="shared" si="33"/>
        <v>0</v>
      </c>
      <c r="AB58" s="12">
        <f t="shared" si="17"/>
        <v>0</v>
      </c>
      <c r="AC58" s="12">
        <f t="shared" si="18"/>
        <v>0</v>
      </c>
      <c r="AD58" s="12">
        <f t="shared" si="19"/>
        <v>0</v>
      </c>
      <c r="AE58" s="12" t="str">
        <f t="shared" si="20"/>
        <v/>
      </c>
      <c r="AG58" s="49">
        <f t="shared" si="21"/>
        <v>0</v>
      </c>
      <c r="AH58" s="7">
        <f t="shared" si="34"/>
        <v>0</v>
      </c>
      <c r="AI58" s="12">
        <f t="shared" si="22"/>
        <v>0</v>
      </c>
      <c r="AJ58" s="12">
        <f t="shared" si="35"/>
        <v>0</v>
      </c>
      <c r="AK58" s="12">
        <f t="shared" si="23"/>
        <v>0</v>
      </c>
      <c r="AL58" s="12">
        <f t="shared" si="24"/>
        <v>0</v>
      </c>
      <c r="AM58" s="12">
        <f t="shared" si="25"/>
        <v>0</v>
      </c>
      <c r="AN58" s="12" t="str">
        <f t="shared" si="26"/>
        <v/>
      </c>
    </row>
    <row r="59" spans="1:40" x14ac:dyDescent="0.25">
      <c r="A59" s="10" t="str">
        <f>'1.2 Sorting'!L59</f>
        <v/>
      </c>
      <c r="B59" s="10" cm="1">
        <f t="array" ref="B59">IF($A59="",0,INDEX(' 1.0 Asset Data'!$B$8:$B$80,MATCH($A59,' 1.0 Asset Data'!$A$8:$A$80,0),0))</f>
        <v>0</v>
      </c>
      <c r="C59" s="10" cm="1">
        <f t="array" ref="C59">IF($A59="",0,INDEX(' 1.0 Asset Data'!$C$8:$C$80,MATCH($A59,' 1.0 Asset Data'!$A$8:$A$80,0),0))</f>
        <v>0</v>
      </c>
      <c r="D59" s="50" cm="1">
        <f t="array" ref="D59">IF($A59="",0,INDEX(' 1.0 Asset Data'!$E$8:$E$80,MATCH($A59,' 1.0 Asset Data'!$A$8:$A$80,0),0))</f>
        <v>0</v>
      </c>
      <c r="E59" s="10" cm="1">
        <f t="array" ref="E59">IF($A59="",0,INDEX(' 1.0 Asset Data'!$I$8:$I$80,MATCH($A59,' 1.0 Asset Data'!$A$8:$A$80,0),0))</f>
        <v>0</v>
      </c>
      <c r="F59" s="31" cm="1">
        <f t="array" ref="F59">IF($A59="",0,INDEX(' 1.0 Asset Data'!$F$8:$F$80,MATCH($A59,' 1.0 Asset Data'!$A$8:$A$80,0),0))</f>
        <v>0</v>
      </c>
      <c r="G59" s="31" cm="1">
        <f t="array" ref="G59">IF($A59="",0,INDEX(' 1.0 Asset Data'!$G$8:$G$80,MATCH($A59,' 1.0 Asset Data'!$A$8:$A$80,0),0))</f>
        <v>0</v>
      </c>
      <c r="H59" s="51" t="str" cm="1">
        <f t="array" ref="H59">IFERROR(INDEX(' 1.0 Asset Data'!J$8:J$90,MATCH($A59,' 1.0 Asset Data'!$A$8:$A$90,0),0),"")</f>
        <v/>
      </c>
      <c r="I59" s="51" cm="1">
        <f t="array" ref="I59">_xlfn.IFNA(INDEX(' 1.0 Asset Data'!$K$8:$K$75,MATCH($A59,' 1.0 Asset Data'!$A$8:$A$75,0),0),0)</f>
        <v>0</v>
      </c>
      <c r="K59" s="49">
        <f t="shared" si="9"/>
        <v>0</v>
      </c>
      <c r="L59" s="7">
        <f t="shared" si="27"/>
        <v>0</v>
      </c>
      <c r="M59" s="12">
        <f t="shared" si="10"/>
        <v>0</v>
      </c>
      <c r="N59" s="12">
        <f t="shared" si="28"/>
        <v>0</v>
      </c>
      <c r="O59" s="12">
        <f t="shared" si="11"/>
        <v>0</v>
      </c>
      <c r="P59" s="12">
        <f t="shared" si="29"/>
        <v>0</v>
      </c>
      <c r="R59" s="12">
        <f t="shared" si="12"/>
        <v>0</v>
      </c>
      <c r="S59" s="12">
        <f t="shared" si="30"/>
        <v>0</v>
      </c>
      <c r="T59" s="12">
        <f t="shared" si="31"/>
        <v>0</v>
      </c>
      <c r="U59" s="19">
        <f t="shared" si="13"/>
        <v>0</v>
      </c>
      <c r="V59" s="19" t="str">
        <f t="shared" si="14"/>
        <v/>
      </c>
      <c r="X59" s="49">
        <f t="shared" si="15"/>
        <v>0</v>
      </c>
      <c r="Y59" s="7">
        <f t="shared" si="32"/>
        <v>0</v>
      </c>
      <c r="Z59" s="12">
        <f t="shared" si="16"/>
        <v>0</v>
      </c>
      <c r="AA59" s="12">
        <f t="shared" si="33"/>
        <v>0</v>
      </c>
      <c r="AB59" s="12">
        <f t="shared" si="17"/>
        <v>0</v>
      </c>
      <c r="AC59" s="12">
        <f t="shared" si="18"/>
        <v>0</v>
      </c>
      <c r="AD59" s="12">
        <f t="shared" si="19"/>
        <v>0</v>
      </c>
      <c r="AE59" s="12" t="str">
        <f t="shared" si="20"/>
        <v/>
      </c>
      <c r="AG59" s="49">
        <f t="shared" si="21"/>
        <v>0</v>
      </c>
      <c r="AH59" s="7">
        <f t="shared" si="34"/>
        <v>0</v>
      </c>
      <c r="AI59" s="12">
        <f t="shared" si="22"/>
        <v>0</v>
      </c>
      <c r="AJ59" s="12">
        <f t="shared" si="35"/>
        <v>0</v>
      </c>
      <c r="AK59" s="12">
        <f t="shared" si="23"/>
        <v>0</v>
      </c>
      <c r="AL59" s="12">
        <f t="shared" si="24"/>
        <v>0</v>
      </c>
      <c r="AM59" s="12">
        <f t="shared" si="25"/>
        <v>0</v>
      </c>
      <c r="AN59" s="12" t="str">
        <f t="shared" si="26"/>
        <v/>
      </c>
    </row>
    <row r="60" spans="1:40" x14ac:dyDescent="0.25">
      <c r="A60" s="10" t="str">
        <f>'1.2 Sorting'!L60</f>
        <v/>
      </c>
      <c r="B60" s="10" cm="1">
        <f t="array" ref="B60">IF($A60="",0,INDEX(' 1.0 Asset Data'!$B$8:$B$80,MATCH($A60,' 1.0 Asset Data'!$A$8:$A$80,0),0))</f>
        <v>0</v>
      </c>
      <c r="C60" s="10" cm="1">
        <f t="array" ref="C60">IF($A60="",0,INDEX(' 1.0 Asset Data'!$C$8:$C$80,MATCH($A60,' 1.0 Asset Data'!$A$8:$A$80,0),0))</f>
        <v>0</v>
      </c>
      <c r="D60" s="50" cm="1">
        <f t="array" ref="D60">IF($A60="",0,INDEX(' 1.0 Asset Data'!$E$8:$E$80,MATCH($A60,' 1.0 Asset Data'!$A$8:$A$80,0),0))</f>
        <v>0</v>
      </c>
      <c r="E60" s="10" cm="1">
        <f t="array" ref="E60">IF($A60="",0,INDEX(' 1.0 Asset Data'!$I$8:$I$80,MATCH($A60,' 1.0 Asset Data'!$A$8:$A$80,0),0))</f>
        <v>0</v>
      </c>
      <c r="F60" s="31" cm="1">
        <f t="array" ref="F60">IF($A60="",0,INDEX(' 1.0 Asset Data'!$F$8:$F$80,MATCH($A60,' 1.0 Asset Data'!$A$8:$A$80,0),0))</f>
        <v>0</v>
      </c>
      <c r="G60" s="31" cm="1">
        <f t="array" ref="G60">IF($A60="",0,INDEX(' 1.0 Asset Data'!$G$8:$G$80,MATCH($A60,' 1.0 Asset Data'!$A$8:$A$80,0),0))</f>
        <v>0</v>
      </c>
      <c r="H60" s="51" t="str" cm="1">
        <f t="array" ref="H60">IFERROR(INDEX(' 1.0 Asset Data'!J$8:J$90,MATCH($A60,' 1.0 Asset Data'!$A$8:$A$90,0),0),"")</f>
        <v/>
      </c>
      <c r="I60" s="51" cm="1">
        <f t="array" ref="I60">_xlfn.IFNA(INDEX(' 1.0 Asset Data'!$K$8:$K$75,MATCH($A60,' 1.0 Asset Data'!$A$8:$A$75,0),0),0)</f>
        <v>0</v>
      </c>
      <c r="K60" s="49">
        <f t="shared" si="9"/>
        <v>0</v>
      </c>
      <c r="L60" s="7">
        <f t="shared" si="27"/>
        <v>0</v>
      </c>
      <c r="M60" s="12">
        <f t="shared" si="10"/>
        <v>0</v>
      </c>
      <c r="N60" s="12">
        <f t="shared" si="28"/>
        <v>0</v>
      </c>
      <c r="O60" s="12">
        <f t="shared" si="11"/>
        <v>0</v>
      </c>
      <c r="P60" s="12">
        <f t="shared" si="29"/>
        <v>0</v>
      </c>
      <c r="R60" s="12">
        <f t="shared" si="12"/>
        <v>0</v>
      </c>
      <c r="S60" s="12">
        <f t="shared" si="30"/>
        <v>0</v>
      </c>
      <c r="T60" s="12">
        <f t="shared" si="31"/>
        <v>0</v>
      </c>
      <c r="U60" s="19">
        <f t="shared" si="13"/>
        <v>0</v>
      </c>
      <c r="V60" s="19" t="str">
        <f t="shared" si="14"/>
        <v/>
      </c>
      <c r="X60" s="49">
        <f t="shared" si="15"/>
        <v>0</v>
      </c>
      <c r="Y60" s="7">
        <f t="shared" si="32"/>
        <v>0</v>
      </c>
      <c r="Z60" s="12">
        <f t="shared" si="16"/>
        <v>0</v>
      </c>
      <c r="AA60" s="12">
        <f t="shared" si="33"/>
        <v>0</v>
      </c>
      <c r="AB60" s="12">
        <f t="shared" si="17"/>
        <v>0</v>
      </c>
      <c r="AC60" s="12">
        <f t="shared" si="18"/>
        <v>0</v>
      </c>
      <c r="AD60" s="12">
        <f t="shared" si="19"/>
        <v>0</v>
      </c>
      <c r="AE60" s="12" t="str">
        <f t="shared" si="20"/>
        <v/>
      </c>
      <c r="AG60" s="49">
        <f t="shared" si="21"/>
        <v>0</v>
      </c>
      <c r="AH60" s="7">
        <f t="shared" si="34"/>
        <v>0</v>
      </c>
      <c r="AI60" s="12">
        <f t="shared" si="22"/>
        <v>0</v>
      </c>
      <c r="AJ60" s="12">
        <f t="shared" si="35"/>
        <v>0</v>
      </c>
      <c r="AK60" s="12">
        <f t="shared" si="23"/>
        <v>0</v>
      </c>
      <c r="AL60" s="12">
        <f t="shared" si="24"/>
        <v>0</v>
      </c>
      <c r="AM60" s="12">
        <f t="shared" si="25"/>
        <v>0</v>
      </c>
      <c r="AN60" s="12" t="str">
        <f t="shared" si="26"/>
        <v/>
      </c>
    </row>
    <row r="61" spans="1:40" x14ac:dyDescent="0.25">
      <c r="A61" s="10" t="str">
        <f>'1.2 Sorting'!L61</f>
        <v/>
      </c>
      <c r="B61" s="10" cm="1">
        <f t="array" ref="B61">IF($A61="",0,INDEX(' 1.0 Asset Data'!$B$8:$B$80,MATCH($A61,' 1.0 Asset Data'!$A$8:$A$80,0),0))</f>
        <v>0</v>
      </c>
      <c r="C61" s="10" cm="1">
        <f t="array" ref="C61">IF($A61="",0,INDEX(' 1.0 Asset Data'!$C$8:$C$80,MATCH($A61,' 1.0 Asset Data'!$A$8:$A$80,0),0))</f>
        <v>0</v>
      </c>
      <c r="D61" s="50" cm="1">
        <f t="array" ref="D61">IF($A61="",0,INDEX(' 1.0 Asset Data'!$E$8:$E$80,MATCH($A61,' 1.0 Asset Data'!$A$8:$A$80,0),0))</f>
        <v>0</v>
      </c>
      <c r="E61" s="10" cm="1">
        <f t="array" ref="E61">IF($A61="",0,INDEX(' 1.0 Asset Data'!$I$8:$I$80,MATCH($A61,' 1.0 Asset Data'!$A$8:$A$80,0),0))</f>
        <v>0</v>
      </c>
      <c r="F61" s="31" cm="1">
        <f t="array" ref="F61">IF($A61="",0,INDEX(' 1.0 Asset Data'!$F$8:$F$80,MATCH($A61,' 1.0 Asset Data'!$A$8:$A$80,0),0))</f>
        <v>0</v>
      </c>
      <c r="G61" s="31" cm="1">
        <f t="array" ref="G61">IF($A61="",0,INDEX(' 1.0 Asset Data'!$G$8:$G$80,MATCH($A61,' 1.0 Asset Data'!$A$8:$A$80,0),0))</f>
        <v>0</v>
      </c>
      <c r="H61" s="51" t="str" cm="1">
        <f t="array" ref="H61">IFERROR(INDEX(' 1.0 Asset Data'!J$8:J$90,MATCH($A61,' 1.0 Asset Data'!$A$8:$A$90,0),0),"")</f>
        <v/>
      </c>
      <c r="I61" s="51" cm="1">
        <f t="array" ref="I61">_xlfn.IFNA(INDEX(' 1.0 Asset Data'!$K$8:$K$75,MATCH($A61,' 1.0 Asset Data'!$A$8:$A$75,0),0),0)</f>
        <v>0</v>
      </c>
      <c r="K61" s="49">
        <f t="shared" si="9"/>
        <v>0</v>
      </c>
      <c r="L61" s="7">
        <f t="shared" si="27"/>
        <v>0</v>
      </c>
      <c r="M61" s="12">
        <f t="shared" si="10"/>
        <v>0</v>
      </c>
      <c r="N61" s="12">
        <f t="shared" si="28"/>
        <v>0</v>
      </c>
      <c r="O61" s="12">
        <f t="shared" si="11"/>
        <v>0</v>
      </c>
      <c r="P61" s="12">
        <f t="shared" si="29"/>
        <v>0</v>
      </c>
      <c r="R61" s="12">
        <f t="shared" si="12"/>
        <v>0</v>
      </c>
      <c r="S61" s="12">
        <f t="shared" si="30"/>
        <v>0</v>
      </c>
      <c r="T61" s="12">
        <f t="shared" si="31"/>
        <v>0</v>
      </c>
      <c r="U61" s="19">
        <f t="shared" si="13"/>
        <v>0</v>
      </c>
      <c r="V61" s="19" t="str">
        <f t="shared" si="14"/>
        <v/>
      </c>
      <c r="X61" s="49">
        <f t="shared" si="15"/>
        <v>0</v>
      </c>
      <c r="Y61" s="7">
        <f t="shared" si="32"/>
        <v>0</v>
      </c>
      <c r="Z61" s="12">
        <f t="shared" si="16"/>
        <v>0</v>
      </c>
      <c r="AA61" s="12">
        <f t="shared" si="33"/>
        <v>0</v>
      </c>
      <c r="AB61" s="12">
        <f t="shared" si="17"/>
        <v>0</v>
      </c>
      <c r="AC61" s="12">
        <f t="shared" si="18"/>
        <v>0</v>
      </c>
      <c r="AD61" s="12">
        <f t="shared" si="19"/>
        <v>0</v>
      </c>
      <c r="AE61" s="12" t="str">
        <f t="shared" si="20"/>
        <v/>
      </c>
      <c r="AG61" s="49">
        <f t="shared" si="21"/>
        <v>0</v>
      </c>
      <c r="AH61" s="7">
        <f t="shared" si="34"/>
        <v>0</v>
      </c>
      <c r="AI61" s="12">
        <f t="shared" si="22"/>
        <v>0</v>
      </c>
      <c r="AJ61" s="12">
        <f t="shared" si="35"/>
        <v>0</v>
      </c>
      <c r="AK61" s="12">
        <f t="shared" si="23"/>
        <v>0</v>
      </c>
      <c r="AL61" s="12">
        <f t="shared" si="24"/>
        <v>0</v>
      </c>
      <c r="AM61" s="12">
        <f t="shared" si="25"/>
        <v>0</v>
      </c>
      <c r="AN61" s="12" t="str">
        <f t="shared" si="26"/>
        <v/>
      </c>
    </row>
    <row r="62" spans="1:40" x14ac:dyDescent="0.25">
      <c r="A62" s="10" t="str">
        <f>'1.2 Sorting'!L62</f>
        <v/>
      </c>
      <c r="B62" s="10" cm="1">
        <f t="array" ref="B62">IF($A62="",0,INDEX(' 1.0 Asset Data'!$B$8:$B$80,MATCH($A62,' 1.0 Asset Data'!$A$8:$A$80,0),0))</f>
        <v>0</v>
      </c>
      <c r="C62" s="10" cm="1">
        <f t="array" ref="C62">IF($A62="",0,INDEX(' 1.0 Asset Data'!$C$8:$C$80,MATCH($A62,' 1.0 Asset Data'!$A$8:$A$80,0),0))</f>
        <v>0</v>
      </c>
      <c r="D62" s="50" cm="1">
        <f t="array" ref="D62">IF($A62="",0,INDEX(' 1.0 Asset Data'!$E$8:$E$80,MATCH($A62,' 1.0 Asset Data'!$A$8:$A$80,0),0))</f>
        <v>0</v>
      </c>
      <c r="E62" s="10" cm="1">
        <f t="array" ref="E62">IF($A62="",0,INDEX(' 1.0 Asset Data'!$I$8:$I$80,MATCH($A62,' 1.0 Asset Data'!$A$8:$A$80,0),0))</f>
        <v>0</v>
      </c>
      <c r="F62" s="31" cm="1">
        <f t="array" ref="F62">IF($A62="",0,INDEX(' 1.0 Asset Data'!$F$8:$F$80,MATCH($A62,' 1.0 Asset Data'!$A$8:$A$80,0),0))</f>
        <v>0</v>
      </c>
      <c r="G62" s="31" cm="1">
        <f t="array" ref="G62">IF($A62="",0,INDEX(' 1.0 Asset Data'!$G$8:$G$80,MATCH($A62,' 1.0 Asset Data'!$A$8:$A$80,0),0))</f>
        <v>0</v>
      </c>
      <c r="H62" s="51" t="str" cm="1">
        <f t="array" ref="H62">IFERROR(INDEX(' 1.0 Asset Data'!J$8:J$90,MATCH($A62,' 1.0 Asset Data'!$A$8:$A$90,0),0),"")</f>
        <v/>
      </c>
      <c r="I62" s="51" cm="1">
        <f t="array" ref="I62">_xlfn.IFNA(INDEX(' 1.0 Asset Data'!$K$8:$K$75,MATCH($A62,' 1.0 Asset Data'!$A$8:$A$75,0),0),0)</f>
        <v>0</v>
      </c>
      <c r="K62" s="49">
        <f t="shared" si="9"/>
        <v>0</v>
      </c>
      <c r="L62" s="7">
        <f t="shared" si="27"/>
        <v>0</v>
      </c>
      <c r="M62" s="12">
        <f t="shared" si="10"/>
        <v>0</v>
      </c>
      <c r="N62" s="12">
        <f t="shared" si="28"/>
        <v>0</v>
      </c>
      <c r="O62" s="12">
        <f t="shared" si="11"/>
        <v>0</v>
      </c>
      <c r="P62" s="12">
        <f t="shared" si="29"/>
        <v>0</v>
      </c>
      <c r="R62" s="12">
        <f t="shared" si="12"/>
        <v>0</v>
      </c>
      <c r="S62" s="12">
        <f t="shared" si="30"/>
        <v>0</v>
      </c>
      <c r="T62" s="12">
        <f t="shared" si="31"/>
        <v>0</v>
      </c>
      <c r="U62" s="19">
        <f t="shared" si="13"/>
        <v>0</v>
      </c>
      <c r="V62" s="19" t="str">
        <f t="shared" si="14"/>
        <v/>
      </c>
      <c r="X62" s="49">
        <f t="shared" si="15"/>
        <v>0</v>
      </c>
      <c r="Y62" s="7">
        <f t="shared" si="32"/>
        <v>0</v>
      </c>
      <c r="Z62" s="12">
        <f t="shared" si="16"/>
        <v>0</v>
      </c>
      <c r="AA62" s="12">
        <f t="shared" si="33"/>
        <v>0</v>
      </c>
      <c r="AB62" s="12">
        <f t="shared" si="17"/>
        <v>0</v>
      </c>
      <c r="AC62" s="12">
        <f t="shared" si="18"/>
        <v>0</v>
      </c>
      <c r="AD62" s="12">
        <f t="shared" si="19"/>
        <v>0</v>
      </c>
      <c r="AE62" s="12" t="str">
        <f t="shared" si="20"/>
        <v/>
      </c>
      <c r="AG62" s="49">
        <f t="shared" si="21"/>
        <v>0</v>
      </c>
      <c r="AH62" s="7">
        <f t="shared" si="34"/>
        <v>0</v>
      </c>
      <c r="AI62" s="12">
        <f t="shared" si="22"/>
        <v>0</v>
      </c>
      <c r="AJ62" s="12">
        <f t="shared" si="35"/>
        <v>0</v>
      </c>
      <c r="AK62" s="12">
        <f t="shared" si="23"/>
        <v>0</v>
      </c>
      <c r="AL62" s="12">
        <f t="shared" si="24"/>
        <v>0</v>
      </c>
      <c r="AM62" s="12">
        <f t="shared" si="25"/>
        <v>0</v>
      </c>
      <c r="AN62" s="12" t="str">
        <f t="shared" si="26"/>
        <v/>
      </c>
    </row>
    <row r="63" spans="1:40" x14ac:dyDescent="0.25">
      <c r="A63" s="10" t="str">
        <f>'1.2 Sorting'!L63</f>
        <v/>
      </c>
      <c r="B63" s="10" cm="1">
        <f t="array" ref="B63">IF($A63="",0,INDEX(' 1.0 Asset Data'!$B$8:$B$80,MATCH($A63,' 1.0 Asset Data'!$A$8:$A$80,0),0))</f>
        <v>0</v>
      </c>
      <c r="C63" s="10" cm="1">
        <f t="array" ref="C63">IF($A63="",0,INDEX(' 1.0 Asset Data'!$C$8:$C$80,MATCH($A63,' 1.0 Asset Data'!$A$8:$A$80,0),0))</f>
        <v>0</v>
      </c>
      <c r="D63" s="50" cm="1">
        <f t="array" ref="D63">IF($A63="",0,INDEX(' 1.0 Asset Data'!$E$8:$E$80,MATCH($A63,' 1.0 Asset Data'!$A$8:$A$80,0),0))</f>
        <v>0</v>
      </c>
      <c r="E63" s="10" cm="1">
        <f t="array" ref="E63">IF($A63="",0,INDEX(' 1.0 Asset Data'!$I$8:$I$80,MATCH($A63,' 1.0 Asset Data'!$A$8:$A$80,0),0))</f>
        <v>0</v>
      </c>
      <c r="F63" s="31" cm="1">
        <f t="array" ref="F63">IF($A63="",0,INDEX(' 1.0 Asset Data'!$F$8:$F$80,MATCH($A63,' 1.0 Asset Data'!$A$8:$A$80,0),0))</f>
        <v>0</v>
      </c>
      <c r="G63" s="31" cm="1">
        <f t="array" ref="G63">IF($A63="",0,INDEX(' 1.0 Asset Data'!$G$8:$G$80,MATCH($A63,' 1.0 Asset Data'!$A$8:$A$80,0),0))</f>
        <v>0</v>
      </c>
      <c r="H63" s="51" t="str" cm="1">
        <f t="array" ref="H63">IFERROR(INDEX(' 1.0 Asset Data'!J$8:J$90,MATCH($A63,' 1.0 Asset Data'!$A$8:$A$90,0),0),"")</f>
        <v/>
      </c>
      <c r="I63" s="51" cm="1">
        <f t="array" ref="I63">_xlfn.IFNA(INDEX(' 1.0 Asset Data'!$K$8:$K$75,MATCH($A63,' 1.0 Asset Data'!$A$8:$A$75,0),0),0)</f>
        <v>0</v>
      </c>
      <c r="K63" s="49">
        <f t="shared" si="9"/>
        <v>0</v>
      </c>
      <c r="L63" s="7">
        <f t="shared" si="27"/>
        <v>0</v>
      </c>
      <c r="M63" s="12">
        <f t="shared" si="10"/>
        <v>0</v>
      </c>
      <c r="N63" s="12">
        <f t="shared" si="28"/>
        <v>0</v>
      </c>
      <c r="O63" s="12">
        <f t="shared" si="11"/>
        <v>0</v>
      </c>
      <c r="P63" s="12">
        <f t="shared" si="29"/>
        <v>0</v>
      </c>
      <c r="R63" s="12">
        <f t="shared" si="12"/>
        <v>0</v>
      </c>
      <c r="S63" s="12">
        <f t="shared" si="30"/>
        <v>0</v>
      </c>
      <c r="T63" s="12">
        <f t="shared" si="31"/>
        <v>0</v>
      </c>
      <c r="U63" s="19">
        <f t="shared" si="13"/>
        <v>0</v>
      </c>
      <c r="V63" s="19" t="str">
        <f t="shared" si="14"/>
        <v/>
      </c>
      <c r="X63" s="49">
        <f t="shared" si="15"/>
        <v>0</v>
      </c>
      <c r="Y63" s="7">
        <f t="shared" si="32"/>
        <v>0</v>
      </c>
      <c r="Z63" s="12">
        <f t="shared" si="16"/>
        <v>0</v>
      </c>
      <c r="AA63" s="12">
        <f t="shared" si="33"/>
        <v>0</v>
      </c>
      <c r="AB63" s="12">
        <f t="shared" si="17"/>
        <v>0</v>
      </c>
      <c r="AC63" s="12">
        <f t="shared" si="18"/>
        <v>0</v>
      </c>
      <c r="AD63" s="12">
        <f t="shared" si="19"/>
        <v>0</v>
      </c>
      <c r="AE63" s="12" t="str">
        <f t="shared" si="20"/>
        <v/>
      </c>
      <c r="AG63" s="49">
        <f t="shared" si="21"/>
        <v>0</v>
      </c>
      <c r="AH63" s="7">
        <f t="shared" si="34"/>
        <v>0</v>
      </c>
      <c r="AI63" s="12">
        <f t="shared" si="22"/>
        <v>0</v>
      </c>
      <c r="AJ63" s="12">
        <f t="shared" si="35"/>
        <v>0</v>
      </c>
      <c r="AK63" s="12">
        <f t="shared" si="23"/>
        <v>0</v>
      </c>
      <c r="AL63" s="12">
        <f t="shared" si="24"/>
        <v>0</v>
      </c>
      <c r="AM63" s="12">
        <f t="shared" si="25"/>
        <v>0</v>
      </c>
      <c r="AN63" s="12" t="str">
        <f t="shared" si="26"/>
        <v/>
      </c>
    </row>
    <row r="64" spans="1:40" x14ac:dyDescent="0.25">
      <c r="A64" s="10" t="str">
        <f>'1.2 Sorting'!L64</f>
        <v/>
      </c>
      <c r="B64" s="10" cm="1">
        <f t="array" ref="B64">IF($A64="",0,INDEX(' 1.0 Asset Data'!$B$8:$B$80,MATCH($A64,' 1.0 Asset Data'!$A$8:$A$80,0),0))</f>
        <v>0</v>
      </c>
      <c r="C64" s="10" cm="1">
        <f t="array" ref="C64">IF($A64="",0,INDEX(' 1.0 Asset Data'!$C$8:$C$80,MATCH($A64,' 1.0 Asset Data'!$A$8:$A$80,0),0))</f>
        <v>0</v>
      </c>
      <c r="D64" s="50" cm="1">
        <f t="array" ref="D64">IF($A64="",0,INDEX(' 1.0 Asset Data'!$E$8:$E$80,MATCH($A64,' 1.0 Asset Data'!$A$8:$A$80,0),0))</f>
        <v>0</v>
      </c>
      <c r="E64" s="10" cm="1">
        <f t="array" ref="E64">IF($A64="",0,INDEX(' 1.0 Asset Data'!$I$8:$I$80,MATCH($A64,' 1.0 Asset Data'!$A$8:$A$80,0),0))</f>
        <v>0</v>
      </c>
      <c r="F64" s="31" cm="1">
        <f t="array" ref="F64">IF($A64="",0,INDEX(' 1.0 Asset Data'!$F$8:$F$80,MATCH($A64,' 1.0 Asset Data'!$A$8:$A$80,0),0))</f>
        <v>0</v>
      </c>
      <c r="G64" s="31" cm="1">
        <f t="array" ref="G64">IF($A64="",0,INDEX(' 1.0 Asset Data'!$G$8:$G$80,MATCH($A64,' 1.0 Asset Data'!$A$8:$A$80,0),0))</f>
        <v>0</v>
      </c>
      <c r="H64" s="51" t="str" cm="1">
        <f t="array" ref="H64">IFERROR(INDEX(' 1.0 Asset Data'!J$8:J$90,MATCH($A64,' 1.0 Asset Data'!$A$8:$A$90,0),0),"")</f>
        <v/>
      </c>
      <c r="I64" s="51" cm="1">
        <f t="array" ref="I64">_xlfn.IFNA(INDEX(' 1.0 Asset Data'!$K$8:$K$75,MATCH($A64,' 1.0 Asset Data'!$A$8:$A$75,0),0),0)</f>
        <v>0</v>
      </c>
      <c r="K64" s="49">
        <f t="shared" si="9"/>
        <v>0</v>
      </c>
      <c r="L64" s="7">
        <f t="shared" si="27"/>
        <v>0</v>
      </c>
      <c r="M64" s="12">
        <f t="shared" si="10"/>
        <v>0</v>
      </c>
      <c r="N64" s="12">
        <f t="shared" si="28"/>
        <v>0</v>
      </c>
      <c r="O64" s="12">
        <f t="shared" si="11"/>
        <v>0</v>
      </c>
      <c r="P64" s="12">
        <f t="shared" si="29"/>
        <v>0</v>
      </c>
      <c r="R64" s="12">
        <f t="shared" si="12"/>
        <v>0</v>
      </c>
      <c r="S64" s="12">
        <f t="shared" si="30"/>
        <v>0</v>
      </c>
      <c r="T64" s="12">
        <f t="shared" si="31"/>
        <v>0</v>
      </c>
      <c r="U64" s="19">
        <f t="shared" si="13"/>
        <v>0</v>
      </c>
      <c r="V64" s="19" t="str">
        <f t="shared" si="14"/>
        <v/>
      </c>
      <c r="X64" s="49">
        <f t="shared" si="15"/>
        <v>0</v>
      </c>
      <c r="Y64" s="7">
        <f t="shared" si="32"/>
        <v>0</v>
      </c>
      <c r="Z64" s="12">
        <f t="shared" si="16"/>
        <v>0</v>
      </c>
      <c r="AA64" s="12">
        <f t="shared" si="33"/>
        <v>0</v>
      </c>
      <c r="AB64" s="12">
        <f t="shared" si="17"/>
        <v>0</v>
      </c>
      <c r="AC64" s="12">
        <f t="shared" si="18"/>
        <v>0</v>
      </c>
      <c r="AD64" s="12">
        <f t="shared" si="19"/>
        <v>0</v>
      </c>
      <c r="AE64" s="12" t="str">
        <f t="shared" si="20"/>
        <v/>
      </c>
      <c r="AG64" s="49">
        <f t="shared" si="21"/>
        <v>0</v>
      </c>
      <c r="AH64" s="7">
        <f t="shared" si="34"/>
        <v>0</v>
      </c>
      <c r="AI64" s="12">
        <f t="shared" si="22"/>
        <v>0</v>
      </c>
      <c r="AJ64" s="12">
        <f t="shared" si="35"/>
        <v>0</v>
      </c>
      <c r="AK64" s="12">
        <f t="shared" si="23"/>
        <v>0</v>
      </c>
      <c r="AL64" s="12">
        <f t="shared" si="24"/>
        <v>0</v>
      </c>
      <c r="AM64" s="12">
        <f t="shared" si="25"/>
        <v>0</v>
      </c>
      <c r="AN64" s="12" t="str">
        <f t="shared" si="26"/>
        <v/>
      </c>
    </row>
    <row r="65" spans="1:40" x14ac:dyDescent="0.25">
      <c r="A65" s="10" t="str">
        <f>'1.2 Sorting'!L65</f>
        <v/>
      </c>
      <c r="B65" s="10" cm="1">
        <f t="array" ref="B65">IF($A65="",0,INDEX(' 1.0 Asset Data'!$B$8:$B$80,MATCH($A65,' 1.0 Asset Data'!$A$8:$A$80,0),0))</f>
        <v>0</v>
      </c>
      <c r="C65" s="10" cm="1">
        <f t="array" ref="C65">IF($A65="",0,INDEX(' 1.0 Asset Data'!$C$8:$C$80,MATCH($A65,' 1.0 Asset Data'!$A$8:$A$80,0),0))</f>
        <v>0</v>
      </c>
      <c r="D65" s="50" cm="1">
        <f t="array" ref="D65">IF($A65="",0,INDEX(' 1.0 Asset Data'!$E$8:$E$80,MATCH($A65,' 1.0 Asset Data'!$A$8:$A$80,0),0))</f>
        <v>0</v>
      </c>
      <c r="E65" s="10" cm="1">
        <f t="array" ref="E65">IF($A65="",0,INDEX(' 1.0 Asset Data'!$I$8:$I$80,MATCH($A65,' 1.0 Asset Data'!$A$8:$A$80,0),0))</f>
        <v>0</v>
      </c>
      <c r="F65" s="31" cm="1">
        <f t="array" ref="F65">IF($A65="",0,INDEX(' 1.0 Asset Data'!$F$8:$F$80,MATCH($A65,' 1.0 Asset Data'!$A$8:$A$80,0),0))</f>
        <v>0</v>
      </c>
      <c r="G65" s="31" cm="1">
        <f t="array" ref="G65">IF($A65="",0,INDEX(' 1.0 Asset Data'!$G$8:$G$80,MATCH($A65,' 1.0 Asset Data'!$A$8:$A$80,0),0))</f>
        <v>0</v>
      </c>
      <c r="H65" s="51" t="str" cm="1">
        <f t="array" ref="H65">IFERROR(INDEX(' 1.0 Asset Data'!J$8:J$90,MATCH($A65,' 1.0 Asset Data'!$A$8:$A$90,0),0),"")</f>
        <v/>
      </c>
      <c r="I65" s="51" cm="1">
        <f t="array" ref="I65">_xlfn.IFNA(INDEX(' 1.0 Asset Data'!$K$8:$K$75,MATCH($A65,' 1.0 Asset Data'!$A$8:$A$75,0),0),0)</f>
        <v>0</v>
      </c>
      <c r="K65" s="49">
        <f t="shared" si="9"/>
        <v>0</v>
      </c>
      <c r="L65" s="7">
        <f t="shared" si="27"/>
        <v>0</v>
      </c>
      <c r="M65" s="12">
        <f t="shared" si="10"/>
        <v>0</v>
      </c>
      <c r="N65" s="12">
        <f t="shared" si="28"/>
        <v>0</v>
      </c>
      <c r="O65" s="12">
        <f t="shared" si="11"/>
        <v>0</v>
      </c>
      <c r="P65" s="12">
        <f t="shared" si="29"/>
        <v>0</v>
      </c>
      <c r="R65" s="12">
        <f t="shared" si="12"/>
        <v>0</v>
      </c>
      <c r="S65" s="12">
        <f t="shared" si="30"/>
        <v>0</v>
      </c>
      <c r="T65" s="12">
        <f t="shared" si="31"/>
        <v>0</v>
      </c>
      <c r="U65" s="19">
        <f t="shared" si="13"/>
        <v>0</v>
      </c>
      <c r="V65" s="19" t="str">
        <f t="shared" si="14"/>
        <v/>
      </c>
      <c r="X65" s="49">
        <f t="shared" si="15"/>
        <v>0</v>
      </c>
      <c r="Y65" s="7">
        <f t="shared" si="32"/>
        <v>0</v>
      </c>
      <c r="Z65" s="12">
        <f t="shared" si="16"/>
        <v>0</v>
      </c>
      <c r="AA65" s="12">
        <f t="shared" si="33"/>
        <v>0</v>
      </c>
      <c r="AB65" s="12">
        <f t="shared" si="17"/>
        <v>0</v>
      </c>
      <c r="AC65" s="12">
        <f t="shared" si="18"/>
        <v>0</v>
      </c>
      <c r="AD65" s="12">
        <f t="shared" si="19"/>
        <v>0</v>
      </c>
      <c r="AE65" s="12" t="str">
        <f t="shared" si="20"/>
        <v/>
      </c>
      <c r="AG65" s="49">
        <f t="shared" si="21"/>
        <v>0</v>
      </c>
      <c r="AH65" s="7">
        <f t="shared" si="34"/>
        <v>0</v>
      </c>
      <c r="AI65" s="12">
        <f t="shared" si="22"/>
        <v>0</v>
      </c>
      <c r="AJ65" s="12">
        <f t="shared" si="35"/>
        <v>0</v>
      </c>
      <c r="AK65" s="12">
        <f t="shared" si="23"/>
        <v>0</v>
      </c>
      <c r="AL65" s="12">
        <f t="shared" si="24"/>
        <v>0</v>
      </c>
      <c r="AM65" s="12">
        <f t="shared" si="25"/>
        <v>0</v>
      </c>
      <c r="AN65" s="12" t="str">
        <f t="shared" si="26"/>
        <v/>
      </c>
    </row>
  </sheetData>
  <mergeCells count="5">
    <mergeCell ref="K6:P6"/>
    <mergeCell ref="A6:I6"/>
    <mergeCell ref="R6:U6"/>
    <mergeCell ref="X6:AE6"/>
    <mergeCell ref="AG6:A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94D1-A01A-44EB-A4B3-F45BCE4990EE}">
  <dimension ref="A3:AG20"/>
  <sheetViews>
    <sheetView zoomScale="145" zoomScaleNormal="145" workbookViewId="0">
      <selection activeCell="E13" sqref="E13"/>
    </sheetView>
  </sheetViews>
  <sheetFormatPr defaultRowHeight="15" x14ac:dyDescent="0.25"/>
  <cols>
    <col min="1" max="1" width="41.28515625" bestFit="1" customWidth="1"/>
    <col min="2" max="2" width="34.85546875" customWidth="1"/>
    <col min="3" max="3" width="8.140625" bestFit="1" customWidth="1"/>
    <col min="4" max="4" width="14.28515625" customWidth="1"/>
    <col min="5" max="5" width="8.28515625" customWidth="1"/>
    <col min="6" max="6" width="14.7109375" bestFit="1" customWidth="1"/>
    <col min="7" max="7" width="71.5703125" bestFit="1" customWidth="1"/>
    <col min="8" max="8" width="15.85546875" bestFit="1" customWidth="1"/>
  </cols>
  <sheetData>
    <row r="3" spans="1:33" x14ac:dyDescent="0.25">
      <c r="H3" s="2"/>
    </row>
    <row r="5" spans="1:33" ht="26.25" thickBot="1" x14ac:dyDescent="0.4">
      <c r="A5" s="32" t="str" cm="1">
        <f t="array" aca="1" ref="A5" ca="1">RIGHT(CELL("filename",A2),LEN(CELL("filename",A2))-FIND("]",CELL("filename",A2)))</f>
        <v>4.0 Summary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ht="15.75" thickTop="1" x14ac:dyDescent="0.25"/>
    <row r="7" spans="1:33" ht="16.5" thickBot="1" x14ac:dyDescent="0.3">
      <c r="A7" s="16" t="s">
        <v>184</v>
      </c>
      <c r="B7" s="16" t="s">
        <v>72</v>
      </c>
      <c r="C7" s="16" t="s">
        <v>185</v>
      </c>
    </row>
    <row r="8" spans="1:33" ht="15.75" thickTop="1" x14ac:dyDescent="0.25">
      <c r="A8" s="10" t="s">
        <v>186</v>
      </c>
      <c r="B8" s="51">
        <f>'2.0 Stable Failure Rate'!AB4</f>
        <v>1225205.0137954084</v>
      </c>
      <c r="C8" s="10">
        <f>'2.0 Stable Failure Rate'!AA4</f>
        <v>1</v>
      </c>
    </row>
    <row r="9" spans="1:33" x14ac:dyDescent="0.25">
      <c r="A9" s="10" t="s">
        <v>187</v>
      </c>
      <c r="B9" s="51">
        <f>'3.1 Mean Time to failure Orig'!AN6+'3.2 Mean Time to failure Repl'!AI3</f>
        <v>3916967.2575665917</v>
      </c>
      <c r="C9" s="10">
        <f>'3.1 Mean Time to failure Orig'!AP6+'3.2 Mean Time to failure Repl'!AI4</f>
        <v>28</v>
      </c>
      <c r="D9" s="3"/>
      <c r="F9" s="63"/>
    </row>
    <row r="10" spans="1:33" x14ac:dyDescent="0.25">
      <c r="A10" s="10" t="s">
        <v>188</v>
      </c>
      <c r="B10" s="51">
        <f>'3.0 Lead Time'!U4</f>
        <v>7702364.6271180017</v>
      </c>
      <c r="C10" s="10">
        <f>'3.0 Lead Time'!V4</f>
        <v>30</v>
      </c>
      <c r="D10" s="3"/>
      <c r="F10" s="63"/>
    </row>
    <row r="11" spans="1:33" x14ac:dyDescent="0.25">
      <c r="D11" s="3"/>
    </row>
    <row r="12" spans="1:33" x14ac:dyDescent="0.25">
      <c r="A12" s="21" t="s">
        <v>104</v>
      </c>
      <c r="B12" s="19">
        <f>SUM(B8:B11)</f>
        <v>12844536.898480002</v>
      </c>
      <c r="C12" s="19">
        <f>SUM(C8:C11)</f>
        <v>59</v>
      </c>
    </row>
    <row r="14" spans="1:33" x14ac:dyDescent="0.25">
      <c r="A14" s="21" t="s">
        <v>189</v>
      </c>
      <c r="B14" s="21"/>
      <c r="C14" s="19">
        <f>COUNTIF(' 1.0 Asset Data'!A8:A75,"&lt;&gt;0")-C12</f>
        <v>9</v>
      </c>
    </row>
    <row r="20" spans="2:2" x14ac:dyDescent="0.25">
      <c r="B20" s="5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type xmlns="f8d0b45b-ed36-4138-b48f-2f995afadfe1" xsi:nil="true"/>
    <TaxCatchAll xmlns="a7977982-925b-4afc-922b-76159132e2ea" xsi:nil="true"/>
    <Formattingcomplete xmlns="f8d0b45b-ed36-4138-b48f-2f995afadfe1">false</Formattingcomplete>
    <Figurescrosschecked xmlns="f8d0b45b-ed36-4138-b48f-2f995afadfe1">false</Figurescrosschecked>
    <Notes xmlns="f8d0b45b-ed36-4138-b48f-2f995afadfe1" xsi:nil="true"/>
    <lcf76f155ced4ddcb4097134ff3c332f xmlns="f8d0b45b-ed36-4138-b48f-2f995afadf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668104AD73B409BF177FE55A62C7C" ma:contentTypeVersion="22" ma:contentTypeDescription="Create a new document." ma:contentTypeScope="" ma:versionID="659d4c5fe243346a6757b13c34d38e56">
  <xsd:schema xmlns:xsd="http://www.w3.org/2001/XMLSchema" xmlns:xs="http://www.w3.org/2001/XMLSchema" xmlns:p="http://schemas.microsoft.com/office/2006/metadata/properties" xmlns:ns2="f8d0b45b-ed36-4138-b48f-2f995afadfe1" xmlns:ns3="a7977982-925b-4afc-922b-76159132e2ea" targetNamespace="http://schemas.microsoft.com/office/2006/metadata/properties" ma:root="true" ma:fieldsID="8316925890fcb03dd1554c94f1628fb0" ns2:_="" ns3:_="">
    <xsd:import namespace="f8d0b45b-ed36-4138-b48f-2f995afadfe1"/>
    <xsd:import namespace="a7977982-925b-4afc-922b-76159132e2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Versiontype" minOccurs="0"/>
                <xsd:element ref="ns2:Notes" minOccurs="0"/>
                <xsd:element ref="ns2:MediaServiceSearchProperties" minOccurs="0"/>
                <xsd:element ref="ns2:Formattingcomplete" minOccurs="0"/>
                <xsd:element ref="ns2:Figurescrossche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0b45b-ed36-4138-b48f-2f995afad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Versiontype" ma:index="20" nillable="true" ma:displayName="Version type" ma:format="Dropdown" ma:internalName="Versiontype">
      <xsd:simpleType>
        <xsd:restriction base="dms:Choice">
          <xsd:enumeration value="Working file"/>
          <xsd:enumeration value="Draft"/>
          <xsd:enumeration value="Final"/>
        </xsd:restriction>
      </xsd:simpleType>
    </xsd:element>
    <xsd:element name="Notes" ma:index="2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rmattingcomplete" ma:index="23" nillable="true" ma:displayName="Formatting complete" ma:default="0" ma:format="Dropdown" ma:internalName="Formattingcomplete">
      <xsd:simpleType>
        <xsd:restriction base="dms:Boolean"/>
      </xsd:simpleType>
    </xsd:element>
    <xsd:element name="Figurescrosschecked" ma:index="24" nillable="true" ma:displayName="Figures cross checked" ma:default="0" ma:format="Dropdown" ma:internalName="Figurescrosscheck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77982-925b-4afc-922b-76159132e2e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3607b90-19c7-451a-b9c7-793be0bdc71d}" ma:internalName="TaxCatchAll" ma:showField="CatchAllData" ma:web="a7977982-925b-4afc-922b-76159132e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B2BD2AF-71DF-4398-B2F1-5924668B0719}">
  <ds:schemaRefs>
    <ds:schemaRef ds:uri="http://schemas.microsoft.com/office/2006/metadata/properties"/>
    <ds:schemaRef ds:uri="http://schemas.microsoft.com/office/infopath/2007/PartnerControls"/>
    <ds:schemaRef ds:uri="f8d0b45b-ed36-4138-b48f-2f995afadfe1"/>
    <ds:schemaRef ds:uri="a7977982-925b-4afc-922b-76159132e2ea"/>
  </ds:schemaRefs>
</ds:datastoreItem>
</file>

<file path=customXml/itemProps2.xml><?xml version="1.0" encoding="utf-8"?>
<ds:datastoreItem xmlns:ds="http://schemas.openxmlformats.org/officeDocument/2006/customXml" ds:itemID="{05F0E295-6E2B-4645-BD9D-C3BF47D7B1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E0699F-4FA4-4247-967B-D30B63A5A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0b45b-ed36-4138-b48f-2f995afadfe1"/>
    <ds:schemaRef ds:uri="a7977982-925b-4afc-922b-76159132e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90D04C1-60DD-465F-BA04-E1BE2BBA6A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Cover sheet</vt:lpstr>
      <vt:lpstr> 1.0 Asset Data</vt:lpstr>
      <vt:lpstr>1.1 Other Data</vt:lpstr>
      <vt:lpstr>1.2 Sorting</vt:lpstr>
      <vt:lpstr>2.0 Stable Failure Rate</vt:lpstr>
      <vt:lpstr>3.1 Mean Time to failure Orig</vt:lpstr>
      <vt:lpstr>3.2 Mean Time to failure Repl</vt:lpstr>
      <vt:lpstr>3.0 Lead Time</vt:lpstr>
      <vt:lpstr>4.0 Summary</vt:lpstr>
      <vt:lpstr>AssetAge</vt:lpstr>
      <vt:lpstr>BasslinkAge</vt:lpstr>
      <vt:lpstr>CalcDate</vt:lpstr>
      <vt:lpstr>CritMin</vt:lpstr>
      <vt:lpstr>EndofLife</vt:lpstr>
      <vt:lpstr>FailureThreshold</vt:lpstr>
      <vt:lpstr>NominalWACC</vt:lpstr>
      <vt:lpstr>OriginalDate</vt:lpstr>
      <vt:lpstr>Range</vt:lpstr>
      <vt:lpstr>RemaingLife</vt:lpstr>
      <vt:lpstr>Today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Allen, Mark</cp:lastModifiedBy>
  <cp:revision/>
  <dcterms:created xsi:type="dcterms:W3CDTF">2024-07-02T07:32:33Z</dcterms:created>
  <dcterms:modified xsi:type="dcterms:W3CDTF">2024-12-02T01:07:37Z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0x0101000EA668104AD73B409BF177FE55A62C7C</vt:lpwstr>
  </property>
  <property fmtid="{D5CDD505-2E9C-101B-9397-08002B2CF9AE}" pid="3" name="MediaServiceImageTags">
    <vt:lpwstr/>
  </property>
  <property fmtid="{D5CDD505-2E9C-101B-9397-08002B2CF9AE}" pid="4" name="MSIP_Label_8e2e509a-f02b-496b-97a8-09ffbb9893ea_Enabled">
    <vt:lpwstr>true</vt:lpwstr>
  </property>
  <property fmtid="{D5CDD505-2E9C-101B-9397-08002B2CF9AE}" pid="5" name="MSIP_Label_8e2e509a-f02b-496b-97a8-09ffbb9893ea_SetDate">
    <vt:lpwstr>2024-08-07T21:11:46Z</vt:lpwstr>
  </property>
  <property fmtid="{D5CDD505-2E9C-101B-9397-08002B2CF9AE}" pid="6" name="MSIP_Label_8e2e509a-f02b-496b-97a8-09ffbb9893ea_Method">
    <vt:lpwstr>Privileged</vt:lpwstr>
  </property>
  <property fmtid="{D5CDD505-2E9C-101B-9397-08002B2CF9AE}" pid="7" name="MSIP_Label_8e2e509a-f02b-496b-97a8-09ffbb9893ea_Name">
    <vt:lpwstr>APA-Internal</vt:lpwstr>
  </property>
  <property fmtid="{D5CDD505-2E9C-101B-9397-08002B2CF9AE}" pid="8" name="MSIP_Label_8e2e509a-f02b-496b-97a8-09ffbb9893ea_SiteId">
    <vt:lpwstr>234ac309-c216-4661-a5ba-18879f6c4c75</vt:lpwstr>
  </property>
  <property fmtid="{D5CDD505-2E9C-101B-9397-08002B2CF9AE}" pid="9" name="MSIP_Label_8e2e509a-f02b-496b-97a8-09ffbb9893ea_ActionId">
    <vt:lpwstr>8bb0dcf5-278b-4257-8a60-ca2d5482bcd7</vt:lpwstr>
  </property>
  <property fmtid="{D5CDD505-2E9C-101B-9397-08002B2CF9AE}" pid="10" name="MSIP_Label_8e2e509a-f02b-496b-97a8-09ffbb9893ea_ContentBits">
    <vt:lpwstr>0</vt:lpwstr>
  </property>
</Properties>
</file>