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0" documentId="13_ncr:1_{13CBD9FE-5105-4ADA-8982-99F5FD261052}" xr6:coauthVersionLast="47" xr6:coauthVersionMax="47" xr10:uidLastSave="{00000000-0000-0000-0000-000000000000}"/>
  <bookViews>
    <workbookView xWindow="-10200" yWindow="-21600" windowWidth="24975" windowHeight="21600" firstSheet="3" activeTab="10" xr2:uid="{A3DAEABE-4618-48A1-8128-257BC5325FDE}"/>
  </bookViews>
  <sheets>
    <sheet name="Readme" sheetId="28" r:id="rId1"/>
    <sheet name="TNSP Analysis" sheetId="23" r:id="rId2"/>
    <sheet name="TNSP Charts" sheetId="15" r:id="rId3"/>
    <sheet name="Opex" sheetId="4" r:id="rId4"/>
    <sheet name="Asset cost and Total cost" sheetId="22" r:id="rId5"/>
    <sheet name="RAB" sheetId="7" r:id="rId6"/>
    <sheet name="Depreciation" sheetId="27" r:id="rId7"/>
    <sheet name="CPI" sheetId="2" r:id="rId8"/>
    <sheet name="Capex" sheetId="1" r:id="rId9"/>
    <sheet name="Physical data" sheetId="5" r:id="rId10"/>
    <sheet name="Network size table" sheetId="26" r:id="rId11"/>
  </sheets>
  <definedNames>
    <definedName name="_GoBack" localSheetId="0">Readme!$A$12</definedName>
    <definedName name="_Ref390772024" localSheetId="9">'Physical data'!$B$27</definedName>
    <definedName name="Capex_base" localSheetId="4">'Asset cost and Total cost'!#REF!</definedName>
    <definedName name="Capex_base" localSheetId="6">Depreciation!#REF!</definedName>
    <definedName name="Capex_base" localSheetId="3">Opex!#REF!</definedName>
    <definedName name="Capex_base" localSheetId="5">RAB!#REF!</definedName>
    <definedName name="Capex_base" localSheetId="0">#REF!</definedName>
    <definedName name="Capex_base">Capex!#REF!</definedName>
    <definedName name="Capex_Base_Index" localSheetId="4">'Asset cost and Total cost'!#REF!</definedName>
    <definedName name="Capex_base_index" localSheetId="6">Depreciation!#REF!</definedName>
    <definedName name="Capex_Base_Index" localSheetId="3">Opex!#REF!</definedName>
    <definedName name="Capex_Base_Index" localSheetId="5">RAB!#REF!</definedName>
    <definedName name="Capex_Base_Index" localSheetId="0">#REF!</definedName>
    <definedName name="Capex_Base_Index">Capex!#REF!</definedName>
    <definedName name="Capex_Years">#REF!</definedName>
    <definedName name="currency_base" localSheetId="0">#REF!</definedName>
    <definedName name="currency_base">CPI!$E$10</definedName>
    <definedName name="Real_year" localSheetId="0">#REF!</definedName>
    <definedName name="Real_year">CPI!$E$8</definedName>
    <definedName name="RemovingHVAsse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5" i="2" l="1"/>
  <c r="U6" i="2"/>
  <c r="P5" i="2"/>
  <c r="Q4" i="2"/>
  <c r="Q6" i="2"/>
  <c r="Q5" i="2"/>
  <c r="D26" i="5"/>
  <c r="B2" i="7" l="1"/>
  <c r="A14" i="7" s="1"/>
  <c r="U40" i="5" l="1"/>
  <c r="U42" i="5"/>
  <c r="D28" i="5"/>
  <c r="F28" i="5"/>
  <c r="E30" i="5"/>
  <c r="E29" i="5"/>
  <c r="E28" i="5"/>
  <c r="B2" i="4" l="1"/>
  <c r="F29" i="5" l="1"/>
  <c r="F30" i="5" l="1"/>
  <c r="U44" i="5" l="1"/>
  <c r="D30" i="5"/>
  <c r="F27" i="5"/>
  <c r="E27" i="5"/>
  <c r="U41" i="5" l="1"/>
  <c r="D27" i="5"/>
  <c r="F26" i="5"/>
  <c r="E26" i="5"/>
  <c r="U43" i="5" l="1"/>
  <c r="D29" i="5"/>
  <c r="W3" i="2"/>
  <c r="E10" i="2" s="1"/>
  <c r="U12" i="2" l="1"/>
  <c r="U11" i="2"/>
  <c r="U13" i="2"/>
  <c r="P12" i="2"/>
  <c r="Q12" i="2"/>
  <c r="P11" i="2"/>
  <c r="T11" i="2"/>
  <c r="W4" i="2"/>
  <c r="F3" i="2"/>
  <c r="W11" i="2" l="1"/>
  <c r="T3" i="1" s="1"/>
  <c r="M12" i="2"/>
  <c r="J12" i="2"/>
  <c r="B13" i="26" l="1"/>
  <c r="D10" i="2" l="1"/>
  <c r="T41" i="5" l="1"/>
  <c r="K25" i="5" l="1"/>
  <c r="J25" i="5"/>
  <c r="I25" i="5"/>
  <c r="U3" i="2" l="1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S42" i="5" l="1"/>
  <c r="S41" i="5"/>
  <c r="S44" i="5" l="1"/>
  <c r="W6" i="2" l="1"/>
  <c r="W13" i="2" s="1"/>
  <c r="V3" i="2"/>
  <c r="V5" i="2"/>
  <c r="U4" i="2"/>
  <c r="V6" i="2" l="1"/>
  <c r="V13" i="2" s="1"/>
  <c r="W5" i="2"/>
  <c r="W12" i="2" s="1"/>
  <c r="T4" i="7" s="1"/>
  <c r="T15" i="7" s="1"/>
  <c r="V12" i="2"/>
  <c r="S6" i="22" s="1"/>
  <c r="S11" i="22" s="1"/>
  <c r="T5" i="22"/>
  <c r="T13" i="22" s="1"/>
  <c r="T3" i="7"/>
  <c r="T17" i="7" s="1"/>
  <c r="T4" i="1"/>
  <c r="T19" i="1" s="1"/>
  <c r="T3" i="27"/>
  <c r="T17" i="27" s="1"/>
  <c r="T4" i="4"/>
  <c r="T4" i="27"/>
  <c r="V4" i="2"/>
  <c r="V11" i="2" s="1"/>
  <c r="S3" i="1" s="1"/>
  <c r="R3" i="27"/>
  <c r="R17" i="27" s="1"/>
  <c r="S5" i="22" l="1"/>
  <c r="S13" i="22" s="1"/>
  <c r="S3" i="27"/>
  <c r="S3" i="4"/>
  <c r="T6" i="22"/>
  <c r="T5" i="1"/>
  <c r="T20" i="1" s="1"/>
  <c r="T19" i="4"/>
  <c r="T18" i="4"/>
  <c r="T3" i="4"/>
  <c r="T17" i="4" s="1"/>
  <c r="T21" i="22" s="1"/>
  <c r="U55" i="23" s="1"/>
  <c r="S4" i="27"/>
  <c r="T15" i="4"/>
  <c r="T16" i="4"/>
  <c r="T19" i="7"/>
  <c r="T16" i="7"/>
  <c r="T18" i="7"/>
  <c r="T19" i="27"/>
  <c r="T18" i="27"/>
  <c r="T16" i="27"/>
  <c r="T15" i="27"/>
  <c r="T17" i="1"/>
  <c r="R3" i="1"/>
  <c r="R4" i="27"/>
  <c r="R5" i="22"/>
  <c r="R3" i="7"/>
  <c r="R17" i="7" s="1"/>
  <c r="R4" i="1"/>
  <c r="R19" i="1" s="1"/>
  <c r="R3" i="4"/>
  <c r="R17" i="4" s="1"/>
  <c r="V5" i="5"/>
  <c r="V51" i="5"/>
  <c r="E8" i="26" s="1"/>
  <c r="R40" i="5"/>
  <c r="T21" i="1" l="1"/>
  <c r="T18" i="1"/>
  <c r="T15" i="22"/>
  <c r="T23" i="22" s="1"/>
  <c r="U57" i="23" s="1"/>
  <c r="T11" i="22"/>
  <c r="T12" i="22"/>
  <c r="T20" i="22" s="1"/>
  <c r="U54" i="23" s="1"/>
  <c r="T14" i="22"/>
  <c r="T22" i="22" s="1"/>
  <c r="U56" i="23" s="1"/>
  <c r="T19" i="22"/>
  <c r="U53" i="23" s="1"/>
  <c r="U45" i="23" s="1"/>
  <c r="G28" i="5"/>
  <c r="J28" i="5"/>
  <c r="V34" i="5"/>
  <c r="I27" i="5" s="1"/>
  <c r="B6" i="26" s="1"/>
  <c r="U47" i="23"/>
  <c r="U23" i="23"/>
  <c r="U15" i="23"/>
  <c r="U31" i="23"/>
  <c r="S16" i="27"/>
  <c r="S15" i="27"/>
  <c r="V12" i="5"/>
  <c r="K27" i="5" s="1"/>
  <c r="V13" i="5"/>
  <c r="K28" i="5" s="1"/>
  <c r="V52" i="5"/>
  <c r="E9" i="26" s="1"/>
  <c r="V50" i="5"/>
  <c r="E7" i="26" s="1"/>
  <c r="V49" i="5"/>
  <c r="E6" i="26" s="1"/>
  <c r="V48" i="5"/>
  <c r="E5" i="26" s="1"/>
  <c r="V4" i="5"/>
  <c r="G27" i="5" s="1"/>
  <c r="R5" i="1"/>
  <c r="R17" i="1" s="1"/>
  <c r="R4" i="7"/>
  <c r="R18" i="7" s="1"/>
  <c r="R6" i="22"/>
  <c r="S4" i="7"/>
  <c r="S19" i="7" s="1"/>
  <c r="S4" i="4"/>
  <c r="S16" i="4" s="1"/>
  <c r="S5" i="1"/>
  <c r="L28" i="5"/>
  <c r="C7" i="26" s="1"/>
  <c r="R4" i="4"/>
  <c r="R16" i="4" s="1"/>
  <c r="S3" i="7"/>
  <c r="S17" i="7" s="1"/>
  <c r="S17" i="27"/>
  <c r="S4" i="1"/>
  <c r="S19" i="1" s="1"/>
  <c r="R19" i="27"/>
  <c r="R15" i="27"/>
  <c r="R16" i="27"/>
  <c r="R18" i="27"/>
  <c r="B4" i="22"/>
  <c r="U48" i="23" l="1"/>
  <c r="U24" i="23"/>
  <c r="U32" i="23"/>
  <c r="U16" i="23"/>
  <c r="U46" i="23"/>
  <c r="U30" i="23"/>
  <c r="U14" i="23"/>
  <c r="U22" i="23"/>
  <c r="U49" i="23"/>
  <c r="U17" i="23"/>
  <c r="U33" i="23"/>
  <c r="U25" i="23"/>
  <c r="U13" i="23"/>
  <c r="U29" i="23"/>
  <c r="U21" i="23"/>
  <c r="U50" i="23"/>
  <c r="S21" i="1"/>
  <c r="S18" i="1"/>
  <c r="S17" i="1"/>
  <c r="S20" i="1"/>
  <c r="D6" i="26"/>
  <c r="D7" i="26"/>
  <c r="R21" i="1"/>
  <c r="R18" i="1"/>
  <c r="R20" i="1"/>
  <c r="J27" i="5"/>
  <c r="L27" i="5" s="1"/>
  <c r="C6" i="26" s="1"/>
  <c r="R19" i="7"/>
  <c r="R16" i="7"/>
  <c r="R15" i="7"/>
  <c r="S16" i="7"/>
  <c r="S18" i="7"/>
  <c r="S15" i="7"/>
  <c r="R19" i="4"/>
  <c r="S18" i="27"/>
  <c r="S19" i="27"/>
  <c r="C13" i="26"/>
  <c r="R42" i="5" l="1"/>
  <c r="Q40" i="5"/>
  <c r="R41" i="5" l="1"/>
  <c r="R43" i="5"/>
  <c r="R44" i="5"/>
  <c r="R16" i="5"/>
  <c r="T6" i="2" l="1"/>
  <c r="T5" i="2"/>
  <c r="T4" i="2"/>
  <c r="Q3" i="1" l="1"/>
  <c r="T12" i="2" l="1"/>
  <c r="Q6" i="22" s="1"/>
  <c r="T13" i="2"/>
  <c r="Q5" i="22" s="1"/>
  <c r="Q13" i="22" s="1"/>
  <c r="Q15" i="22" l="1"/>
  <c r="Q11" i="22"/>
  <c r="Q12" i="22"/>
  <c r="Q14" i="22"/>
  <c r="Q4" i="7"/>
  <c r="Q3" i="7"/>
  <c r="Q17" i="7" s="1"/>
  <c r="Q4" i="1"/>
  <c r="Q19" i="1" s="1"/>
  <c r="Q3" i="27"/>
  <c r="Q17" i="27" s="1"/>
  <c r="Q4" i="4"/>
  <c r="Q15" i="4" s="1"/>
  <c r="Q5" i="1"/>
  <c r="Q4" i="27"/>
  <c r="Q3" i="4"/>
  <c r="Q17" i="4" s="1"/>
  <c r="Q20" i="1" l="1"/>
  <c r="Q21" i="1"/>
  <c r="Q18" i="1"/>
  <c r="Q17" i="1"/>
  <c r="Q19" i="7"/>
  <c r="Q18" i="7"/>
  <c r="Q16" i="7"/>
  <c r="Q15" i="7"/>
  <c r="Q21" i="22"/>
  <c r="Q19" i="4"/>
  <c r="Q16" i="4"/>
  <c r="Q18" i="4"/>
  <c r="Q15" i="27"/>
  <c r="Q19" i="27"/>
  <c r="Q18" i="27"/>
  <c r="Q16" i="27"/>
  <c r="Q20" i="22" l="1"/>
  <c r="R54" i="23" s="1"/>
  <c r="R46" i="23" s="1"/>
  <c r="R55" i="23"/>
  <c r="R47" i="23" s="1"/>
  <c r="Q19" i="22"/>
  <c r="R53" i="23" s="1"/>
  <c r="R13" i="23" s="1"/>
  <c r="Q23" i="22"/>
  <c r="Q22" i="22"/>
  <c r="R56" i="23" s="1"/>
  <c r="R48" i="23" s="1"/>
  <c r="R30" i="23" l="1"/>
  <c r="R14" i="23"/>
  <c r="R22" i="23"/>
  <c r="R21" i="23"/>
  <c r="R45" i="23"/>
  <c r="R31" i="23"/>
  <c r="R15" i="23"/>
  <c r="R57" i="23"/>
  <c r="R49" i="23" s="1"/>
  <c r="R29" i="23"/>
  <c r="R23" i="23"/>
  <c r="R32" i="23"/>
  <c r="R24" i="23"/>
  <c r="R16" i="23"/>
  <c r="R50" i="23" l="1"/>
  <c r="R33" i="23"/>
  <c r="R25" i="23"/>
  <c r="R17" i="23"/>
  <c r="R34" i="23"/>
  <c r="S6" i="2"/>
  <c r="S5" i="2"/>
  <c r="S4" i="2"/>
  <c r="S11" i="2" l="1"/>
  <c r="P3" i="1" s="1"/>
  <c r="S12" i="2"/>
  <c r="S13" i="2"/>
  <c r="P5" i="22" s="1"/>
  <c r="P13" i="22" s="1"/>
  <c r="P6" i="22" l="1"/>
  <c r="P15" i="22" s="1"/>
  <c r="P5" i="1"/>
  <c r="P4" i="1"/>
  <c r="P3" i="27"/>
  <c r="P3" i="4"/>
  <c r="P3" i="7"/>
  <c r="P4" i="7"/>
  <c r="P4" i="27"/>
  <c r="P4" i="4"/>
  <c r="P15" i="4" s="1"/>
  <c r="P14" i="22" l="1"/>
  <c r="P11" i="22"/>
  <c r="P12" i="22"/>
  <c r="P20" i="1"/>
  <c r="U20" i="1" s="1"/>
  <c r="P18" i="27"/>
  <c r="U18" i="27" s="1"/>
  <c r="Q42" i="5"/>
  <c r="Q43" i="5"/>
  <c r="Q41" i="5"/>
  <c r="V41" i="5" s="1"/>
  <c r="Q44" i="5"/>
  <c r="P18" i="7" l="1"/>
  <c r="P21" i="1"/>
  <c r="U21" i="1" s="1"/>
  <c r="P19" i="27"/>
  <c r="U19" i="27" s="1"/>
  <c r="P19" i="7"/>
  <c r="U19" i="7" s="1"/>
  <c r="F41" i="23" s="1"/>
  <c r="U18" i="7" l="1"/>
  <c r="F40" i="23" s="1"/>
  <c r="P19" i="1"/>
  <c r="U19" i="1" s="1"/>
  <c r="P17" i="27"/>
  <c r="U17" i="27" s="1"/>
  <c r="P17" i="7"/>
  <c r="U17" i="7" s="1"/>
  <c r="F39" i="23" s="1"/>
  <c r="P18" i="1" l="1"/>
  <c r="U18" i="1" s="1"/>
  <c r="P16" i="27"/>
  <c r="U16" i="27" s="1"/>
  <c r="E38" i="23" s="1"/>
  <c r="P16" i="7"/>
  <c r="U16" i="7" s="1"/>
  <c r="F38" i="23" s="1"/>
  <c r="P17" i="1" l="1"/>
  <c r="U17" i="1" s="1"/>
  <c r="C14" i="26" s="1"/>
  <c r="P15" i="27"/>
  <c r="U15" i="27" s="1"/>
  <c r="E37" i="23" l="1"/>
  <c r="E14" i="26"/>
  <c r="P15" i="7"/>
  <c r="U15" i="7" l="1"/>
  <c r="F37" i="23" s="1"/>
  <c r="P18" i="4"/>
  <c r="P19" i="4" l="1"/>
  <c r="P17" i="4" l="1"/>
  <c r="P16" i="4" l="1"/>
  <c r="U16" i="4" s="1"/>
  <c r="D38" i="23" s="1"/>
  <c r="P21" i="22" l="1"/>
  <c r="Q55" i="23" s="1"/>
  <c r="P22" i="22"/>
  <c r="Q56" i="23" s="1"/>
  <c r="P20" i="22"/>
  <c r="Q54" i="23" s="1"/>
  <c r="P19" i="22"/>
  <c r="Q53" i="23" s="1"/>
  <c r="P23" i="22"/>
  <c r="Q57" i="23" s="1"/>
  <c r="Q30" i="23" l="1"/>
  <c r="Q32" i="23"/>
  <c r="Q33" i="23"/>
  <c r="Q31" i="23"/>
  <c r="Q22" i="23"/>
  <c r="Q14" i="23"/>
  <c r="Q46" i="23"/>
  <c r="Q13" i="23"/>
  <c r="Q29" i="23"/>
  <c r="Q45" i="23"/>
  <c r="Q21" i="23"/>
  <c r="Q24" i="23"/>
  <c r="Q16" i="23"/>
  <c r="Q48" i="23"/>
  <c r="Q25" i="23"/>
  <c r="Q49" i="23"/>
  <c r="Q17" i="23"/>
  <c r="Q23" i="23"/>
  <c r="Q47" i="23"/>
  <c r="Q15" i="23"/>
  <c r="Q34" i="23" l="1"/>
  <c r="Q50" i="23"/>
  <c r="Q16" i="5" l="1"/>
  <c r="B2" i="1"/>
  <c r="B2" i="27"/>
  <c r="F6" i="2"/>
  <c r="G6" i="2"/>
  <c r="H6" i="2"/>
  <c r="I6" i="2"/>
  <c r="J6" i="2"/>
  <c r="K6" i="2"/>
  <c r="L6" i="2"/>
  <c r="M6" i="2"/>
  <c r="N6" i="2"/>
  <c r="R6" i="2"/>
  <c r="F5" i="2"/>
  <c r="G5" i="2"/>
  <c r="H5" i="2"/>
  <c r="I5" i="2"/>
  <c r="J5" i="2"/>
  <c r="K5" i="2"/>
  <c r="L5" i="2"/>
  <c r="M5" i="2"/>
  <c r="N5" i="2"/>
  <c r="R5" i="2"/>
  <c r="L4" i="2"/>
  <c r="K4" i="2"/>
  <c r="J4" i="2"/>
  <c r="I4" i="2"/>
  <c r="H4" i="2"/>
  <c r="G4" i="2"/>
  <c r="F4" i="2"/>
  <c r="M4" i="2"/>
  <c r="N4" i="2"/>
  <c r="R4" i="2"/>
  <c r="R11" i="2" l="1"/>
  <c r="O3" i="1" s="1"/>
  <c r="R12" i="2"/>
  <c r="O6" i="22" s="1"/>
  <c r="R13" i="2"/>
  <c r="O5" i="22" s="1"/>
  <c r="O13" i="22" s="1"/>
  <c r="O16" i="5"/>
  <c r="G16" i="5"/>
  <c r="K16" i="5"/>
  <c r="N16" i="5"/>
  <c r="J16" i="5"/>
  <c r="F16" i="5"/>
  <c r="P41" i="5"/>
  <c r="M16" i="5"/>
  <c r="P43" i="5"/>
  <c r="P42" i="5"/>
  <c r="I16" i="5"/>
  <c r="P16" i="5"/>
  <c r="H16" i="5"/>
  <c r="P40" i="5"/>
  <c r="P44" i="5"/>
  <c r="L16" i="5"/>
  <c r="O14" i="22" l="1"/>
  <c r="O12" i="22"/>
  <c r="O15" i="22"/>
  <c r="O11" i="22"/>
  <c r="O4" i="4"/>
  <c r="O18" i="4" s="1"/>
  <c r="O4" i="1"/>
  <c r="O19" i="1" s="1"/>
  <c r="O3" i="7"/>
  <c r="O17" i="7" s="1"/>
  <c r="O3" i="27"/>
  <c r="O17" i="27" s="1"/>
  <c r="O3" i="4"/>
  <c r="O17" i="4" s="1"/>
  <c r="O4" i="27"/>
  <c r="O5" i="1"/>
  <c r="O4" i="7"/>
  <c r="O42" i="5"/>
  <c r="O43" i="5"/>
  <c r="O44" i="5"/>
  <c r="O21" i="1" l="1"/>
  <c r="O20" i="1"/>
  <c r="O18" i="1"/>
  <c r="O17" i="1"/>
  <c r="O16" i="4"/>
  <c r="O19" i="4"/>
  <c r="O15" i="4"/>
  <c r="O18" i="7"/>
  <c r="O15" i="7"/>
  <c r="O19" i="7"/>
  <c r="O16" i="7"/>
  <c r="O15" i="27"/>
  <c r="O19" i="27"/>
  <c r="O18" i="27"/>
  <c r="O16" i="27"/>
  <c r="O41" i="5"/>
  <c r="O21" i="22" l="1"/>
  <c r="P55" i="23" s="1"/>
  <c r="O19" i="22"/>
  <c r="P53" i="23" s="1"/>
  <c r="O40" i="5"/>
  <c r="O20" i="22" l="1"/>
  <c r="P54" i="23" s="1"/>
  <c r="O22" i="22"/>
  <c r="P56" i="23" s="1"/>
  <c r="P21" i="23"/>
  <c r="P13" i="23"/>
  <c r="P45" i="23"/>
  <c r="P29" i="23"/>
  <c r="O23" i="22"/>
  <c r="P57" i="23" s="1"/>
  <c r="P47" i="23"/>
  <c r="P23" i="23"/>
  <c r="P31" i="23"/>
  <c r="P15" i="23"/>
  <c r="P16" i="23" l="1"/>
  <c r="P48" i="23"/>
  <c r="P32" i="23"/>
  <c r="P24" i="23"/>
  <c r="P25" i="23"/>
  <c r="P49" i="23"/>
  <c r="P33" i="23"/>
  <c r="P17" i="23"/>
  <c r="P22" i="23"/>
  <c r="P14" i="23"/>
  <c r="P30" i="23"/>
  <c r="P46" i="23"/>
  <c r="J11" i="2"/>
  <c r="G3" i="1" s="1"/>
  <c r="P50" i="23" l="1"/>
  <c r="N6" i="22"/>
  <c r="K11" i="2"/>
  <c r="H3" i="1" s="1"/>
  <c r="L11" i="2"/>
  <c r="I3" i="1" s="1"/>
  <c r="G11" i="2"/>
  <c r="D3" i="1" s="1"/>
  <c r="M11" i="2"/>
  <c r="J3" i="1" s="1"/>
  <c r="H11" i="2"/>
  <c r="E3" i="1" s="1"/>
  <c r="N11" i="2"/>
  <c r="K3" i="1" s="1"/>
  <c r="I11" i="2"/>
  <c r="F3" i="1" s="1"/>
  <c r="Q13" i="2"/>
  <c r="N5" i="22" s="1"/>
  <c r="N13" i="22" s="1"/>
  <c r="Q11" i="2"/>
  <c r="N3" i="1" s="1"/>
  <c r="N14" i="22" l="1"/>
  <c r="N15" i="22"/>
  <c r="N12" i="22"/>
  <c r="N11" i="22"/>
  <c r="N3" i="7"/>
  <c r="N17" i="7" s="1"/>
  <c r="N3" i="27"/>
  <c r="N17" i="27" s="1"/>
  <c r="N4" i="1"/>
  <c r="N19" i="1" s="1"/>
  <c r="N4" i="7"/>
  <c r="N15" i="7" s="1"/>
  <c r="N5" i="1"/>
  <c r="N4" i="27"/>
  <c r="N16" i="27" s="1"/>
  <c r="N4" i="4"/>
  <c r="N16" i="4" s="1"/>
  <c r="N3" i="4"/>
  <c r="N17" i="4" s="1"/>
  <c r="N40" i="5"/>
  <c r="N42" i="5"/>
  <c r="N41" i="5"/>
  <c r="N43" i="5"/>
  <c r="N44" i="5"/>
  <c r="N21" i="1" l="1"/>
  <c r="N18" i="1"/>
  <c r="N17" i="1"/>
  <c r="N20" i="1"/>
  <c r="N19" i="7"/>
  <c r="N18" i="7"/>
  <c r="N16" i="7"/>
  <c r="N21" i="22"/>
  <c r="N15" i="27"/>
  <c r="N18" i="4"/>
  <c r="N19" i="4"/>
  <c r="N15" i="4"/>
  <c r="N18" i="27"/>
  <c r="N19" i="27"/>
  <c r="M9" i="1"/>
  <c r="M16" i="1"/>
  <c r="N20" i="22" l="1"/>
  <c r="O54" i="23" s="1"/>
  <c r="N23" i="22"/>
  <c r="N22" i="22"/>
  <c r="N19" i="22"/>
  <c r="O55" i="23"/>
  <c r="M41" i="5"/>
  <c r="M40" i="5"/>
  <c r="M43" i="5"/>
  <c r="M42" i="5"/>
  <c r="M44" i="5"/>
  <c r="O22" i="23" l="1"/>
  <c r="O47" i="23"/>
  <c r="O30" i="23"/>
  <c r="O14" i="23"/>
  <c r="O46" i="23"/>
  <c r="O57" i="23"/>
  <c r="O53" i="23"/>
  <c r="O15" i="23"/>
  <c r="O23" i="23"/>
  <c r="O31" i="23"/>
  <c r="O56" i="23"/>
  <c r="P6" i="2"/>
  <c r="P4" i="2"/>
  <c r="M3" i="1" s="1"/>
  <c r="O6" i="2"/>
  <c r="O5" i="2"/>
  <c r="O4" i="2"/>
  <c r="O11" i="2" s="1"/>
  <c r="L3" i="1" s="1"/>
  <c r="O49" i="23" l="1"/>
  <c r="O48" i="23"/>
  <c r="O45" i="23"/>
  <c r="O21" i="23"/>
  <c r="O25" i="23"/>
  <c r="O13" i="23"/>
  <c r="O32" i="23"/>
  <c r="O17" i="23"/>
  <c r="O16" i="23"/>
  <c r="O33" i="23"/>
  <c r="O24" i="23"/>
  <c r="O29" i="23"/>
  <c r="P13" i="2"/>
  <c r="M5" i="22" s="1"/>
  <c r="M13" i="22" s="1"/>
  <c r="M6" i="22"/>
  <c r="O13" i="2"/>
  <c r="L5" i="22" s="1"/>
  <c r="L13" i="22" s="1"/>
  <c r="O12" i="2"/>
  <c r="L6" i="22" s="1"/>
  <c r="O50" i="23" l="1"/>
  <c r="L14" i="22"/>
  <c r="L11" i="22"/>
  <c r="L15" i="22"/>
  <c r="L12" i="22"/>
  <c r="M14" i="22"/>
  <c r="M15" i="22"/>
  <c r="M11" i="22"/>
  <c r="M12" i="22"/>
  <c r="M3" i="27"/>
  <c r="M17" i="27" s="1"/>
  <c r="M4" i="1"/>
  <c r="M19" i="1" s="1"/>
  <c r="M4" i="27"/>
  <c r="M5" i="1"/>
  <c r="L4" i="7"/>
  <c r="L19" i="7" s="1"/>
  <c r="L4" i="27"/>
  <c r="L5" i="1"/>
  <c r="L3" i="7"/>
  <c r="L17" i="7" s="1"/>
  <c r="L3" i="27"/>
  <c r="L17" i="27" s="1"/>
  <c r="L4" i="1"/>
  <c r="L19" i="1" s="1"/>
  <c r="M3" i="7"/>
  <c r="M17" i="7" s="1"/>
  <c r="M4" i="7"/>
  <c r="M16" i="7" s="1"/>
  <c r="L4" i="4"/>
  <c r="L3" i="4"/>
  <c r="M4" i="4"/>
  <c r="M15" i="4" s="1"/>
  <c r="M3" i="4"/>
  <c r="M17" i="4" s="1"/>
  <c r="M20" i="1" l="1"/>
  <c r="M18" i="1"/>
  <c r="M17" i="1"/>
  <c r="M21" i="1"/>
  <c r="L18" i="1"/>
  <c r="L17" i="1"/>
  <c r="L20" i="1"/>
  <c r="L21" i="1"/>
  <c r="L16" i="7"/>
  <c r="L15" i="7"/>
  <c r="L18" i="7"/>
  <c r="M19" i="27"/>
  <c r="M18" i="27"/>
  <c r="M15" i="27"/>
  <c r="M16" i="27"/>
  <c r="M18" i="7"/>
  <c r="M15" i="7"/>
  <c r="M19" i="7"/>
  <c r="L15" i="27"/>
  <c r="L18" i="27"/>
  <c r="L19" i="27"/>
  <c r="L16" i="27"/>
  <c r="M16" i="4"/>
  <c r="M18" i="4"/>
  <c r="M19" i="4"/>
  <c r="M21" i="22" l="1"/>
  <c r="N55" i="23" s="1"/>
  <c r="E39" i="23"/>
  <c r="E16" i="26"/>
  <c r="D15" i="26"/>
  <c r="D16" i="26"/>
  <c r="D14" i="26" l="1"/>
  <c r="M20" i="22"/>
  <c r="N54" i="23" s="1"/>
  <c r="N47" i="23"/>
  <c r="N23" i="23"/>
  <c r="N15" i="23"/>
  <c r="N31" i="23"/>
  <c r="M22" i="22"/>
  <c r="N56" i="23" s="1"/>
  <c r="M23" i="22"/>
  <c r="N57" i="23" s="1"/>
  <c r="M19" i="22"/>
  <c r="N53" i="23" s="1"/>
  <c r="D18" i="26"/>
  <c r="E18" i="26"/>
  <c r="E41" i="23"/>
  <c r="E15" i="26"/>
  <c r="E17" i="26"/>
  <c r="E40" i="23"/>
  <c r="D17" i="26"/>
  <c r="N46" i="23" l="1"/>
  <c r="N14" i="23"/>
  <c r="N30" i="23"/>
  <c r="N22" i="23"/>
  <c r="N45" i="23"/>
  <c r="N48" i="23"/>
  <c r="N49" i="23"/>
  <c r="N32" i="23"/>
  <c r="N33" i="23"/>
  <c r="N25" i="23"/>
  <c r="N13" i="23"/>
  <c r="N16" i="23"/>
  <c r="N29" i="23"/>
  <c r="N21" i="23"/>
  <c r="N24" i="23"/>
  <c r="N17" i="23"/>
  <c r="F25" i="5"/>
  <c r="D4" i="26" s="1"/>
  <c r="E25" i="5"/>
  <c r="D25" i="5"/>
  <c r="B4" i="26" s="1"/>
  <c r="F13" i="26"/>
  <c r="E13" i="26"/>
  <c r="D13" i="26"/>
  <c r="N50" i="23" l="1"/>
  <c r="D40" i="5"/>
  <c r="D41" i="5"/>
  <c r="D42" i="5"/>
  <c r="D43" i="5"/>
  <c r="D44" i="5"/>
  <c r="A16" i="1" l="1"/>
  <c r="A14" i="27"/>
  <c r="A14" i="4"/>
  <c r="D8" i="2" l="1"/>
  <c r="G13" i="2" l="1"/>
  <c r="D5" i="22" s="1"/>
  <c r="D13" i="22" s="1"/>
  <c r="I13" i="2"/>
  <c r="F5" i="22" s="1"/>
  <c r="F13" i="22" s="1"/>
  <c r="K13" i="2"/>
  <c r="H5" i="22" s="1"/>
  <c r="H13" i="22" s="1"/>
  <c r="M13" i="2"/>
  <c r="J5" i="22" s="1"/>
  <c r="J13" i="22" s="1"/>
  <c r="H13" i="2"/>
  <c r="E5" i="22" s="1"/>
  <c r="E13" i="22" s="1"/>
  <c r="J13" i="2"/>
  <c r="G5" i="22" s="1"/>
  <c r="G13" i="22" s="1"/>
  <c r="L13" i="2"/>
  <c r="I5" i="22" s="1"/>
  <c r="I13" i="22" s="1"/>
  <c r="N13" i="2"/>
  <c r="K5" i="22" s="1"/>
  <c r="K13" i="22" s="1"/>
  <c r="F13" i="2"/>
  <c r="C5" i="22" s="1"/>
  <c r="C13" i="22" s="1"/>
  <c r="J6" i="22"/>
  <c r="K12" i="2"/>
  <c r="H6" i="22" s="1"/>
  <c r="I12" i="2"/>
  <c r="F6" i="22" s="1"/>
  <c r="G12" i="2"/>
  <c r="D6" i="22" s="1"/>
  <c r="N12" i="2"/>
  <c r="K6" i="22" s="1"/>
  <c r="L12" i="2"/>
  <c r="I6" i="22" s="1"/>
  <c r="I14" i="22" s="1"/>
  <c r="G6" i="22"/>
  <c r="H12" i="2"/>
  <c r="E6" i="22" s="1"/>
  <c r="F12" i="2"/>
  <c r="C6" i="22" s="1"/>
  <c r="C11" i="22" s="1"/>
  <c r="F11" i="2"/>
  <c r="C3" i="1" s="1"/>
  <c r="I15" i="22" l="1"/>
  <c r="I11" i="22"/>
  <c r="I12" i="22"/>
  <c r="K11" i="22"/>
  <c r="K14" i="22"/>
  <c r="K12" i="22"/>
  <c r="K15" i="22"/>
  <c r="F14" i="22"/>
  <c r="F15" i="22"/>
  <c r="F11" i="22"/>
  <c r="F12" i="22"/>
  <c r="J11" i="22"/>
  <c r="J12" i="22"/>
  <c r="J15" i="22"/>
  <c r="J14" i="22"/>
  <c r="E14" i="22"/>
  <c r="E15" i="22"/>
  <c r="E11" i="22"/>
  <c r="E12" i="22"/>
  <c r="D11" i="22"/>
  <c r="D14" i="22"/>
  <c r="D15" i="22"/>
  <c r="D12" i="22"/>
  <c r="H15" i="22"/>
  <c r="H12" i="22"/>
  <c r="H11" i="22"/>
  <c r="H14" i="22"/>
  <c r="C12" i="22"/>
  <c r="C15" i="22"/>
  <c r="C14" i="22"/>
  <c r="G14" i="22"/>
  <c r="G12" i="22"/>
  <c r="G15" i="22"/>
  <c r="G11" i="22"/>
  <c r="K3" i="7"/>
  <c r="K17" i="7" s="1"/>
  <c r="K4" i="1"/>
  <c r="K19" i="1" s="1"/>
  <c r="K3" i="27"/>
  <c r="K17" i="27" s="1"/>
  <c r="J3" i="7"/>
  <c r="J17" i="7" s="1"/>
  <c r="J3" i="27"/>
  <c r="J17" i="27" s="1"/>
  <c r="J4" i="1"/>
  <c r="J19" i="1" s="1"/>
  <c r="I4" i="7"/>
  <c r="I19" i="7" s="1"/>
  <c r="I4" i="27"/>
  <c r="I5" i="1"/>
  <c r="H4" i="7"/>
  <c r="H16" i="7" s="1"/>
  <c r="H4" i="27"/>
  <c r="H5" i="1"/>
  <c r="I3" i="7"/>
  <c r="I17" i="7" s="1"/>
  <c r="I3" i="27"/>
  <c r="I17" i="27" s="1"/>
  <c r="I4" i="1"/>
  <c r="I19" i="1" s="1"/>
  <c r="H3" i="7"/>
  <c r="H17" i="7" s="1"/>
  <c r="H3" i="27"/>
  <c r="H17" i="27" s="1"/>
  <c r="H4" i="1"/>
  <c r="H19" i="1" s="1"/>
  <c r="F4" i="7"/>
  <c r="F16" i="7" s="1"/>
  <c r="F5" i="1"/>
  <c r="F4" i="27"/>
  <c r="C4" i="27"/>
  <c r="C5" i="1"/>
  <c r="G3" i="7"/>
  <c r="G17" i="7" s="1"/>
  <c r="G4" i="1"/>
  <c r="G19" i="1" s="1"/>
  <c r="G3" i="27"/>
  <c r="G17" i="27" s="1"/>
  <c r="F3" i="7"/>
  <c r="F17" i="7" s="1"/>
  <c r="F3" i="27"/>
  <c r="F17" i="27" s="1"/>
  <c r="F4" i="1"/>
  <c r="F19" i="1" s="1"/>
  <c r="G4" i="7"/>
  <c r="G15" i="7" s="1"/>
  <c r="G4" i="27"/>
  <c r="G5" i="1"/>
  <c r="K4" i="7"/>
  <c r="K15" i="7" s="1"/>
  <c r="K4" i="27"/>
  <c r="K5" i="1"/>
  <c r="J4" i="7"/>
  <c r="J18" i="7" s="1"/>
  <c r="J5" i="1"/>
  <c r="J4" i="27"/>
  <c r="E4" i="7"/>
  <c r="E16" i="7" s="1"/>
  <c r="E4" i="27"/>
  <c r="E5" i="1"/>
  <c r="D4" i="7"/>
  <c r="D19" i="7" s="1"/>
  <c r="D4" i="27"/>
  <c r="D5" i="1"/>
  <c r="C4" i="1"/>
  <c r="C19" i="1" s="1"/>
  <c r="C3" i="27"/>
  <c r="E3" i="7"/>
  <c r="E17" i="7" s="1"/>
  <c r="E3" i="27"/>
  <c r="E17" i="27" s="1"/>
  <c r="E4" i="1"/>
  <c r="E19" i="1" s="1"/>
  <c r="D3" i="7"/>
  <c r="D17" i="7" s="1"/>
  <c r="D3" i="27"/>
  <c r="D17" i="27" s="1"/>
  <c r="D4" i="1"/>
  <c r="D19" i="1" s="1"/>
  <c r="C4" i="4"/>
  <c r="C4" i="7"/>
  <c r="E4" i="4"/>
  <c r="I4" i="4"/>
  <c r="F4" i="4"/>
  <c r="J4" i="4"/>
  <c r="C3" i="4"/>
  <c r="C3" i="7"/>
  <c r="I3" i="4"/>
  <c r="E3" i="4"/>
  <c r="J3" i="4"/>
  <c r="F3" i="4"/>
  <c r="G4" i="4"/>
  <c r="K4" i="4"/>
  <c r="D4" i="4"/>
  <c r="H4" i="4"/>
  <c r="K3" i="4"/>
  <c r="G3" i="4"/>
  <c r="H3" i="4"/>
  <c r="D3" i="4"/>
  <c r="B3" i="26"/>
  <c r="D16" i="1"/>
  <c r="E16" i="1"/>
  <c r="F16" i="1"/>
  <c r="G16" i="1"/>
  <c r="H16" i="1"/>
  <c r="I16" i="1"/>
  <c r="J16" i="1"/>
  <c r="K16" i="1"/>
  <c r="L16" i="1"/>
  <c r="C16" i="1"/>
  <c r="D18" i="1" l="1"/>
  <c r="D17" i="1"/>
  <c r="D21" i="1"/>
  <c r="D20" i="1"/>
  <c r="K17" i="1"/>
  <c r="K18" i="1"/>
  <c r="K21" i="1"/>
  <c r="K20" i="1"/>
  <c r="E20" i="1"/>
  <c r="E18" i="1"/>
  <c r="E17" i="1"/>
  <c r="E21" i="1"/>
  <c r="I21" i="1"/>
  <c r="I20" i="1"/>
  <c r="I18" i="1"/>
  <c r="I17" i="1"/>
  <c r="F21" i="1"/>
  <c r="F18" i="1"/>
  <c r="F17" i="1"/>
  <c r="F20" i="1"/>
  <c r="G20" i="1"/>
  <c r="G18" i="1"/>
  <c r="G17" i="1"/>
  <c r="G21" i="1"/>
  <c r="C17" i="1"/>
  <c r="C21" i="1"/>
  <c r="C20" i="1"/>
  <c r="C18" i="1"/>
  <c r="H21" i="1"/>
  <c r="H20" i="1"/>
  <c r="H18" i="1"/>
  <c r="H17" i="1"/>
  <c r="J21" i="1"/>
  <c r="J20" i="1"/>
  <c r="J17" i="1"/>
  <c r="J18" i="1"/>
  <c r="G19" i="7"/>
  <c r="G16" i="7"/>
  <c r="H19" i="7"/>
  <c r="K18" i="7"/>
  <c r="K16" i="7"/>
  <c r="K19" i="7"/>
  <c r="D18" i="7"/>
  <c r="D16" i="7"/>
  <c r="H15" i="7"/>
  <c r="I16" i="7"/>
  <c r="D15" i="7"/>
  <c r="I18" i="7"/>
  <c r="G18" i="7"/>
  <c r="H18" i="7"/>
  <c r="E18" i="7"/>
  <c r="F18" i="7"/>
  <c r="E15" i="7"/>
  <c r="F15" i="7"/>
  <c r="E19" i="7"/>
  <c r="I15" i="7"/>
  <c r="F19" i="7"/>
  <c r="J15" i="7"/>
  <c r="J19" i="7"/>
  <c r="J16" i="7"/>
  <c r="J18" i="27"/>
  <c r="J19" i="27"/>
  <c r="J16" i="27"/>
  <c r="J15" i="27"/>
  <c r="F18" i="27"/>
  <c r="F15" i="27"/>
  <c r="F19" i="27"/>
  <c r="F16" i="27"/>
  <c r="G18" i="27"/>
  <c r="G15" i="27"/>
  <c r="G16" i="27"/>
  <c r="G19" i="27"/>
  <c r="E19" i="27"/>
  <c r="E16" i="27"/>
  <c r="E18" i="27"/>
  <c r="E15" i="27"/>
  <c r="D15" i="27"/>
  <c r="D18" i="27"/>
  <c r="D19" i="27"/>
  <c r="D16" i="27"/>
  <c r="H18" i="27"/>
  <c r="H15" i="27"/>
  <c r="H19" i="27"/>
  <c r="H16" i="27"/>
  <c r="K18" i="27"/>
  <c r="K15" i="27"/>
  <c r="K19" i="27"/>
  <c r="K16" i="27"/>
  <c r="I19" i="27"/>
  <c r="I18" i="27"/>
  <c r="I15" i="27"/>
  <c r="I16" i="27"/>
  <c r="E16" i="5" l="1"/>
  <c r="E40" i="5" l="1"/>
  <c r="I40" i="5"/>
  <c r="E41" i="5"/>
  <c r="I41" i="5"/>
  <c r="E42" i="5"/>
  <c r="I42" i="5"/>
  <c r="E43" i="5"/>
  <c r="I43" i="5"/>
  <c r="E44" i="5"/>
  <c r="I44" i="5"/>
  <c r="F40" i="5"/>
  <c r="J40" i="5"/>
  <c r="F41" i="5"/>
  <c r="J41" i="5"/>
  <c r="F42" i="5"/>
  <c r="F43" i="5"/>
  <c r="F44" i="5"/>
  <c r="G40" i="5"/>
  <c r="K40" i="5"/>
  <c r="G41" i="5"/>
  <c r="K41" i="5"/>
  <c r="G42" i="5"/>
  <c r="K42" i="5"/>
  <c r="G43" i="5"/>
  <c r="K43" i="5"/>
  <c r="G44" i="5"/>
  <c r="K44" i="5"/>
  <c r="H40" i="5"/>
  <c r="L40" i="5"/>
  <c r="H41" i="5"/>
  <c r="L41" i="5"/>
  <c r="H42" i="5"/>
  <c r="L42" i="5"/>
  <c r="H43" i="5"/>
  <c r="L43" i="5"/>
  <c r="H44" i="5"/>
  <c r="L44" i="5"/>
  <c r="J42" i="5"/>
  <c r="J43" i="5"/>
  <c r="J44" i="5"/>
  <c r="L9" i="1" l="1"/>
  <c r="A18" i="22" l="1"/>
  <c r="A10" i="22" l="1"/>
  <c r="D9" i="1"/>
  <c r="E9" i="1"/>
  <c r="F9" i="1"/>
  <c r="G9" i="1"/>
  <c r="H9" i="1"/>
  <c r="I9" i="1"/>
  <c r="J9" i="1"/>
  <c r="K9" i="1"/>
  <c r="C9" i="1"/>
  <c r="C17" i="22" l="1"/>
  <c r="C3" i="26"/>
  <c r="D3" i="26"/>
  <c r="A5" i="26"/>
  <c r="A6" i="26"/>
  <c r="A7" i="26"/>
  <c r="A8" i="26"/>
  <c r="A9" i="26"/>
  <c r="B9" i="22" l="1"/>
  <c r="C17" i="7" l="1"/>
  <c r="C18" i="7" l="1"/>
  <c r="C15" i="7"/>
  <c r="C19" i="7"/>
  <c r="C16" i="7"/>
  <c r="L17" i="4" l="1"/>
  <c r="K17" i="4"/>
  <c r="I17" i="4"/>
  <c r="I21" i="22" s="1"/>
  <c r="G17" i="4"/>
  <c r="E17" i="4"/>
  <c r="C17" i="4"/>
  <c r="J17" i="4"/>
  <c r="H17" i="4"/>
  <c r="F17" i="4"/>
  <c r="D17" i="4"/>
  <c r="F21" i="22" l="1"/>
  <c r="D21" i="22"/>
  <c r="G21" i="22"/>
  <c r="H21" i="22"/>
  <c r="J21" i="22"/>
  <c r="E21" i="22"/>
  <c r="K21" i="22"/>
  <c r="L21" i="22"/>
  <c r="M55" i="23" s="1"/>
  <c r="C16" i="4"/>
  <c r="C15" i="4"/>
  <c r="C19" i="22" s="1"/>
  <c r="D53" i="23" s="1"/>
  <c r="D13" i="23" s="1"/>
  <c r="C19" i="4"/>
  <c r="C18" i="4"/>
  <c r="L15" i="4"/>
  <c r="L19" i="4"/>
  <c r="L16" i="4"/>
  <c r="L18" i="4"/>
  <c r="C16" i="26"/>
  <c r="K16" i="4"/>
  <c r="K18" i="4"/>
  <c r="K15" i="4"/>
  <c r="K19" i="4"/>
  <c r="C17" i="27"/>
  <c r="F19" i="4"/>
  <c r="F18" i="4"/>
  <c r="F16" i="4"/>
  <c r="J19" i="4"/>
  <c r="J18" i="4"/>
  <c r="J16" i="4"/>
  <c r="E19" i="4"/>
  <c r="E18" i="4"/>
  <c r="E16" i="4"/>
  <c r="I19" i="4"/>
  <c r="I18" i="4"/>
  <c r="I16" i="4"/>
  <c r="D19" i="4"/>
  <c r="D18" i="4"/>
  <c r="D16" i="4"/>
  <c r="H19" i="4"/>
  <c r="H18" i="4"/>
  <c r="H16" i="4"/>
  <c r="G19" i="4"/>
  <c r="G18" i="4"/>
  <c r="G16" i="4"/>
  <c r="D20" i="22" l="1"/>
  <c r="D22" i="22"/>
  <c r="J20" i="22"/>
  <c r="E22" i="22"/>
  <c r="I20" i="22"/>
  <c r="G23" i="22"/>
  <c r="H23" i="22"/>
  <c r="E23" i="22"/>
  <c r="D23" i="22"/>
  <c r="J23" i="22"/>
  <c r="I22" i="22"/>
  <c r="I23" i="22"/>
  <c r="F22" i="22"/>
  <c r="G20" i="22"/>
  <c r="J22" i="22"/>
  <c r="G22" i="22"/>
  <c r="F20" i="22"/>
  <c r="H20" i="22"/>
  <c r="H22" i="22"/>
  <c r="E20" i="22"/>
  <c r="F23" i="22"/>
  <c r="B15" i="26"/>
  <c r="L22" i="22"/>
  <c r="M56" i="23" s="1"/>
  <c r="M47" i="23"/>
  <c r="M31" i="23"/>
  <c r="M23" i="23"/>
  <c r="K23" i="22"/>
  <c r="K19" i="22"/>
  <c r="L53" i="23" s="1"/>
  <c r="L21" i="23" s="1"/>
  <c r="K22" i="22"/>
  <c r="L56" i="23" s="1"/>
  <c r="L20" i="22"/>
  <c r="M54" i="23" s="1"/>
  <c r="L19" i="22"/>
  <c r="M53" i="23" s="1"/>
  <c r="K20" i="22"/>
  <c r="L54" i="23" s="1"/>
  <c r="L22" i="23" s="1"/>
  <c r="L23" i="22"/>
  <c r="M57" i="23" s="1"/>
  <c r="C19" i="27"/>
  <c r="C18" i="27"/>
  <c r="C15" i="27"/>
  <c r="C16" i="27"/>
  <c r="M15" i="23"/>
  <c r="C15" i="26"/>
  <c r="C17" i="26"/>
  <c r="C18" i="26"/>
  <c r="L55" i="23"/>
  <c r="M49" i="23" l="1"/>
  <c r="M21" i="23"/>
  <c r="M48" i="23"/>
  <c r="M25" i="23"/>
  <c r="M22" i="23"/>
  <c r="M46" i="23"/>
  <c r="M30" i="23"/>
  <c r="M33" i="23"/>
  <c r="M45" i="23"/>
  <c r="L48" i="23"/>
  <c r="L45" i="23"/>
  <c r="L46" i="23"/>
  <c r="L47" i="23"/>
  <c r="M29" i="23"/>
  <c r="M13" i="23"/>
  <c r="L31" i="23"/>
  <c r="L23" i="23"/>
  <c r="L32" i="23"/>
  <c r="L24" i="23"/>
  <c r="M32" i="23"/>
  <c r="M24" i="23"/>
  <c r="L30" i="23"/>
  <c r="M17" i="23"/>
  <c r="M16" i="23"/>
  <c r="M14" i="23"/>
  <c r="L57" i="23"/>
  <c r="M50" i="23" l="1"/>
  <c r="L49" i="23"/>
  <c r="L50" i="23" s="1"/>
  <c r="L29" i="23"/>
  <c r="L13" i="23"/>
  <c r="L33" i="23"/>
  <c r="L25" i="23"/>
  <c r="L14" i="23"/>
  <c r="L16" i="23"/>
  <c r="L15" i="23"/>
  <c r="J15" i="4"/>
  <c r="E55" i="23"/>
  <c r="E47" i="23" s="1"/>
  <c r="J19" i="22" l="1"/>
  <c r="K53" i="23" s="1"/>
  <c r="F55" i="23"/>
  <c r="F47" i="23" s="1"/>
  <c r="J55" i="23"/>
  <c r="J47" i="23" s="1"/>
  <c r="L17" i="23"/>
  <c r="C21" i="22"/>
  <c r="G54" i="23"/>
  <c r="F54" i="23"/>
  <c r="I56" i="23"/>
  <c r="I48" i="23" s="1"/>
  <c r="H56" i="23"/>
  <c r="H48" i="23" s="1"/>
  <c r="I57" i="23"/>
  <c r="I49" i="23" s="1"/>
  <c r="H57" i="23"/>
  <c r="H49" i="23" s="1"/>
  <c r="H54" i="23"/>
  <c r="C20" i="22"/>
  <c r="I54" i="23"/>
  <c r="E54" i="23"/>
  <c r="G55" i="23"/>
  <c r="G47" i="23" s="1"/>
  <c r="G56" i="23"/>
  <c r="G48" i="23" s="1"/>
  <c r="G57" i="23"/>
  <c r="G49" i="23" s="1"/>
  <c r="E56" i="23"/>
  <c r="E48" i="23" s="1"/>
  <c r="C22" i="22"/>
  <c r="F56" i="23"/>
  <c r="F48" i="23" s="1"/>
  <c r="F57" i="23"/>
  <c r="F49" i="23" s="1"/>
  <c r="E57" i="23"/>
  <c r="E49" i="23" s="1"/>
  <c r="C23" i="22"/>
  <c r="W53" i="23" l="1"/>
  <c r="I46" i="23"/>
  <c r="I22" i="23"/>
  <c r="F46" i="23"/>
  <c r="F22" i="23"/>
  <c r="K45" i="23"/>
  <c r="K21" i="23"/>
  <c r="G46" i="23"/>
  <c r="G22" i="23"/>
  <c r="E46" i="23"/>
  <c r="E22" i="23"/>
  <c r="H46" i="23"/>
  <c r="H22" i="23"/>
  <c r="I30" i="23"/>
  <c r="H33" i="23"/>
  <c r="H25" i="23"/>
  <c r="K54" i="23"/>
  <c r="E33" i="23"/>
  <c r="E25" i="23"/>
  <c r="G31" i="23"/>
  <c r="G23" i="23"/>
  <c r="I33" i="23"/>
  <c r="I25" i="23"/>
  <c r="K56" i="23"/>
  <c r="K48" i="23" s="1"/>
  <c r="F30" i="23"/>
  <c r="J31" i="23"/>
  <c r="J23" i="23"/>
  <c r="F31" i="23"/>
  <c r="F23" i="23"/>
  <c r="E31" i="23"/>
  <c r="E23" i="23"/>
  <c r="F33" i="23"/>
  <c r="F25" i="23"/>
  <c r="G33" i="23"/>
  <c r="G25" i="23"/>
  <c r="H30" i="23"/>
  <c r="E30" i="23"/>
  <c r="K57" i="23"/>
  <c r="K49" i="23" s="1"/>
  <c r="G30" i="23"/>
  <c r="J57" i="23"/>
  <c r="J49" i="23" s="1"/>
  <c r="J56" i="23"/>
  <c r="J48" i="23" s="1"/>
  <c r="J54" i="23"/>
  <c r="F15" i="23"/>
  <c r="J15" i="23"/>
  <c r="H55" i="23"/>
  <c r="H47" i="23" s="1"/>
  <c r="I55" i="23"/>
  <c r="I47" i="23" s="1"/>
  <c r="E15" i="23"/>
  <c r="D55" i="23"/>
  <c r="G15" i="4"/>
  <c r="F15" i="4"/>
  <c r="E15" i="4"/>
  <c r="D15" i="4"/>
  <c r="I15" i="4"/>
  <c r="H15" i="4"/>
  <c r="H19" i="22" s="1"/>
  <c r="D57" i="23"/>
  <c r="D17" i="23" s="1"/>
  <c r="D56" i="23"/>
  <c r="D16" i="23" s="1"/>
  <c r="D54" i="23"/>
  <c r="D31" i="23" l="1"/>
  <c r="W31" i="23" s="1"/>
  <c r="W55" i="23"/>
  <c r="D33" i="23"/>
  <c r="W33" i="23" s="1"/>
  <c r="W57" i="23"/>
  <c r="D32" i="23"/>
  <c r="W32" i="23" s="1"/>
  <c r="W56" i="23"/>
  <c r="D30" i="23"/>
  <c r="W30" i="23" s="1"/>
  <c r="W54" i="23"/>
  <c r="I53" i="23"/>
  <c r="I19" i="22"/>
  <c r="J53" i="23" s="1"/>
  <c r="D29" i="23"/>
  <c r="W29" i="23" s="1"/>
  <c r="D45" i="23"/>
  <c r="W45" i="23" s="1"/>
  <c r="D21" i="23"/>
  <c r="W21" i="23" s="1"/>
  <c r="W13" i="23"/>
  <c r="G19" i="22"/>
  <c r="H53" i="23" s="1"/>
  <c r="D19" i="22"/>
  <c r="E53" i="23" s="1"/>
  <c r="E45" i="23" s="1"/>
  <c r="E50" i="23" s="1"/>
  <c r="E19" i="22"/>
  <c r="F53" i="23" s="1"/>
  <c r="F19" i="22"/>
  <c r="G53" i="23" s="1"/>
  <c r="K46" i="23"/>
  <c r="K22" i="23"/>
  <c r="J46" i="23"/>
  <c r="J22" i="23"/>
  <c r="K55" i="23"/>
  <c r="K47" i="23" s="1"/>
  <c r="G32" i="23"/>
  <c r="G24" i="23"/>
  <c r="H32" i="23"/>
  <c r="H24" i="23"/>
  <c r="K32" i="23"/>
  <c r="K24" i="23"/>
  <c r="I31" i="23"/>
  <c r="I23" i="23"/>
  <c r="J32" i="23"/>
  <c r="J24" i="23"/>
  <c r="K29" i="23"/>
  <c r="K13" i="23"/>
  <c r="H31" i="23"/>
  <c r="H23" i="23"/>
  <c r="J33" i="23"/>
  <c r="J25" i="23"/>
  <c r="K30" i="23"/>
  <c r="K33" i="23"/>
  <c r="K25" i="23"/>
  <c r="F32" i="23"/>
  <c r="F24" i="23"/>
  <c r="I32" i="23"/>
  <c r="I24" i="23"/>
  <c r="E32" i="23"/>
  <c r="E24" i="23"/>
  <c r="J30" i="23"/>
  <c r="H15" i="23"/>
  <c r="G14" i="23"/>
  <c r="J16" i="23"/>
  <c r="E14" i="23"/>
  <c r="F16" i="23"/>
  <c r="K17" i="23"/>
  <c r="F14" i="23"/>
  <c r="H16" i="23"/>
  <c r="J17" i="23"/>
  <c r="D46" i="23"/>
  <c r="W46" i="23" s="1"/>
  <c r="D22" i="23"/>
  <c r="W22" i="23" s="1"/>
  <c r="D14" i="23"/>
  <c r="W14" i="23" s="1"/>
  <c r="G15" i="23"/>
  <c r="D48" i="23"/>
  <c r="W48" i="23" s="1"/>
  <c r="D24" i="23"/>
  <c r="W24" i="23" s="1"/>
  <c r="W16" i="23"/>
  <c r="F17" i="23"/>
  <c r="J14" i="23"/>
  <c r="K16" i="23"/>
  <c r="I17" i="23"/>
  <c r="H14" i="23"/>
  <c r="G16" i="23"/>
  <c r="E17" i="23"/>
  <c r="D47" i="23"/>
  <c r="W47" i="23" s="1"/>
  <c r="D23" i="23"/>
  <c r="W23" i="23" s="1"/>
  <c r="D15" i="23"/>
  <c r="W15" i="23" s="1"/>
  <c r="I15" i="23"/>
  <c r="K14" i="23"/>
  <c r="H17" i="23"/>
  <c r="G17" i="23"/>
  <c r="D49" i="23"/>
  <c r="W49" i="23" s="1"/>
  <c r="D25" i="23"/>
  <c r="W25" i="23" s="1"/>
  <c r="W17" i="23"/>
  <c r="I16" i="23"/>
  <c r="I14" i="23"/>
  <c r="E16" i="23"/>
  <c r="K50" i="23" l="1"/>
  <c r="D50" i="23"/>
  <c r="K31" i="23"/>
  <c r="G45" i="23"/>
  <c r="G50" i="23" s="1"/>
  <c r="G21" i="23"/>
  <c r="H45" i="23"/>
  <c r="H50" i="23" s="1"/>
  <c r="H21" i="23"/>
  <c r="F45" i="23"/>
  <c r="F50" i="23" s="1"/>
  <c r="F21" i="23"/>
  <c r="E21" i="23"/>
  <c r="K23" i="23"/>
  <c r="J45" i="23"/>
  <c r="J50" i="23" s="1"/>
  <c r="J21" i="23"/>
  <c r="I45" i="23"/>
  <c r="I50" i="23" s="1"/>
  <c r="I21" i="23"/>
  <c r="K15" i="23"/>
  <c r="H29" i="23"/>
  <c r="H13" i="23"/>
  <c r="F29" i="23"/>
  <c r="F13" i="23"/>
  <c r="G29" i="23"/>
  <c r="G13" i="23"/>
  <c r="I29" i="23"/>
  <c r="I13" i="23"/>
  <c r="J29" i="23"/>
  <c r="J13" i="23"/>
  <c r="E29" i="23"/>
  <c r="E13" i="23"/>
  <c r="R15" i="4" l="1"/>
  <c r="S16" i="5" l="1"/>
  <c r="R12" i="22" l="1"/>
  <c r="R13" i="22"/>
  <c r="U13" i="22" s="1"/>
  <c r="R15" i="22"/>
  <c r="R20" i="22" l="1"/>
  <c r="R21" i="22"/>
  <c r="S55" i="23" s="1"/>
  <c r="R23" i="22"/>
  <c r="S57" i="23" s="1"/>
  <c r="S54" i="23"/>
  <c r="S49" i="23" l="1"/>
  <c r="S33" i="23"/>
  <c r="S17" i="23"/>
  <c r="S25" i="23"/>
  <c r="S46" i="23"/>
  <c r="S14" i="23"/>
  <c r="S30" i="23"/>
  <c r="S22" i="23"/>
  <c r="S47" i="23"/>
  <c r="S23" i="23"/>
  <c r="S15" i="23"/>
  <c r="S31" i="23"/>
  <c r="R18" i="4" l="1"/>
  <c r="S40" i="5" l="1"/>
  <c r="S43" i="5"/>
  <c r="R11" i="22" l="1"/>
  <c r="U11" i="22" s="1"/>
  <c r="R19" i="22" l="1"/>
  <c r="S53" i="23" s="1"/>
  <c r="S13" i="23" l="1"/>
  <c r="S45" i="23"/>
  <c r="S21" i="23"/>
  <c r="S29" i="23"/>
  <c r="R14" i="22"/>
  <c r="R22" i="22" l="1"/>
  <c r="S56" i="23" s="1"/>
  <c r="S32" i="23" l="1"/>
  <c r="S48" i="23"/>
  <c r="S24" i="23"/>
  <c r="S16" i="23"/>
  <c r="S50" i="23" l="1"/>
  <c r="S34" i="23"/>
  <c r="V3" i="5" l="1"/>
  <c r="J26" i="5" s="1"/>
  <c r="S15" i="4"/>
  <c r="S19" i="22" s="1"/>
  <c r="S18" i="4"/>
  <c r="V14" i="5"/>
  <c r="V6" i="5"/>
  <c r="G29" i="5" s="1"/>
  <c r="L26" i="5" l="1"/>
  <c r="U18" i="4"/>
  <c r="B17" i="26" s="1"/>
  <c r="U15" i="4"/>
  <c r="U16" i="5"/>
  <c r="T16" i="5"/>
  <c r="V11" i="5"/>
  <c r="K26" i="5" s="1"/>
  <c r="K29" i="5"/>
  <c r="D8" i="26" s="1"/>
  <c r="J29" i="5"/>
  <c r="L29" i="5" s="1"/>
  <c r="C8" i="26" s="1"/>
  <c r="C5" i="26"/>
  <c r="S17" i="4"/>
  <c r="U17" i="4" s="1"/>
  <c r="D40" i="23" l="1"/>
  <c r="D37" i="23"/>
  <c r="B14" i="26"/>
  <c r="B16" i="26"/>
  <c r="S21" i="22"/>
  <c r="V16" i="5"/>
  <c r="D5" i="26"/>
  <c r="G26" i="5"/>
  <c r="S12" i="22"/>
  <c r="S15" i="22"/>
  <c r="V36" i="5"/>
  <c r="D39" i="23" l="1"/>
  <c r="S20" i="22"/>
  <c r="T54" i="23" s="1"/>
  <c r="U12" i="22"/>
  <c r="F15" i="26" s="1"/>
  <c r="U15" i="22"/>
  <c r="F18" i="26" s="1"/>
  <c r="I29" i="5"/>
  <c r="B8" i="26" s="1"/>
  <c r="T55" i="23"/>
  <c r="F16" i="26"/>
  <c r="T53" i="23"/>
  <c r="T21" i="23" s="1"/>
  <c r="F14" i="26"/>
  <c r="S14" i="22"/>
  <c r="T43" i="5"/>
  <c r="V43" i="5" s="1"/>
  <c r="X54" i="23" l="1"/>
  <c r="V54" i="23"/>
  <c r="T23" i="23"/>
  <c r="X55" i="23"/>
  <c r="V55" i="23"/>
  <c r="X53" i="23"/>
  <c r="V53" i="23"/>
  <c r="U14" i="22"/>
  <c r="F17" i="26" s="1"/>
  <c r="S22" i="22"/>
  <c r="T56" i="23" s="1"/>
  <c r="T13" i="23"/>
  <c r="V13" i="23" s="1"/>
  <c r="T22" i="23"/>
  <c r="V22" i="23" s="1"/>
  <c r="T14" i="23"/>
  <c r="T29" i="23"/>
  <c r="T46" i="23"/>
  <c r="V46" i="23" s="1"/>
  <c r="G5" i="23" s="1"/>
  <c r="T15" i="23"/>
  <c r="T30" i="23"/>
  <c r="V30" i="23" s="1"/>
  <c r="T31" i="23"/>
  <c r="X14" i="23" l="1"/>
  <c r="V14" i="23"/>
  <c r="D5" i="23" s="1"/>
  <c r="X21" i="23"/>
  <c r="V21" i="23"/>
  <c r="E4" i="23" s="1"/>
  <c r="X23" i="23"/>
  <c r="V23" i="23"/>
  <c r="E6" i="23" s="1"/>
  <c r="X56" i="23"/>
  <c r="V56" i="23"/>
  <c r="X22" i="23"/>
  <c r="E5" i="23"/>
  <c r="X31" i="23"/>
  <c r="V31" i="23"/>
  <c r="F6" i="23" s="1"/>
  <c r="X30" i="23"/>
  <c r="F5" i="23"/>
  <c r="X15" i="23"/>
  <c r="V15" i="23"/>
  <c r="D6" i="23" s="1"/>
  <c r="X29" i="23"/>
  <c r="V29" i="23"/>
  <c r="F4" i="23" s="1"/>
  <c r="X13" i="23"/>
  <c r="X46" i="23"/>
  <c r="T32" i="23"/>
  <c r="T16" i="23"/>
  <c r="V16" i="23" s="1"/>
  <c r="T24" i="23"/>
  <c r="T48" i="23"/>
  <c r="T34" i="23" l="1"/>
  <c r="X32" i="23"/>
  <c r="V32" i="23"/>
  <c r="F7" i="23" s="1"/>
  <c r="X16" i="23"/>
  <c r="D7" i="23"/>
  <c r="D4" i="23"/>
  <c r="X48" i="23"/>
  <c r="V48" i="23"/>
  <c r="G7" i="23" s="1"/>
  <c r="X24" i="23"/>
  <c r="V24" i="23"/>
  <c r="E7" i="23" s="1"/>
  <c r="S19" i="4"/>
  <c r="U19" i="4" s="1"/>
  <c r="V15" i="5"/>
  <c r="K30" i="5" s="1"/>
  <c r="V7" i="5"/>
  <c r="J30" i="5" l="1"/>
  <c r="L30" i="5" s="1"/>
  <c r="C9" i="26" s="1"/>
  <c r="D9" i="26"/>
  <c r="S23" i="22"/>
  <c r="T57" i="23" s="1"/>
  <c r="X57" i="23" l="1"/>
  <c r="V57" i="23"/>
  <c r="V37" i="5"/>
  <c r="G30" i="5"/>
  <c r="T44" i="5"/>
  <c r="V44" i="5" s="1"/>
  <c r="B18" i="26"/>
  <c r="D41" i="23"/>
  <c r="T33" i="23"/>
  <c r="T49" i="23"/>
  <c r="X49" i="23" s="1"/>
  <c r="T17" i="23"/>
  <c r="T25" i="23"/>
  <c r="V35" i="5"/>
  <c r="V33" i="5"/>
  <c r="I26" i="5" s="1"/>
  <c r="I28" i="5" l="1"/>
  <c r="I30" i="5"/>
  <c r="B9" i="26" s="1"/>
  <c r="B5" i="26"/>
  <c r="X33" i="23"/>
  <c r="V33" i="23"/>
  <c r="F8" i="23" s="1"/>
  <c r="X25" i="23"/>
  <c r="V25" i="23"/>
  <c r="E8" i="23" s="1"/>
  <c r="X17" i="23"/>
  <c r="V17" i="23"/>
  <c r="D8" i="23" s="1"/>
  <c r="V49" i="23"/>
  <c r="G8" i="23" s="1"/>
  <c r="T45" i="23"/>
  <c r="T47" i="23"/>
  <c r="T40" i="5"/>
  <c r="V40" i="5" s="1"/>
  <c r="T42" i="5"/>
  <c r="V42" i="5" s="1"/>
  <c r="B7" i="26"/>
  <c r="X47" i="23" l="1"/>
  <c r="V47" i="23"/>
  <c r="G6" i="23" s="1"/>
  <c r="X45" i="23"/>
  <c r="V45" i="23"/>
  <c r="T50" i="23"/>
  <c r="G4" i="23" l="1"/>
  <c r="V50" i="23"/>
</calcChain>
</file>

<file path=xl/sharedStrings.xml><?xml version="1.0" encoding="utf-8"?>
<sst xmlns="http://schemas.openxmlformats.org/spreadsheetml/2006/main" count="493" uniqueCount="140">
  <si>
    <t>Unit</t>
  </si>
  <si>
    <t>Series Type</t>
  </si>
  <si>
    <t>Data Type</t>
  </si>
  <si>
    <t>Frequency</t>
  </si>
  <si>
    <t>Collection Month</t>
  </si>
  <si>
    <t>Series Start</t>
  </si>
  <si>
    <t>Series End</t>
  </si>
  <si>
    <t>No. Obs</t>
  </si>
  <si>
    <t>Series ID</t>
  </si>
  <si>
    <t>Index Numbers ;  All groups CPI ;  Australia ;</t>
  </si>
  <si>
    <t>Index Numbers</t>
  </si>
  <si>
    <t>Original</t>
  </si>
  <si>
    <t>INDEX</t>
  </si>
  <si>
    <t>Quarter</t>
  </si>
  <si>
    <t>A2325846C</t>
  </si>
  <si>
    <t>Financial year data (Real December previous year)</t>
  </si>
  <si>
    <t>Calander year data (Real June same year)</t>
  </si>
  <si>
    <t>$ '000</t>
  </si>
  <si>
    <t>Maximum demand</t>
  </si>
  <si>
    <t>Powerlink</t>
  </si>
  <si>
    <t>Energy transported</t>
  </si>
  <si>
    <t>Depreciation</t>
  </si>
  <si>
    <t>5 year average</t>
  </si>
  <si>
    <t>Opex</t>
  </si>
  <si>
    <t>Capex</t>
  </si>
  <si>
    <t>RAB</t>
  </si>
  <si>
    <t>Asset cost</t>
  </si>
  <si>
    <t>TasNetworks</t>
  </si>
  <si>
    <t>Prescribed transmission services RAB</t>
  </si>
  <si>
    <t>Average real WACC</t>
  </si>
  <si>
    <t>Benchmarking metrics</t>
  </si>
  <si>
    <t>Total user cost per MWh energy</t>
  </si>
  <si>
    <t>Return on assets</t>
  </si>
  <si>
    <t>AusNet Services</t>
  </si>
  <si>
    <t>Circuit line length</t>
  </si>
  <si>
    <t>ElectraNet</t>
  </si>
  <si>
    <t>TransGrid</t>
  </si>
  <si>
    <t>AVG Last 5YRs</t>
  </si>
  <si>
    <t>CPI conversion</t>
  </si>
  <si>
    <t>Total user cost ($)</t>
  </si>
  <si>
    <t>Transmission system non-coincident summated maximum demand (MVA)</t>
  </si>
  <si>
    <t>Voltage of entry/exit points (kV)</t>
  </si>
  <si>
    <t>Circuit line length (km)</t>
  </si>
  <si>
    <t>Total user cost per MVA of maximum demand ($/MVA)</t>
  </si>
  <si>
    <t>Total user cost per km of transmission circuit length ($/km)</t>
  </si>
  <si>
    <t>Total energy transported</t>
  </si>
  <si>
    <t>Prescribed transmission services opex ($'000)</t>
  </si>
  <si>
    <t>TNSP Asset cost ($'000)</t>
  </si>
  <si>
    <t>Transmission inputs (avg last 5 years)</t>
  </si>
  <si>
    <t>Transmission outputs (avg last 5 yrs)</t>
  </si>
  <si>
    <t>Total user cost per MWh of energy transported ($/MWh)</t>
  </si>
  <si>
    <t>Convert to real (Financial year TNSP)</t>
  </si>
  <si>
    <t>Convert to real (March ending TNSP)</t>
  </si>
  <si>
    <t>March ending data (Real September previous year)</t>
  </si>
  <si>
    <t>Summary tables used in the annual benchmarking report</t>
  </si>
  <si>
    <t>TNSP depreciation</t>
  </si>
  <si>
    <t>Nominal</t>
  </si>
  <si>
    <t>$'000</t>
  </si>
  <si>
    <t>Nominal - Prescribed transmission services capex ($'000)</t>
  </si>
  <si>
    <t>MWh</t>
  </si>
  <si>
    <t>TOPED01</t>
  </si>
  <si>
    <t>MVA</t>
  </si>
  <si>
    <t>TOPSD0204</t>
  </si>
  <si>
    <t>kV</t>
  </si>
  <si>
    <t>km</t>
  </si>
  <si>
    <t>TPA01+TPA02</t>
  </si>
  <si>
    <t>GWh</t>
  </si>
  <si>
    <t>Total user cost per MVA MD</t>
  </si>
  <si>
    <t>Summary</t>
  </si>
  <si>
    <t>Data worksheets</t>
  </si>
  <si>
    <t xml:space="preserve">– CPI: this contains consumer price index sourced from the Australian Bureau of Statistics.  This index is used to convert nominal values into real values. </t>
  </si>
  <si>
    <t>Analysis worksheets</t>
  </si>
  <si>
    <t>AER TNSP Partial Performance Indicator Analysis</t>
  </si>
  <si>
    <t>– Asset cost and total user cost: this calculates asset cost and total user costs.</t>
  </si>
  <si>
    <t>– Data analysis: TNSP Analysis</t>
  </si>
  <si>
    <t>– Data analysis: Network Size Table</t>
  </si>
  <si>
    <t>Asset cost and total user cost</t>
  </si>
  <si>
    <t>CPI</t>
  </si>
  <si>
    <t>Physical data</t>
  </si>
  <si>
    <t xml:space="preserve">TNSP Analysis </t>
  </si>
  <si>
    <t>TNSP Charts</t>
  </si>
  <si>
    <t>End User Number</t>
  </si>
  <si>
    <t>#</t>
  </si>
  <si>
    <t>Total user cost per total end user number ($/#)</t>
  </si>
  <si>
    <t>ENT</t>
  </si>
  <si>
    <t>PLK</t>
  </si>
  <si>
    <t>ANT</t>
  </si>
  <si>
    <t>TNT</t>
  </si>
  <si>
    <t>TRG</t>
  </si>
  <si>
    <t>Old WACC used for reference</t>
  </si>
  <si>
    <t>– Physical data: this presents key operational data submitted under TNSP EBRINs.</t>
  </si>
  <si>
    <t>– Capex: this presents network services capex data submitted under TNSP EBRINs.</t>
  </si>
  <si>
    <t>– Depreciation: this presents network services depreciation data submitted under TNSP EBRINs.</t>
  </si>
  <si>
    <t>– Opex: this presents network services opex data submitted under TNSP EBRINs.</t>
  </si>
  <si>
    <t>– RAB: this presents network services RAB data submitted under TNSP EBRINs.</t>
  </si>
  <si>
    <t>Total user cost per end user number</t>
  </si>
  <si>
    <t>asset additions (recognised in RAB)</t>
  </si>
  <si>
    <t>currency_base (Calendar year TNSP)</t>
  </si>
  <si>
    <t>$, 000</t>
  </si>
  <si>
    <t>#/km</t>
  </si>
  <si>
    <t xml:space="preserve">Total user cost per km of circuit length </t>
  </si>
  <si>
    <t>CPI (Jun)</t>
  </si>
  <si>
    <t xml:space="preserve">Energy transported </t>
  </si>
  <si>
    <t>TNSP Network services capex</t>
  </si>
  <si>
    <t>2021 average WACC</t>
  </si>
  <si>
    <t>2022 average WACC</t>
  </si>
  <si>
    <t>Connection density (#/km)</t>
  </si>
  <si>
    <t>*These are used to convert to $2023</t>
  </si>
  <si>
    <t xml:space="preserve"> Average 2019-23</t>
  </si>
  <si>
    <t>$'000 2023</t>
  </si>
  <si>
    <t>$, 2023</t>
  </si>
  <si>
    <t>in 2023</t>
  </si>
  <si>
    <t>Change between 2023 and 2006</t>
  </si>
  <si>
    <t>Change between 2022 and 2023</t>
  </si>
  <si>
    <t>Average 2019-23</t>
  </si>
  <si>
    <t>2023 average WACC</t>
  </si>
  <si>
    <t>Average NSP performance 2019-2023</t>
  </si>
  <si>
    <t>$2023/mva</t>
  </si>
  <si>
    <t>$2023/mwh</t>
  </si>
  <si>
    <t>$2023/km</t>
  </si>
  <si>
    <t>Energy transported in 2023 (GWh)</t>
  </si>
  <si>
    <t>End User Number (millions, 2023)</t>
  </si>
  <si>
    <t>Connection density (end user per circuit km, 2019-23 average)</t>
  </si>
  <si>
    <t>Five year average circuit length by TNSP (2019 to 2023)</t>
  </si>
  <si>
    <t>Total cost per MVA of maximum demand served ($2023), 2006 to 2023</t>
  </si>
  <si>
    <t>Total cost per MWh of energy transported ($2023), 2006 to 2023</t>
  </si>
  <si>
    <t>Total cost per end user ($2023), 2006 to 2023</t>
  </si>
  <si>
    <t>Total cost per km of transmission circuit length ($2023), 2006 to 2023</t>
  </si>
  <si>
    <t>Maximum demand in 2023 (MVA)</t>
  </si>
  <si>
    <t>Circuit length km in 2023</t>
  </si>
  <si>
    <t>$ 2023/MVA</t>
  </si>
  <si>
    <t xml:space="preserve">Note that the $2023 value is of June 2023 value. </t>
  </si>
  <si>
    <t>$ 2023/MWh</t>
  </si>
  <si>
    <t>$ 2023/No</t>
  </si>
  <si>
    <t>$ 2023/km</t>
  </si>
  <si>
    <t>End User</t>
  </si>
  <si>
    <t>Qty</t>
  </si>
  <si>
    <t>This spreadsheet contains the PPI analysis on Electricity Transmission Network Service Providers for the years up to 2023.</t>
  </si>
  <si>
    <t>Date: October 2024</t>
  </si>
  <si>
    <t>– Graphical analysis: TNSP Charts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</si>
</sst>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$&quot;#,##0;[Red]\-&quot;$&quot;#,##0"/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mmm\-yyyy"/>
    <numFmt numFmtId="168" formatCode="0.0;\-0.0;0.0;@"/>
    <numFmt numFmtId="169" formatCode="#,##0.000"/>
    <numFmt numFmtId="170" formatCode="#,##0.0"/>
    <numFmt numFmtId="171" formatCode="_-&quot;$&quot;* #,##0_-;\-&quot;$&quot;* #,##0_-;_-&quot;$&quot;* &quot;-&quot;??_-;_-@_-"/>
    <numFmt numFmtId="172" formatCode="_-* #,##0_-;\-* #,##0_-;_-* &quot;-&quot;??_-;_-@_-"/>
    <numFmt numFmtId="173" formatCode="#,##0.0000"/>
    <numFmt numFmtId="174" formatCode="0.000"/>
    <numFmt numFmtId="175" formatCode="0.0"/>
    <numFmt numFmtId="176" formatCode="[$-C09]mmm\-yyyy;@"/>
    <numFmt numFmtId="177" formatCode="0.0%"/>
    <numFmt numFmtId="178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color indexed="8"/>
      <name val="Arial"/>
      <family val="2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2" borderId="0" applyNumberFormat="0" applyBorder="0" applyAlignment="0" applyProtection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167" fontId="3" fillId="0" borderId="0" xfId="0" applyNumberFormat="1" applyFont="1"/>
    <xf numFmtId="167" fontId="2" fillId="0" borderId="0" xfId="0" applyNumberFormat="1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167" fontId="2" fillId="0" borderId="0" xfId="0" applyNumberFormat="1" applyFont="1"/>
    <xf numFmtId="0" fontId="4" fillId="0" borderId="0" xfId="0" applyFont="1"/>
    <xf numFmtId="0" fontId="5" fillId="0" borderId="0" xfId="0" applyFont="1"/>
    <xf numFmtId="3" fontId="0" fillId="0" borderId="0" xfId="0" applyNumberFormat="1"/>
    <xf numFmtId="171" fontId="0" fillId="0" borderId="0" xfId="3" applyNumberFormat="1" applyFont="1"/>
    <xf numFmtId="0" fontId="5" fillId="0" borderId="0" xfId="0" applyFont="1" applyAlignment="1">
      <alignment wrapText="1"/>
    </xf>
    <xf numFmtId="0" fontId="5" fillId="0" borderId="1" xfId="0" applyFont="1" applyBorder="1"/>
    <xf numFmtId="1" fontId="0" fillId="0" borderId="0" xfId="0" applyNumberFormat="1"/>
    <xf numFmtId="0" fontId="7" fillId="0" borderId="0" xfId="0" applyFont="1"/>
    <xf numFmtId="169" fontId="0" fillId="0" borderId="0" xfId="0" applyNumberFormat="1"/>
    <xf numFmtId="173" fontId="0" fillId="0" borderId="0" xfId="0" applyNumberFormat="1"/>
    <xf numFmtId="1" fontId="0" fillId="0" borderId="1" xfId="0" applyNumberFormat="1" applyBorder="1"/>
    <xf numFmtId="3" fontId="0" fillId="0" borderId="1" xfId="0" applyNumberFormat="1" applyBorder="1"/>
    <xf numFmtId="0" fontId="9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vertical="center"/>
    </xf>
    <xf numFmtId="10" fontId="0" fillId="0" borderId="0" xfId="8" applyNumberFormat="1" applyFont="1" applyFill="1"/>
    <xf numFmtId="0" fontId="0" fillId="0" borderId="1" xfId="0" applyBorder="1"/>
    <xf numFmtId="10" fontId="0" fillId="0" borderId="0" xfId="0" applyNumberFormat="1"/>
    <xf numFmtId="0" fontId="5" fillId="0" borderId="1" xfId="6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4" fontId="0" fillId="0" borderId="1" xfId="0" applyNumberFormat="1" applyBorder="1"/>
    <xf numFmtId="171" fontId="0" fillId="0" borderId="0" xfId="3" applyNumberFormat="1" applyFont="1" applyFill="1"/>
    <xf numFmtId="0" fontId="0" fillId="0" borderId="0" xfId="3" applyNumberFormat="1" applyFont="1" applyFill="1"/>
    <xf numFmtId="170" fontId="0" fillId="0" borderId="1" xfId="0" applyNumberFormat="1" applyBorder="1"/>
    <xf numFmtId="172" fontId="0" fillId="0" borderId="0" xfId="7" applyNumberFormat="1" applyFont="1" applyFill="1"/>
    <xf numFmtId="0" fontId="5" fillId="0" borderId="0" xfId="0" applyFont="1" applyAlignment="1">
      <alignment vertical="top"/>
    </xf>
    <xf numFmtId="9" fontId="0" fillId="0" borderId="0" xfId="8" applyFont="1" applyFill="1" applyBorder="1"/>
    <xf numFmtId="168" fontId="10" fillId="0" borderId="0" xfId="0" applyNumberFormat="1" applyFont="1"/>
    <xf numFmtId="167" fontId="10" fillId="0" borderId="0" xfId="0" applyNumberFormat="1" applyFont="1" applyAlignment="1">
      <alignment horizontal="left"/>
    </xf>
    <xf numFmtId="175" fontId="2" fillId="0" borderId="0" xfId="0" applyNumberFormat="1" applyFont="1"/>
    <xf numFmtId="168" fontId="0" fillId="0" borderId="0" xfId="0" applyNumberFormat="1"/>
    <xf numFmtId="175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74" fontId="0" fillId="0" borderId="0" xfId="0" applyNumberFormat="1"/>
    <xf numFmtId="164" fontId="0" fillId="0" borderId="1" xfId="0" applyNumberFormat="1" applyBorder="1"/>
    <xf numFmtId="9" fontId="0" fillId="0" borderId="0" xfId="8" applyFont="1" applyFill="1"/>
    <xf numFmtId="166" fontId="0" fillId="0" borderId="0" xfId="7" applyFont="1" applyFill="1"/>
    <xf numFmtId="166" fontId="0" fillId="0" borderId="1" xfId="7" applyFont="1" applyBorder="1"/>
    <xf numFmtId="3" fontId="11" fillId="0" borderId="1" xfId="0" applyNumberFormat="1" applyFont="1" applyBorder="1"/>
    <xf numFmtId="0" fontId="10" fillId="0" borderId="0" xfId="0" applyFont="1" applyProtection="1">
      <protection locked="0"/>
    </xf>
    <xf numFmtId="176" fontId="12" fillId="0" borderId="0" xfId="0" applyNumberFormat="1" applyFont="1" applyAlignment="1">
      <alignment horizontal="left"/>
    </xf>
    <xf numFmtId="2" fontId="0" fillId="0" borderId="0" xfId="8" applyNumberFormat="1" applyFont="1" applyFill="1"/>
    <xf numFmtId="177" fontId="0" fillId="0" borderId="0" xfId="8" applyNumberFormat="1" applyFont="1" applyFill="1"/>
    <xf numFmtId="2" fontId="0" fillId="0" borderId="0" xfId="0" applyNumberFormat="1"/>
    <xf numFmtId="0" fontId="11" fillId="0" borderId="1" xfId="0" applyFont="1" applyBorder="1"/>
    <xf numFmtId="0" fontId="11" fillId="0" borderId="0" xfId="0" applyFont="1"/>
    <xf numFmtId="0" fontId="13" fillId="0" borderId="1" xfId="6" applyFont="1" applyFill="1" applyBorder="1" applyAlignment="1">
      <alignment wrapText="1"/>
    </xf>
    <xf numFmtId="164" fontId="11" fillId="0" borderId="1" xfId="0" applyNumberFormat="1" applyFont="1" applyBorder="1"/>
    <xf numFmtId="0" fontId="14" fillId="0" borderId="0" xfId="0" applyFont="1"/>
    <xf numFmtId="166" fontId="11" fillId="0" borderId="1" xfId="7" applyFont="1" applyBorder="1"/>
    <xf numFmtId="175" fontId="10" fillId="0" borderId="0" xfId="0" applyNumberFormat="1" applyFont="1"/>
    <xf numFmtId="0" fontId="5" fillId="0" borderId="3" xfId="0" applyFont="1" applyBorder="1"/>
    <xf numFmtId="3" fontId="0" fillId="0" borderId="3" xfId="0" applyNumberFormat="1" applyBorder="1"/>
    <xf numFmtId="178" fontId="0" fillId="0" borderId="1" xfId="7" applyNumberFormat="1" applyFont="1" applyBorder="1"/>
    <xf numFmtId="0" fontId="5" fillId="0" borderId="0" xfId="0" applyFont="1" applyBorder="1"/>
    <xf numFmtId="168" fontId="0" fillId="0" borderId="0" xfId="0" applyNumberFormat="1" applyFill="1"/>
    <xf numFmtId="6" fontId="0" fillId="0" borderId="0" xfId="0" applyNumberFormat="1" applyAlignment="1">
      <alignment wrapText="1"/>
    </xf>
    <xf numFmtId="0" fontId="5" fillId="0" borderId="1" xfId="0" applyFont="1" applyFill="1" applyBorder="1" applyAlignment="1">
      <alignment wrapText="1"/>
    </xf>
    <xf numFmtId="3" fontId="0" fillId="0" borderId="1" xfId="0" applyNumberFormat="1" applyFill="1" applyBorder="1"/>
    <xf numFmtId="3" fontId="0" fillId="0" borderId="0" xfId="0" applyNumberFormat="1" applyFill="1"/>
    <xf numFmtId="0" fontId="11" fillId="0" borderId="0" xfId="0" applyFont="1" applyFill="1"/>
    <xf numFmtId="0" fontId="8" fillId="0" borderId="0" xfId="0" applyFont="1" applyFill="1"/>
    <xf numFmtId="0" fontId="0" fillId="0" borderId="0" xfId="0" applyFill="1"/>
    <xf numFmtId="1" fontId="0" fillId="0" borderId="0" xfId="0" applyNumberFormat="1" applyBorder="1"/>
    <xf numFmtId="0" fontId="5" fillId="0" borderId="0" xfId="0" applyFont="1" applyFill="1"/>
    <xf numFmtId="0" fontId="0" fillId="0" borderId="1" xfId="0" applyFill="1" applyBorder="1"/>
    <xf numFmtId="175" fontId="0" fillId="0" borderId="0" xfId="0" applyNumberFormat="1" applyFill="1"/>
    <xf numFmtId="4" fontId="0" fillId="0" borderId="1" xfId="0" applyNumberFormat="1" applyFill="1" applyBorder="1"/>
    <xf numFmtId="3" fontId="0" fillId="0" borderId="2" xfId="0" applyNumberFormat="1" applyFill="1" applyBorder="1"/>
    <xf numFmtId="0" fontId="0" fillId="3" borderId="0" xfId="0" applyFill="1" applyAlignment="1">
      <alignment vertical="center"/>
    </xf>
    <xf numFmtId="0" fontId="5" fillId="3" borderId="0" xfId="0" applyFont="1" applyFill="1"/>
    <xf numFmtId="3" fontId="0" fillId="3" borderId="1" xfId="0" applyNumberFormat="1" applyFill="1" applyBorder="1"/>
    <xf numFmtId="174" fontId="0" fillId="0" borderId="0" xfId="0" applyNumberFormat="1" applyFill="1"/>
    <xf numFmtId="1" fontId="0" fillId="0" borderId="1" xfId="0" applyNumberFormat="1" applyFill="1" applyBorder="1"/>
    <xf numFmtId="175" fontId="2" fillId="0" borderId="0" xfId="0" applyNumberFormat="1" applyFont="1" applyFill="1"/>
    <xf numFmtId="178" fontId="0" fillId="3" borderId="1" xfId="7" applyNumberFormat="1" applyFont="1" applyFill="1" applyBorder="1"/>
    <xf numFmtId="172" fontId="6" fillId="0" borderId="0" xfId="7" applyNumberFormat="1" applyFont="1" applyFill="1"/>
  </cellXfs>
  <cellStyles count="9">
    <cellStyle name="20% - Accent4" xfId="6" builtinId="42"/>
    <cellStyle name="Comma" xfId="7" builtinId="3"/>
    <cellStyle name="Comma 2" xfId="4" xr:uid="{00000000-0005-0000-0000-000002000000}"/>
    <cellStyle name="Currency" xfId="3" builtinId="4"/>
    <cellStyle name="Normal" xfId="0" builtinId="0"/>
    <cellStyle name="Normal 2" xfId="2" xr:uid="{00000000-0005-0000-0000-000005000000}"/>
    <cellStyle name="Normal 3" xfId="1" xr:uid="{00000000-0005-0000-0000-000006000000}"/>
    <cellStyle name="Percent" xfId="8" builtinId="5"/>
    <cellStyle name="Percent 2" xfId="5" xr:uid="{00000000-0005-0000-0000-000008000000}"/>
  </cellStyles>
  <dxfs count="0"/>
  <tableStyles count="0" defaultTableStyle="TableStyleMedium2" defaultPivotStyle="PivotStyleLight16"/>
  <colors>
    <mruColors>
      <color rgb="FF74C476"/>
      <color rgb="FF238B45"/>
      <color rgb="FF006D2C"/>
      <color rgb="FFFCC0C0"/>
      <color rgb="FFA1D99B"/>
      <color rgb="FFBD0026"/>
      <color rgb="FFC6DBEF"/>
      <color rgb="FFAC0000"/>
      <color rgb="FF41AB5D"/>
      <color rgb="FFDE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styles" Target="styles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theme" Target="theme/theme1.xml" Id="rId12" /><Relationship Type="http://schemas.openxmlformats.org/officeDocument/2006/relationships/worksheet" Target="worksheets/sheet2.xml" Id="rId2" /><Relationship Type="http://schemas.openxmlformats.org/officeDocument/2006/relationships/customXml" Target="../customXml/item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5.xml" Id="rId5" /><Relationship Type="http://schemas.openxmlformats.org/officeDocument/2006/relationships/calcChain" Target="calcChain.xml" Id="rId15" /><Relationship Type="http://schemas.openxmlformats.org/officeDocument/2006/relationships/worksheet" Target="worksheets/sheet10.xml" Id="rId10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sharedStrings" Target="sharedStrings.xml" Id="rId14" /><Relationship Type="http://schemas.openxmlformats.org/officeDocument/2006/relationships/customXml" Target="/customXML/item2.xml" Id="imanage.xml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6916367231011364"/>
          <c:y val="4.5778984791770873E-2"/>
          <c:w val="0.7263537726834185"/>
          <c:h val="0.80200510055607255"/>
        </c:manualLayout>
      </c:layout>
      <c:lineChart>
        <c:grouping val="standard"/>
        <c:varyColors val="0"/>
        <c:ser>
          <c:idx val="2"/>
          <c:order val="0"/>
          <c:tx>
            <c:strRef>
              <c:f>'TNSP Analysis'!$B$13</c:f>
              <c:strCache>
                <c:ptCount val="1"/>
                <c:pt idx="0">
                  <c:v>ENT</c:v>
                </c:pt>
              </c:strCache>
            </c:strRef>
          </c:tx>
          <c:spPr>
            <a:ln w="31750">
              <a:solidFill>
                <a:srgbClr val="F7964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79646"/>
              </a:solidFill>
              <a:ln>
                <a:solidFill>
                  <a:srgbClr val="F79646"/>
                </a:solidFill>
              </a:ln>
            </c:spPr>
          </c:marker>
          <c:cat>
            <c:numRef>
              <c:f>'TNSP Analysis'!$D$12:$U$12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'TNSP Analysis'!$D$13:$U$13</c:f>
              <c:numCache>
                <c:formatCode>#,##0</c:formatCode>
                <c:ptCount val="18"/>
                <c:pt idx="0">
                  <c:v>61826.540084378379</c:v>
                </c:pt>
                <c:pt idx="1">
                  <c:v>62935.674849547511</c:v>
                </c:pt>
                <c:pt idx="2">
                  <c:v>57446.39729954111</c:v>
                </c:pt>
                <c:pt idx="3">
                  <c:v>65510.693217024927</c:v>
                </c:pt>
                <c:pt idx="4">
                  <c:v>63163.347580446032</c:v>
                </c:pt>
                <c:pt idx="5">
                  <c:v>67574.011457161163</c:v>
                </c:pt>
                <c:pt idx="6">
                  <c:v>73282.49282592161</c:v>
                </c:pt>
                <c:pt idx="7">
                  <c:v>66889.256606630719</c:v>
                </c:pt>
                <c:pt idx="8">
                  <c:v>81682.022144045492</c:v>
                </c:pt>
                <c:pt idx="9">
                  <c:v>99523.148015030398</c:v>
                </c:pt>
                <c:pt idx="10">
                  <c:v>93628.687132283696</c:v>
                </c:pt>
                <c:pt idx="11">
                  <c:v>90457.436484458201</c:v>
                </c:pt>
                <c:pt idx="12">
                  <c:v>94092.360092207266</c:v>
                </c:pt>
                <c:pt idx="13">
                  <c:v>85747.989534901892</c:v>
                </c:pt>
                <c:pt idx="14">
                  <c:v>92606.515500630849</c:v>
                </c:pt>
                <c:pt idx="15">
                  <c:v>89005.393351494437</c:v>
                </c:pt>
                <c:pt idx="16">
                  <c:v>93930.369235716382</c:v>
                </c:pt>
                <c:pt idx="17">
                  <c:v>94671.323112940911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A8E-449F-8386-CE6506D8A256}"/>
            </c:ext>
          </c:extLst>
        </c:ser>
        <c:ser>
          <c:idx val="3"/>
          <c:order val="1"/>
          <c:tx>
            <c:strRef>
              <c:f>'TNSP Analysis'!$B$14</c:f>
              <c:strCache>
                <c:ptCount val="1"/>
                <c:pt idx="0">
                  <c:v>PLK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'TNSP Analysis'!$D$12:$U$12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'TNSP Analysis'!$D$14:$U$14</c:f>
              <c:numCache>
                <c:formatCode>#,##0</c:formatCode>
                <c:ptCount val="18"/>
                <c:pt idx="0">
                  <c:v>59008.794142924431</c:v>
                </c:pt>
                <c:pt idx="1">
                  <c:v>55503.974960605221</c:v>
                </c:pt>
                <c:pt idx="2">
                  <c:v>61812.69059090424</c:v>
                </c:pt>
                <c:pt idx="3">
                  <c:v>70116.482775841592</c:v>
                </c:pt>
                <c:pt idx="4">
                  <c:v>69464.899526585068</c:v>
                </c:pt>
                <c:pt idx="5">
                  <c:v>79996.565438129735</c:v>
                </c:pt>
                <c:pt idx="6">
                  <c:v>85583.196362086965</c:v>
                </c:pt>
                <c:pt idx="7">
                  <c:v>73447.374724901631</c:v>
                </c:pt>
                <c:pt idx="8">
                  <c:v>71536.039138656008</c:v>
                </c:pt>
                <c:pt idx="9">
                  <c:v>79816.033781125661</c:v>
                </c:pt>
                <c:pt idx="10">
                  <c:v>73005.449428640291</c:v>
                </c:pt>
                <c:pt idx="11">
                  <c:v>68228.492060077289</c:v>
                </c:pt>
                <c:pt idx="12">
                  <c:v>61741.757233434095</c:v>
                </c:pt>
                <c:pt idx="13">
                  <c:v>63317.928098762772</c:v>
                </c:pt>
                <c:pt idx="14">
                  <c:v>59611.771539884554</c:v>
                </c:pt>
                <c:pt idx="15">
                  <c:v>56736.016526915118</c:v>
                </c:pt>
                <c:pt idx="16">
                  <c:v>51068.250049410613</c:v>
                </c:pt>
                <c:pt idx="17">
                  <c:v>54639.850450328755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EA8E-449F-8386-CE6506D8A256}"/>
            </c:ext>
          </c:extLst>
        </c:ser>
        <c:ser>
          <c:idx val="4"/>
          <c:order val="2"/>
          <c:tx>
            <c:strRef>
              <c:f>'TNSP Analysis'!$B$15</c:f>
              <c:strCache>
                <c:ptCount val="1"/>
                <c:pt idx="0">
                  <c:v>ANT</c:v>
                </c:pt>
              </c:strCache>
            </c:strRef>
          </c:tx>
          <c:spPr>
            <a:ln w="31750">
              <a:solidFill>
                <a:srgbClr val="92D05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'TNSP Analysis'!$D$12:$U$12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'TNSP Analysis'!$D$15:$U$15</c:f>
              <c:numCache>
                <c:formatCode>#,##0</c:formatCode>
                <c:ptCount val="18"/>
                <c:pt idx="0">
                  <c:v>51874.451280935624</c:v>
                </c:pt>
                <c:pt idx="1">
                  <c:v>41379.079099634422</c:v>
                </c:pt>
                <c:pt idx="2">
                  <c:v>41324.282636506738</c:v>
                </c:pt>
                <c:pt idx="3">
                  <c:v>45617.22433803093</c:v>
                </c:pt>
                <c:pt idx="4">
                  <c:v>47028.132780365093</c:v>
                </c:pt>
                <c:pt idx="5">
                  <c:v>48463.297801895671</c:v>
                </c:pt>
                <c:pt idx="6">
                  <c:v>53513.219878323092</c:v>
                </c:pt>
                <c:pt idx="7">
                  <c:v>45892.11414144453</c:v>
                </c:pt>
                <c:pt idx="8">
                  <c:v>38330.680916230172</c:v>
                </c:pt>
                <c:pt idx="9">
                  <c:v>48083.526301500155</c:v>
                </c:pt>
                <c:pt idx="10">
                  <c:v>43952.418744813745</c:v>
                </c:pt>
                <c:pt idx="11">
                  <c:v>42390.289917318318</c:v>
                </c:pt>
                <c:pt idx="12">
                  <c:v>39648.475256210877</c:v>
                </c:pt>
                <c:pt idx="13">
                  <c:v>41618.012873146152</c:v>
                </c:pt>
                <c:pt idx="14">
                  <c:v>38474.143806969325</c:v>
                </c:pt>
                <c:pt idx="15">
                  <c:v>38055.108904413581</c:v>
                </c:pt>
                <c:pt idx="16">
                  <c:v>33045.010219722404</c:v>
                </c:pt>
                <c:pt idx="17">
                  <c:v>36657.579829102448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EA8E-449F-8386-CE6506D8A256}"/>
            </c:ext>
          </c:extLst>
        </c:ser>
        <c:ser>
          <c:idx val="5"/>
          <c:order val="3"/>
          <c:tx>
            <c:strRef>
              <c:f>'TNSP Analysis'!$B$16</c:f>
              <c:strCache>
                <c:ptCount val="1"/>
                <c:pt idx="0">
                  <c:v>TNT</c:v>
                </c:pt>
              </c:strCache>
            </c:strRef>
          </c:tx>
          <c:spPr>
            <a:ln w="31750">
              <a:solidFill>
                <a:srgbClr val="006D2C"/>
              </a:solidFill>
            </a:ln>
          </c:spPr>
          <c:marker>
            <c:symbol val="triangle"/>
            <c:size val="5"/>
            <c:spPr>
              <a:solidFill>
                <a:srgbClr val="006D2C"/>
              </a:solidFill>
              <a:ln w="19050">
                <a:solidFill>
                  <a:srgbClr val="006D2C"/>
                </a:solidFill>
              </a:ln>
            </c:spPr>
          </c:marker>
          <c:cat>
            <c:numRef>
              <c:f>'TNSP Analysis'!$D$12:$U$12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'TNSP Analysis'!$D$16:$U$16</c:f>
              <c:numCache>
                <c:formatCode>#,##0</c:formatCode>
                <c:ptCount val="18"/>
                <c:pt idx="0">
                  <c:v>62428.298464026164</c:v>
                </c:pt>
                <c:pt idx="1">
                  <c:v>60853.214686610088</c:v>
                </c:pt>
                <c:pt idx="2">
                  <c:v>71284.383217213894</c:v>
                </c:pt>
                <c:pt idx="3">
                  <c:v>76023.943264643822</c:v>
                </c:pt>
                <c:pt idx="4">
                  <c:v>78546.424722681244</c:v>
                </c:pt>
                <c:pt idx="5">
                  <c:v>84881.933137463275</c:v>
                </c:pt>
                <c:pt idx="6">
                  <c:v>90548.083765119358</c:v>
                </c:pt>
                <c:pt idx="7">
                  <c:v>80431.666131230915</c:v>
                </c:pt>
                <c:pt idx="8">
                  <c:v>78030.671080537446</c:v>
                </c:pt>
                <c:pt idx="9">
                  <c:v>73305.817995699777</c:v>
                </c:pt>
                <c:pt idx="10">
                  <c:v>68196.206792171724</c:v>
                </c:pt>
                <c:pt idx="11">
                  <c:v>64360.708688716324</c:v>
                </c:pt>
                <c:pt idx="12">
                  <c:v>60846.711834204842</c:v>
                </c:pt>
                <c:pt idx="13">
                  <c:v>65372.286380442187</c:v>
                </c:pt>
                <c:pt idx="14">
                  <c:v>53271.123502535091</c:v>
                </c:pt>
                <c:pt idx="15">
                  <c:v>49363.213966092982</c:v>
                </c:pt>
                <c:pt idx="16">
                  <c:v>52060.32908357196</c:v>
                </c:pt>
                <c:pt idx="17">
                  <c:v>52201.919770436958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EA8E-449F-8386-CE6506D8A256}"/>
            </c:ext>
          </c:extLst>
        </c:ser>
        <c:ser>
          <c:idx val="0"/>
          <c:order val="4"/>
          <c:tx>
            <c:strRef>
              <c:f>'TNSP Analysis'!$B$25</c:f>
              <c:strCache>
                <c:ptCount val="1"/>
                <c:pt idx="0">
                  <c:v>TRG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'TNSP Analysis'!$D$12:$U$12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'TNSP Analysis'!$D$17:$U$17</c:f>
              <c:numCache>
                <c:formatCode>#,##0</c:formatCode>
                <c:ptCount val="18"/>
                <c:pt idx="0">
                  <c:v>35653.19315071842</c:v>
                </c:pt>
                <c:pt idx="1">
                  <c:v>33894.818578815604</c:v>
                </c:pt>
                <c:pt idx="2">
                  <c:v>34423.502491232364</c:v>
                </c:pt>
                <c:pt idx="3">
                  <c:v>38948.457568242098</c:v>
                </c:pt>
                <c:pt idx="4">
                  <c:v>40550.199641890445</c:v>
                </c:pt>
                <c:pt idx="5">
                  <c:v>41966.156581024021</c:v>
                </c:pt>
                <c:pt idx="6">
                  <c:v>46877.423624940093</c:v>
                </c:pt>
                <c:pt idx="7">
                  <c:v>42783.89514422138</c:v>
                </c:pt>
                <c:pt idx="8">
                  <c:v>44111.262528143779</c:v>
                </c:pt>
                <c:pt idx="9">
                  <c:v>49011.046647491086</c:v>
                </c:pt>
                <c:pt idx="10">
                  <c:v>41942.043965115197</c:v>
                </c:pt>
                <c:pt idx="11">
                  <c:v>40023.175965052658</c:v>
                </c:pt>
                <c:pt idx="12">
                  <c:v>37315.09531309329</c:v>
                </c:pt>
                <c:pt idx="13">
                  <c:v>36123.414849140012</c:v>
                </c:pt>
                <c:pt idx="14">
                  <c:v>34462.863739702116</c:v>
                </c:pt>
                <c:pt idx="15">
                  <c:v>32331.510759429708</c:v>
                </c:pt>
                <c:pt idx="16">
                  <c:v>32947.287048623606</c:v>
                </c:pt>
                <c:pt idx="17">
                  <c:v>37959.129930560979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EA8E-449F-8386-CE6506D8A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36448"/>
        <c:axId val="48938368"/>
      </c:lineChart>
      <c:catAx>
        <c:axId val="4893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938368"/>
        <c:crosses val="autoZero"/>
        <c:auto val="1"/>
        <c:lblAlgn val="ctr"/>
        <c:lblOffset val="100"/>
        <c:noMultiLvlLbl val="0"/>
      </c:catAx>
      <c:valAx>
        <c:axId val="489383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AU" b="1"/>
                  <a:t>Total</a:t>
                </a:r>
                <a:r>
                  <a:rPr lang="en-AU" b="1" baseline="0"/>
                  <a:t> cost per MVA of maximum demand served</a:t>
                </a:r>
                <a:endParaRPr lang="en-AU" b="1"/>
              </a:p>
            </c:rich>
          </c:tx>
          <c:layout>
            <c:manualLayout>
              <c:xMode val="edge"/>
              <c:yMode val="edge"/>
              <c:x val="2.5935179811358646E-2"/>
              <c:y val="9.3092357912083853E-2"/>
            </c:manualLayout>
          </c:layout>
          <c:overlay val="0"/>
        </c:title>
        <c:numFmt formatCode="&quot;$&quot;#,##0" sourceLinked="0"/>
        <c:majorTickMark val="out"/>
        <c:minorTickMark val="none"/>
        <c:tickLblPos val="nextTo"/>
        <c:crossAx val="48936448"/>
        <c:crosses val="autoZero"/>
        <c:crossBetween val="midCat"/>
      </c:valAx>
    </c:plotArea>
    <c:legend>
      <c:legendPos val="b"/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6916367231011364"/>
          <c:y val="4.5778984791770873E-2"/>
          <c:w val="0.73339033709935109"/>
          <c:h val="0.80182708953541248"/>
        </c:manualLayout>
      </c:layout>
      <c:lineChart>
        <c:grouping val="standard"/>
        <c:varyColors val="0"/>
        <c:ser>
          <c:idx val="2"/>
          <c:order val="0"/>
          <c:tx>
            <c:strRef>
              <c:f>'TNSP Analysis'!$B$21</c:f>
              <c:strCache>
                <c:ptCount val="1"/>
                <c:pt idx="0">
                  <c:v>ENT</c:v>
                </c:pt>
              </c:strCache>
            </c:strRef>
          </c:tx>
          <c:spPr>
            <a:ln w="31750">
              <a:solidFill>
                <a:srgbClr val="F79646">
                  <a:lumMod val="75000"/>
                </a:srgbClr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79646">
                  <a:lumMod val="75000"/>
                </a:srgbClr>
              </a:solidFill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cat>
            <c:numRef>
              <c:f>'TNSP Analysis'!$D$20:$U$20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'TNSP Analysis'!$D$21:$U$21</c:f>
              <c:numCache>
                <c:formatCode>#,##0.00</c:formatCode>
                <c:ptCount val="18"/>
                <c:pt idx="0">
                  <c:v>16.288259023463464</c:v>
                </c:pt>
                <c:pt idx="1">
                  <c:v>17.888639560831862</c:v>
                </c:pt>
                <c:pt idx="2">
                  <c:v>18.541491238349231</c:v>
                </c:pt>
                <c:pt idx="3">
                  <c:v>20.6770350657346</c:v>
                </c:pt>
                <c:pt idx="4">
                  <c:v>19.547843721771258</c:v>
                </c:pt>
                <c:pt idx="5">
                  <c:v>21.304147159895074</c:v>
                </c:pt>
                <c:pt idx="6">
                  <c:v>22.037576192249162</c:v>
                </c:pt>
                <c:pt idx="7">
                  <c:v>20.620501907545854</c:v>
                </c:pt>
                <c:pt idx="8">
                  <c:v>20.070999885625017</c:v>
                </c:pt>
                <c:pt idx="9">
                  <c:v>23.486401663487477</c:v>
                </c:pt>
                <c:pt idx="10">
                  <c:v>21.498856359992907</c:v>
                </c:pt>
                <c:pt idx="11">
                  <c:v>21.470360484026738</c:v>
                </c:pt>
                <c:pt idx="12">
                  <c:v>27.354216422228959</c:v>
                </c:pt>
                <c:pt idx="13">
                  <c:v>22.923958830441549</c:v>
                </c:pt>
                <c:pt idx="14">
                  <c:v>23.473726374732365</c:v>
                </c:pt>
                <c:pt idx="15">
                  <c:v>21.673592437805368</c:v>
                </c:pt>
                <c:pt idx="16">
                  <c:v>21.765879217685093</c:v>
                </c:pt>
                <c:pt idx="17">
                  <c:v>24.131547975550845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CEA0-496A-88BF-61D2C64237FC}"/>
            </c:ext>
          </c:extLst>
        </c:ser>
        <c:ser>
          <c:idx val="3"/>
          <c:order val="1"/>
          <c:tx>
            <c:strRef>
              <c:f>'TNSP Analysis'!$B$22</c:f>
              <c:strCache>
                <c:ptCount val="1"/>
                <c:pt idx="0">
                  <c:v>PLK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'TNSP Analysis'!$D$20:$U$20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'TNSP Analysis'!$D$22:$U$22</c:f>
              <c:numCache>
                <c:formatCode>#,##0.00</c:formatCode>
                <c:ptCount val="18"/>
                <c:pt idx="0">
                  <c:v>12.751264406407373</c:v>
                </c:pt>
                <c:pt idx="1">
                  <c:v>12.536863649524866</c:v>
                </c:pt>
                <c:pt idx="2">
                  <c:v>14.02278222107541</c:v>
                </c:pt>
                <c:pt idx="3">
                  <c:v>16.213539820959312</c:v>
                </c:pt>
                <c:pt idx="4">
                  <c:v>16.09817538923609</c:v>
                </c:pt>
                <c:pt idx="5">
                  <c:v>18.39414109315226</c:v>
                </c:pt>
                <c:pt idx="6">
                  <c:v>19.638015526762803</c:v>
                </c:pt>
                <c:pt idx="7">
                  <c:v>17.366399407742307</c:v>
                </c:pt>
                <c:pt idx="8">
                  <c:v>17.296283092728295</c:v>
                </c:pt>
                <c:pt idx="9">
                  <c:v>17.789631947132779</c:v>
                </c:pt>
                <c:pt idx="10">
                  <c:v>16.562945210326284</c:v>
                </c:pt>
                <c:pt idx="11">
                  <c:v>15.58024239052844</c:v>
                </c:pt>
                <c:pt idx="12">
                  <c:v>13.869334262732547</c:v>
                </c:pt>
                <c:pt idx="13">
                  <c:v>14.717106366731063</c:v>
                </c:pt>
                <c:pt idx="14">
                  <c:v>14.132879570313399</c:v>
                </c:pt>
                <c:pt idx="15">
                  <c:v>13.163319333803749</c:v>
                </c:pt>
                <c:pt idx="16">
                  <c:v>12.85912682630056</c:v>
                </c:pt>
                <c:pt idx="17">
                  <c:v>13.494204200622521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CEA0-496A-88BF-61D2C64237FC}"/>
            </c:ext>
          </c:extLst>
        </c:ser>
        <c:ser>
          <c:idx val="4"/>
          <c:order val="2"/>
          <c:tx>
            <c:strRef>
              <c:f>'TNSP Analysis'!$B$23</c:f>
              <c:strCache>
                <c:ptCount val="1"/>
                <c:pt idx="0">
                  <c:v>ANT</c:v>
                </c:pt>
              </c:strCache>
            </c:strRef>
          </c:tx>
          <c:spPr>
            <a:ln w="31750">
              <a:solidFill>
                <a:srgbClr val="92D05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'TNSP Analysis'!$D$20:$U$20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'TNSP Analysis'!$D$23:$U$23</c:f>
              <c:numCache>
                <c:formatCode>#,##0.00</c:formatCode>
                <c:ptCount val="18"/>
                <c:pt idx="0">
                  <c:v>9.2378232298298304</c:v>
                </c:pt>
                <c:pt idx="1">
                  <c:v>8.5701864980865974</c:v>
                </c:pt>
                <c:pt idx="2">
                  <c:v>9.010152148804158</c:v>
                </c:pt>
                <c:pt idx="3">
                  <c:v>9.8497576707207983</c:v>
                </c:pt>
                <c:pt idx="4">
                  <c:v>9.4824980957927707</c:v>
                </c:pt>
                <c:pt idx="5">
                  <c:v>9.6959238421804645</c:v>
                </c:pt>
                <c:pt idx="6">
                  <c:v>10.057204429566639</c:v>
                </c:pt>
                <c:pt idx="7">
                  <c:v>8.9526460841239164</c:v>
                </c:pt>
                <c:pt idx="8">
                  <c:v>8.1066642510264355</c:v>
                </c:pt>
                <c:pt idx="9">
                  <c:v>9.120210806936127</c:v>
                </c:pt>
                <c:pt idx="10">
                  <c:v>8.8976346363592729</c:v>
                </c:pt>
                <c:pt idx="11">
                  <c:v>8.7276472555170184</c:v>
                </c:pt>
                <c:pt idx="12">
                  <c:v>9.7552467353685408</c:v>
                </c:pt>
                <c:pt idx="13">
                  <c:v>9.9429058272841484</c:v>
                </c:pt>
                <c:pt idx="14">
                  <c:v>9.3936047602806187</c:v>
                </c:pt>
                <c:pt idx="15">
                  <c:v>8.0539728917517373</c:v>
                </c:pt>
                <c:pt idx="16">
                  <c:v>7.2297291072240295</c:v>
                </c:pt>
                <c:pt idx="17">
                  <c:v>8.0756147947122088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CEA0-496A-88BF-61D2C64237FC}"/>
            </c:ext>
          </c:extLst>
        </c:ser>
        <c:ser>
          <c:idx val="5"/>
          <c:order val="3"/>
          <c:tx>
            <c:strRef>
              <c:f>'TNSP Analysis'!$B$24</c:f>
              <c:strCache>
                <c:ptCount val="1"/>
                <c:pt idx="0">
                  <c:v>TNT</c:v>
                </c:pt>
              </c:strCache>
            </c:strRef>
          </c:tx>
          <c:spPr>
            <a:ln w="31750">
              <a:solidFill>
                <a:srgbClr val="006D2C"/>
              </a:solidFill>
            </a:ln>
          </c:spPr>
          <c:marker>
            <c:symbol val="triangle"/>
            <c:size val="5"/>
            <c:spPr>
              <a:solidFill>
                <a:srgbClr val="006D2C"/>
              </a:solidFill>
              <a:ln w="19050">
                <a:solidFill>
                  <a:srgbClr val="006D2C"/>
                </a:solidFill>
              </a:ln>
            </c:spPr>
          </c:marker>
          <c:cat>
            <c:numRef>
              <c:f>'TNSP Analysis'!$D$20:$U$20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'TNSP Analysis'!$D$24:$U$24</c:f>
              <c:numCache>
                <c:formatCode>#,##0.00</c:formatCode>
                <c:ptCount val="18"/>
                <c:pt idx="0">
                  <c:v>15.913680358390163</c:v>
                </c:pt>
                <c:pt idx="1">
                  <c:v>12.763172413777673</c:v>
                </c:pt>
                <c:pt idx="2">
                  <c:v>13.856609510590156</c:v>
                </c:pt>
                <c:pt idx="3">
                  <c:v>15.055207627322337</c:v>
                </c:pt>
                <c:pt idx="4">
                  <c:v>15.880671298737195</c:v>
                </c:pt>
                <c:pt idx="5">
                  <c:v>16.821129427376388</c:v>
                </c:pt>
                <c:pt idx="6">
                  <c:v>18.623326387865301</c:v>
                </c:pt>
                <c:pt idx="7">
                  <c:v>15.908227137086094</c:v>
                </c:pt>
                <c:pt idx="8">
                  <c:v>14.654153006196909</c:v>
                </c:pt>
                <c:pt idx="9">
                  <c:v>14.006742349651798</c:v>
                </c:pt>
                <c:pt idx="10">
                  <c:v>14.742739154411968</c:v>
                </c:pt>
                <c:pt idx="11">
                  <c:v>13.070534031592523</c:v>
                </c:pt>
                <c:pt idx="12">
                  <c:v>12.406600262853031</c:v>
                </c:pt>
                <c:pt idx="13">
                  <c:v>12.146421008598082</c:v>
                </c:pt>
                <c:pt idx="14">
                  <c:v>10.558670155569553</c:v>
                </c:pt>
                <c:pt idx="15">
                  <c:v>9.2170088975011435</c:v>
                </c:pt>
                <c:pt idx="16">
                  <c:v>9.5213681584371006</c:v>
                </c:pt>
                <c:pt idx="17">
                  <c:v>9.961172012504532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CEA0-496A-88BF-61D2C64237FC}"/>
            </c:ext>
          </c:extLst>
        </c:ser>
        <c:ser>
          <c:idx val="0"/>
          <c:order val="4"/>
          <c:tx>
            <c:strRef>
              <c:f>'TNSP Analysis'!$B$25</c:f>
              <c:strCache>
                <c:ptCount val="1"/>
                <c:pt idx="0">
                  <c:v>TRG</c:v>
                </c:pt>
              </c:strCache>
            </c:strRef>
          </c:tx>
          <c:spPr>
            <a:ln w="31750"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'TNSP Analysis'!$D$20:$U$20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'TNSP Analysis'!$D$25:$U$25</c:f>
              <c:numCache>
                <c:formatCode>#,##0.00</c:formatCode>
                <c:ptCount val="18"/>
                <c:pt idx="0">
                  <c:v>7.9618173661727027</c:v>
                </c:pt>
                <c:pt idx="1">
                  <c:v>7.5957063321201224</c:v>
                </c:pt>
                <c:pt idx="2">
                  <c:v>7.7609351071142054</c:v>
                </c:pt>
                <c:pt idx="3">
                  <c:v>8.9807170964997187</c:v>
                </c:pt>
                <c:pt idx="4">
                  <c:v>9.5086696430735653</c:v>
                </c:pt>
                <c:pt idx="5">
                  <c:v>10.202298717692557</c:v>
                </c:pt>
                <c:pt idx="6">
                  <c:v>11.015582575051196</c:v>
                </c:pt>
                <c:pt idx="7">
                  <c:v>10.470320330653333</c:v>
                </c:pt>
                <c:pt idx="8">
                  <c:v>11.060346005174551</c:v>
                </c:pt>
                <c:pt idx="9">
                  <c:v>10.869385345209716</c:v>
                </c:pt>
                <c:pt idx="10">
                  <c:v>10.456465254460852</c:v>
                </c:pt>
                <c:pt idx="11">
                  <c:v>9.9791118739531299</c:v>
                </c:pt>
                <c:pt idx="12">
                  <c:v>9.1192769259210813</c:v>
                </c:pt>
                <c:pt idx="13">
                  <c:v>9.0794066892327727</c:v>
                </c:pt>
                <c:pt idx="14">
                  <c:v>8.934816525107955</c:v>
                </c:pt>
                <c:pt idx="15">
                  <c:v>8.3889614172433316</c:v>
                </c:pt>
                <c:pt idx="16">
                  <c:v>8.7923845203071807</c:v>
                </c:pt>
                <c:pt idx="17">
                  <c:v>10.032055767362545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CEA0-496A-88BF-61D2C6423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36448"/>
        <c:axId val="48938368"/>
      </c:lineChart>
      <c:catAx>
        <c:axId val="4893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938368"/>
        <c:crosses val="autoZero"/>
        <c:auto val="1"/>
        <c:lblAlgn val="ctr"/>
        <c:lblOffset val="100"/>
        <c:noMultiLvlLbl val="0"/>
      </c:catAx>
      <c:valAx>
        <c:axId val="489383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AU" b="1"/>
                  <a:t>Total cost per MWh of energy transported </a:t>
                </a:r>
              </a:p>
            </c:rich>
          </c:tx>
          <c:layout>
            <c:manualLayout>
              <c:xMode val="edge"/>
              <c:yMode val="edge"/>
              <c:x val="2.5935179811358646E-2"/>
              <c:y val="9.3092357912083853E-2"/>
            </c:manualLayout>
          </c:layout>
          <c:overlay val="0"/>
        </c:title>
        <c:numFmt formatCode="&quot;$&quot;#,##0" sourceLinked="0"/>
        <c:majorTickMark val="out"/>
        <c:minorTickMark val="none"/>
        <c:tickLblPos val="nextTo"/>
        <c:crossAx val="48936448"/>
        <c:crosses val="autoZero"/>
        <c:crossBetween val="midCat"/>
      </c:valAx>
    </c:plotArea>
    <c:legend>
      <c:legendPos val="b"/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6600630388107848"/>
          <c:y val="3.7588782073330121E-2"/>
          <c:w val="0.7580709926067084"/>
          <c:h val="0.7947149909752782"/>
        </c:manualLayout>
      </c:layout>
      <c:lineChart>
        <c:grouping val="standard"/>
        <c:varyColors val="0"/>
        <c:ser>
          <c:idx val="2"/>
          <c:order val="0"/>
          <c:tx>
            <c:strRef>
              <c:f>'TNSP Analysis'!$B$45</c:f>
              <c:strCache>
                <c:ptCount val="1"/>
                <c:pt idx="0">
                  <c:v>ENT</c:v>
                </c:pt>
              </c:strCache>
            </c:strRef>
          </c:tx>
          <c:spPr>
            <a:ln w="31750">
              <a:solidFill>
                <a:srgbClr val="F79646">
                  <a:lumMod val="75000"/>
                </a:srgbClr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79646">
                  <a:lumMod val="75000"/>
                </a:srgbClr>
              </a:solidFill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cat>
            <c:numRef>
              <c:f>'TNSP Analysis'!$D$44:$U$44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'TNSP Analysis'!$D$45:$U$45</c:f>
              <c:numCache>
                <c:formatCode>#,##0</c:formatCode>
                <c:ptCount val="18"/>
                <c:pt idx="0">
                  <c:v>43919.024410036662</c:v>
                </c:pt>
                <c:pt idx="1">
                  <c:v>45347.001403166061</c:v>
                </c:pt>
                <c:pt idx="2">
                  <c:v>43957.04113482168</c:v>
                </c:pt>
                <c:pt idx="3">
                  <c:v>50769.935458057385</c:v>
                </c:pt>
                <c:pt idx="4">
                  <c:v>49198.392815796178</c:v>
                </c:pt>
                <c:pt idx="5">
                  <c:v>53724.267862153938</c:v>
                </c:pt>
                <c:pt idx="6">
                  <c:v>56081.780234924277</c:v>
                </c:pt>
                <c:pt idx="7">
                  <c:v>53286.82639906992</c:v>
                </c:pt>
                <c:pt idx="8">
                  <c:v>50662.059297887507</c:v>
                </c:pt>
                <c:pt idx="9">
                  <c:v>57235.520641768686</c:v>
                </c:pt>
                <c:pt idx="10">
                  <c:v>55448.206937424715</c:v>
                </c:pt>
                <c:pt idx="11">
                  <c:v>56500.323137285603</c:v>
                </c:pt>
                <c:pt idx="12">
                  <c:v>56692.293016512158</c:v>
                </c:pt>
                <c:pt idx="13">
                  <c:v>57330.864580188878</c:v>
                </c:pt>
                <c:pt idx="14">
                  <c:v>58929.140247559866</c:v>
                </c:pt>
                <c:pt idx="15">
                  <c:v>53531.319806441308</c:v>
                </c:pt>
                <c:pt idx="16">
                  <c:v>53707.685091483341</c:v>
                </c:pt>
                <c:pt idx="17">
                  <c:v>53816.642597905484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0A-4E0A-B7DF-0179FE5A49E3}"/>
            </c:ext>
          </c:extLst>
        </c:ser>
        <c:ser>
          <c:idx val="3"/>
          <c:order val="1"/>
          <c:tx>
            <c:strRef>
              <c:f>'TNSP Analysis'!$B$46</c:f>
              <c:strCache>
                <c:ptCount val="1"/>
                <c:pt idx="0">
                  <c:v>PLK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'TNSP Analysis'!$D$44:$U$44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'TNSP Analysis'!$D$46:$U$46</c:f>
              <c:numCache>
                <c:formatCode>#,##0</c:formatCode>
                <c:ptCount val="18"/>
                <c:pt idx="0">
                  <c:v>55628.724254540379</c:v>
                </c:pt>
                <c:pt idx="1">
                  <c:v>54778.640929735418</c:v>
                </c:pt>
                <c:pt idx="2">
                  <c:v>57752.055495624634</c:v>
                </c:pt>
                <c:pt idx="3">
                  <c:v>65776.109898253198</c:v>
                </c:pt>
                <c:pt idx="4">
                  <c:v>63865.953570257429</c:v>
                </c:pt>
                <c:pt idx="5">
                  <c:v>69511.000745959493</c:v>
                </c:pt>
                <c:pt idx="6">
                  <c:v>72918.195691932138</c:v>
                </c:pt>
                <c:pt idx="7">
                  <c:v>59856.281364604481</c:v>
                </c:pt>
                <c:pt idx="8">
                  <c:v>55748.044225508049</c:v>
                </c:pt>
                <c:pt idx="9">
                  <c:v>64008.147636369817</c:v>
                </c:pt>
                <c:pt idx="10">
                  <c:v>59348.884054056871</c:v>
                </c:pt>
                <c:pt idx="11">
                  <c:v>58164.773081964333</c:v>
                </c:pt>
                <c:pt idx="12">
                  <c:v>52364.895224662047</c:v>
                </c:pt>
                <c:pt idx="13">
                  <c:v>54471.888996032707</c:v>
                </c:pt>
                <c:pt idx="14">
                  <c:v>51632.131287463977</c:v>
                </c:pt>
                <c:pt idx="15">
                  <c:v>46899.013299538499</c:v>
                </c:pt>
                <c:pt idx="16">
                  <c:v>45235.690166529588</c:v>
                </c:pt>
                <c:pt idx="17">
                  <c:v>47570.326376877289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0A-4E0A-B7DF-0179FE5A49E3}"/>
            </c:ext>
          </c:extLst>
        </c:ser>
        <c:ser>
          <c:idx val="4"/>
          <c:order val="2"/>
          <c:tx>
            <c:strRef>
              <c:f>'TNSP Analysis'!$B$47</c:f>
              <c:strCache>
                <c:ptCount val="1"/>
                <c:pt idx="0">
                  <c:v>ANT</c:v>
                </c:pt>
              </c:strCache>
            </c:strRef>
          </c:tx>
          <c:spPr>
            <a:ln w="31750">
              <a:solidFill>
                <a:srgbClr val="92D05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'TNSP Analysis'!$D$44:$U$44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'TNSP Analysis'!$D$47:$U$47</c:f>
              <c:numCache>
                <c:formatCode>#,##0</c:formatCode>
                <c:ptCount val="18"/>
                <c:pt idx="0">
                  <c:v>63505.712588121918</c:v>
                </c:pt>
                <c:pt idx="1">
                  <c:v>59920.16377749083</c:v>
                </c:pt>
                <c:pt idx="2">
                  <c:v>61749.244372649802</c:v>
                </c:pt>
                <c:pt idx="3">
                  <c:v>71058.485098763354</c:v>
                </c:pt>
                <c:pt idx="4">
                  <c:v>70655.843586583505</c:v>
                </c:pt>
                <c:pt idx="5">
                  <c:v>70876.231175197958</c:v>
                </c:pt>
                <c:pt idx="6">
                  <c:v>72723.642575421822</c:v>
                </c:pt>
                <c:pt idx="7">
                  <c:v>66816.498149122097</c:v>
                </c:pt>
                <c:pt idx="8">
                  <c:v>59821.054461413725</c:v>
                </c:pt>
                <c:pt idx="9">
                  <c:v>66553.55902723805</c:v>
                </c:pt>
                <c:pt idx="10">
                  <c:v>64851.910176472753</c:v>
                </c:pt>
                <c:pt idx="11">
                  <c:v>62303.561773647991</c:v>
                </c:pt>
                <c:pt idx="12">
                  <c:v>61451.521204587807</c:v>
                </c:pt>
                <c:pt idx="13">
                  <c:v>62227.819847098333</c:v>
                </c:pt>
                <c:pt idx="14">
                  <c:v>57954.192690825257</c:v>
                </c:pt>
                <c:pt idx="15">
                  <c:v>50541.962352373026</c:v>
                </c:pt>
                <c:pt idx="16">
                  <c:v>48063.39489987625</c:v>
                </c:pt>
                <c:pt idx="17">
                  <c:v>52766.820533583486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0A-4E0A-B7DF-0179FE5A49E3}"/>
            </c:ext>
          </c:extLst>
        </c:ser>
        <c:ser>
          <c:idx val="5"/>
          <c:order val="3"/>
          <c:tx>
            <c:strRef>
              <c:f>'TNSP Analysis'!$B$48</c:f>
              <c:strCache>
                <c:ptCount val="1"/>
                <c:pt idx="0">
                  <c:v>TNT</c:v>
                </c:pt>
              </c:strCache>
            </c:strRef>
          </c:tx>
          <c:spPr>
            <a:ln w="31750">
              <a:solidFill>
                <a:srgbClr val="006D2C"/>
              </a:solidFill>
            </a:ln>
          </c:spPr>
          <c:marker>
            <c:symbol val="triangle"/>
            <c:size val="5"/>
            <c:spPr>
              <a:solidFill>
                <a:srgbClr val="006D2C"/>
              </a:solidFill>
              <a:ln w="19050">
                <a:solidFill>
                  <a:srgbClr val="006D2C"/>
                </a:solidFill>
              </a:ln>
            </c:spPr>
          </c:marker>
          <c:cat>
            <c:numRef>
              <c:f>'TNSP Analysis'!$D$44:$U$44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'TNSP Analysis'!$D$48:$U$48</c:f>
              <c:numCache>
                <c:formatCode>#,##0</c:formatCode>
                <c:ptCount val="18"/>
                <c:pt idx="0">
                  <c:v>46791.049502211892</c:v>
                </c:pt>
                <c:pt idx="1">
                  <c:v>45201.189290765527</c:v>
                </c:pt>
                <c:pt idx="2">
                  <c:v>51643.678897488382</c:v>
                </c:pt>
                <c:pt idx="3">
                  <c:v>57361.914879490439</c:v>
                </c:pt>
                <c:pt idx="4">
                  <c:v>59440.011985425263</c:v>
                </c:pt>
                <c:pt idx="5">
                  <c:v>63120.492455382016</c:v>
                </c:pt>
                <c:pt idx="6">
                  <c:v>67118.413924077875</c:v>
                </c:pt>
                <c:pt idx="7">
                  <c:v>58426.246104964746</c:v>
                </c:pt>
                <c:pt idx="8">
                  <c:v>55876.178360941958</c:v>
                </c:pt>
                <c:pt idx="9">
                  <c:v>51525.977725821554</c:v>
                </c:pt>
                <c:pt idx="10">
                  <c:v>48214.031207137705</c:v>
                </c:pt>
                <c:pt idx="11">
                  <c:v>45577.238614471142</c:v>
                </c:pt>
                <c:pt idx="12">
                  <c:v>43514.530550862117</c:v>
                </c:pt>
                <c:pt idx="13">
                  <c:v>44144.57259461232</c:v>
                </c:pt>
                <c:pt idx="14">
                  <c:v>39117.189265550485</c:v>
                </c:pt>
                <c:pt idx="15">
                  <c:v>35515.197281399516</c:v>
                </c:pt>
                <c:pt idx="16">
                  <c:v>37755.454975044995</c:v>
                </c:pt>
                <c:pt idx="17">
                  <c:v>38722.299472722785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60A-4E0A-B7DF-0179FE5A49E3}"/>
            </c:ext>
          </c:extLst>
        </c:ser>
        <c:ser>
          <c:idx val="0"/>
          <c:order val="4"/>
          <c:tx>
            <c:strRef>
              <c:f>'TNSP Analysis'!$B$49</c:f>
              <c:strCache>
                <c:ptCount val="1"/>
                <c:pt idx="0">
                  <c:v>TRG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'TNSP Analysis'!$D$44:$U$44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'TNSP Analysis'!$D$49:$U$49</c:f>
              <c:numCache>
                <c:formatCode>#,##0</c:formatCode>
                <c:ptCount val="18"/>
                <c:pt idx="0">
                  <c:v>51839.589390263325</c:v>
                </c:pt>
                <c:pt idx="1">
                  <c:v>50328.81711083484</c:v>
                </c:pt>
                <c:pt idx="2">
                  <c:v>51125.997570404099</c:v>
                </c:pt>
                <c:pt idx="3">
                  <c:v>58158.25754964802</c:v>
                </c:pt>
                <c:pt idx="4">
                  <c:v>60429.82462878291</c:v>
                </c:pt>
                <c:pt idx="5">
                  <c:v>64197.463548680978</c:v>
                </c:pt>
                <c:pt idx="6">
                  <c:v>66455.057813023101</c:v>
                </c:pt>
                <c:pt idx="7">
                  <c:v>57737.078393863558</c:v>
                </c:pt>
                <c:pt idx="8">
                  <c:v>57997.744332950599</c:v>
                </c:pt>
                <c:pt idx="9">
                  <c:v>62088.052142133078</c:v>
                </c:pt>
                <c:pt idx="10">
                  <c:v>57899.033749558432</c:v>
                </c:pt>
                <c:pt idx="11">
                  <c:v>57227.932485680794</c:v>
                </c:pt>
                <c:pt idx="12">
                  <c:v>52739.183541868078</c:v>
                </c:pt>
                <c:pt idx="13">
                  <c:v>51753.63459185703</c:v>
                </c:pt>
                <c:pt idx="14">
                  <c:v>49902.36004032028</c:v>
                </c:pt>
                <c:pt idx="15">
                  <c:v>45874.533508649343</c:v>
                </c:pt>
                <c:pt idx="16">
                  <c:v>45862.166320846045</c:v>
                </c:pt>
                <c:pt idx="17">
                  <c:v>53700.421594247506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60A-4E0A-B7DF-0179FE5A4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36448"/>
        <c:axId val="48938368"/>
      </c:lineChart>
      <c:catAx>
        <c:axId val="4893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938368"/>
        <c:crosses val="autoZero"/>
        <c:auto val="1"/>
        <c:lblAlgn val="ctr"/>
        <c:lblOffset val="100"/>
        <c:noMultiLvlLbl val="0"/>
      </c:catAx>
      <c:valAx>
        <c:axId val="489383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AU" b="1"/>
                  <a:t>Total cost per km of transmission circuit length </a:t>
                </a:r>
              </a:p>
            </c:rich>
          </c:tx>
          <c:layout>
            <c:manualLayout>
              <c:xMode val="edge"/>
              <c:yMode val="edge"/>
              <c:x val="3.2768806438034599E-2"/>
              <c:y val="0.11602531056241923"/>
            </c:manualLayout>
          </c:layout>
          <c:overlay val="0"/>
        </c:title>
        <c:numFmt formatCode="&quot;$&quot;#,##0" sourceLinked="0"/>
        <c:majorTickMark val="out"/>
        <c:minorTickMark val="none"/>
        <c:tickLblPos val="nextTo"/>
        <c:crossAx val="48936448"/>
        <c:crosses val="autoZero"/>
        <c:crossBetween val="midCat"/>
      </c:valAx>
    </c:plotArea>
    <c:legend>
      <c:legendPos val="b"/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569064072578961"/>
          <c:y val="2.4450409086600594E-2"/>
          <c:w val="0.78169407127062263"/>
          <c:h val="0.79374771636235975"/>
        </c:manualLayout>
      </c:layout>
      <c:lineChart>
        <c:grouping val="standard"/>
        <c:varyColors val="0"/>
        <c:ser>
          <c:idx val="2"/>
          <c:order val="0"/>
          <c:tx>
            <c:strRef>
              <c:f>'TNSP Analysis'!$B$29</c:f>
              <c:strCache>
                <c:ptCount val="1"/>
                <c:pt idx="0">
                  <c:v>ENT</c:v>
                </c:pt>
              </c:strCache>
            </c:strRef>
          </c:tx>
          <c:spPr>
            <a:ln w="31750">
              <a:solidFill>
                <a:srgbClr val="F79646">
                  <a:lumMod val="75000"/>
                </a:srgbClr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79646">
                  <a:lumMod val="75000"/>
                </a:srgbClr>
              </a:solidFill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cat>
            <c:numRef>
              <c:f>'TNSP Analysis'!$D$28:$U$28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'TNSP Analysis'!$D$29:$U$29</c:f>
              <c:numCache>
                <c:formatCode>#,##0</c:formatCode>
                <c:ptCount val="18"/>
                <c:pt idx="0">
                  <c:v>315.81650257673573</c:v>
                </c:pt>
                <c:pt idx="1">
                  <c:v>321.07613921861605</c:v>
                </c:pt>
                <c:pt idx="2">
                  <c:v>310.56363411358865</c:v>
                </c:pt>
                <c:pt idx="3">
                  <c:v>343.07211945052558</c:v>
                </c:pt>
                <c:pt idx="4">
                  <c:v>327.30962001307017</c:v>
                </c:pt>
                <c:pt idx="5">
                  <c:v>353.72590541112135</c:v>
                </c:pt>
                <c:pt idx="6">
                  <c:v>367.12750795297512</c:v>
                </c:pt>
                <c:pt idx="7">
                  <c:v>347.42474528357207</c:v>
                </c:pt>
                <c:pt idx="8">
                  <c:v>328.88232327013134</c:v>
                </c:pt>
                <c:pt idx="9">
                  <c:v>370.07009243038306</c:v>
                </c:pt>
                <c:pt idx="10">
                  <c:v>356.74197303145741</c:v>
                </c:pt>
                <c:pt idx="11">
                  <c:v>355.06957715283261</c:v>
                </c:pt>
                <c:pt idx="12">
                  <c:v>350.02848067994404</c:v>
                </c:pt>
                <c:pt idx="13">
                  <c:v>348.76070604300412</c:v>
                </c:pt>
                <c:pt idx="14">
                  <c:v>355.6341330593562</c:v>
                </c:pt>
                <c:pt idx="15">
                  <c:v>320.61199445504371</c:v>
                </c:pt>
                <c:pt idx="16">
                  <c:v>319.1039592114854</c:v>
                </c:pt>
                <c:pt idx="17">
                  <c:v>347.13354732008082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F9-4EE8-A140-D8A934B90B89}"/>
            </c:ext>
          </c:extLst>
        </c:ser>
        <c:ser>
          <c:idx val="3"/>
          <c:order val="1"/>
          <c:tx>
            <c:strRef>
              <c:f>'TNSP Analysis'!$B$30</c:f>
              <c:strCache>
                <c:ptCount val="1"/>
                <c:pt idx="0">
                  <c:v>PLK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'TNSP Analysis'!$D$28:$U$28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'TNSP Analysis'!$D$30:$U$30</c:f>
              <c:numCache>
                <c:formatCode>#,##0</c:formatCode>
                <c:ptCount val="18"/>
                <c:pt idx="0">
                  <c:v>354.48363946637619</c:v>
                </c:pt>
                <c:pt idx="1">
                  <c:v>348.15256162422185</c:v>
                </c:pt>
                <c:pt idx="2">
                  <c:v>375.51230589667722</c:v>
                </c:pt>
                <c:pt idx="3">
                  <c:v>433.81206326184645</c:v>
                </c:pt>
                <c:pt idx="4">
                  <c:v>428.70174319968561</c:v>
                </c:pt>
                <c:pt idx="5">
                  <c:v>473.80762688002466</c:v>
                </c:pt>
                <c:pt idx="6">
                  <c:v>489.03154385499283</c:v>
                </c:pt>
                <c:pt idx="7">
                  <c:v>413.86179130773382</c:v>
                </c:pt>
                <c:pt idx="8">
                  <c:v>392.45753020083163</c:v>
                </c:pt>
                <c:pt idx="9">
                  <c:v>444.32671575867323</c:v>
                </c:pt>
                <c:pt idx="10">
                  <c:v>405.26280142453192</c:v>
                </c:pt>
                <c:pt idx="11">
                  <c:v>385.31297341975772</c:v>
                </c:pt>
                <c:pt idx="12">
                  <c:v>340.53530638032396</c:v>
                </c:pt>
                <c:pt idx="13">
                  <c:v>349.77243977726971</c:v>
                </c:pt>
                <c:pt idx="14">
                  <c:v>329.21729232093122</c:v>
                </c:pt>
                <c:pt idx="15">
                  <c:v>295.98118574828931</c:v>
                </c:pt>
                <c:pt idx="16">
                  <c:v>280.23465358123502</c:v>
                </c:pt>
                <c:pt idx="17">
                  <c:v>289.71066064722521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F9-4EE8-A140-D8A934B90B89}"/>
            </c:ext>
          </c:extLst>
        </c:ser>
        <c:ser>
          <c:idx val="4"/>
          <c:order val="2"/>
          <c:tx>
            <c:strRef>
              <c:f>'TNSP Analysis'!$B$31</c:f>
              <c:strCache>
                <c:ptCount val="1"/>
                <c:pt idx="0">
                  <c:v>ANT</c:v>
                </c:pt>
              </c:strCache>
            </c:strRef>
          </c:tx>
          <c:spPr>
            <a:ln w="31750">
              <a:solidFill>
                <a:srgbClr val="92D05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'TNSP Analysis'!$D$28:$U$28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'TNSP Analysis'!$D$31:$U$31</c:f>
              <c:numCache>
                <c:formatCode>#,##0</c:formatCode>
                <c:ptCount val="18"/>
                <c:pt idx="0">
                  <c:v>168.98011566310515</c:v>
                </c:pt>
                <c:pt idx="1">
                  <c:v>156.93151273802286</c:v>
                </c:pt>
                <c:pt idx="2">
                  <c:v>159.43146178914037</c:v>
                </c:pt>
                <c:pt idx="3">
                  <c:v>181.10646585741864</c:v>
                </c:pt>
                <c:pt idx="4">
                  <c:v>177.63207315556306</c:v>
                </c:pt>
                <c:pt idx="5">
                  <c:v>175.88721704441051</c:v>
                </c:pt>
                <c:pt idx="6">
                  <c:v>177.59162711676947</c:v>
                </c:pt>
                <c:pt idx="7">
                  <c:v>160.63495612780639</c:v>
                </c:pt>
                <c:pt idx="8">
                  <c:v>142.42737307598412</c:v>
                </c:pt>
                <c:pt idx="9">
                  <c:v>155.77701078991069</c:v>
                </c:pt>
                <c:pt idx="10">
                  <c:v>148.84630171661834</c:v>
                </c:pt>
                <c:pt idx="11">
                  <c:v>140.25306238377834</c:v>
                </c:pt>
                <c:pt idx="12">
                  <c:v>137.55733955379191</c:v>
                </c:pt>
                <c:pt idx="13">
                  <c:v>136.60355504577987</c:v>
                </c:pt>
                <c:pt idx="14">
                  <c:v>127.62043763292057</c:v>
                </c:pt>
                <c:pt idx="15">
                  <c:v>110.36963153116547</c:v>
                </c:pt>
                <c:pt idx="16">
                  <c:v>101.72673284210765</c:v>
                </c:pt>
                <c:pt idx="17">
                  <c:v>110.13142571139842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F9-4EE8-A140-D8A934B90B89}"/>
            </c:ext>
          </c:extLst>
        </c:ser>
        <c:ser>
          <c:idx val="5"/>
          <c:order val="3"/>
          <c:tx>
            <c:strRef>
              <c:f>'TNSP Analysis'!$B$32</c:f>
              <c:strCache>
                <c:ptCount val="1"/>
                <c:pt idx="0">
                  <c:v>TNT</c:v>
                </c:pt>
              </c:strCache>
            </c:strRef>
          </c:tx>
          <c:spPr>
            <a:ln w="31750">
              <a:solidFill>
                <a:srgbClr val="006D2C"/>
              </a:solidFill>
            </a:ln>
          </c:spPr>
          <c:marker>
            <c:symbol val="triangle"/>
            <c:size val="5"/>
            <c:spPr>
              <a:solidFill>
                <a:srgbClr val="006D2C"/>
              </a:solidFill>
              <a:ln w="19050">
                <a:solidFill>
                  <a:srgbClr val="006D2C"/>
                </a:solidFill>
              </a:ln>
            </c:spPr>
          </c:marker>
          <c:cat>
            <c:numRef>
              <c:f>'TNSP Analysis'!$D$28:$U$28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'TNSP Analysis'!$D$32:$U$32</c:f>
              <c:numCache>
                <c:formatCode>#,##0</c:formatCode>
                <c:ptCount val="18"/>
                <c:pt idx="0">
                  <c:v>668.57284539509249</c:v>
                </c:pt>
                <c:pt idx="1">
                  <c:v>640.86996031175295</c:v>
                </c:pt>
                <c:pt idx="2">
                  <c:v>718.32362493632286</c:v>
                </c:pt>
                <c:pt idx="3">
                  <c:v>760.67206809197648</c:v>
                </c:pt>
                <c:pt idx="4">
                  <c:v>764.68554608938064</c:v>
                </c:pt>
                <c:pt idx="5">
                  <c:v>799.33738488172639</c:v>
                </c:pt>
                <c:pt idx="6">
                  <c:v>842.21082272834599</c:v>
                </c:pt>
                <c:pt idx="7">
                  <c:v>731.33849204788964</c:v>
                </c:pt>
                <c:pt idx="8">
                  <c:v>697.34266693167751</c:v>
                </c:pt>
                <c:pt idx="9">
                  <c:v>648.70972772994423</c:v>
                </c:pt>
                <c:pt idx="10">
                  <c:v>602.19168671822183</c:v>
                </c:pt>
                <c:pt idx="11">
                  <c:v>564.65412206759004</c:v>
                </c:pt>
                <c:pt idx="12">
                  <c:v>535.77084389904826</c:v>
                </c:pt>
                <c:pt idx="13">
                  <c:v>538.83110375911383</c:v>
                </c:pt>
                <c:pt idx="14">
                  <c:v>445.87189304797153</c:v>
                </c:pt>
                <c:pt idx="15">
                  <c:v>399.73747199468346</c:v>
                </c:pt>
                <c:pt idx="16">
                  <c:v>418.61880437005209</c:v>
                </c:pt>
                <c:pt idx="17">
                  <c:v>424.60184785061398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7F9-4EE8-A140-D8A934B90B89}"/>
            </c:ext>
          </c:extLst>
        </c:ser>
        <c:ser>
          <c:idx val="0"/>
          <c:order val="4"/>
          <c:tx>
            <c:strRef>
              <c:f>'TNSP Analysis'!$B$33</c:f>
              <c:strCache>
                <c:ptCount val="1"/>
                <c:pt idx="0">
                  <c:v>TRG</c:v>
                </c:pt>
              </c:strCache>
            </c:strRef>
          </c:tx>
          <c:spPr>
            <a:ln w="31750"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'TNSP Analysis'!$D$28:$U$28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'TNSP Analysis'!$D$33:$U$33</c:f>
              <c:numCache>
                <c:formatCode>#,##0</c:formatCode>
                <c:ptCount val="18"/>
                <c:pt idx="0">
                  <c:v>193.73953854234986</c:v>
                </c:pt>
                <c:pt idx="1">
                  <c:v>186.36264085446496</c:v>
                </c:pt>
                <c:pt idx="2">
                  <c:v>187.36386757721388</c:v>
                </c:pt>
                <c:pt idx="3">
                  <c:v>211.26990985286213</c:v>
                </c:pt>
                <c:pt idx="4">
                  <c:v>220.66853656615203</c:v>
                </c:pt>
                <c:pt idx="5">
                  <c:v>232.13641373378772</c:v>
                </c:pt>
                <c:pt idx="6">
                  <c:v>238.56355833489178</c:v>
                </c:pt>
                <c:pt idx="7">
                  <c:v>208.1803779709804</c:v>
                </c:pt>
                <c:pt idx="8">
                  <c:v>206.91632747577259</c:v>
                </c:pt>
                <c:pt idx="9">
                  <c:v>220.0949337546817</c:v>
                </c:pt>
                <c:pt idx="10">
                  <c:v>202.90925286909436</c:v>
                </c:pt>
                <c:pt idx="11">
                  <c:v>198.28363827527073</c:v>
                </c:pt>
                <c:pt idx="12">
                  <c:v>179.9436766782043</c:v>
                </c:pt>
                <c:pt idx="13">
                  <c:v>173.70764371058823</c:v>
                </c:pt>
                <c:pt idx="14">
                  <c:v>165.13042442846398</c:v>
                </c:pt>
                <c:pt idx="15">
                  <c:v>149.93669817506421</c:v>
                </c:pt>
                <c:pt idx="16">
                  <c:v>148.85658636707782</c:v>
                </c:pt>
                <c:pt idx="17">
                  <c:v>172.87150246390149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7F9-4EE8-A140-D8A934B90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36448"/>
        <c:axId val="48938368"/>
      </c:lineChart>
      <c:catAx>
        <c:axId val="4893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938368"/>
        <c:crosses val="autoZero"/>
        <c:auto val="1"/>
        <c:lblAlgn val="ctr"/>
        <c:lblOffset val="100"/>
        <c:noMultiLvlLbl val="0"/>
      </c:catAx>
      <c:valAx>
        <c:axId val="489383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AU" b="1"/>
                  <a:t>Total cost per end user</a:t>
                </a:r>
              </a:p>
            </c:rich>
          </c:tx>
          <c:layout>
            <c:manualLayout>
              <c:xMode val="edge"/>
              <c:yMode val="edge"/>
              <c:x val="3.1167807013700782E-2"/>
              <c:y val="0.30775903354731399"/>
            </c:manualLayout>
          </c:layout>
          <c:overlay val="0"/>
        </c:title>
        <c:numFmt formatCode="&quot;$&quot;#,##0" sourceLinked="0"/>
        <c:majorTickMark val="out"/>
        <c:minorTickMark val="none"/>
        <c:tickLblPos val="nextTo"/>
        <c:crossAx val="48936448"/>
        <c:crosses val="autoZero"/>
        <c:crossBetween val="midCat"/>
      </c:valAx>
    </c:plotArea>
    <c:legend>
      <c:legendPos val="b"/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44899903690436"/>
          <c:y val="3.7448982602920851E-2"/>
          <c:w val="0.88555097943280603"/>
          <c:h val="0.8613532582620721"/>
        </c:manualLayout>
      </c:layout>
      <c:barChart>
        <c:barDir val="col"/>
        <c:grouping val="clustered"/>
        <c:varyColors val="0"/>
        <c:ser>
          <c:idx val="0"/>
          <c:order val="0"/>
          <c:spPr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02A-459E-8AE3-FCE64AB8F02D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3175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02A-459E-8AE3-FCE64AB8F02D}"/>
              </c:ext>
            </c:extLst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02A-459E-8AE3-FCE64AB8F02D}"/>
              </c:ext>
            </c:extLst>
          </c:dPt>
          <c:dPt>
            <c:idx val="3"/>
            <c:invertIfNegative val="0"/>
            <c:bubble3D val="0"/>
            <c:spPr>
              <a:solidFill>
                <a:srgbClr val="006D2C"/>
              </a:solidFill>
              <a:ln w="3175">
                <a:solidFill>
                  <a:srgbClr val="006D2C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02A-459E-8AE3-FCE64AB8F02D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 w="3175">
                <a:solidFill>
                  <a:srgbClr val="FFC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202A-459E-8AE3-FCE64AB8F02D}"/>
              </c:ext>
            </c:extLst>
          </c:dPt>
          <c:dPt>
            <c:idx val="5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202A-459E-8AE3-FCE64AB8F02D}"/>
              </c:ext>
            </c:extLst>
          </c:dPt>
          <c:dPt>
            <c:idx val="6"/>
            <c:invertIfNegative val="0"/>
            <c:bubble3D val="0"/>
            <c:spPr>
              <a:solidFill>
                <a:srgbClr val="FD8D3C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202A-459E-8AE3-FCE64AB8F02D}"/>
              </c:ext>
            </c:extLst>
          </c:dPt>
          <c:dPt>
            <c:idx val="7"/>
            <c:invertIfNegative val="0"/>
            <c:bubble3D val="0"/>
            <c:spPr>
              <a:solidFill>
                <a:srgbClr val="E7E1EF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202A-459E-8AE3-FCE64AB8F02D}"/>
              </c:ext>
            </c:extLst>
          </c:dPt>
          <c:dPt>
            <c:idx val="8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202A-459E-8AE3-FCE64AB8F02D}"/>
              </c:ext>
            </c:extLst>
          </c:dPt>
          <c:dPt>
            <c:idx val="9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202A-459E-8AE3-FCE64AB8F02D}"/>
              </c:ext>
            </c:extLst>
          </c:dPt>
          <c:dPt>
            <c:idx val="10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202A-459E-8AE3-FCE64AB8F02D}"/>
              </c:ext>
            </c:extLst>
          </c:dPt>
          <c:dPt>
            <c:idx val="11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202A-459E-8AE3-FCE64AB8F02D}"/>
              </c:ext>
            </c:extLst>
          </c:dPt>
          <c:dPt>
            <c:idx val="1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202A-459E-8AE3-FCE64AB8F02D}"/>
              </c:ext>
            </c:extLst>
          </c:dPt>
          <c:cat>
            <c:strRef>
              <c:f>'Physical data'!$B$40:$B$44</c:f>
              <c:strCache>
                <c:ptCount val="5"/>
                <c:pt idx="0">
                  <c:v>ENT</c:v>
                </c:pt>
                <c:pt idx="1">
                  <c:v>PLK</c:v>
                </c:pt>
                <c:pt idx="2">
                  <c:v>ANT</c:v>
                </c:pt>
                <c:pt idx="3">
                  <c:v>TNT</c:v>
                </c:pt>
                <c:pt idx="4">
                  <c:v>TRG</c:v>
                </c:pt>
              </c:strCache>
            </c:strRef>
          </c:cat>
          <c:val>
            <c:numRef>
              <c:f>'Physical data'!$V$40:$V$44</c:f>
              <c:numCache>
                <c:formatCode>#,##0.0</c:formatCode>
                <c:ptCount val="5"/>
                <c:pt idx="0">
                  <c:v>164.07829873379833</c:v>
                </c:pt>
                <c:pt idx="1">
                  <c:v>159.32821711980063</c:v>
                </c:pt>
                <c:pt idx="2">
                  <c:v>463.83693520121443</c:v>
                </c:pt>
                <c:pt idx="3">
                  <c:v>87.97840431131894</c:v>
                </c:pt>
                <c:pt idx="4">
                  <c:v>304.96567964771305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02A-459E-8AE3-FCE64AB8F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50229632"/>
        <c:axId val="50231168"/>
      </c:barChart>
      <c:catAx>
        <c:axId val="50229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0231168"/>
        <c:crosses val="autoZero"/>
        <c:auto val="1"/>
        <c:lblAlgn val="ctr"/>
        <c:lblOffset val="100"/>
        <c:noMultiLvlLbl val="0"/>
      </c:catAx>
      <c:valAx>
        <c:axId val="502311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AU" b="1"/>
                  <a:t>Connection density (end user per km)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02296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="0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'Physical data'!$T$47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98D-440C-ACD2-0230351807CD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98D-440C-ACD2-0230351807CD}"/>
              </c:ext>
            </c:extLst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98D-440C-ACD2-0230351807CD}"/>
              </c:ext>
            </c:extLst>
          </c:dPt>
          <c:dPt>
            <c:idx val="3"/>
            <c:invertIfNegative val="0"/>
            <c:bubble3D val="0"/>
            <c:spPr>
              <a:solidFill>
                <a:srgbClr val="006D2C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98D-440C-ACD2-0230351807CD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98D-440C-ACD2-0230351807CD}"/>
              </c:ext>
            </c:extLst>
          </c:dPt>
          <c:cat>
            <c:strRef>
              <c:f>'Physical data'!$B$48:$B$52</c:f>
              <c:strCache>
                <c:ptCount val="5"/>
                <c:pt idx="0">
                  <c:v>ENT</c:v>
                </c:pt>
                <c:pt idx="1">
                  <c:v>PLK</c:v>
                </c:pt>
                <c:pt idx="2">
                  <c:v>ANT</c:v>
                </c:pt>
                <c:pt idx="3">
                  <c:v>TNT</c:v>
                </c:pt>
                <c:pt idx="4">
                  <c:v>TRG</c:v>
                </c:pt>
              </c:strCache>
            </c:strRef>
          </c:cat>
          <c:val>
            <c:numRef>
              <c:f>'Physical data'!$U$48:$U$52</c:f>
              <c:numCache>
                <c:formatCode>_(* #,##0_);_(* \(#,##0\);_(* "-"??_);_(@_)</c:formatCode>
                <c:ptCount val="5"/>
                <c:pt idx="0">
                  <c:v>936660</c:v>
                </c:pt>
                <c:pt idx="1">
                  <c:v>2388642</c:v>
                </c:pt>
                <c:pt idx="2">
                  <c:v>3175418</c:v>
                </c:pt>
                <c:pt idx="3">
                  <c:v>304339.99999999971</c:v>
                </c:pt>
                <c:pt idx="4">
                  <c:v>4062230.5799767007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98D-440C-ACD2-023035180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51554176"/>
        <c:axId val="51555712"/>
      </c:barChart>
      <c:catAx>
        <c:axId val="5155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1555712"/>
        <c:crosses val="autoZero"/>
        <c:auto val="1"/>
        <c:lblAlgn val="ctr"/>
        <c:lblOffset val="100"/>
        <c:noMultiLvlLbl val="0"/>
      </c:catAx>
      <c:valAx>
        <c:axId val="5155571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51554176"/>
        <c:crosses val="autoZero"/>
        <c:crossBetween val="between"/>
        <c:majorUnit val="1000000"/>
        <c:minorUnit val="500000"/>
        <c:dispUnits>
          <c:builtInUnit val="millions"/>
          <c:dispUnitsLbl>
            <c:layout>
              <c:manualLayout>
                <c:xMode val="edge"/>
                <c:yMode val="edge"/>
                <c:x val="1.5216357584403234E-2"/>
                <c:y val="0.22497317692965069"/>
              </c:manualLayout>
            </c:layout>
            <c:tx>
              <c:rich>
                <a:bodyPr/>
                <a:lstStyle/>
                <a:p>
                  <a:pPr>
                    <a:defRPr b="1"/>
                  </a:pPr>
                  <a:r>
                    <a:rPr lang="en-US" b="1"/>
                    <a:t>Total number of end users (millons)</a:t>
                  </a:r>
                </a:p>
              </c:rich>
            </c:tx>
          </c:dispUnitsLbl>
        </c:dispUnits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44902056719393"/>
          <c:y val="3.7448969862505802E-2"/>
          <c:w val="0.88555097943280603"/>
          <c:h val="0.8613532582620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'Physical data'!$D$25</c:f>
              <c:strCache>
                <c:ptCount val="1"/>
                <c:pt idx="0">
                  <c:v>km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2AB-4F81-8570-1F2106DA406C}"/>
              </c:ext>
            </c:extLst>
          </c:dPt>
          <c:dPt>
            <c:idx val="1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2AB-4F81-8570-1F2106DA406C}"/>
              </c:ext>
            </c:extLst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2AB-4F81-8570-1F2106DA406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2AB-4F81-8570-1F2106DA406C}"/>
              </c:ext>
            </c:extLst>
          </c:dPt>
          <c:dPt>
            <c:idx val="4"/>
            <c:invertIfNegative val="0"/>
            <c:bubble3D val="0"/>
            <c:spPr>
              <a:solidFill>
                <a:srgbClr val="2171B5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2AB-4F81-8570-1F2106DA406C}"/>
              </c:ext>
            </c:extLst>
          </c:dPt>
          <c:dPt>
            <c:idx val="5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2AB-4F81-8570-1F2106DA406C}"/>
              </c:ext>
            </c:extLst>
          </c:dPt>
          <c:dPt>
            <c:idx val="6"/>
            <c:invertIfNegative val="0"/>
            <c:bubble3D val="0"/>
            <c:spPr>
              <a:solidFill>
                <a:srgbClr val="FD8D3C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2AB-4F81-8570-1F2106DA406C}"/>
              </c:ext>
            </c:extLst>
          </c:dPt>
          <c:dPt>
            <c:idx val="7"/>
            <c:invertIfNegative val="0"/>
            <c:bubble3D val="0"/>
            <c:spPr>
              <a:solidFill>
                <a:srgbClr val="E7E1EF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2AB-4F81-8570-1F2106DA406C}"/>
              </c:ext>
            </c:extLst>
          </c:dPt>
          <c:dPt>
            <c:idx val="8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2AB-4F81-8570-1F2106DA406C}"/>
              </c:ext>
            </c:extLst>
          </c:dPt>
          <c:dPt>
            <c:idx val="9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2AB-4F81-8570-1F2106DA406C}"/>
              </c:ext>
            </c:extLst>
          </c:dPt>
          <c:dPt>
            <c:idx val="10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72AB-4F81-8570-1F2106DA406C}"/>
              </c:ext>
            </c:extLst>
          </c:dPt>
          <c:dPt>
            <c:idx val="11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72AB-4F81-8570-1F2106DA406C}"/>
              </c:ext>
            </c:extLst>
          </c:dPt>
          <c:dPt>
            <c:idx val="1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72AB-4F81-8570-1F2106DA406C}"/>
              </c:ext>
            </c:extLst>
          </c:dPt>
          <c:cat>
            <c:strRef>
              <c:f>'Physical data'!$B$26:$B$30</c:f>
              <c:strCache>
                <c:ptCount val="5"/>
                <c:pt idx="0">
                  <c:v>ENT</c:v>
                </c:pt>
                <c:pt idx="1">
                  <c:v>PLK</c:v>
                </c:pt>
                <c:pt idx="2">
                  <c:v>ANT</c:v>
                </c:pt>
                <c:pt idx="3">
                  <c:v>TNT</c:v>
                </c:pt>
                <c:pt idx="4">
                  <c:v>TRG</c:v>
                </c:pt>
              </c:strCache>
            </c:strRef>
          </c:cat>
          <c:val>
            <c:numRef>
              <c:f>'Physical data'!$I$26:$I$30</c:f>
              <c:numCache>
                <c:formatCode>#,##0</c:formatCode>
                <c:ptCount val="5"/>
                <c:pt idx="0">
                  <c:v>5621.433</c:v>
                </c:pt>
                <c:pt idx="1">
                  <c:v>14534.2</c:v>
                </c:pt>
                <c:pt idx="2">
                  <c:v>6669.7938204666661</c:v>
                </c:pt>
                <c:pt idx="3">
                  <c:v>3384.2472586000004</c:v>
                </c:pt>
                <c:pt idx="4">
                  <c:v>13059.037505950644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2AB-4F81-8570-1F2106DA4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50229632"/>
        <c:axId val="50231168"/>
      </c:barChart>
      <c:catAx>
        <c:axId val="50229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0231168"/>
        <c:crosses val="autoZero"/>
        <c:auto val="1"/>
        <c:lblAlgn val="ctr"/>
        <c:lblOffset val="100"/>
        <c:noMultiLvlLbl val="0"/>
      </c:catAx>
      <c:valAx>
        <c:axId val="502311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AU" b="1"/>
                  <a:t>Circuit length (km)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02296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="0">
          <a:latin typeface="Calibri (body)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90222956095064"/>
          <c:y val="4.3180537606820828E-2"/>
          <c:w val="0.88555097943280603"/>
          <c:h val="0.8613532582620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'Physical data'!$G$25</c:f>
              <c:strCache>
                <c:ptCount val="1"/>
                <c:pt idx="0">
                  <c:v>GWh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2C4-441F-8B9B-1C0359DA9B10}"/>
              </c:ext>
            </c:extLst>
          </c:dPt>
          <c:dPt>
            <c:idx val="1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2C4-441F-8B9B-1C0359DA9B10}"/>
              </c:ext>
            </c:extLst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2C4-441F-8B9B-1C0359DA9B1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2C4-441F-8B9B-1C0359DA9B10}"/>
              </c:ext>
            </c:extLst>
          </c:dPt>
          <c:dPt>
            <c:idx val="4"/>
            <c:invertIfNegative val="0"/>
            <c:bubble3D val="0"/>
            <c:spPr>
              <a:solidFill>
                <a:srgbClr val="2171B5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02C4-441F-8B9B-1C0359DA9B10}"/>
              </c:ext>
            </c:extLst>
          </c:dPt>
          <c:dPt>
            <c:idx val="5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02C4-441F-8B9B-1C0359DA9B10}"/>
              </c:ext>
            </c:extLst>
          </c:dPt>
          <c:dPt>
            <c:idx val="6"/>
            <c:invertIfNegative val="0"/>
            <c:bubble3D val="0"/>
            <c:spPr>
              <a:solidFill>
                <a:srgbClr val="FD8D3C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02C4-441F-8B9B-1C0359DA9B10}"/>
              </c:ext>
            </c:extLst>
          </c:dPt>
          <c:dPt>
            <c:idx val="7"/>
            <c:invertIfNegative val="0"/>
            <c:bubble3D val="0"/>
            <c:spPr>
              <a:solidFill>
                <a:srgbClr val="E7E1EF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02C4-441F-8B9B-1C0359DA9B10}"/>
              </c:ext>
            </c:extLst>
          </c:dPt>
          <c:dPt>
            <c:idx val="8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02C4-441F-8B9B-1C0359DA9B10}"/>
              </c:ext>
            </c:extLst>
          </c:dPt>
          <c:dPt>
            <c:idx val="9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02C4-441F-8B9B-1C0359DA9B10}"/>
              </c:ext>
            </c:extLst>
          </c:dPt>
          <c:dPt>
            <c:idx val="10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02C4-441F-8B9B-1C0359DA9B10}"/>
              </c:ext>
            </c:extLst>
          </c:dPt>
          <c:dPt>
            <c:idx val="11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02C4-441F-8B9B-1C0359DA9B10}"/>
              </c:ext>
            </c:extLst>
          </c:dPt>
          <c:dPt>
            <c:idx val="1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02C4-441F-8B9B-1C0359DA9B10}"/>
              </c:ext>
            </c:extLst>
          </c:dPt>
          <c:cat>
            <c:strRef>
              <c:f>'Physical data'!$B$26:$B$30</c:f>
              <c:strCache>
                <c:ptCount val="5"/>
                <c:pt idx="0">
                  <c:v>ENT</c:v>
                </c:pt>
                <c:pt idx="1">
                  <c:v>PLK</c:v>
                </c:pt>
                <c:pt idx="2">
                  <c:v>ANT</c:v>
                </c:pt>
                <c:pt idx="3">
                  <c:v>TNT</c:v>
                </c:pt>
                <c:pt idx="4">
                  <c:v>TRG</c:v>
                </c:pt>
              </c:strCache>
            </c:strRef>
          </c:cat>
          <c:val>
            <c:numRef>
              <c:f>'Physical data'!$G$26:$G$30</c:f>
              <c:numCache>
                <c:formatCode>#,##0</c:formatCode>
                <c:ptCount val="5"/>
                <c:pt idx="0">
                  <c:v>13473.901830179</c:v>
                </c:pt>
                <c:pt idx="1">
                  <c:v>51282.390690203501</c:v>
                </c:pt>
                <c:pt idx="2">
                  <c:v>43304.853000000003</c:v>
                </c:pt>
                <c:pt idx="3">
                  <c:v>12972.703032598791</c:v>
                </c:pt>
                <c:pt idx="4">
                  <c:v>70000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2C4-441F-8B9B-1C0359DA9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50229632"/>
        <c:axId val="50231168"/>
      </c:barChart>
      <c:catAx>
        <c:axId val="50229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0231168"/>
        <c:crosses val="autoZero"/>
        <c:auto val="1"/>
        <c:lblAlgn val="ctr"/>
        <c:lblOffset val="100"/>
        <c:noMultiLvlLbl val="0"/>
      </c:catAx>
      <c:valAx>
        <c:axId val="502311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AU" b="1"/>
                  <a:t>Energy transported  (GWh)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02296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="0">
          <a:latin typeface="Calibri (body)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44902056719393"/>
          <c:y val="3.7448969862505802E-2"/>
          <c:w val="0.88555097943280603"/>
          <c:h val="0.8613532582620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'Physical data'!$T$10</c:f>
              <c:strCache>
                <c:ptCount val="1"/>
                <c:pt idx="0">
                  <c:v>2022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004-42D3-88F4-0CCB8E87E972}"/>
              </c:ext>
            </c:extLst>
          </c:dPt>
          <c:dPt>
            <c:idx val="1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004-42D3-88F4-0CCB8E87E972}"/>
              </c:ext>
            </c:extLst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004-42D3-88F4-0CCB8E87E97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004-42D3-88F4-0CCB8E87E972}"/>
              </c:ext>
            </c:extLst>
          </c:dPt>
          <c:dPt>
            <c:idx val="4"/>
            <c:invertIfNegative val="0"/>
            <c:bubble3D val="0"/>
            <c:spPr>
              <a:solidFill>
                <a:srgbClr val="2171B5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004-42D3-88F4-0CCB8E87E972}"/>
              </c:ext>
            </c:extLst>
          </c:dPt>
          <c:dPt>
            <c:idx val="5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D004-42D3-88F4-0CCB8E87E972}"/>
              </c:ext>
            </c:extLst>
          </c:dPt>
          <c:dPt>
            <c:idx val="6"/>
            <c:invertIfNegative val="0"/>
            <c:bubble3D val="0"/>
            <c:spPr>
              <a:solidFill>
                <a:srgbClr val="FD8D3C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D004-42D3-88F4-0CCB8E87E972}"/>
              </c:ext>
            </c:extLst>
          </c:dPt>
          <c:dPt>
            <c:idx val="7"/>
            <c:invertIfNegative val="0"/>
            <c:bubble3D val="0"/>
            <c:spPr>
              <a:solidFill>
                <a:srgbClr val="E7E1EF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D004-42D3-88F4-0CCB8E87E972}"/>
              </c:ext>
            </c:extLst>
          </c:dPt>
          <c:dPt>
            <c:idx val="8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D004-42D3-88F4-0CCB8E87E972}"/>
              </c:ext>
            </c:extLst>
          </c:dPt>
          <c:dPt>
            <c:idx val="9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D004-42D3-88F4-0CCB8E87E972}"/>
              </c:ext>
            </c:extLst>
          </c:dPt>
          <c:dPt>
            <c:idx val="10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D004-42D3-88F4-0CCB8E87E972}"/>
              </c:ext>
            </c:extLst>
          </c:dPt>
          <c:dPt>
            <c:idx val="11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D004-42D3-88F4-0CCB8E87E972}"/>
              </c:ext>
            </c:extLst>
          </c:dPt>
          <c:dPt>
            <c:idx val="1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D004-42D3-88F4-0CCB8E87E972}"/>
              </c:ext>
            </c:extLst>
          </c:dPt>
          <c:cat>
            <c:strRef>
              <c:f>'Physical data'!$B$11:$B$15</c:f>
              <c:strCache>
                <c:ptCount val="5"/>
                <c:pt idx="0">
                  <c:v>ENT</c:v>
                </c:pt>
                <c:pt idx="1">
                  <c:v>PLK</c:v>
                </c:pt>
                <c:pt idx="2">
                  <c:v>ANT</c:v>
                </c:pt>
                <c:pt idx="3">
                  <c:v>TNT</c:v>
                </c:pt>
                <c:pt idx="4">
                  <c:v>TRG</c:v>
                </c:pt>
              </c:strCache>
            </c:strRef>
          </c:cat>
          <c:val>
            <c:numRef>
              <c:f>'Physical data'!$U$11:$U$15</c:f>
              <c:numCache>
                <c:formatCode>#,##0</c:formatCode>
                <c:ptCount val="5"/>
                <c:pt idx="0">
                  <c:v>3434.4730562700001</c:v>
                </c:pt>
                <c:pt idx="1">
                  <c:v>12665.024632503284</c:v>
                </c:pt>
                <c:pt idx="2">
                  <c:v>9540</c:v>
                </c:pt>
                <c:pt idx="3">
                  <c:v>2475.4516106520209</c:v>
                </c:pt>
                <c:pt idx="4">
                  <c:v>18500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004-42D3-88F4-0CCB8E87E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50229632"/>
        <c:axId val="50231168"/>
      </c:barChart>
      <c:catAx>
        <c:axId val="50229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0231168"/>
        <c:crosses val="autoZero"/>
        <c:auto val="1"/>
        <c:lblAlgn val="ctr"/>
        <c:lblOffset val="100"/>
        <c:noMultiLvlLbl val="0"/>
      </c:catAx>
      <c:valAx>
        <c:axId val="502311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AU" b="1"/>
                  <a:t>Maximum demand (MVA)</a:t>
                </a:r>
              </a:p>
            </c:rich>
          </c:tx>
          <c:layout>
            <c:manualLayout>
              <c:xMode val="edge"/>
              <c:yMode val="edge"/>
              <c:x val="1.7142283159470512E-3"/>
              <c:y val="0.2577576620558719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502296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="0">
          <a:latin typeface="Calibri (body)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90222956095064"/>
          <c:y val="4.3180537606820828E-2"/>
          <c:w val="0.88555097943280603"/>
          <c:h val="0.8613532582620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'Physical data'!$A$32</c:f>
              <c:strCache>
                <c:ptCount val="1"/>
                <c:pt idx="0">
                  <c:v>Circuit line length (km)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35B-45E0-9232-08A9576E74BD}"/>
              </c:ext>
            </c:extLst>
          </c:dPt>
          <c:dPt>
            <c:idx val="1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35B-45E0-9232-08A9576E74BD}"/>
              </c:ext>
            </c:extLst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35B-45E0-9232-08A9576E74B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35B-45E0-9232-08A9576E74BD}"/>
              </c:ext>
            </c:extLst>
          </c:dPt>
          <c:dPt>
            <c:idx val="4"/>
            <c:invertIfNegative val="0"/>
            <c:bubble3D val="0"/>
            <c:spPr>
              <a:solidFill>
                <a:srgbClr val="2171B5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35B-45E0-9232-08A9576E74BD}"/>
              </c:ext>
            </c:extLst>
          </c:dPt>
          <c:dPt>
            <c:idx val="5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E35B-45E0-9232-08A9576E74BD}"/>
              </c:ext>
            </c:extLst>
          </c:dPt>
          <c:dPt>
            <c:idx val="6"/>
            <c:invertIfNegative val="0"/>
            <c:bubble3D val="0"/>
            <c:spPr>
              <a:solidFill>
                <a:srgbClr val="FD8D3C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E35B-45E0-9232-08A9576E74BD}"/>
              </c:ext>
            </c:extLst>
          </c:dPt>
          <c:dPt>
            <c:idx val="7"/>
            <c:invertIfNegative val="0"/>
            <c:bubble3D val="0"/>
            <c:spPr>
              <a:solidFill>
                <a:srgbClr val="E7E1EF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E35B-45E0-9232-08A9576E74BD}"/>
              </c:ext>
            </c:extLst>
          </c:dPt>
          <c:dPt>
            <c:idx val="8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E35B-45E0-9232-08A9576E74BD}"/>
              </c:ext>
            </c:extLst>
          </c:dPt>
          <c:dPt>
            <c:idx val="9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E35B-45E0-9232-08A9576E74BD}"/>
              </c:ext>
            </c:extLst>
          </c:dPt>
          <c:dPt>
            <c:idx val="10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E35B-45E0-9232-08A9576E74BD}"/>
              </c:ext>
            </c:extLst>
          </c:dPt>
          <c:dPt>
            <c:idx val="11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E35B-45E0-9232-08A9576E74BD}"/>
              </c:ext>
            </c:extLst>
          </c:dPt>
          <c:dPt>
            <c:idx val="1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E35B-45E0-9232-08A9576E74BD}"/>
              </c:ext>
            </c:extLst>
          </c:dPt>
          <c:cat>
            <c:strRef>
              <c:f>'Physical data'!$B$26:$B$30</c:f>
              <c:strCache>
                <c:ptCount val="5"/>
                <c:pt idx="0">
                  <c:v>ENT</c:v>
                </c:pt>
                <c:pt idx="1">
                  <c:v>PLK</c:v>
                </c:pt>
                <c:pt idx="2">
                  <c:v>ANT</c:v>
                </c:pt>
                <c:pt idx="3">
                  <c:v>TNT</c:v>
                </c:pt>
                <c:pt idx="4">
                  <c:v>TRG</c:v>
                </c:pt>
              </c:strCache>
            </c:strRef>
          </c:cat>
          <c:val>
            <c:numRef>
              <c:f>'Physical data'!$U$33:$U$37</c:f>
              <c:numCache>
                <c:formatCode>#,##0</c:formatCode>
                <c:ptCount val="5"/>
                <c:pt idx="0">
                  <c:v>6041.7389999999996</c:v>
                </c:pt>
                <c:pt idx="1">
                  <c:v>14547.2</c:v>
                </c:pt>
                <c:pt idx="2">
                  <c:v>6627.5229023333331</c:v>
                </c:pt>
                <c:pt idx="3">
                  <c:v>3337.1811109999999</c:v>
                </c:pt>
                <c:pt idx="4">
                  <c:v>13077.064999999999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35B-45E0-9232-08A9576E7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50229632"/>
        <c:axId val="50231168"/>
      </c:barChart>
      <c:catAx>
        <c:axId val="50229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0231168"/>
        <c:crosses val="autoZero"/>
        <c:auto val="1"/>
        <c:lblAlgn val="ctr"/>
        <c:lblOffset val="100"/>
        <c:noMultiLvlLbl val="0"/>
      </c:catAx>
      <c:valAx>
        <c:axId val="502311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AU" b="1"/>
                  <a:t>Circuit length  (km)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02296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="0">
          <a:latin typeface="Calibri (body)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42875" y="333375"/>
          <a:ext cx="431346" cy="20097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en-AU" sz="2400" b="1"/>
            <a:t>Total user</a:t>
          </a:r>
          <a:r>
            <a:rPr lang="en-AU" sz="2400" b="1" baseline="0"/>
            <a:t> cost</a:t>
          </a:r>
          <a:endParaRPr lang="en-AU" sz="2400" b="1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61925" y="3952875"/>
          <a:ext cx="431346" cy="866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en-AU" sz="2400" b="1"/>
            <a:t>AUCC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52400" y="7572375"/>
          <a:ext cx="431346" cy="7619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en-AU" sz="2400" b="1"/>
            <a:t>Opex</a:t>
          </a:r>
        </a:p>
      </xdr:txBody>
    </xdr:sp>
    <xdr:clientData/>
  </xdr:twoCellAnchor>
  <xdr:twoCellAnchor>
    <xdr:from>
      <xdr:col>0</xdr:col>
      <xdr:colOff>37619</xdr:colOff>
      <xdr:row>3</xdr:row>
      <xdr:rowOff>2399</xdr:rowOff>
    </xdr:from>
    <xdr:to>
      <xdr:col>12</xdr:col>
      <xdr:colOff>486833</xdr:colOff>
      <xdr:row>26</xdr:row>
      <xdr:rowOff>49741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1057</xdr:rowOff>
    </xdr:from>
    <xdr:to>
      <xdr:col>12</xdr:col>
      <xdr:colOff>508000</xdr:colOff>
      <xdr:row>51</xdr:row>
      <xdr:rowOff>52917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22412</xdr:colOff>
      <xdr:row>79</xdr:row>
      <xdr:rowOff>39690</xdr:rowOff>
    </xdr:from>
    <xdr:to>
      <xdr:col>13</xdr:col>
      <xdr:colOff>200451</xdr:colOff>
      <xdr:row>104</xdr:row>
      <xdr:rowOff>119530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126464</xdr:colOff>
      <xdr:row>53</xdr:row>
      <xdr:rowOff>95250</xdr:rowOff>
    </xdr:from>
    <xdr:to>
      <xdr:col>12</xdr:col>
      <xdr:colOff>355599</xdr:colOff>
      <xdr:row>76</xdr:row>
      <xdr:rowOff>49742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466725</xdr:colOff>
      <xdr:row>53</xdr:row>
      <xdr:rowOff>161925</xdr:rowOff>
    </xdr:from>
    <xdr:to>
      <xdr:col>25</xdr:col>
      <xdr:colOff>600075</xdr:colOff>
      <xdr:row>70</xdr:row>
      <xdr:rowOff>138546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38099</xdr:colOff>
      <xdr:row>28</xdr:row>
      <xdr:rowOff>61911</xdr:rowOff>
    </xdr:from>
    <xdr:to>
      <xdr:col>26</xdr:col>
      <xdr:colOff>9524</xdr:colOff>
      <xdr:row>51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578827</xdr:colOff>
      <xdr:row>2</xdr:row>
      <xdr:rowOff>9043</xdr:rowOff>
    </xdr:from>
    <xdr:to>
      <xdr:col>25</xdr:col>
      <xdr:colOff>104042</xdr:colOff>
      <xdr:row>25</xdr:row>
      <xdr:rowOff>46074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74</xdr:row>
      <xdr:rowOff>190499</xdr:rowOff>
    </xdr:from>
    <xdr:to>
      <xdr:col>26</xdr:col>
      <xdr:colOff>133350</xdr:colOff>
      <xdr:row>97</xdr:row>
      <xdr:rowOff>9281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102</xdr:row>
      <xdr:rowOff>0</xdr:rowOff>
    </xdr:from>
    <xdr:to>
      <xdr:col>26</xdr:col>
      <xdr:colOff>133350</xdr:colOff>
      <xdr:row>125</xdr:row>
      <xdr:rowOff>42900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0</xdr:colOff>
      <xdr:row>129</xdr:row>
      <xdr:rowOff>0</xdr:rowOff>
    </xdr:from>
    <xdr:to>
      <xdr:col>26</xdr:col>
      <xdr:colOff>133350</xdr:colOff>
      <xdr:row>152</xdr:row>
      <xdr:rowOff>53732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13A11A41-3FD1-45F3-9C8B-C6219ED937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2"/>
  <sheetViews>
    <sheetView workbookViewId="0">
      <selection activeCell="A59" sqref="A59"/>
    </sheetView>
  </sheetViews>
  <sheetFormatPr defaultColWidth="8.81640625" defaultRowHeight="14.5" x14ac:dyDescent="0.35"/>
  <cols>
    <col min="1" max="1" width="101.54296875" customWidth="1"/>
  </cols>
  <sheetData>
    <row r="1" spans="1:1" x14ac:dyDescent="0.35">
      <c r="A1" s="10" t="s">
        <v>72</v>
      </c>
    </row>
    <row r="2" spans="1:1" x14ac:dyDescent="0.35">
      <c r="A2" s="60" t="s">
        <v>138</v>
      </c>
    </row>
    <row r="4" spans="1:1" x14ac:dyDescent="0.35">
      <c r="A4" s="21" t="s">
        <v>68</v>
      </c>
    </row>
    <row r="5" spans="1:1" x14ac:dyDescent="0.35">
      <c r="A5" s="72" t="s">
        <v>137</v>
      </c>
    </row>
    <row r="7" spans="1:1" x14ac:dyDescent="0.35">
      <c r="A7" s="21" t="s">
        <v>69</v>
      </c>
    </row>
    <row r="8" spans="1:1" x14ac:dyDescent="0.35">
      <c r="A8" s="22" t="s">
        <v>90</v>
      </c>
    </row>
    <row r="9" spans="1:1" s="24" customFormat="1" ht="29.15" customHeight="1" x14ac:dyDescent="0.35">
      <c r="A9" s="23" t="s">
        <v>70</v>
      </c>
    </row>
    <row r="10" spans="1:1" ht="14.5" customHeight="1" x14ac:dyDescent="0.35">
      <c r="A10" s="23" t="s">
        <v>91</v>
      </c>
    </row>
    <row r="11" spans="1:1" s="24" customFormat="1" ht="14.5" customHeight="1" x14ac:dyDescent="0.35">
      <c r="A11" s="23" t="s">
        <v>92</v>
      </c>
    </row>
    <row r="12" spans="1:1" x14ac:dyDescent="0.35">
      <c r="A12" s="23" t="s">
        <v>94</v>
      </c>
    </row>
    <row r="13" spans="1:1" s="24" customFormat="1" ht="14.5" customHeight="1" x14ac:dyDescent="0.35">
      <c r="A13" s="23" t="s">
        <v>93</v>
      </c>
    </row>
    <row r="14" spans="1:1" x14ac:dyDescent="0.35">
      <c r="A14" s="22" t="s">
        <v>73</v>
      </c>
    </row>
    <row r="17" spans="1:1" x14ac:dyDescent="0.35">
      <c r="A17" s="25" t="s">
        <v>71</v>
      </c>
    </row>
    <row r="18" spans="1:1" x14ac:dyDescent="0.35">
      <c r="A18" s="22" t="s">
        <v>75</v>
      </c>
    </row>
    <row r="19" spans="1:1" x14ac:dyDescent="0.35">
      <c r="A19" s="22" t="s">
        <v>74</v>
      </c>
    </row>
    <row r="20" spans="1:1" x14ac:dyDescent="0.35">
      <c r="A20" s="22" t="s">
        <v>139</v>
      </c>
    </row>
    <row r="22" spans="1:1" x14ac:dyDescent="0.35">
      <c r="A22" s="81" t="s">
        <v>131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57"/>
  <sheetViews>
    <sheetView topLeftCell="M10" workbookViewId="0">
      <selection activeCell="X54" sqref="X54"/>
    </sheetView>
  </sheetViews>
  <sheetFormatPr defaultColWidth="9.1796875" defaultRowHeight="14.5" x14ac:dyDescent="0.35"/>
  <cols>
    <col min="1" max="1" width="56.1796875" customWidth="1"/>
    <col min="2" max="2" width="21.26953125" customWidth="1"/>
    <col min="3" max="3" width="13.81640625" bestFit="1" customWidth="1"/>
    <col min="4" max="4" width="13.81640625" customWidth="1"/>
    <col min="5" max="5" width="14.453125" customWidth="1"/>
    <col min="6" max="6" width="15.453125" customWidth="1"/>
    <col min="7" max="8" width="15.54296875" bestFit="1" customWidth="1"/>
    <col min="9" max="18" width="16.1796875" bestFit="1" customWidth="1"/>
    <col min="19" max="21" width="16.1796875" customWidth="1"/>
    <col min="22" max="22" width="19.81640625" bestFit="1" customWidth="1"/>
    <col min="23" max="23" width="27.7265625" bestFit="1" customWidth="1"/>
    <col min="24" max="24" width="31" customWidth="1"/>
    <col min="25" max="25" width="14.81640625" customWidth="1"/>
    <col min="26" max="26" width="14.54296875" customWidth="1"/>
    <col min="27" max="27" width="19.81640625" customWidth="1"/>
    <col min="28" max="29" width="21" customWidth="1"/>
    <col min="30" max="30" width="12.81640625" customWidth="1"/>
    <col min="31" max="31" width="16" customWidth="1"/>
    <col min="32" max="32" width="21.1796875" customWidth="1"/>
    <col min="33" max="34" width="18.54296875" customWidth="1"/>
  </cols>
  <sheetData>
    <row r="1" spans="1:24" x14ac:dyDescent="0.35">
      <c r="A1" s="10" t="s">
        <v>79</v>
      </c>
      <c r="B1" s="10" t="s">
        <v>79</v>
      </c>
    </row>
    <row r="2" spans="1:24" s="13" customFormat="1" ht="43.5" x14ac:dyDescent="0.35">
      <c r="A2" s="82" t="s">
        <v>116</v>
      </c>
      <c r="B2" s="10" t="s">
        <v>116</v>
      </c>
      <c r="C2" s="10"/>
      <c r="D2" s="13" t="s">
        <v>67</v>
      </c>
      <c r="E2" s="13" t="s">
        <v>31</v>
      </c>
      <c r="F2" s="13" t="s">
        <v>95</v>
      </c>
      <c r="G2" s="13" t="s">
        <v>100</v>
      </c>
    </row>
    <row r="3" spans="1:24" s="13" customFormat="1" x14ac:dyDescent="0.35">
      <c r="A3" s="10"/>
      <c r="B3" s="10"/>
      <c r="C3" s="10"/>
      <c r="D3" s="24" t="s">
        <v>117</v>
      </c>
      <c r="E3" s="24" t="s">
        <v>118</v>
      </c>
      <c r="F3" s="68">
        <v>2023</v>
      </c>
      <c r="G3" s="13" t="s">
        <v>119</v>
      </c>
    </row>
    <row r="4" spans="1:24" x14ac:dyDescent="0.35">
      <c r="A4" s="27" t="s">
        <v>35</v>
      </c>
      <c r="B4" s="27" t="s">
        <v>84</v>
      </c>
      <c r="C4" s="27"/>
      <c r="D4" s="20">
        <f>$V13</f>
        <v>91192.318147136903</v>
      </c>
      <c r="E4" s="20">
        <f>V21</f>
        <v>22.793740967243046</v>
      </c>
      <c r="F4" s="20">
        <f>V29</f>
        <v>338.24886801779405</v>
      </c>
      <c r="G4" s="20">
        <f>V45</f>
        <v>55463.130464715781</v>
      </c>
      <c r="H4" s="55"/>
    </row>
    <row r="5" spans="1:24" x14ac:dyDescent="0.35">
      <c r="A5" s="27" t="s">
        <v>19</v>
      </c>
      <c r="B5" s="27" t="s">
        <v>85</v>
      </c>
      <c r="C5" s="27"/>
      <c r="D5" s="20">
        <f t="shared" ref="D5:D8" si="0">$V14</f>
        <v>57074.763333060357</v>
      </c>
      <c r="E5" s="20">
        <f>V22</f>
        <v>13.673327259554259</v>
      </c>
      <c r="F5" s="20">
        <f t="shared" ref="F5:F8" si="1">V30</f>
        <v>308.98324641499011</v>
      </c>
      <c r="G5" s="20">
        <f>V46</f>
        <v>49161.810025288411</v>
      </c>
      <c r="H5" s="55"/>
    </row>
    <row r="6" spans="1:24" x14ac:dyDescent="0.35">
      <c r="A6" s="27" t="s">
        <v>33</v>
      </c>
      <c r="B6" s="27" t="s">
        <v>86</v>
      </c>
      <c r="C6" s="27"/>
      <c r="D6" s="20">
        <f t="shared" si="0"/>
        <v>37569.971126670782</v>
      </c>
      <c r="E6" s="20">
        <f t="shared" ref="E6:E8" si="2">V23</f>
        <v>8.5391654762505489</v>
      </c>
      <c r="F6" s="20">
        <f>V31</f>
        <v>117.2903565526744</v>
      </c>
      <c r="G6" s="20">
        <f t="shared" ref="G6:G8" si="3">V47</f>
        <v>54310.83806475126</v>
      </c>
      <c r="H6" s="55"/>
    </row>
    <row r="7" spans="1:24" x14ac:dyDescent="0.35">
      <c r="A7" s="27" t="s">
        <v>27</v>
      </c>
      <c r="B7" s="27" t="s">
        <v>87</v>
      </c>
      <c r="C7" s="27"/>
      <c r="D7" s="20">
        <f t="shared" si="0"/>
        <v>54453.774540615836</v>
      </c>
      <c r="E7" s="20">
        <f t="shared" si="2"/>
        <v>10.280928046522082</v>
      </c>
      <c r="F7" s="20">
        <f t="shared" si="1"/>
        <v>445.53222420448702</v>
      </c>
      <c r="G7" s="20">
        <f t="shared" si="3"/>
        <v>39050.942717866019</v>
      </c>
      <c r="H7" s="55"/>
    </row>
    <row r="8" spans="1:24" x14ac:dyDescent="0.35">
      <c r="A8" s="27" t="s">
        <v>36</v>
      </c>
      <c r="B8" s="27" t="s">
        <v>88</v>
      </c>
      <c r="C8" s="27"/>
      <c r="D8" s="20">
        <f t="shared" si="0"/>
        <v>34764.841265491283</v>
      </c>
      <c r="E8" s="20">
        <f t="shared" si="2"/>
        <v>9.0455249838507576</v>
      </c>
      <c r="F8" s="20">
        <f t="shared" si="1"/>
        <v>162.10057102901914</v>
      </c>
      <c r="G8" s="20">
        <f t="shared" si="3"/>
        <v>49418.623211184044</v>
      </c>
      <c r="H8" s="55"/>
    </row>
    <row r="10" spans="1:24" x14ac:dyDescent="0.35">
      <c r="A10" s="10" t="s">
        <v>30</v>
      </c>
      <c r="B10" s="10" t="s">
        <v>30</v>
      </c>
      <c r="C10" s="10"/>
    </row>
    <row r="12" spans="1:24" s="10" customFormat="1" ht="43.5" x14ac:dyDescent="0.35">
      <c r="A12" s="29" t="s">
        <v>43</v>
      </c>
      <c r="B12" s="29" t="s">
        <v>43</v>
      </c>
      <c r="C12" s="29"/>
      <c r="D12" s="30">
        <v>2006</v>
      </c>
      <c r="E12" s="30">
        <v>2007</v>
      </c>
      <c r="F12" s="30">
        <v>2008</v>
      </c>
      <c r="G12" s="30">
        <v>2009</v>
      </c>
      <c r="H12" s="30">
        <v>2010</v>
      </c>
      <c r="I12" s="30">
        <v>2011</v>
      </c>
      <c r="J12" s="30">
        <v>2012</v>
      </c>
      <c r="K12" s="30">
        <v>2013</v>
      </c>
      <c r="L12" s="30">
        <v>2014</v>
      </c>
      <c r="M12" s="30">
        <v>2015</v>
      </c>
      <c r="N12" s="30">
        <v>2016</v>
      </c>
      <c r="O12" s="30">
        <v>2017</v>
      </c>
      <c r="P12" s="30">
        <v>2018</v>
      </c>
      <c r="Q12" s="30">
        <v>2019</v>
      </c>
      <c r="R12" s="30">
        <v>2020</v>
      </c>
      <c r="S12" s="30">
        <v>2021</v>
      </c>
      <c r="T12" s="30">
        <v>2022</v>
      </c>
      <c r="U12" s="69">
        <v>2023</v>
      </c>
      <c r="V12" s="69" t="s">
        <v>22</v>
      </c>
      <c r="W12" s="76" t="s">
        <v>112</v>
      </c>
      <c r="X12" s="76" t="s">
        <v>113</v>
      </c>
    </row>
    <row r="13" spans="1:24" x14ac:dyDescent="0.35">
      <c r="A13" s="27" t="s">
        <v>35</v>
      </c>
      <c r="B13" s="27" t="s">
        <v>84</v>
      </c>
      <c r="C13" s="27" t="s">
        <v>130</v>
      </c>
      <c r="D13" s="20">
        <f>D53/'Physical data'!D11</f>
        <v>61826.540084378379</v>
      </c>
      <c r="E13" s="20">
        <f>E53/'Physical data'!E11</f>
        <v>62935.674849547511</v>
      </c>
      <c r="F13" s="20">
        <f>F53/'Physical data'!F11</f>
        <v>57446.39729954111</v>
      </c>
      <c r="G13" s="20">
        <f>G53/'Physical data'!G11</f>
        <v>65510.693217024927</v>
      </c>
      <c r="H13" s="20">
        <f>H53/'Physical data'!H11</f>
        <v>63163.347580446032</v>
      </c>
      <c r="I13" s="20">
        <f>I53/'Physical data'!I11</f>
        <v>67574.011457161163</v>
      </c>
      <c r="J13" s="20">
        <f>J53/'Physical data'!J11</f>
        <v>73282.49282592161</v>
      </c>
      <c r="K13" s="20">
        <f>K53/'Physical data'!K11</f>
        <v>66889.256606630719</v>
      </c>
      <c r="L13" s="20">
        <f>L53/'Physical data'!L11</f>
        <v>81682.022144045492</v>
      </c>
      <c r="M13" s="20">
        <f>M53/'Physical data'!M11</f>
        <v>99523.148015030398</v>
      </c>
      <c r="N13" s="20">
        <f>N53/'Physical data'!N11</f>
        <v>93628.687132283696</v>
      </c>
      <c r="O13" s="20">
        <f>O53/'Physical data'!O11</f>
        <v>90457.436484458201</v>
      </c>
      <c r="P13" s="20">
        <f>P53/'Physical data'!P11</f>
        <v>94092.360092207266</v>
      </c>
      <c r="Q13" s="20">
        <f>Q53/'Physical data'!Q11</f>
        <v>85747.989534901892</v>
      </c>
      <c r="R13" s="20">
        <f>R53/'Physical data'!R11</f>
        <v>92606.515500630849</v>
      </c>
      <c r="S13" s="20">
        <f>S53/'Physical data'!S11</f>
        <v>89005.393351494437</v>
      </c>
      <c r="T13" s="20">
        <f>T53/'Physical data'!T11</f>
        <v>93930.369235716382</v>
      </c>
      <c r="U13" s="70">
        <f>U53/'Physical data'!U11</f>
        <v>94671.323112940911</v>
      </c>
      <c r="V13" s="70">
        <f>AVERAGE(Q13:U13)</f>
        <v>91192.318147136903</v>
      </c>
      <c r="W13" s="54">
        <f>$U13/$D13-1</f>
        <v>0.53124083902701469</v>
      </c>
      <c r="X13" s="54">
        <f>U13/T13-1</f>
        <v>7.8883313592126303E-3</v>
      </c>
    </row>
    <row r="14" spans="1:24" x14ac:dyDescent="0.35">
      <c r="A14" s="27" t="s">
        <v>19</v>
      </c>
      <c r="B14" s="27" t="s">
        <v>85</v>
      </c>
      <c r="C14" s="27" t="s">
        <v>130</v>
      </c>
      <c r="D14" s="20">
        <f>D54/'Physical data'!D12</f>
        <v>59008.794142924431</v>
      </c>
      <c r="E14" s="20">
        <f>E54/'Physical data'!E12</f>
        <v>55503.974960605221</v>
      </c>
      <c r="F14" s="20">
        <f>F54/'Physical data'!F12</f>
        <v>61812.69059090424</v>
      </c>
      <c r="G14" s="20">
        <f>G54/'Physical data'!G12</f>
        <v>70116.482775841592</v>
      </c>
      <c r="H14" s="20">
        <f>H54/'Physical data'!H12</f>
        <v>69464.899526585068</v>
      </c>
      <c r="I14" s="20">
        <f>I54/'Physical data'!I12</f>
        <v>79996.565438129735</v>
      </c>
      <c r="J14" s="20">
        <f>J54/'Physical data'!J12</f>
        <v>85583.196362086965</v>
      </c>
      <c r="K14" s="20">
        <f>K54/'Physical data'!K12</f>
        <v>73447.374724901631</v>
      </c>
      <c r="L14" s="20">
        <f>L54/'Physical data'!L12</f>
        <v>71536.039138656008</v>
      </c>
      <c r="M14" s="20">
        <f>M54/'Physical data'!M12</f>
        <v>79816.033781125661</v>
      </c>
      <c r="N14" s="20">
        <f>N54/'Physical data'!N12</f>
        <v>73005.449428640291</v>
      </c>
      <c r="O14" s="20">
        <f>O54/'Physical data'!O12</f>
        <v>68228.492060077289</v>
      </c>
      <c r="P14" s="20">
        <f>P54/'Physical data'!P12</f>
        <v>61741.757233434095</v>
      </c>
      <c r="Q14" s="20">
        <f>Q54/'Physical data'!Q12</f>
        <v>63317.928098762772</v>
      </c>
      <c r="R14" s="20">
        <f>R54/'Physical data'!R12</f>
        <v>59611.771539884554</v>
      </c>
      <c r="S14" s="20">
        <f>S54/'Physical data'!S12</f>
        <v>56736.016526915118</v>
      </c>
      <c r="T14" s="20">
        <f>T54/'Physical data'!T12</f>
        <v>51068.250049410613</v>
      </c>
      <c r="U14" s="70">
        <f>U54/'Physical data'!U12</f>
        <v>54639.850450328755</v>
      </c>
      <c r="V14" s="70">
        <f>AVERAGE(Q14:U14)</f>
        <v>57074.763333060357</v>
      </c>
      <c r="W14" s="54">
        <f>$U14/$D14-1</f>
        <v>-7.4038857361052202E-2</v>
      </c>
      <c r="X14" s="54">
        <f>U14/T14-1</f>
        <v>6.9937787127275275E-2</v>
      </c>
    </row>
    <row r="15" spans="1:24" x14ac:dyDescent="0.35">
      <c r="A15" s="27" t="s">
        <v>33</v>
      </c>
      <c r="B15" s="27" t="s">
        <v>86</v>
      </c>
      <c r="C15" s="27" t="s">
        <v>130</v>
      </c>
      <c r="D15" s="20">
        <f>D55/'Physical data'!D13</f>
        <v>51874.451280935624</v>
      </c>
      <c r="E15" s="20">
        <f>E55/'Physical data'!E13</f>
        <v>41379.079099634422</v>
      </c>
      <c r="F15" s="20">
        <f>F55/'Physical data'!F13</f>
        <v>41324.282636506738</v>
      </c>
      <c r="G15" s="20">
        <f>G55/'Physical data'!G13</f>
        <v>45617.22433803093</v>
      </c>
      <c r="H15" s="20">
        <f>H55/'Physical data'!H13</f>
        <v>47028.132780365093</v>
      </c>
      <c r="I15" s="20">
        <f>I55/'Physical data'!I13</f>
        <v>48463.297801895671</v>
      </c>
      <c r="J15" s="20">
        <f>J55/'Physical data'!J13</f>
        <v>53513.219878323092</v>
      </c>
      <c r="K15" s="20">
        <f>K55/'Physical data'!K13</f>
        <v>45892.11414144453</v>
      </c>
      <c r="L15" s="20">
        <f>L55/'Physical data'!L13</f>
        <v>38330.680916230172</v>
      </c>
      <c r="M15" s="20">
        <f>M55/'Physical data'!M13</f>
        <v>48083.526301500155</v>
      </c>
      <c r="N15" s="20">
        <f>N55/'Physical data'!N13</f>
        <v>43952.418744813745</v>
      </c>
      <c r="O15" s="20">
        <f>O55/'Physical data'!O13</f>
        <v>42390.289917318318</v>
      </c>
      <c r="P15" s="20">
        <f>P55/'Physical data'!P13</f>
        <v>39648.475256210877</v>
      </c>
      <c r="Q15" s="20">
        <f>Q55/'Physical data'!Q13</f>
        <v>41618.012873146152</v>
      </c>
      <c r="R15" s="20">
        <f>R55/'Physical data'!R13</f>
        <v>38474.143806969325</v>
      </c>
      <c r="S15" s="20">
        <f>S55/'Physical data'!S13</f>
        <v>38055.108904413581</v>
      </c>
      <c r="T15" s="20">
        <f>T55/'Physical data'!T13</f>
        <v>33045.010219722404</v>
      </c>
      <c r="U15" s="70">
        <f>U55/'Physical data'!U13</f>
        <v>36657.579829102448</v>
      </c>
      <c r="V15" s="70">
        <f>AVERAGE(Q15:U15)</f>
        <v>37569.971126670782</v>
      </c>
      <c r="W15" s="54">
        <f>$U15/$D15-1</f>
        <v>-0.2933403838707308</v>
      </c>
      <c r="X15" s="54">
        <f>U15/T15-1</f>
        <v>0.10932269608510925</v>
      </c>
    </row>
    <row r="16" spans="1:24" x14ac:dyDescent="0.35">
      <c r="A16" s="27" t="s">
        <v>27</v>
      </c>
      <c r="B16" s="27" t="s">
        <v>87</v>
      </c>
      <c r="C16" s="27" t="s">
        <v>130</v>
      </c>
      <c r="D16" s="20">
        <f>D56/'Physical data'!D14</f>
        <v>62428.298464026164</v>
      </c>
      <c r="E16" s="20">
        <f>E56/'Physical data'!E14</f>
        <v>60853.214686610088</v>
      </c>
      <c r="F16" s="20">
        <f>F56/'Physical data'!F14</f>
        <v>71284.383217213894</v>
      </c>
      <c r="G16" s="20">
        <f>G56/'Physical data'!G14</f>
        <v>76023.943264643822</v>
      </c>
      <c r="H16" s="20">
        <f>H56/'Physical data'!H14</f>
        <v>78546.424722681244</v>
      </c>
      <c r="I16" s="20">
        <f>I56/'Physical data'!I14</f>
        <v>84881.933137463275</v>
      </c>
      <c r="J16" s="20">
        <f>J56/'Physical data'!J14</f>
        <v>90548.083765119358</v>
      </c>
      <c r="K16" s="20">
        <f>K56/'Physical data'!K14</f>
        <v>80431.666131230915</v>
      </c>
      <c r="L16" s="20">
        <f>L56/'Physical data'!L14</f>
        <v>78030.671080537446</v>
      </c>
      <c r="M16" s="20">
        <f>M56/'Physical data'!M14</f>
        <v>73305.817995699777</v>
      </c>
      <c r="N16" s="20">
        <f>N56/'Physical data'!N14</f>
        <v>68196.206792171724</v>
      </c>
      <c r="O16" s="20">
        <f>O56/'Physical data'!O14</f>
        <v>64360.708688716324</v>
      </c>
      <c r="P16" s="20">
        <f>P56/'Physical data'!P14</f>
        <v>60846.711834204842</v>
      </c>
      <c r="Q16" s="20">
        <f>Q56/'Physical data'!Q14</f>
        <v>65372.286380442187</v>
      </c>
      <c r="R16" s="20">
        <f>R56/'Physical data'!R14</f>
        <v>53271.123502535091</v>
      </c>
      <c r="S16" s="20">
        <f>S56/'Physical data'!S14</f>
        <v>49363.213966092982</v>
      </c>
      <c r="T16" s="20">
        <f>T56/'Physical data'!T14</f>
        <v>52060.32908357196</v>
      </c>
      <c r="U16" s="70">
        <f>U56/'Physical data'!U14</f>
        <v>52201.919770436958</v>
      </c>
      <c r="V16" s="70">
        <f>AVERAGE(Q16:U16)</f>
        <v>54453.774540615836</v>
      </c>
      <c r="W16" s="54">
        <f>$U16/$D16-1</f>
        <v>-0.16380998593902218</v>
      </c>
      <c r="X16" s="54">
        <f>U16/T16-1</f>
        <v>2.7197424479914467E-3</v>
      </c>
    </row>
    <row r="17" spans="1:33" x14ac:dyDescent="0.35">
      <c r="A17" s="27" t="s">
        <v>36</v>
      </c>
      <c r="B17" s="27" t="s">
        <v>88</v>
      </c>
      <c r="C17" s="27" t="s">
        <v>130</v>
      </c>
      <c r="D17" s="20">
        <f>D57/'Physical data'!D15</f>
        <v>35653.19315071842</v>
      </c>
      <c r="E17" s="20">
        <f>E57/'Physical data'!E15</f>
        <v>33894.818578815604</v>
      </c>
      <c r="F17" s="20">
        <f>F57/'Physical data'!F15</f>
        <v>34423.502491232364</v>
      </c>
      <c r="G17" s="20">
        <f>G57/'Physical data'!G15</f>
        <v>38948.457568242098</v>
      </c>
      <c r="H17" s="20">
        <f>H57/'Physical data'!H15</f>
        <v>40550.199641890445</v>
      </c>
      <c r="I17" s="20">
        <f>I57/'Physical data'!I15</f>
        <v>41966.156581024021</v>
      </c>
      <c r="J17" s="20">
        <f>J57/'Physical data'!J15</f>
        <v>46877.423624940093</v>
      </c>
      <c r="K17" s="20">
        <f>K57/'Physical data'!K15</f>
        <v>42783.89514422138</v>
      </c>
      <c r="L17" s="20">
        <f>L57/'Physical data'!L15</f>
        <v>44111.262528143779</v>
      </c>
      <c r="M17" s="20">
        <f>M57/'Physical data'!M15</f>
        <v>49011.046647491086</v>
      </c>
      <c r="N17" s="20">
        <f>N57/'Physical data'!N15</f>
        <v>41942.043965115197</v>
      </c>
      <c r="O17" s="20">
        <f>O57/'Physical data'!O15</f>
        <v>40023.175965052658</v>
      </c>
      <c r="P17" s="20">
        <f>P57/'Physical data'!P15</f>
        <v>37315.09531309329</v>
      </c>
      <c r="Q17" s="20">
        <f>Q57/'Physical data'!Q15</f>
        <v>36123.414849140012</v>
      </c>
      <c r="R17" s="20">
        <f>R57/'Physical data'!R15</f>
        <v>34462.863739702116</v>
      </c>
      <c r="S17" s="20">
        <f>S57/'Physical data'!S15</f>
        <v>32331.510759429708</v>
      </c>
      <c r="T17" s="20">
        <f>T57/'Physical data'!T15</f>
        <v>32947.287048623606</v>
      </c>
      <c r="U17" s="70">
        <f>U57/'Physical data'!U15</f>
        <v>37959.129930560979</v>
      </c>
      <c r="V17" s="70">
        <f>AVERAGE(Q17:U17)</f>
        <v>34764.841265491283</v>
      </c>
      <c r="W17" s="54">
        <f>$U17/$D17-1</f>
        <v>6.4676865550150398E-2</v>
      </c>
      <c r="X17" s="54">
        <f t="shared" ref="X17" si="4">U17/T17-1</f>
        <v>0.15211701268577582</v>
      </c>
    </row>
    <row r="18" spans="1:33" x14ac:dyDescent="0.35">
      <c r="U18" s="74"/>
      <c r="V18" s="74"/>
      <c r="W18" s="74"/>
      <c r="X18" s="74"/>
    </row>
    <row r="19" spans="1:33" x14ac:dyDescent="0.35">
      <c r="U19" s="74"/>
      <c r="V19" s="74"/>
      <c r="W19" s="74"/>
      <c r="X19" s="74"/>
      <c r="Y19" s="11"/>
      <c r="Z19" s="11"/>
      <c r="AA19" s="11"/>
      <c r="AB19" s="11"/>
      <c r="AC19" s="11"/>
      <c r="AD19" s="11"/>
      <c r="AE19" s="11"/>
      <c r="AF19" s="11"/>
      <c r="AG19" s="11"/>
    </row>
    <row r="20" spans="1:33" s="10" customFormat="1" ht="43.5" x14ac:dyDescent="0.35">
      <c r="A20" s="29" t="s">
        <v>50</v>
      </c>
      <c r="B20" s="29" t="s">
        <v>50</v>
      </c>
      <c r="C20" s="29"/>
      <c r="D20" s="30">
        <v>2006</v>
      </c>
      <c r="E20" s="30">
        <v>2007</v>
      </c>
      <c r="F20" s="30">
        <v>2008</v>
      </c>
      <c r="G20" s="30">
        <v>2009</v>
      </c>
      <c r="H20" s="30">
        <v>2010</v>
      </c>
      <c r="I20" s="30">
        <v>2011</v>
      </c>
      <c r="J20" s="30">
        <v>2012</v>
      </c>
      <c r="K20" s="30">
        <v>2013</v>
      </c>
      <c r="L20" s="30">
        <v>2014</v>
      </c>
      <c r="M20" s="30">
        <v>2015</v>
      </c>
      <c r="N20" s="30">
        <v>2016</v>
      </c>
      <c r="O20" s="30">
        <v>2017</v>
      </c>
      <c r="P20" s="30">
        <v>2018</v>
      </c>
      <c r="Q20" s="30">
        <v>2019</v>
      </c>
      <c r="R20" s="30">
        <v>2020</v>
      </c>
      <c r="S20" s="30">
        <v>2021</v>
      </c>
      <c r="T20" s="30">
        <v>2022</v>
      </c>
      <c r="U20" s="69">
        <v>2023</v>
      </c>
      <c r="V20" s="69" t="s">
        <v>22</v>
      </c>
      <c r="W20" s="76" t="s">
        <v>112</v>
      </c>
      <c r="X20" s="76" t="s">
        <v>113</v>
      </c>
    </row>
    <row r="21" spans="1:33" x14ac:dyDescent="0.35">
      <c r="A21" s="27" t="s">
        <v>35</v>
      </c>
      <c r="B21" s="27" t="s">
        <v>84</v>
      </c>
      <c r="C21" s="77" t="s">
        <v>132</v>
      </c>
      <c r="D21" s="31">
        <f>D53/'Physical data'!D3</f>
        <v>16.288259023463464</v>
      </c>
      <c r="E21" s="31">
        <f>E53/'Physical data'!E3</f>
        <v>17.888639560831862</v>
      </c>
      <c r="F21" s="31">
        <f>F53/'Physical data'!F3</f>
        <v>18.541491238349231</v>
      </c>
      <c r="G21" s="31">
        <f>G53/'Physical data'!G3</f>
        <v>20.6770350657346</v>
      </c>
      <c r="H21" s="31">
        <f>H53/'Physical data'!H3</f>
        <v>19.547843721771258</v>
      </c>
      <c r="I21" s="31">
        <f>I53/'Physical data'!I3</f>
        <v>21.304147159895074</v>
      </c>
      <c r="J21" s="31">
        <f>J53/'Physical data'!J3</f>
        <v>22.037576192249162</v>
      </c>
      <c r="K21" s="31">
        <f>K53/'Physical data'!K3</f>
        <v>20.620501907545854</v>
      </c>
      <c r="L21" s="31">
        <f>L53/'Physical data'!L3</f>
        <v>20.070999885625017</v>
      </c>
      <c r="M21" s="31">
        <f>M53/'Physical data'!M3</f>
        <v>23.486401663487477</v>
      </c>
      <c r="N21" s="31">
        <f>N53/'Physical data'!N3</f>
        <v>21.498856359992907</v>
      </c>
      <c r="O21" s="31">
        <f>O53/'Physical data'!O3</f>
        <v>21.470360484026738</v>
      </c>
      <c r="P21" s="31">
        <f>P53/'Physical data'!P3</f>
        <v>27.354216422228959</v>
      </c>
      <c r="Q21" s="31">
        <f>Q53/'Physical data'!Q3</f>
        <v>22.923958830441549</v>
      </c>
      <c r="R21" s="31">
        <f>R53/'Physical data'!R3</f>
        <v>23.473726374732365</v>
      </c>
      <c r="S21" s="31">
        <f>S53/'Physical data'!S3</f>
        <v>21.673592437805368</v>
      </c>
      <c r="T21" s="31">
        <f>T53/'Physical data'!T3</f>
        <v>21.765879217685093</v>
      </c>
      <c r="U21" s="79">
        <f>U53/'Physical data'!U3</f>
        <v>24.131547975550845</v>
      </c>
      <c r="V21" s="70">
        <f>AVERAGE(Q21:U21)</f>
        <v>22.793740967243046</v>
      </c>
      <c r="W21" s="54">
        <f>$U21/$D21-1</f>
        <v>0.48153022006765811</v>
      </c>
      <c r="X21" s="54">
        <f>U21/T21-1</f>
        <v>0.10868702955695952</v>
      </c>
    </row>
    <row r="22" spans="1:33" x14ac:dyDescent="0.35">
      <c r="A22" s="27" t="s">
        <v>19</v>
      </c>
      <c r="B22" s="27" t="s">
        <v>85</v>
      </c>
      <c r="C22" s="77" t="s">
        <v>132</v>
      </c>
      <c r="D22" s="31">
        <f>D54/'Physical data'!D4</f>
        <v>12.751264406407373</v>
      </c>
      <c r="E22" s="31">
        <f>E54/'Physical data'!E4</f>
        <v>12.536863649524866</v>
      </c>
      <c r="F22" s="31">
        <f>F54/'Physical data'!F4</f>
        <v>14.02278222107541</v>
      </c>
      <c r="G22" s="31">
        <f>G54/'Physical data'!G4</f>
        <v>16.213539820959312</v>
      </c>
      <c r="H22" s="31">
        <f>H54/'Physical data'!H4</f>
        <v>16.09817538923609</v>
      </c>
      <c r="I22" s="31">
        <f>I54/'Physical data'!I4</f>
        <v>18.39414109315226</v>
      </c>
      <c r="J22" s="31">
        <f>J54/'Physical data'!J4</f>
        <v>19.638015526762803</v>
      </c>
      <c r="K22" s="31">
        <f>K54/'Physical data'!K4</f>
        <v>17.366399407742307</v>
      </c>
      <c r="L22" s="31">
        <f>L54/'Physical data'!L4</f>
        <v>17.296283092728295</v>
      </c>
      <c r="M22" s="31">
        <f>M54/'Physical data'!M4</f>
        <v>17.789631947132779</v>
      </c>
      <c r="N22" s="31">
        <f>N54/'Physical data'!N4</f>
        <v>16.562945210326284</v>
      </c>
      <c r="O22" s="31">
        <f>O54/'Physical data'!O4</f>
        <v>15.58024239052844</v>
      </c>
      <c r="P22" s="31">
        <f>P54/'Physical data'!P4</f>
        <v>13.869334262732547</v>
      </c>
      <c r="Q22" s="31">
        <f>Q54/'Physical data'!Q4</f>
        <v>14.717106366731063</v>
      </c>
      <c r="R22" s="31">
        <f>R54/'Physical data'!R4</f>
        <v>14.132879570313399</v>
      </c>
      <c r="S22" s="31">
        <f>S54/'Physical data'!S4</f>
        <v>13.163319333803749</v>
      </c>
      <c r="T22" s="31">
        <f>T54/'Physical data'!T4</f>
        <v>12.85912682630056</v>
      </c>
      <c r="U22" s="79">
        <f>U54/'Physical data'!U4</f>
        <v>13.494204200622521</v>
      </c>
      <c r="V22" s="70">
        <f>AVERAGE(Q22:U22)</f>
        <v>13.673327259554259</v>
      </c>
      <c r="W22" s="54">
        <f t="shared" ref="W22:W25" si="5">$U22/$D22-1</f>
        <v>5.826400979041968E-2</v>
      </c>
      <c r="X22" s="54">
        <f>U22/T22-1</f>
        <v>4.9387286003202524E-2</v>
      </c>
    </row>
    <row r="23" spans="1:33" x14ac:dyDescent="0.35">
      <c r="A23" s="27" t="s">
        <v>33</v>
      </c>
      <c r="B23" s="27" t="s">
        <v>86</v>
      </c>
      <c r="C23" s="77" t="s">
        <v>132</v>
      </c>
      <c r="D23" s="31">
        <f>D55/'Physical data'!D5</f>
        <v>9.2378232298298304</v>
      </c>
      <c r="E23" s="31">
        <f>E55/'Physical data'!E5</f>
        <v>8.5701864980865974</v>
      </c>
      <c r="F23" s="31">
        <f>F55/'Physical data'!F5</f>
        <v>9.010152148804158</v>
      </c>
      <c r="G23" s="31">
        <f>G55/'Physical data'!G5</f>
        <v>9.8497576707207983</v>
      </c>
      <c r="H23" s="31">
        <f>H55/'Physical data'!H5</f>
        <v>9.4824980957927707</v>
      </c>
      <c r="I23" s="31">
        <f>I55/'Physical data'!I5</f>
        <v>9.6959238421804645</v>
      </c>
      <c r="J23" s="31">
        <f>J55/'Physical data'!J5</f>
        <v>10.057204429566639</v>
      </c>
      <c r="K23" s="31">
        <f>K55/'Physical data'!K5</f>
        <v>8.9526460841239164</v>
      </c>
      <c r="L23" s="31">
        <f>L55/'Physical data'!L5</f>
        <v>8.1066642510264355</v>
      </c>
      <c r="M23" s="31">
        <f>M55/'Physical data'!M5</f>
        <v>9.120210806936127</v>
      </c>
      <c r="N23" s="31">
        <f>N55/'Physical data'!N5</f>
        <v>8.8976346363592729</v>
      </c>
      <c r="O23" s="31">
        <f>O55/'Physical data'!O5</f>
        <v>8.7276472555170184</v>
      </c>
      <c r="P23" s="31">
        <f>P55/'Physical data'!P5</f>
        <v>9.7552467353685408</v>
      </c>
      <c r="Q23" s="31">
        <f>Q55/'Physical data'!Q5</f>
        <v>9.9429058272841484</v>
      </c>
      <c r="R23" s="31">
        <f>R55/'Physical data'!R5</f>
        <v>9.3936047602806187</v>
      </c>
      <c r="S23" s="31">
        <f>S55/'Physical data'!S5</f>
        <v>8.0539728917517373</v>
      </c>
      <c r="T23" s="31">
        <f>T55/'Physical data'!T5</f>
        <v>7.2297291072240295</v>
      </c>
      <c r="U23" s="79">
        <f>U55/'Physical data'!U5</f>
        <v>8.0756147947122088</v>
      </c>
      <c r="V23" s="70">
        <f t="shared" ref="V23:V25" si="6">AVERAGE(Q23:U23)</f>
        <v>8.5391654762505489</v>
      </c>
      <c r="W23" s="54">
        <f t="shared" si="5"/>
        <v>-0.12580977208621369</v>
      </c>
      <c r="X23" s="54">
        <f>U23/T23-1</f>
        <v>0.11700102105388166</v>
      </c>
    </row>
    <row r="24" spans="1:33" x14ac:dyDescent="0.35">
      <c r="A24" s="27" t="s">
        <v>27</v>
      </c>
      <c r="B24" s="27" t="s">
        <v>87</v>
      </c>
      <c r="C24" s="77" t="s">
        <v>132</v>
      </c>
      <c r="D24" s="31">
        <f>D56/'Physical data'!D6</f>
        <v>15.913680358390163</v>
      </c>
      <c r="E24" s="31">
        <f>E56/'Physical data'!E6</f>
        <v>12.763172413777673</v>
      </c>
      <c r="F24" s="31">
        <f>F56/'Physical data'!F6</f>
        <v>13.856609510590156</v>
      </c>
      <c r="G24" s="31">
        <f>G56/'Physical data'!G6</f>
        <v>15.055207627322337</v>
      </c>
      <c r="H24" s="31">
        <f>H56/'Physical data'!H6</f>
        <v>15.880671298737195</v>
      </c>
      <c r="I24" s="31">
        <f>I56/'Physical data'!I6</f>
        <v>16.821129427376388</v>
      </c>
      <c r="J24" s="31">
        <f>J56/'Physical data'!J6</f>
        <v>18.623326387865301</v>
      </c>
      <c r="K24" s="31">
        <f>K56/'Physical data'!K6</f>
        <v>15.908227137086094</v>
      </c>
      <c r="L24" s="31">
        <f>L56/'Physical data'!L6</f>
        <v>14.654153006196909</v>
      </c>
      <c r="M24" s="31">
        <f>M56/'Physical data'!M6</f>
        <v>14.006742349651798</v>
      </c>
      <c r="N24" s="31">
        <f>N56/'Physical data'!N6</f>
        <v>14.742739154411968</v>
      </c>
      <c r="O24" s="31">
        <f>O56/'Physical data'!O6</f>
        <v>13.070534031592523</v>
      </c>
      <c r="P24" s="31">
        <f>P56/'Physical data'!P6</f>
        <v>12.406600262853031</v>
      </c>
      <c r="Q24" s="31">
        <f>Q56/'Physical data'!Q6</f>
        <v>12.146421008598082</v>
      </c>
      <c r="R24" s="31">
        <f>R56/'Physical data'!R6</f>
        <v>10.558670155569553</v>
      </c>
      <c r="S24" s="31">
        <f>S56/'Physical data'!S6</f>
        <v>9.2170088975011435</v>
      </c>
      <c r="T24" s="31">
        <f>T56/'Physical data'!T6</f>
        <v>9.5213681584371006</v>
      </c>
      <c r="U24" s="79">
        <f>U56/'Physical data'!U6</f>
        <v>9.961172012504532</v>
      </c>
      <c r="V24" s="70">
        <f t="shared" si="6"/>
        <v>10.280928046522082</v>
      </c>
      <c r="W24" s="54">
        <f t="shared" si="5"/>
        <v>-0.37404976170375903</v>
      </c>
      <c r="X24" s="54">
        <f>U24/T24-1</f>
        <v>4.6191245496342903E-2</v>
      </c>
    </row>
    <row r="25" spans="1:33" x14ac:dyDescent="0.35">
      <c r="A25" s="27" t="s">
        <v>36</v>
      </c>
      <c r="B25" s="27" t="s">
        <v>88</v>
      </c>
      <c r="C25" s="77" t="s">
        <v>132</v>
      </c>
      <c r="D25" s="31">
        <f>D57/'Physical data'!D7</f>
        <v>7.9618173661727027</v>
      </c>
      <c r="E25" s="31">
        <f>E57/'Physical data'!E7</f>
        <v>7.5957063321201224</v>
      </c>
      <c r="F25" s="31">
        <f>F57/'Physical data'!F7</f>
        <v>7.7609351071142054</v>
      </c>
      <c r="G25" s="31">
        <f>G57/'Physical data'!G7</f>
        <v>8.9807170964997187</v>
      </c>
      <c r="H25" s="31">
        <f>H57/'Physical data'!H7</f>
        <v>9.5086696430735653</v>
      </c>
      <c r="I25" s="31">
        <f>I57/'Physical data'!I7</f>
        <v>10.202298717692557</v>
      </c>
      <c r="J25" s="31">
        <f>J57/'Physical data'!J7</f>
        <v>11.015582575051196</v>
      </c>
      <c r="K25" s="31">
        <f>K57/'Physical data'!K7</f>
        <v>10.470320330653333</v>
      </c>
      <c r="L25" s="31">
        <f>L57/'Physical data'!L7</f>
        <v>11.060346005174551</v>
      </c>
      <c r="M25" s="31">
        <f>M57/'Physical data'!M7</f>
        <v>10.869385345209716</v>
      </c>
      <c r="N25" s="31">
        <f>N57/'Physical data'!N7</f>
        <v>10.456465254460852</v>
      </c>
      <c r="O25" s="31">
        <f>O57/'Physical data'!O7</f>
        <v>9.9791118739531299</v>
      </c>
      <c r="P25" s="31">
        <f>P57/'Physical data'!P7</f>
        <v>9.1192769259210813</v>
      </c>
      <c r="Q25" s="31">
        <f>Q57/'Physical data'!Q7</f>
        <v>9.0794066892327727</v>
      </c>
      <c r="R25" s="31">
        <f>R57/'Physical data'!R7</f>
        <v>8.934816525107955</v>
      </c>
      <c r="S25" s="31">
        <f>S57/'Physical data'!S7</f>
        <v>8.3889614172433316</v>
      </c>
      <c r="T25" s="31">
        <f>T57/'Physical data'!T7</f>
        <v>8.7923845203071807</v>
      </c>
      <c r="U25" s="79">
        <f>U57/'Physical data'!U7</f>
        <v>10.032055767362545</v>
      </c>
      <c r="V25" s="70">
        <f t="shared" si="6"/>
        <v>9.0455249838507576</v>
      </c>
      <c r="W25" s="54">
        <f t="shared" si="5"/>
        <v>0.26002083519092567</v>
      </c>
      <c r="X25" s="54">
        <f>U25/T25-1</f>
        <v>0.14099374796361319</v>
      </c>
    </row>
    <row r="26" spans="1:33" x14ac:dyDescent="0.35">
      <c r="C26" s="74"/>
      <c r="U26" s="74"/>
      <c r="V26" s="80"/>
      <c r="W26" s="74"/>
      <c r="X26" s="74"/>
    </row>
    <row r="27" spans="1:33" x14ac:dyDescent="0.35">
      <c r="C27" s="74"/>
      <c r="U27" s="74"/>
      <c r="V27" s="74"/>
      <c r="W27" s="74"/>
      <c r="X27" s="74"/>
    </row>
    <row r="28" spans="1:33" s="10" customFormat="1" ht="29" x14ac:dyDescent="0.35">
      <c r="A28" s="29" t="s">
        <v>83</v>
      </c>
      <c r="B28" s="29" t="s">
        <v>83</v>
      </c>
      <c r="C28" s="29"/>
      <c r="D28" s="30">
        <v>2006</v>
      </c>
      <c r="E28" s="30">
        <v>2007</v>
      </c>
      <c r="F28" s="30">
        <v>2008</v>
      </c>
      <c r="G28" s="30">
        <v>2009</v>
      </c>
      <c r="H28" s="30">
        <v>2010</v>
      </c>
      <c r="I28" s="30">
        <v>2011</v>
      </c>
      <c r="J28" s="30">
        <v>2012</v>
      </c>
      <c r="K28" s="30">
        <v>2013</v>
      </c>
      <c r="L28" s="30">
        <v>2014</v>
      </c>
      <c r="M28" s="30">
        <v>2015</v>
      </c>
      <c r="N28" s="30">
        <v>2016</v>
      </c>
      <c r="O28" s="30">
        <v>2017</v>
      </c>
      <c r="P28" s="30">
        <v>2018</v>
      </c>
      <c r="Q28" s="30">
        <v>2019</v>
      </c>
      <c r="R28" s="30">
        <v>2020</v>
      </c>
      <c r="S28" s="30">
        <v>2021</v>
      </c>
      <c r="T28" s="30">
        <v>2022</v>
      </c>
      <c r="U28" s="69">
        <v>2023</v>
      </c>
      <c r="V28" s="69" t="s">
        <v>22</v>
      </c>
      <c r="W28" s="76" t="s">
        <v>112</v>
      </c>
      <c r="X28" s="76" t="s">
        <v>113</v>
      </c>
    </row>
    <row r="29" spans="1:33" x14ac:dyDescent="0.35">
      <c r="A29" s="27" t="s">
        <v>35</v>
      </c>
      <c r="B29" s="27" t="s">
        <v>84</v>
      </c>
      <c r="C29" s="77" t="s">
        <v>133</v>
      </c>
      <c r="D29" s="20">
        <f>D53/'Physical data'!D48</f>
        <v>315.81650257673573</v>
      </c>
      <c r="E29" s="20">
        <f>E53/'Physical data'!E48</f>
        <v>321.07613921861605</v>
      </c>
      <c r="F29" s="20">
        <f>F53/'Physical data'!F48</f>
        <v>310.56363411358865</v>
      </c>
      <c r="G29" s="20">
        <f>G53/'Physical data'!G48</f>
        <v>343.07211945052558</v>
      </c>
      <c r="H29" s="20">
        <f>H53/'Physical data'!H48</f>
        <v>327.30962001307017</v>
      </c>
      <c r="I29" s="20">
        <f>I53/'Physical data'!I48</f>
        <v>353.72590541112135</v>
      </c>
      <c r="J29" s="20">
        <f>J53/'Physical data'!J48</f>
        <v>367.12750795297512</v>
      </c>
      <c r="K29" s="20">
        <f>K53/'Physical data'!K48</f>
        <v>347.42474528357207</v>
      </c>
      <c r="L29" s="20">
        <f>L53/'Physical data'!L48</f>
        <v>328.88232327013134</v>
      </c>
      <c r="M29" s="20">
        <f>M53/'Physical data'!M48</f>
        <v>370.07009243038306</v>
      </c>
      <c r="N29" s="20">
        <f>N53/'Physical data'!N48</f>
        <v>356.74197303145741</v>
      </c>
      <c r="O29" s="20">
        <f>O53/'Physical data'!O48</f>
        <v>355.06957715283261</v>
      </c>
      <c r="P29" s="20">
        <f>P53/'Physical data'!P48</f>
        <v>350.02848067994404</v>
      </c>
      <c r="Q29" s="20">
        <f>Q53/'Physical data'!Q48</f>
        <v>348.76070604300412</v>
      </c>
      <c r="R29" s="20">
        <f>R53/'Physical data'!R48</f>
        <v>355.6341330593562</v>
      </c>
      <c r="S29" s="20">
        <f>S53/'Physical data'!S48</f>
        <v>320.61199445504371</v>
      </c>
      <c r="T29" s="20">
        <f>T53/'Physical data'!T48</f>
        <v>319.1039592114854</v>
      </c>
      <c r="U29" s="70">
        <f>U53/'Physical data'!U48</f>
        <v>347.13354732008082</v>
      </c>
      <c r="V29" s="70">
        <f>AVERAGE(Q29:U29)</f>
        <v>338.24886801779405</v>
      </c>
      <c r="W29" s="54">
        <f>$U29/$D29-1</f>
        <v>9.9162154250428403E-2</v>
      </c>
      <c r="X29" s="54">
        <f>U29/T29-1</f>
        <v>8.7838421616131868E-2</v>
      </c>
    </row>
    <row r="30" spans="1:33" x14ac:dyDescent="0.35">
      <c r="A30" s="27" t="s">
        <v>19</v>
      </c>
      <c r="B30" s="27" t="s">
        <v>85</v>
      </c>
      <c r="C30" s="77" t="s">
        <v>133</v>
      </c>
      <c r="D30" s="20">
        <f>D54/'Physical data'!D49</f>
        <v>354.48363946637619</v>
      </c>
      <c r="E30" s="20">
        <f>E54/'Physical data'!E49</f>
        <v>348.15256162422185</v>
      </c>
      <c r="F30" s="20">
        <f>F54/'Physical data'!F49</f>
        <v>375.51230589667722</v>
      </c>
      <c r="G30" s="20">
        <f>G54/'Physical data'!G49</f>
        <v>433.81206326184645</v>
      </c>
      <c r="H30" s="20">
        <f>H54/'Physical data'!H49</f>
        <v>428.70174319968561</v>
      </c>
      <c r="I30" s="20">
        <f>I54/'Physical data'!I49</f>
        <v>473.80762688002466</v>
      </c>
      <c r="J30" s="20">
        <f>J54/'Physical data'!J49</f>
        <v>489.03154385499283</v>
      </c>
      <c r="K30" s="20">
        <f>K54/'Physical data'!K49</f>
        <v>413.86179130773382</v>
      </c>
      <c r="L30" s="20">
        <f>L54/'Physical data'!L49</f>
        <v>392.45753020083163</v>
      </c>
      <c r="M30" s="20">
        <f>M54/'Physical data'!M49</f>
        <v>444.32671575867323</v>
      </c>
      <c r="N30" s="20">
        <f>N54/'Physical data'!N49</f>
        <v>405.26280142453192</v>
      </c>
      <c r="O30" s="20">
        <f>O54/'Physical data'!O49</f>
        <v>385.31297341975772</v>
      </c>
      <c r="P30" s="20">
        <f>P54/'Physical data'!P49</f>
        <v>340.53530638032396</v>
      </c>
      <c r="Q30" s="20">
        <f>Q54/'Physical data'!Q49</f>
        <v>349.77243977726971</v>
      </c>
      <c r="R30" s="20">
        <f>R54/'Physical data'!R49</f>
        <v>329.21729232093122</v>
      </c>
      <c r="S30" s="20">
        <f>S54/'Physical data'!S49</f>
        <v>295.98118574828931</v>
      </c>
      <c r="T30" s="20">
        <f>T54/'Physical data'!T49</f>
        <v>280.23465358123502</v>
      </c>
      <c r="U30" s="70">
        <f>U54/'Physical data'!U49</f>
        <v>289.71066064722521</v>
      </c>
      <c r="V30" s="70">
        <f>AVERAGE(Q30:U30)</f>
        <v>308.98324641499011</v>
      </c>
      <c r="W30" s="54">
        <f t="shared" ref="W30:W32" si="7">$U30/$D30-1</f>
        <v>-0.18272487530498538</v>
      </c>
      <c r="X30" s="54">
        <f>U30/T30-1</f>
        <v>3.3814544150383874E-2</v>
      </c>
    </row>
    <row r="31" spans="1:33" x14ac:dyDescent="0.35">
      <c r="A31" s="27" t="s">
        <v>33</v>
      </c>
      <c r="B31" s="27" t="s">
        <v>86</v>
      </c>
      <c r="C31" s="77" t="s">
        <v>133</v>
      </c>
      <c r="D31" s="20">
        <f>D55/'Physical data'!D50</f>
        <v>168.98011566310515</v>
      </c>
      <c r="E31" s="20">
        <f>E55/'Physical data'!E50</f>
        <v>156.93151273802286</v>
      </c>
      <c r="F31" s="20">
        <f>F55/'Physical data'!F50</f>
        <v>159.43146178914037</v>
      </c>
      <c r="G31" s="20">
        <f>G55/'Physical data'!G50</f>
        <v>181.10646585741864</v>
      </c>
      <c r="H31" s="20">
        <f>H55/'Physical data'!H50</f>
        <v>177.63207315556306</v>
      </c>
      <c r="I31" s="20">
        <f>I55/'Physical data'!I50</f>
        <v>175.88721704441051</v>
      </c>
      <c r="J31" s="20">
        <f>J55/'Physical data'!J50</f>
        <v>177.59162711676947</v>
      </c>
      <c r="K31" s="20">
        <f>K55/'Physical data'!K50</f>
        <v>160.63495612780639</v>
      </c>
      <c r="L31" s="20">
        <f>L55/'Physical data'!L50</f>
        <v>142.42737307598412</v>
      </c>
      <c r="M31" s="20">
        <f>M55/'Physical data'!M50</f>
        <v>155.77701078991069</v>
      </c>
      <c r="N31" s="20">
        <f>N55/'Physical data'!N50</f>
        <v>148.84630171661834</v>
      </c>
      <c r="O31" s="20">
        <f>O55/'Physical data'!O50</f>
        <v>140.25306238377834</v>
      </c>
      <c r="P31" s="20">
        <f>P55/'Physical data'!P50</f>
        <v>137.55733955379191</v>
      </c>
      <c r="Q31" s="20">
        <f>Q55/'Physical data'!Q50</f>
        <v>136.60355504577987</v>
      </c>
      <c r="R31" s="20">
        <f>R55/'Physical data'!R50</f>
        <v>127.62043763292057</v>
      </c>
      <c r="S31" s="20">
        <f>S55/'Physical data'!S50</f>
        <v>110.36963153116547</v>
      </c>
      <c r="T31" s="20">
        <f>T55/'Physical data'!T50</f>
        <v>101.72673284210765</v>
      </c>
      <c r="U31" s="70">
        <f>U55/'Physical data'!U50</f>
        <v>110.13142571139842</v>
      </c>
      <c r="V31" s="70">
        <f>AVERAGE(Q31:U31)</f>
        <v>117.2903565526744</v>
      </c>
      <c r="W31" s="54">
        <f t="shared" si="7"/>
        <v>-0.34825807593263269</v>
      </c>
      <c r="X31" s="54">
        <f>U31/T31-1</f>
        <v>8.2620296892222944E-2</v>
      </c>
    </row>
    <row r="32" spans="1:33" x14ac:dyDescent="0.35">
      <c r="A32" s="27" t="s">
        <v>27</v>
      </c>
      <c r="B32" s="27" t="s">
        <v>87</v>
      </c>
      <c r="C32" s="77" t="s">
        <v>133</v>
      </c>
      <c r="D32" s="20">
        <f>D56/'Physical data'!D51</f>
        <v>668.57284539509249</v>
      </c>
      <c r="E32" s="20">
        <f>E56/'Physical data'!E51</f>
        <v>640.86996031175295</v>
      </c>
      <c r="F32" s="20">
        <f>F56/'Physical data'!F51</f>
        <v>718.32362493632286</v>
      </c>
      <c r="G32" s="20">
        <f>G56/'Physical data'!G51</f>
        <v>760.67206809197648</v>
      </c>
      <c r="H32" s="20">
        <f>H56/'Physical data'!H51</f>
        <v>764.68554608938064</v>
      </c>
      <c r="I32" s="20">
        <f>I56/'Physical data'!I51</f>
        <v>799.33738488172639</v>
      </c>
      <c r="J32" s="20">
        <f>J56/'Physical data'!J51</f>
        <v>842.21082272834599</v>
      </c>
      <c r="K32" s="20">
        <f>K56/'Physical data'!K51</f>
        <v>731.33849204788964</v>
      </c>
      <c r="L32" s="20">
        <f>L56/'Physical data'!L51</f>
        <v>697.34266693167751</v>
      </c>
      <c r="M32" s="20">
        <f>M56/'Physical data'!M51</f>
        <v>648.70972772994423</v>
      </c>
      <c r="N32" s="20">
        <f>N56/'Physical data'!N51</f>
        <v>602.19168671822183</v>
      </c>
      <c r="O32" s="20">
        <f>O56/'Physical data'!O51</f>
        <v>564.65412206759004</v>
      </c>
      <c r="P32" s="20">
        <f>P56/'Physical data'!P51</f>
        <v>535.77084389904826</v>
      </c>
      <c r="Q32" s="20">
        <f>Q56/'Physical data'!Q51</f>
        <v>538.83110375911383</v>
      </c>
      <c r="R32" s="20">
        <f>R56/'Physical data'!R51</f>
        <v>445.87189304797153</v>
      </c>
      <c r="S32" s="20">
        <f>S56/'Physical data'!S51</f>
        <v>399.73747199468346</v>
      </c>
      <c r="T32" s="20">
        <f>T56/'Physical data'!T51</f>
        <v>418.61880437005209</v>
      </c>
      <c r="U32" s="70">
        <f>U56/'Physical data'!U51</f>
        <v>424.60184785061398</v>
      </c>
      <c r="V32" s="70">
        <f>AVERAGE(Q32:U32)</f>
        <v>445.53222420448702</v>
      </c>
      <c r="W32" s="54">
        <f t="shared" si="7"/>
        <v>-0.36491311189927866</v>
      </c>
      <c r="X32" s="54">
        <f>U32/T32-1</f>
        <v>1.4292342862058716E-2</v>
      </c>
    </row>
    <row r="33" spans="1:24" x14ac:dyDescent="0.35">
      <c r="A33" s="27" t="s">
        <v>36</v>
      </c>
      <c r="B33" s="27" t="s">
        <v>88</v>
      </c>
      <c r="C33" s="77" t="s">
        <v>133</v>
      </c>
      <c r="D33" s="20">
        <f>D57/'Physical data'!D52</f>
        <v>193.73953854234986</v>
      </c>
      <c r="E33" s="20">
        <f>E57/'Physical data'!E52</f>
        <v>186.36264085446496</v>
      </c>
      <c r="F33" s="20">
        <f>F57/'Physical data'!F52</f>
        <v>187.36386757721388</v>
      </c>
      <c r="G33" s="20">
        <f>G57/'Physical data'!G52</f>
        <v>211.26990985286213</v>
      </c>
      <c r="H33" s="20">
        <f>H57/'Physical data'!H52</f>
        <v>220.66853656615203</v>
      </c>
      <c r="I33" s="20">
        <f>I57/'Physical data'!I52</f>
        <v>232.13641373378772</v>
      </c>
      <c r="J33" s="20">
        <f>J57/'Physical data'!J52</f>
        <v>238.56355833489178</v>
      </c>
      <c r="K33" s="20">
        <f>K57/'Physical data'!K52</f>
        <v>208.1803779709804</v>
      </c>
      <c r="L33" s="20">
        <f>L57/'Physical data'!L52</f>
        <v>206.91632747577259</v>
      </c>
      <c r="M33" s="20">
        <f>M57/'Physical data'!M52</f>
        <v>220.0949337546817</v>
      </c>
      <c r="N33" s="20">
        <f>N57/'Physical data'!N52</f>
        <v>202.90925286909436</v>
      </c>
      <c r="O33" s="20">
        <f>O57/'Physical data'!O52</f>
        <v>198.28363827527073</v>
      </c>
      <c r="P33" s="20">
        <f>P57/'Physical data'!P52</f>
        <v>179.9436766782043</v>
      </c>
      <c r="Q33" s="20">
        <f>Q57/'Physical data'!Q52</f>
        <v>173.70764371058823</v>
      </c>
      <c r="R33" s="20">
        <f>R57/'Physical data'!R52</f>
        <v>165.13042442846398</v>
      </c>
      <c r="S33" s="20">
        <f>S57/'Physical data'!S52</f>
        <v>149.93669817506421</v>
      </c>
      <c r="T33" s="20">
        <f>T57/'Physical data'!T52</f>
        <v>148.85658636707782</v>
      </c>
      <c r="U33" s="70">
        <f>U57/'Physical data'!U52</f>
        <v>172.87150246390149</v>
      </c>
      <c r="V33" s="70">
        <f t="shared" ref="V33" si="8">AVERAGE(Q33:U33)</f>
        <v>162.10057102901914</v>
      </c>
      <c r="W33" s="54">
        <f>$U33/$D33-1</f>
        <v>-0.10771180852114393</v>
      </c>
      <c r="X33" s="54">
        <f t="shared" ref="X33" si="9">U33/T33-1</f>
        <v>0.16132921413099788</v>
      </c>
    </row>
    <row r="34" spans="1:24" ht="15" customHeight="1" x14ac:dyDescent="0.35">
      <c r="C34" s="74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37"/>
      <c r="O34" s="11"/>
      <c r="P34" s="37"/>
      <c r="Q34" s="53">
        <f>Q32/Q31</f>
        <v>3.9444881473145825</v>
      </c>
      <c r="R34" s="53">
        <f>R32/R31</f>
        <v>3.4937342428682898</v>
      </c>
      <c r="S34" s="53">
        <f>S32/S31</f>
        <v>3.6218067094099897</v>
      </c>
      <c r="T34" s="53">
        <f>T32/T31</f>
        <v>4.1151307298918143</v>
      </c>
      <c r="U34" s="53"/>
      <c r="V34" s="74"/>
      <c r="W34" s="74"/>
      <c r="X34" s="74"/>
    </row>
    <row r="35" spans="1:24" ht="15" customHeight="1" x14ac:dyDescent="0.35">
      <c r="B35" s="76" t="s">
        <v>37</v>
      </c>
      <c r="C35" s="74"/>
      <c r="D35" s="77" t="s">
        <v>109</v>
      </c>
      <c r="E35" s="77" t="s">
        <v>109</v>
      </c>
      <c r="F35" s="77" t="s">
        <v>109</v>
      </c>
      <c r="P35" s="37"/>
      <c r="Q35" s="47"/>
      <c r="U35" s="74"/>
      <c r="V35" s="74"/>
      <c r="W35" s="74"/>
      <c r="X35" s="74"/>
    </row>
    <row r="36" spans="1:24" s="10" customFormat="1" ht="15" customHeight="1" x14ac:dyDescent="0.35">
      <c r="A36" s="30"/>
      <c r="B36" s="69"/>
      <c r="C36" s="69"/>
      <c r="D36" s="69" t="s">
        <v>23</v>
      </c>
      <c r="E36" s="69" t="s">
        <v>21</v>
      </c>
      <c r="F36" s="69" t="s">
        <v>32</v>
      </c>
      <c r="P36" s="37"/>
      <c r="Q36" s="47"/>
      <c r="U36" s="76"/>
      <c r="V36" s="76"/>
      <c r="W36" s="76"/>
      <c r="X36" s="76"/>
    </row>
    <row r="37" spans="1:24" ht="15" customHeight="1" x14ac:dyDescent="0.35">
      <c r="A37" s="27" t="s">
        <v>35</v>
      </c>
      <c r="B37" s="77" t="s">
        <v>84</v>
      </c>
      <c r="C37" s="77"/>
      <c r="D37" s="70">
        <f>Opex!U15</f>
        <v>112081</v>
      </c>
      <c r="E37" s="70">
        <f>ABS(Depreciation!U15)</f>
        <v>143379.58601296804</v>
      </c>
      <c r="F37" s="70">
        <f>RAB!U15*'Asset cost and Total cost'!$B$2</f>
        <v>60357.623760898219</v>
      </c>
      <c r="P37" s="37"/>
      <c r="Q37" s="47"/>
      <c r="U37" s="74"/>
      <c r="V37" s="74"/>
      <c r="W37" s="74"/>
      <c r="X37" s="74"/>
    </row>
    <row r="38" spans="1:24" ht="15" customHeight="1" x14ac:dyDescent="0.35">
      <c r="A38" s="27" t="s">
        <v>19</v>
      </c>
      <c r="B38" s="77" t="s">
        <v>85</v>
      </c>
      <c r="C38" s="77"/>
      <c r="D38" s="70">
        <f>Opex!U16</f>
        <v>231313</v>
      </c>
      <c r="E38" s="70">
        <f>ABS(Depreciation!U16)</f>
        <v>337853.14645090519</v>
      </c>
      <c r="F38" s="70">
        <f>RAB!U16*'Asset cost and Total cost'!$B$2</f>
        <v>156305.70217816206</v>
      </c>
      <c r="P38" s="37"/>
      <c r="Q38" s="47"/>
      <c r="U38" s="74"/>
      <c r="V38" s="74"/>
      <c r="W38" s="74"/>
      <c r="X38" s="74"/>
    </row>
    <row r="39" spans="1:24" ht="15" customHeight="1" x14ac:dyDescent="0.35">
      <c r="A39" s="27" t="s">
        <v>33</v>
      </c>
      <c r="B39" s="77" t="s">
        <v>86</v>
      </c>
      <c r="C39" s="77"/>
      <c r="D39" s="70">
        <f>Opex!U17</f>
        <v>92150</v>
      </c>
      <c r="E39" s="70">
        <f>ABS(Depreciation!U17)</f>
        <v>201287.20400663913</v>
      </c>
      <c r="F39" s="70">
        <f>RAB!U17*'Asset cost and Total cost'!$B$2</f>
        <v>75763.857591358596</v>
      </c>
      <c r="P39" s="37"/>
      <c r="U39" s="74"/>
      <c r="V39" s="74"/>
      <c r="W39" s="74"/>
      <c r="X39" s="74"/>
    </row>
    <row r="40" spans="1:24" ht="15" customHeight="1" x14ac:dyDescent="0.35">
      <c r="A40" s="27" t="s">
        <v>27</v>
      </c>
      <c r="B40" s="77" t="s">
        <v>87</v>
      </c>
      <c r="C40" s="77"/>
      <c r="D40" s="70">
        <f>Opex!U18</f>
        <v>34524</v>
      </c>
      <c r="E40" s="70">
        <f>ABS(Depreciation!U18)</f>
        <v>67055.298853041299</v>
      </c>
      <c r="F40" s="70">
        <f>RAB!U18*'Asset cost and Total cost'!$B$2</f>
        <v>33841.482264325226</v>
      </c>
      <c r="P40" s="37"/>
      <c r="U40" s="74"/>
      <c r="V40" s="74"/>
      <c r="W40" s="74"/>
      <c r="X40" s="74"/>
    </row>
    <row r="41" spans="1:24" ht="15" customHeight="1" x14ac:dyDescent="0.35">
      <c r="A41" s="27" t="s">
        <v>36</v>
      </c>
      <c r="B41" s="77" t="s">
        <v>88</v>
      </c>
      <c r="C41" s="77"/>
      <c r="D41" s="70">
        <f>Opex!U19</f>
        <v>195150</v>
      </c>
      <c r="E41" s="70">
        <f>ABS(Depreciation!U19)</f>
        <v>318392.12240790937</v>
      </c>
      <c r="F41" s="70">
        <f>RAB!U19*'Asset cost and Total cost'!$B$2</f>
        <v>155891.92383716698</v>
      </c>
      <c r="P41" s="37"/>
      <c r="U41" s="74"/>
      <c r="V41" s="74"/>
      <c r="W41" s="74"/>
      <c r="X41" s="74"/>
    </row>
    <row r="42" spans="1:24" ht="15" customHeight="1" x14ac:dyDescent="0.35">
      <c r="C42" s="74"/>
      <c r="U42" s="74"/>
      <c r="V42" s="74"/>
      <c r="W42" s="74"/>
      <c r="X42" s="74"/>
    </row>
    <row r="43" spans="1:24" ht="15" customHeight="1" x14ac:dyDescent="0.35">
      <c r="C43" s="74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U43" s="74"/>
      <c r="V43" s="74"/>
      <c r="W43" s="74"/>
      <c r="X43" s="74"/>
    </row>
    <row r="44" spans="1:24" s="10" customFormat="1" ht="15" customHeight="1" x14ac:dyDescent="0.35">
      <c r="A44" s="29" t="s">
        <v>44</v>
      </c>
      <c r="B44" s="29" t="s">
        <v>44</v>
      </c>
      <c r="C44" s="29"/>
      <c r="D44" s="30">
        <v>2006</v>
      </c>
      <c r="E44" s="30">
        <v>2007</v>
      </c>
      <c r="F44" s="30">
        <v>2008</v>
      </c>
      <c r="G44" s="30">
        <v>2009</v>
      </c>
      <c r="H44" s="30">
        <v>2010</v>
      </c>
      <c r="I44" s="30">
        <v>2011</v>
      </c>
      <c r="J44" s="30">
        <v>2012</v>
      </c>
      <c r="K44" s="30">
        <v>2013</v>
      </c>
      <c r="L44" s="30">
        <v>2014</v>
      </c>
      <c r="M44" s="69">
        <v>2015</v>
      </c>
      <c r="N44" s="69">
        <v>2016</v>
      </c>
      <c r="O44" s="30">
        <v>2017</v>
      </c>
      <c r="P44" s="30">
        <v>2018</v>
      </c>
      <c r="Q44" s="30">
        <v>2019</v>
      </c>
      <c r="R44" s="30">
        <v>2020</v>
      </c>
      <c r="S44" s="30">
        <v>2021</v>
      </c>
      <c r="T44" s="30">
        <v>2022</v>
      </c>
      <c r="U44" s="69">
        <v>2023</v>
      </c>
      <c r="V44" s="69" t="s">
        <v>22</v>
      </c>
      <c r="W44" s="76" t="s">
        <v>112</v>
      </c>
      <c r="X44" s="76" t="s">
        <v>113</v>
      </c>
    </row>
    <row r="45" spans="1:24" x14ac:dyDescent="0.35">
      <c r="A45" s="27" t="s">
        <v>35</v>
      </c>
      <c r="B45" s="27" t="s">
        <v>84</v>
      </c>
      <c r="C45" s="77" t="s">
        <v>134</v>
      </c>
      <c r="D45" s="20">
        <f>D53/'Physical data'!D33</f>
        <v>43919.024410036662</v>
      </c>
      <c r="E45" s="20">
        <f>E53/'Physical data'!E33</f>
        <v>45347.001403166061</v>
      </c>
      <c r="F45" s="20">
        <f>F53/'Physical data'!F33</f>
        <v>43957.04113482168</v>
      </c>
      <c r="G45" s="20">
        <f>G53/'Physical data'!G33</f>
        <v>50769.935458057385</v>
      </c>
      <c r="H45" s="20">
        <f>H53/'Physical data'!H33</f>
        <v>49198.392815796178</v>
      </c>
      <c r="I45" s="20">
        <f>I53/'Physical data'!I33</f>
        <v>53724.267862153938</v>
      </c>
      <c r="J45" s="20">
        <f>J53/'Physical data'!J33</f>
        <v>56081.780234924277</v>
      </c>
      <c r="K45" s="20">
        <f>K53/'Physical data'!K33</f>
        <v>53286.82639906992</v>
      </c>
      <c r="L45" s="20">
        <f>L53/'Physical data'!L33</f>
        <v>50662.059297887507</v>
      </c>
      <c r="M45" s="70">
        <f>M53/'Physical data'!M33</f>
        <v>57235.520641768686</v>
      </c>
      <c r="N45" s="70">
        <f>N53/'Physical data'!N33</f>
        <v>55448.206937424715</v>
      </c>
      <c r="O45" s="20">
        <f>O53/'Physical data'!O33</f>
        <v>56500.323137285603</v>
      </c>
      <c r="P45" s="20">
        <f>P53/'Physical data'!P33</f>
        <v>56692.293016512158</v>
      </c>
      <c r="Q45" s="20">
        <f>Q53/'Physical data'!Q33</f>
        <v>57330.864580188878</v>
      </c>
      <c r="R45" s="20">
        <f>R53/'Physical data'!R33</f>
        <v>58929.140247559866</v>
      </c>
      <c r="S45" s="20">
        <f>S53/'Physical data'!S33</f>
        <v>53531.319806441308</v>
      </c>
      <c r="T45" s="20">
        <f>T53/'Physical data'!T33</f>
        <v>53707.685091483341</v>
      </c>
      <c r="U45" s="70">
        <f>U53/'Physical data'!U33</f>
        <v>53816.642597905484</v>
      </c>
      <c r="V45" s="70">
        <f>AVERAGE(Q45:U45)</f>
        <v>55463.130464715781</v>
      </c>
      <c r="W45" s="54">
        <f>$U45/$D45-1</f>
        <v>0.22536061128003904</v>
      </c>
      <c r="X45" s="54">
        <f>U45/T45-1</f>
        <v>2.0287135116054955E-3</v>
      </c>
    </row>
    <row r="46" spans="1:24" x14ac:dyDescent="0.35">
      <c r="A46" s="27" t="s">
        <v>19</v>
      </c>
      <c r="B46" s="27" t="s">
        <v>85</v>
      </c>
      <c r="C46" s="77" t="s">
        <v>134</v>
      </c>
      <c r="D46" s="20">
        <f>D54/'Physical data'!D34</f>
        <v>55628.724254540379</v>
      </c>
      <c r="E46" s="20">
        <f>E54/'Physical data'!E34</f>
        <v>54778.640929735418</v>
      </c>
      <c r="F46" s="20">
        <f>F54/'Physical data'!F34</f>
        <v>57752.055495624634</v>
      </c>
      <c r="G46" s="20">
        <f>G54/'Physical data'!G34</f>
        <v>65776.109898253198</v>
      </c>
      <c r="H46" s="20">
        <f>H54/'Physical data'!H34</f>
        <v>63865.953570257429</v>
      </c>
      <c r="I46" s="20">
        <f>I54/'Physical data'!I34</f>
        <v>69511.000745959493</v>
      </c>
      <c r="J46" s="20">
        <f>J54/'Physical data'!J34</f>
        <v>72918.195691932138</v>
      </c>
      <c r="K46" s="20">
        <f>K54/'Physical data'!K34</f>
        <v>59856.281364604481</v>
      </c>
      <c r="L46" s="20">
        <f>L54/'Physical data'!L34</f>
        <v>55748.044225508049</v>
      </c>
      <c r="M46" s="70">
        <f>M54/'Physical data'!M34</f>
        <v>64008.147636369817</v>
      </c>
      <c r="N46" s="70">
        <f>N54/'Physical data'!N34</f>
        <v>59348.884054056871</v>
      </c>
      <c r="O46" s="20">
        <f>O54/'Physical data'!O34</f>
        <v>58164.773081964333</v>
      </c>
      <c r="P46" s="20">
        <f>P54/'Physical data'!P34</f>
        <v>52364.895224662047</v>
      </c>
      <c r="Q46" s="20">
        <f>Q54/'Physical data'!Q34</f>
        <v>54471.888996032707</v>
      </c>
      <c r="R46" s="20">
        <f>R54/'Physical data'!R34</f>
        <v>51632.131287463977</v>
      </c>
      <c r="S46" s="20">
        <f>S54/'Physical data'!S34</f>
        <v>46899.013299538499</v>
      </c>
      <c r="T46" s="20">
        <f>T54/'Physical data'!T34</f>
        <v>45235.690166529588</v>
      </c>
      <c r="U46" s="70">
        <f>U54/'Physical data'!U34</f>
        <v>47570.326376877289</v>
      </c>
      <c r="V46" s="70">
        <f>AVERAGE(Q46:U46)</f>
        <v>49161.810025288411</v>
      </c>
      <c r="W46" s="54">
        <f t="shared" ref="W46:W49" si="10">$U46/$D46-1</f>
        <v>-0.14486037538431185</v>
      </c>
      <c r="X46" s="54">
        <f t="shared" ref="X46:X48" si="11">U46/T46-1</f>
        <v>5.1610491666050029E-2</v>
      </c>
    </row>
    <row r="47" spans="1:24" x14ac:dyDescent="0.35">
      <c r="A47" s="27" t="s">
        <v>33</v>
      </c>
      <c r="B47" s="27" t="s">
        <v>86</v>
      </c>
      <c r="C47" s="77" t="s">
        <v>134</v>
      </c>
      <c r="D47" s="20">
        <f>D55/'Physical data'!D35</f>
        <v>63505.712588121918</v>
      </c>
      <c r="E47" s="20">
        <f>E55/'Physical data'!E35</f>
        <v>59920.16377749083</v>
      </c>
      <c r="F47" s="20">
        <f>F55/'Physical data'!F35</f>
        <v>61749.244372649802</v>
      </c>
      <c r="G47" s="20">
        <f>G55/'Physical data'!G35</f>
        <v>71058.485098763354</v>
      </c>
      <c r="H47" s="20">
        <f>H55/'Physical data'!H35</f>
        <v>70655.843586583505</v>
      </c>
      <c r="I47" s="20">
        <f>I55/'Physical data'!I35</f>
        <v>70876.231175197958</v>
      </c>
      <c r="J47" s="20">
        <f>J55/'Physical data'!J35</f>
        <v>72723.642575421822</v>
      </c>
      <c r="K47" s="20">
        <f>K55/'Physical data'!K35</f>
        <v>66816.498149122097</v>
      </c>
      <c r="L47" s="20">
        <f>L55/'Physical data'!L35</f>
        <v>59821.054461413725</v>
      </c>
      <c r="M47" s="70">
        <f>M55/'Physical data'!M35</f>
        <v>66553.55902723805</v>
      </c>
      <c r="N47" s="70">
        <f>N55/'Physical data'!N35</f>
        <v>64851.910176472753</v>
      </c>
      <c r="O47" s="20">
        <f>O55/'Physical data'!O35</f>
        <v>62303.561773647991</v>
      </c>
      <c r="P47" s="20">
        <f>P55/'Physical data'!P35</f>
        <v>61451.521204587807</v>
      </c>
      <c r="Q47" s="20">
        <f>Q55/'Physical data'!Q35</f>
        <v>62227.819847098333</v>
      </c>
      <c r="R47" s="20">
        <f>R55/'Physical data'!R35</f>
        <v>57954.192690825257</v>
      </c>
      <c r="S47" s="20">
        <f>S55/'Physical data'!S35</f>
        <v>50541.962352373026</v>
      </c>
      <c r="T47" s="20">
        <f>T55/'Physical data'!T35</f>
        <v>48063.39489987625</v>
      </c>
      <c r="U47" s="70">
        <f>U55/'Physical data'!U35</f>
        <v>52766.820533583486</v>
      </c>
      <c r="V47" s="70">
        <f t="shared" ref="V47:V49" si="12">AVERAGE(Q47:U47)</f>
        <v>54310.83806475126</v>
      </c>
      <c r="W47" s="54">
        <f t="shared" si="10"/>
        <v>-0.16910119762276365</v>
      </c>
      <c r="X47" s="54">
        <f t="shared" si="11"/>
        <v>9.7858789282472047E-2</v>
      </c>
    </row>
    <row r="48" spans="1:24" x14ac:dyDescent="0.35">
      <c r="A48" s="27" t="s">
        <v>27</v>
      </c>
      <c r="B48" s="27" t="s">
        <v>87</v>
      </c>
      <c r="C48" s="77" t="s">
        <v>134</v>
      </c>
      <c r="D48" s="20">
        <f>D56/'Physical data'!D36</f>
        <v>46791.049502211892</v>
      </c>
      <c r="E48" s="20">
        <f>E56/'Physical data'!E36</f>
        <v>45201.189290765527</v>
      </c>
      <c r="F48" s="20">
        <f>F56/'Physical data'!F36</f>
        <v>51643.678897488382</v>
      </c>
      <c r="G48" s="20">
        <f>G56/'Physical data'!G36</f>
        <v>57361.914879490439</v>
      </c>
      <c r="H48" s="20">
        <f>H56/'Physical data'!H36</f>
        <v>59440.011985425263</v>
      </c>
      <c r="I48" s="20">
        <f>I56/'Physical data'!I36</f>
        <v>63120.492455382016</v>
      </c>
      <c r="J48" s="20">
        <f>J56/'Physical data'!J36</f>
        <v>67118.413924077875</v>
      </c>
      <c r="K48" s="20">
        <f>K56/'Physical data'!K36</f>
        <v>58426.246104964746</v>
      </c>
      <c r="L48" s="20">
        <f>L56/'Physical data'!L36</f>
        <v>55876.178360941958</v>
      </c>
      <c r="M48" s="70">
        <f>M56/'Physical data'!M36</f>
        <v>51525.977725821554</v>
      </c>
      <c r="N48" s="70">
        <f>N56/'Physical data'!N36</f>
        <v>48214.031207137705</v>
      </c>
      <c r="O48" s="20">
        <f>O56/'Physical data'!O36</f>
        <v>45577.238614471142</v>
      </c>
      <c r="P48" s="20">
        <f>P56/'Physical data'!P36</f>
        <v>43514.530550862117</v>
      </c>
      <c r="Q48" s="20">
        <f>Q56/'Physical data'!Q36</f>
        <v>44144.57259461232</v>
      </c>
      <c r="R48" s="20">
        <f>R56/'Physical data'!R36</f>
        <v>39117.189265550485</v>
      </c>
      <c r="S48" s="20">
        <f>S56/'Physical data'!S36</f>
        <v>35515.197281399516</v>
      </c>
      <c r="T48" s="20">
        <f>T56/'Physical data'!T36</f>
        <v>37755.454975044995</v>
      </c>
      <c r="U48" s="70">
        <f>U56/'Physical data'!U36</f>
        <v>38722.299472722785</v>
      </c>
      <c r="V48" s="70">
        <f t="shared" si="12"/>
        <v>39050.942717866019</v>
      </c>
      <c r="W48" s="54">
        <f>$U48/$D48-1</f>
        <v>-0.17244216822081937</v>
      </c>
      <c r="X48" s="54">
        <f t="shared" si="11"/>
        <v>2.5608074338313136E-2</v>
      </c>
    </row>
    <row r="49" spans="1:24" x14ac:dyDescent="0.35">
      <c r="A49" s="27" t="s">
        <v>36</v>
      </c>
      <c r="B49" s="27" t="s">
        <v>88</v>
      </c>
      <c r="C49" s="77" t="s">
        <v>134</v>
      </c>
      <c r="D49" s="20">
        <f>D57/'Physical data'!D37</f>
        <v>51839.589390263325</v>
      </c>
      <c r="E49" s="20">
        <f>E57/'Physical data'!E37</f>
        <v>50328.81711083484</v>
      </c>
      <c r="F49" s="20">
        <f>F57/'Physical data'!F37</f>
        <v>51125.997570404099</v>
      </c>
      <c r="G49" s="20">
        <f>G57/'Physical data'!G37</f>
        <v>58158.25754964802</v>
      </c>
      <c r="H49" s="20">
        <f>H57/'Physical data'!H37</f>
        <v>60429.82462878291</v>
      </c>
      <c r="I49" s="20">
        <f>I57/'Physical data'!I37</f>
        <v>64197.463548680978</v>
      </c>
      <c r="J49" s="20">
        <f>J57/'Physical data'!J37</f>
        <v>66455.057813023101</v>
      </c>
      <c r="K49" s="20">
        <f>K57/'Physical data'!K37</f>
        <v>57737.078393863558</v>
      </c>
      <c r="L49" s="20">
        <f>L57/'Physical data'!L37</f>
        <v>57997.744332950599</v>
      </c>
      <c r="M49" s="70">
        <f>M57/'Physical data'!M37</f>
        <v>62088.052142133078</v>
      </c>
      <c r="N49" s="70">
        <f>N57/'Physical data'!N37</f>
        <v>57899.033749558432</v>
      </c>
      <c r="O49" s="20">
        <f>O57/'Physical data'!O37</f>
        <v>57227.932485680794</v>
      </c>
      <c r="P49" s="20">
        <f>P57/'Physical data'!P37</f>
        <v>52739.183541868078</v>
      </c>
      <c r="Q49" s="20">
        <f>Q57/'Physical data'!Q37</f>
        <v>51753.63459185703</v>
      </c>
      <c r="R49" s="20">
        <f>R57/'Physical data'!R37</f>
        <v>49902.36004032028</v>
      </c>
      <c r="S49" s="20">
        <f>S57/'Physical data'!S37</f>
        <v>45874.533508649343</v>
      </c>
      <c r="T49" s="20">
        <f>T57/'Physical data'!T37</f>
        <v>45862.166320846045</v>
      </c>
      <c r="U49" s="70">
        <f>U57/'Physical data'!U37</f>
        <v>53700.421594247506</v>
      </c>
      <c r="V49" s="70">
        <f t="shared" si="12"/>
        <v>49418.623211184044</v>
      </c>
      <c r="W49" s="54">
        <f t="shared" si="10"/>
        <v>3.5895967268862794E-2</v>
      </c>
      <c r="X49" s="54">
        <f>U49/T49-1</f>
        <v>0.17090896270721267</v>
      </c>
    </row>
    <row r="50" spans="1:24" x14ac:dyDescent="0.35">
      <c r="C50" s="72"/>
      <c r="D50" s="11">
        <f>MAX(D45:D49)-MIN(D45:D49)</f>
        <v>19586.688178085256</v>
      </c>
      <c r="E50" s="11">
        <f t="shared" ref="E50:R50" si="13">MAX(E45:E49)-MIN(E45:E49)</f>
        <v>14718.974486725303</v>
      </c>
      <c r="F50" s="11">
        <f t="shared" si="13"/>
        <v>17792.203237828122</v>
      </c>
      <c r="G50" s="11">
        <f t="shared" si="13"/>
        <v>20288.549640705969</v>
      </c>
      <c r="H50" s="11">
        <f t="shared" si="13"/>
        <v>21457.450770787327</v>
      </c>
      <c r="I50" s="11">
        <f t="shared" si="13"/>
        <v>17151.96331304402</v>
      </c>
      <c r="J50" s="11">
        <f t="shared" si="13"/>
        <v>16836.415457007861</v>
      </c>
      <c r="K50" s="11">
        <f t="shared" si="13"/>
        <v>13529.671750052177</v>
      </c>
      <c r="L50" s="11">
        <f t="shared" si="13"/>
        <v>9158.9951635262187</v>
      </c>
      <c r="M50" s="11">
        <f t="shared" si="13"/>
        <v>15027.581301416496</v>
      </c>
      <c r="N50" s="71">
        <f t="shared" si="13"/>
        <v>16637.878969335048</v>
      </c>
      <c r="O50" s="11">
        <f t="shared" si="13"/>
        <v>16726.323159176849</v>
      </c>
      <c r="P50" s="11">
        <f t="shared" si="13"/>
        <v>17936.99065372569</v>
      </c>
      <c r="Q50" s="11">
        <f t="shared" si="13"/>
        <v>18083.247252486013</v>
      </c>
      <c r="R50" s="11">
        <f t="shared" si="13"/>
        <v>19811.950982009381</v>
      </c>
      <c r="S50" s="11">
        <f t="shared" ref="S50:V50" si="14">MAX(S45:S49)-MIN(S45:S49)</f>
        <v>18016.122525041792</v>
      </c>
      <c r="T50" s="11">
        <f t="shared" si="14"/>
        <v>15952.230116438346</v>
      </c>
      <c r="U50" s="71">
        <f t="shared" si="14"/>
        <v>15094.343125182699</v>
      </c>
      <c r="V50" s="71">
        <f t="shared" si="14"/>
        <v>16412.187746849762</v>
      </c>
      <c r="W50" s="74"/>
      <c r="X50" s="74"/>
    </row>
    <row r="51" spans="1:24" x14ac:dyDescent="0.35">
      <c r="C51" s="57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U51" s="74"/>
      <c r="V51" s="74"/>
      <c r="W51" s="74"/>
      <c r="X51" s="74"/>
    </row>
    <row r="52" spans="1:24" x14ac:dyDescent="0.35">
      <c r="A52" s="29" t="s">
        <v>39</v>
      </c>
      <c r="B52" s="29" t="s">
        <v>39</v>
      </c>
      <c r="C52" s="58"/>
      <c r="D52" s="30">
        <v>2006</v>
      </c>
      <c r="E52" s="30">
        <v>2007</v>
      </c>
      <c r="F52" s="30">
        <v>2008</v>
      </c>
      <c r="G52" s="30">
        <v>2009</v>
      </c>
      <c r="H52" s="30">
        <v>2010</v>
      </c>
      <c r="I52" s="30">
        <v>2011</v>
      </c>
      <c r="J52" s="30">
        <v>2012</v>
      </c>
      <c r="K52" s="30">
        <v>2013</v>
      </c>
      <c r="L52" s="30">
        <v>2014</v>
      </c>
      <c r="M52" s="30">
        <v>2015</v>
      </c>
      <c r="N52" s="30">
        <v>2016</v>
      </c>
      <c r="O52" s="30">
        <v>2017</v>
      </c>
      <c r="P52" s="30">
        <v>2018</v>
      </c>
      <c r="Q52" s="30">
        <v>2019</v>
      </c>
      <c r="R52" s="30">
        <v>2020</v>
      </c>
      <c r="S52" s="30">
        <v>2021</v>
      </c>
      <c r="T52" s="30">
        <v>2022</v>
      </c>
      <c r="U52" s="69">
        <v>2023</v>
      </c>
      <c r="V52" s="69" t="s">
        <v>22</v>
      </c>
      <c r="W52" s="76" t="s">
        <v>112</v>
      </c>
      <c r="X52" s="76" t="s">
        <v>113</v>
      </c>
    </row>
    <row r="53" spans="1:24" x14ac:dyDescent="0.35">
      <c r="A53" s="27" t="s">
        <v>35</v>
      </c>
      <c r="B53" s="27" t="s">
        <v>84</v>
      </c>
      <c r="C53" s="59" t="s">
        <v>110</v>
      </c>
      <c r="D53" s="31">
        <f>'Asset cost and Total cost'!C19</f>
        <v>245970209.05036229</v>
      </c>
      <c r="E53" s="31">
        <f>'Asset cost and Total cost'!D19</f>
        <v>250255090.88660905</v>
      </c>
      <c r="F53" s="31">
        <f>'Asset cost and Total cost'!E19</f>
        <v>242584360.24246523</v>
      </c>
      <c r="G53" s="31">
        <f>'Asset cost and Total cost'!F19</f>
        <v>279420919.91251123</v>
      </c>
      <c r="H53" s="31">
        <f>'Asset cost and Total cost'!G19</f>
        <v>270673272.60448855</v>
      </c>
      <c r="I53" s="31">
        <f>'Asset cost and Total cost'!H19</f>
        <v>295734311.84849507</v>
      </c>
      <c r="J53" s="31">
        <f>'Asset cost and Total cost'!I19</f>
        <v>309911787.22102779</v>
      </c>
      <c r="K53" s="31">
        <f>'Asset cost and Total cost'!J19</f>
        <v>294534886.61007273</v>
      </c>
      <c r="L53" s="31">
        <f>'Asset cost and Total cost'!K19</f>
        <v>280130945.40366834</v>
      </c>
      <c r="M53" s="31">
        <f>'Asset cost and Total cost'!L19</f>
        <v>316017284.65990889</v>
      </c>
      <c r="N53" s="31">
        <f>'Asset cost and Total cost'!M19</f>
        <v>306315246.54655528</v>
      </c>
      <c r="O53" s="31">
        <f>'Asset cost and Total cost'!N19</f>
        <v>311857432.07854432</v>
      </c>
      <c r="P53" s="31">
        <f>'Asset cost and Total cost'!O19</f>
        <v>313064423.03469992</v>
      </c>
      <c r="Q53" s="31">
        <f>'Asset cost and Total cost'!P19</f>
        <v>316046079.91440523</v>
      </c>
      <c r="R53" s="31">
        <f>'Asset cost and Total cost'!Q19</f>
        <v>325264044.99848622</v>
      </c>
      <c r="S53" s="31">
        <f>'Asset cost and Total cost'!R19</f>
        <v>295232669.5859769</v>
      </c>
      <c r="T53" s="31">
        <f>'Asset cost and Total cost'!S19</f>
        <v>296361100.93452364</v>
      </c>
      <c r="U53" s="79">
        <f>'Asset cost and Total cost'!T19</f>
        <v>325146108.43282688</v>
      </c>
      <c r="V53" s="70">
        <f>AVERAGE(Q53:U53)</f>
        <v>311610000.77324373</v>
      </c>
      <c r="W53" s="54">
        <f>$U53/$D53-1</f>
        <v>0.32189223112890608</v>
      </c>
      <c r="X53" s="54">
        <f>U53/T53-1</f>
        <v>9.7128156858422576E-2</v>
      </c>
    </row>
    <row r="54" spans="1:24" x14ac:dyDescent="0.35">
      <c r="A54" s="27" t="s">
        <v>19</v>
      </c>
      <c r="B54" s="27" t="s">
        <v>85</v>
      </c>
      <c r="C54" s="59" t="s">
        <v>110</v>
      </c>
      <c r="D54" s="31">
        <f>'Asset cost and Total cost'!C20</f>
        <v>650900576.75752604</v>
      </c>
      <c r="E54" s="31">
        <f>'Asset cost and Total cost'!D20</f>
        <v>651471420.84915733</v>
      </c>
      <c r="F54" s="31">
        <f>'Asset cost and Total cost'!E20</f>
        <v>717788747.34401941</v>
      </c>
      <c r="G54" s="31">
        <f>'Asset cost and Total cost'!F20</f>
        <v>846216231.45201719</v>
      </c>
      <c r="H54" s="31">
        <f>'Asset cost and Total cost'!G20</f>
        <v>850764754.10475624</v>
      </c>
      <c r="I54" s="31">
        <f>'Asset cost and Total cost'!H20</f>
        <v>954969932.6482898</v>
      </c>
      <c r="J54" s="31">
        <f>'Asset cost and Total cost'!I20</f>
        <v>999154284.64913082</v>
      </c>
      <c r="K54" s="31">
        <f>'Asset cost and Total cost'!J20</f>
        <v>856752883.31226623</v>
      </c>
      <c r="L54" s="31">
        <f>'Asset cost and Total cost'!K20</f>
        <v>823537983.32131767</v>
      </c>
      <c r="M54" s="31">
        <f>'Asset cost and Total cost'!L20</f>
        <v>944408214.30081844</v>
      </c>
      <c r="N54" s="31">
        <f>'Asset cost and Total cost'!M20</f>
        <v>875722458.65963614</v>
      </c>
      <c r="O54" s="31">
        <f>'Asset cost and Total cost'!N20</f>
        <v>845279564.81364667</v>
      </c>
      <c r="P54" s="31">
        <f>'Asset cost and Total cost'!O20</f>
        <v>760731015.37627792</v>
      </c>
      <c r="Q54" s="31">
        <f>'Asset cost and Total cost'!P20</f>
        <v>791269553.93417037</v>
      </c>
      <c r="R54" s="31">
        <f>'Asset cost and Total cost'!Q20</f>
        <v>750121929.77053416</v>
      </c>
      <c r="S54" s="31">
        <f>'Asset cost and Total cost'!R20</f>
        <v>681639639.09815252</v>
      </c>
      <c r="T54" s="31">
        <f>'Asset cost and Total cost'!S20</f>
        <v>657509803.70854092</v>
      </c>
      <c r="U54" s="79">
        <f>'Asset cost and Total cost'!T20</f>
        <v>692015051.86970937</v>
      </c>
      <c r="V54" s="70">
        <f>AVERAGE(Q54:U54)</f>
        <v>714511195.67622149</v>
      </c>
      <c r="W54" s="54">
        <f t="shared" ref="W54:W56" si="15">$U54/$D54-1</f>
        <v>6.3165522631729587E-2</v>
      </c>
      <c r="X54" s="54">
        <f t="shared" ref="X54" si="16">U54/T54-1</f>
        <v>5.2478682396139398E-2</v>
      </c>
    </row>
    <row r="55" spans="1:24" x14ac:dyDescent="0.35">
      <c r="A55" s="27" t="s">
        <v>33</v>
      </c>
      <c r="B55" s="27" t="s">
        <v>86</v>
      </c>
      <c r="C55" s="59" t="s">
        <v>110</v>
      </c>
      <c r="D55" s="31">
        <f>'Asset cost and Total cost'!C21</f>
        <v>417423048.84172535</v>
      </c>
      <c r="E55" s="31">
        <f>'Asset cost and Total cost'!D21</f>
        <v>393855236.50944722</v>
      </c>
      <c r="F55" s="31">
        <f>'Asset cost and Total cost'!E21</f>
        <v>405877783.26142716</v>
      </c>
      <c r="G55" s="31">
        <f>'Asset cost and Total cost'!F21</f>
        <v>467067422.55417156</v>
      </c>
      <c r="H55" s="31">
        <f>'Asset cost and Total cost'!G21</f>
        <v>464420859.89461339</v>
      </c>
      <c r="I55" s="31">
        <f>'Asset cost and Total cost'!H21</f>
        <v>465869467.51457614</v>
      </c>
      <c r="J55" s="31">
        <f>'Asset cost and Total cost'!I21</f>
        <v>478012502.64824766</v>
      </c>
      <c r="K55" s="31">
        <f>'Asset cost and Total cost'!J21</f>
        <v>439184842.33417952</v>
      </c>
      <c r="L55" s="31">
        <f>'Asset cost and Total cost'!K21</f>
        <v>393203790.97487241</v>
      </c>
      <c r="M55" s="31">
        <f>'Asset cost and Total cost'!L21</f>
        <v>437469854.19784117</v>
      </c>
      <c r="N55" s="31">
        <f>'Asset cost and Total cost'!M21</f>
        <v>425353611.02652872</v>
      </c>
      <c r="O55" s="31">
        <f>'Asset cost and Total cost'!N21</f>
        <v>408709625.80275744</v>
      </c>
      <c r="P55" s="31">
        <f>'Asset cost and Total cost'!O21</f>
        <v>407037670.03325236</v>
      </c>
      <c r="Q55" s="31">
        <f>'Asset cost and Total cost'!P21</f>
        <v>412431677.54800302</v>
      </c>
      <c r="R55" s="31">
        <f>'Asset cost and Total cost'!Q21</f>
        <v>390096115.50817198</v>
      </c>
      <c r="S55" s="31">
        <f>'Asset cost and Total cost'!R21</f>
        <v>340350585.32012701</v>
      </c>
      <c r="T55" s="31">
        <f>'Asset cost and Total cost'!S21</f>
        <v>318590375.9466002</v>
      </c>
      <c r="U55" s="79">
        <f>'Asset cost and Total cost'!T21</f>
        <v>349713311.56963736</v>
      </c>
      <c r="V55" s="70">
        <f>AVERAGE(Q55:U55)</f>
        <v>362236413.17850792</v>
      </c>
      <c r="W55" s="54">
        <f t="shared" si="15"/>
        <v>-0.16220890882755623</v>
      </c>
      <c r="X55" s="54">
        <f>U55/T55-1</f>
        <v>9.7689503427604407E-2</v>
      </c>
    </row>
    <row r="56" spans="1:24" x14ac:dyDescent="0.35">
      <c r="A56" s="27" t="s">
        <v>27</v>
      </c>
      <c r="B56" s="27" t="s">
        <v>87</v>
      </c>
      <c r="C56" s="59" t="s">
        <v>110</v>
      </c>
      <c r="D56" s="31">
        <f>'Asset cost and Total cost'!C22</f>
        <v>167572785.58227146</v>
      </c>
      <c r="E56" s="31">
        <f>'Asset cost and Total cost'!D22</f>
        <v>163732267.96793997</v>
      </c>
      <c r="F56" s="31">
        <f>'Asset cost and Total cost'!E22</f>
        <v>187068898.07037216</v>
      </c>
      <c r="G56" s="31">
        <f>'Asset cost and Total cost'!F22</f>
        <v>201931148.95027021</v>
      </c>
      <c r="H56" s="31">
        <f>'Asset cost and Total cost'!G22</f>
        <v>206928513.72486097</v>
      </c>
      <c r="I56" s="31">
        <f>'Asset cost and Total cost'!H22</f>
        <v>220498816.294386</v>
      </c>
      <c r="J56" s="31">
        <f>'Asset cost and Total cost'!I22</f>
        <v>234464755.36098126</v>
      </c>
      <c r="K56" s="31">
        <f>'Asset cost and Total cost'!J22</f>
        <v>204678241.09245145</v>
      </c>
      <c r="L56" s="31">
        <f>'Asset cost and Total cost'!K22</f>
        <v>195778953.74106845</v>
      </c>
      <c r="M56" s="31">
        <f>'Asset cost and Total cost'!L22</f>
        <v>183623126.82151029</v>
      </c>
      <c r="N56" s="31">
        <f>'Asset cost and Total cost'!M22</f>
        <v>171820343.01287666</v>
      </c>
      <c r="O56" s="31">
        <f>'Asset cost and Total cost'!N22</f>
        <v>162423605.2503908</v>
      </c>
      <c r="P56" s="31">
        <f>'Asset cost and Total cost'!O22</f>
        <v>154267713.70891637</v>
      </c>
      <c r="Q56" s="31">
        <f>'Asset cost and Total cost'!P22</f>
        <v>156501338.76241958</v>
      </c>
      <c r="R56" s="31">
        <f>'Asset cost and Total cost'!Q22</f>
        <v>131063597.08955818</v>
      </c>
      <c r="S56" s="31">
        <f>'Asset cost and Total cost'!R22</f>
        <v>118984256.9640495</v>
      </c>
      <c r="T56" s="31">
        <f>'Asset cost and Total cost'!S22</f>
        <v>126030842.40946311</v>
      </c>
      <c r="U56" s="79">
        <f>'Asset cost and Total cost'!T22</f>
        <v>129223326.37485574</v>
      </c>
      <c r="V56" s="70">
        <f>AVERAGE(Q56:U56)</f>
        <v>132360672.32006922</v>
      </c>
      <c r="W56" s="54">
        <f t="shared" si="15"/>
        <v>-0.22885254950057321</v>
      </c>
      <c r="X56" s="54">
        <f>U56/T56-1</f>
        <v>2.5330973786722222E-2</v>
      </c>
    </row>
    <row r="57" spans="1:24" x14ac:dyDescent="0.35">
      <c r="A57" s="27" t="s">
        <v>36</v>
      </c>
      <c r="B57" s="27" t="s">
        <v>88</v>
      </c>
      <c r="C57" s="59" t="s">
        <v>110</v>
      </c>
      <c r="D57" s="31">
        <f>'Asset cost and Total cost'!C23</f>
        <v>648888115.34307528</v>
      </c>
      <c r="E57" s="31">
        <f>'Asset cost and Total cost'!D23</f>
        <v>630443625.56597018</v>
      </c>
      <c r="F57" s="31">
        <f>'Asset cost and Total cost'!E23</f>
        <v>640277146.33692193</v>
      </c>
      <c r="G57" s="31">
        <f>'Asset cost and Total cost'!F23</f>
        <v>728336156.52612722</v>
      </c>
      <c r="H57" s="31">
        <f>'Asset cost and Total cost'!G23</f>
        <v>766398773.23172939</v>
      </c>
      <c r="I57" s="31">
        <f>'Asset cost and Total cost'!H23</f>
        <v>814143437.67186606</v>
      </c>
      <c r="J57" s="31">
        <f>'Asset cost and Total cost'!I23</f>
        <v>843793625.24892163</v>
      </c>
      <c r="K57" s="31">
        <f>'Asset cost and Total cost'!J23</f>
        <v>744439775.50945199</v>
      </c>
      <c r="L57" s="31">
        <f>'Asset cost and Total cost'!K23</f>
        <v>749891462.97844422</v>
      </c>
      <c r="M57" s="31">
        <f>'Asset cost and Total cost'!L23</f>
        <v>808682269.68360293</v>
      </c>
      <c r="N57" s="31">
        <f>'Asset cost and Total cost'!M23</f>
        <v>754956791.37207353</v>
      </c>
      <c r="O57" s="31">
        <f>'Asset cost and Total cost'!N23</f>
        <v>748433390.54648471</v>
      </c>
      <c r="P57" s="31">
        <f>'Asset cost and Total cost'!O23</f>
        <v>690329263.29222584</v>
      </c>
      <c r="Q57" s="31">
        <f>'Asset cost and Total cost'!P23</f>
        <v>675507857.67891824</v>
      </c>
      <c r="R57" s="31">
        <f>'Asset cost and Total cost'!Q23</f>
        <v>651348124.68036997</v>
      </c>
      <c r="S57" s="31">
        <f>'Asset cost and Total cost'!R23</f>
        <v>598132949.04944956</v>
      </c>
      <c r="T57" s="31">
        <f>'Asset cost and Total cost'!S23</f>
        <v>599640624.28494966</v>
      </c>
      <c r="U57" s="79">
        <f>'Asset cost and Total cost'!T23</f>
        <v>702243903.71537817</v>
      </c>
      <c r="V57" s="70">
        <f t="shared" ref="V57" si="17">AVERAGE(Q57:U57)</f>
        <v>645374691.88181317</v>
      </c>
      <c r="W57" s="54">
        <f>$U57/$D57-1</f>
        <v>8.222648421306511E-2</v>
      </c>
      <c r="X57" s="54">
        <f>U57/T57-1</f>
        <v>0.17110795245532162</v>
      </c>
    </row>
  </sheetData>
  <phoneticPr fontId="1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28"/>
  <sheetViews>
    <sheetView topLeftCell="A78" zoomScale="85" zoomScaleNormal="85" workbookViewId="0">
      <selection activeCell="C146" sqref="B146:C146"/>
    </sheetView>
  </sheetViews>
  <sheetFormatPr defaultRowHeight="14.5" x14ac:dyDescent="0.35"/>
  <cols>
    <col min="21" max="21" width="9.1796875" customWidth="1"/>
  </cols>
  <sheetData>
    <row r="1" spans="1:15" ht="21" x14ac:dyDescent="0.5">
      <c r="A1" s="10" t="s">
        <v>80</v>
      </c>
      <c r="O1" s="16" t="s">
        <v>123</v>
      </c>
    </row>
    <row r="2" spans="1:15" ht="21" x14ac:dyDescent="0.5">
      <c r="A2" s="16" t="s">
        <v>124</v>
      </c>
    </row>
    <row r="27" spans="1:16" ht="21" x14ac:dyDescent="0.5">
      <c r="A27" s="16" t="s">
        <v>125</v>
      </c>
      <c r="P27" s="16" t="s">
        <v>121</v>
      </c>
    </row>
    <row r="53" spans="1:16" ht="26" x14ac:dyDescent="0.6">
      <c r="A53" s="16" t="s">
        <v>126</v>
      </c>
      <c r="J53" s="9"/>
      <c r="P53" s="16" t="s">
        <v>122</v>
      </c>
    </row>
    <row r="74" spans="1:16" ht="21" x14ac:dyDescent="0.5">
      <c r="P74" s="16" t="s">
        <v>120</v>
      </c>
    </row>
    <row r="76" spans="1:16" ht="21" x14ac:dyDescent="0.5">
      <c r="P76" s="16"/>
    </row>
    <row r="78" spans="1:16" ht="26" x14ac:dyDescent="0.6">
      <c r="A78" s="16" t="s">
        <v>127</v>
      </c>
      <c r="K78" s="9"/>
    </row>
    <row r="100" spans="16:16" ht="21" x14ac:dyDescent="0.5">
      <c r="P100" s="16" t="s">
        <v>128</v>
      </c>
    </row>
    <row r="128" spans="16:16" ht="21" x14ac:dyDescent="0.5">
      <c r="P128" s="16" t="s">
        <v>129</v>
      </c>
    </row>
  </sheetData>
  <pageMargins left="0.7" right="0.7" top="0.75" bottom="0.75" header="0.3" footer="0.3"/>
  <pageSetup paperSize="9" scale="5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U21"/>
  <sheetViews>
    <sheetView topLeftCell="I1" workbookViewId="0">
      <selection activeCell="R52" sqref="R52"/>
    </sheetView>
  </sheetViews>
  <sheetFormatPr defaultColWidth="9.1796875" defaultRowHeight="14.5" x14ac:dyDescent="0.35"/>
  <cols>
    <col min="1" max="1" width="23.54296875" customWidth="1"/>
    <col min="2" max="15" width="12.1796875" customWidth="1"/>
    <col min="16" max="17" width="11" bestFit="1" customWidth="1"/>
    <col min="18" max="20" width="11" customWidth="1"/>
  </cols>
  <sheetData>
    <row r="1" spans="1:21" x14ac:dyDescent="0.35">
      <c r="A1" s="10" t="s">
        <v>23</v>
      </c>
      <c r="T1" s="74"/>
    </row>
    <row r="2" spans="1:21" x14ac:dyDescent="0.35">
      <c r="B2" s="10" t="str">
        <f>"Real $"&amp;Real_year&amp;""</f>
        <v>Real $2023</v>
      </c>
      <c r="C2">
        <v>2006</v>
      </c>
      <c r="D2">
        <v>2007</v>
      </c>
      <c r="E2">
        <v>2008</v>
      </c>
      <c r="F2">
        <v>2009</v>
      </c>
      <c r="G2">
        <v>2010</v>
      </c>
      <c r="H2">
        <v>2011</v>
      </c>
      <c r="I2">
        <v>2012</v>
      </c>
      <c r="J2">
        <v>2013</v>
      </c>
      <c r="K2">
        <v>2014</v>
      </c>
      <c r="L2">
        <v>2015</v>
      </c>
      <c r="M2">
        <v>2016</v>
      </c>
      <c r="N2">
        <v>2017</v>
      </c>
      <c r="O2">
        <v>2018</v>
      </c>
      <c r="P2">
        <v>2019</v>
      </c>
      <c r="Q2">
        <v>2020</v>
      </c>
      <c r="R2">
        <v>2021</v>
      </c>
      <c r="S2">
        <v>2022</v>
      </c>
      <c r="T2" s="74">
        <v>2023</v>
      </c>
    </row>
    <row r="3" spans="1:21" x14ac:dyDescent="0.35">
      <c r="A3" t="s">
        <v>52</v>
      </c>
      <c r="C3" s="17">
        <f>CPI!F13</f>
        <v>1.6031175059952036</v>
      </c>
      <c r="D3" s="17">
        <f>CPI!G13</f>
        <v>1.5420991926182235</v>
      </c>
      <c r="E3" s="17">
        <f>CPI!H13</f>
        <v>1.5141562853907133</v>
      </c>
      <c r="F3" s="17">
        <f>CPI!I13</f>
        <v>1.442286947141316</v>
      </c>
      <c r="G3" s="17">
        <f>CPI!J13</f>
        <v>1.4253731343283582</v>
      </c>
      <c r="H3" s="17">
        <f>CPI!K13</f>
        <v>1.3854922279792745</v>
      </c>
      <c r="I3" s="17">
        <f>CPI!L13</f>
        <v>1.3396793587174347</v>
      </c>
      <c r="J3" s="17">
        <f>CPI!M13</f>
        <v>1.3133595284872297</v>
      </c>
      <c r="K3" s="17">
        <f>CPI!N13</f>
        <v>1.285576923076923</v>
      </c>
      <c r="L3" s="17">
        <f>CPI!O13</f>
        <v>1.2565789473684208</v>
      </c>
      <c r="M3" s="17">
        <f>CPI!P13</f>
        <v>1.2379629629629629</v>
      </c>
      <c r="N3" s="17">
        <f>CPI!Q13</f>
        <v>1.2221206581352833</v>
      </c>
      <c r="O3" s="17">
        <f>CPI!R13</f>
        <v>1.2001795332136445</v>
      </c>
      <c r="P3" s="17">
        <f>CPI!S13</f>
        <v>1.1779735682819383</v>
      </c>
      <c r="Q3" s="17">
        <f>CPI!T13</f>
        <v>1.1585788561525128</v>
      </c>
      <c r="R3" s="17">
        <f>CPI!U13</f>
        <v>1.1506024096385541</v>
      </c>
      <c r="S3" s="17">
        <f>CPI!V13</f>
        <v>1.1169590643274852</v>
      </c>
      <c r="T3" s="17">
        <f>CPI!W13</f>
        <v>1.0410283522553407</v>
      </c>
    </row>
    <row r="4" spans="1:21" x14ac:dyDescent="0.35">
      <c r="A4" t="s">
        <v>51</v>
      </c>
      <c r="C4" s="17">
        <f>CPI!F12</f>
        <v>1.5954653937947494</v>
      </c>
      <c r="D4" s="17">
        <f>CPI!G12</f>
        <v>1.543879907621247</v>
      </c>
      <c r="E4" s="17">
        <f>CPI!H12</f>
        <v>1.5005611672278338</v>
      </c>
      <c r="F4" s="17">
        <f>CPI!I12</f>
        <v>1.4469696969696968</v>
      </c>
      <c r="G4" s="17">
        <f>CPI!J12</f>
        <v>1.417815482502651</v>
      </c>
      <c r="H4" s="17">
        <f>CPI!K12</f>
        <v>1.3797729618163053</v>
      </c>
      <c r="I4" s="17">
        <f>CPI!L12</f>
        <v>1.3396793587174347</v>
      </c>
      <c r="J4" s="17">
        <f>CPI!M12</f>
        <v>1.31078431372549</v>
      </c>
      <c r="K4" s="17">
        <f>CPI!N12</f>
        <v>1.2757633587786259</v>
      </c>
      <c r="L4" s="17">
        <f>CPI!O12</f>
        <v>1.2542213883677298</v>
      </c>
      <c r="M4" s="17">
        <f>CPI!P12</f>
        <v>1.2333948339483394</v>
      </c>
      <c r="N4" s="17">
        <f>CPI!Q12</f>
        <v>1.2154545454545453</v>
      </c>
      <c r="O4" s="17">
        <f>CPI!R12</f>
        <v>1.1926851025869758</v>
      </c>
      <c r="P4" s="17">
        <f>CPI!S12</f>
        <v>1.1717791411042944</v>
      </c>
      <c r="Q4" s="17">
        <f>CPI!T12</f>
        <v>1.1506024096385541</v>
      </c>
      <c r="R4" s="17">
        <f>CPI!U12</f>
        <v>1.1407849829351535</v>
      </c>
      <c r="S4" s="17">
        <f>CPI!V12</f>
        <v>1.1022258862324814</v>
      </c>
      <c r="T4" s="17">
        <f>CPI!W12</f>
        <v>1.0224729927945095</v>
      </c>
    </row>
    <row r="5" spans="1:21" x14ac:dyDescent="0.35"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21" x14ac:dyDescent="0.35">
      <c r="A6" s="10" t="s">
        <v>46</v>
      </c>
    </row>
    <row r="7" spans="1:21" x14ac:dyDescent="0.35">
      <c r="A7" s="10" t="s">
        <v>56</v>
      </c>
      <c r="B7" s="10"/>
      <c r="C7">
        <v>2006</v>
      </c>
      <c r="D7">
        <v>2007</v>
      </c>
      <c r="E7">
        <v>2008</v>
      </c>
      <c r="F7">
        <v>2009</v>
      </c>
      <c r="G7">
        <v>2010</v>
      </c>
      <c r="H7">
        <v>2011</v>
      </c>
      <c r="I7">
        <v>2012</v>
      </c>
      <c r="J7">
        <v>2013</v>
      </c>
      <c r="K7">
        <v>2014</v>
      </c>
      <c r="L7">
        <v>2015</v>
      </c>
      <c r="M7">
        <v>2016</v>
      </c>
      <c r="N7">
        <v>2017</v>
      </c>
      <c r="O7">
        <v>2018</v>
      </c>
      <c r="P7">
        <v>2019</v>
      </c>
      <c r="Q7">
        <v>2020</v>
      </c>
      <c r="R7">
        <v>2021</v>
      </c>
      <c r="S7">
        <v>2022</v>
      </c>
      <c r="T7">
        <v>2023</v>
      </c>
    </row>
    <row r="8" spans="1:21" x14ac:dyDescent="0.35">
      <c r="A8" s="27" t="s">
        <v>35</v>
      </c>
      <c r="B8" s="27" t="s">
        <v>57</v>
      </c>
      <c r="C8" s="19">
        <v>48431</v>
      </c>
      <c r="D8" s="19">
        <v>52930</v>
      </c>
      <c r="E8" s="19">
        <v>49444.635999999999</v>
      </c>
      <c r="F8" s="19">
        <v>54853</v>
      </c>
      <c r="G8" s="19">
        <v>57567</v>
      </c>
      <c r="H8" s="19">
        <v>64370</v>
      </c>
      <c r="I8" s="19">
        <v>72584</v>
      </c>
      <c r="J8" s="19">
        <v>70527</v>
      </c>
      <c r="K8" s="19">
        <v>74159.945999999996</v>
      </c>
      <c r="L8" s="19">
        <v>79605.847320000015</v>
      </c>
      <c r="M8" s="19">
        <v>85108.198999999993</v>
      </c>
      <c r="N8" s="19">
        <v>89639.633000000002</v>
      </c>
      <c r="O8" s="19">
        <v>93127.422000000006</v>
      </c>
      <c r="P8" s="19">
        <v>93342.453999999998</v>
      </c>
      <c r="Q8" s="19">
        <v>99872.368640000001</v>
      </c>
      <c r="R8" s="19">
        <v>99744.818639999983</v>
      </c>
      <c r="S8" s="19">
        <v>100163.51430000002</v>
      </c>
      <c r="T8" s="19">
        <v>109464.58906</v>
      </c>
    </row>
    <row r="9" spans="1:21" x14ac:dyDescent="0.35">
      <c r="A9" s="27" t="s">
        <v>19</v>
      </c>
      <c r="B9" s="27" t="s">
        <v>57</v>
      </c>
      <c r="C9" s="19">
        <v>118781</v>
      </c>
      <c r="D9" s="19">
        <v>128265</v>
      </c>
      <c r="E9" s="19">
        <v>144112</v>
      </c>
      <c r="F9" s="19">
        <v>142796</v>
      </c>
      <c r="G9" s="19">
        <v>151902</v>
      </c>
      <c r="H9" s="19">
        <v>151029</v>
      </c>
      <c r="I9" s="19">
        <v>160384</v>
      </c>
      <c r="J9" s="19">
        <v>167377.59669000003</v>
      </c>
      <c r="K9" s="19">
        <v>181019.7816758781</v>
      </c>
      <c r="L9" s="19">
        <v>211260.9936596599</v>
      </c>
      <c r="M9" s="19">
        <v>217661</v>
      </c>
      <c r="N9" s="19">
        <v>226261.149</v>
      </c>
      <c r="O9" s="19">
        <v>187614.23428</v>
      </c>
      <c r="P9" s="19">
        <v>199366.94991747182</v>
      </c>
      <c r="Q9" s="19">
        <v>202101.092</v>
      </c>
      <c r="R9" s="19">
        <v>210668.87551737879</v>
      </c>
      <c r="S9" s="19">
        <v>206412.70912020755</v>
      </c>
      <c r="T9" s="19">
        <v>217681.15061000001</v>
      </c>
      <c r="U9" s="75"/>
    </row>
    <row r="10" spans="1:21" x14ac:dyDescent="0.35">
      <c r="A10" s="27" t="s">
        <v>33</v>
      </c>
      <c r="B10" s="27" t="s">
        <v>57</v>
      </c>
      <c r="C10" s="19">
        <v>61764.624702139656</v>
      </c>
      <c r="D10" s="19">
        <v>61817.594227019435</v>
      </c>
      <c r="E10" s="19">
        <v>58269.389500000005</v>
      </c>
      <c r="F10" s="19">
        <v>77590.490999999995</v>
      </c>
      <c r="G10" s="19">
        <v>80063.390000000014</v>
      </c>
      <c r="H10" s="19">
        <v>75097.619000000006</v>
      </c>
      <c r="I10" s="19">
        <v>72741.886999999988</v>
      </c>
      <c r="J10" s="19">
        <v>76129.812000000005</v>
      </c>
      <c r="K10" s="19">
        <v>82734.26797981601</v>
      </c>
      <c r="L10" s="19">
        <v>84644.97681966683</v>
      </c>
      <c r="M10" s="19">
        <v>89390.247875063069</v>
      </c>
      <c r="N10" s="19">
        <v>87642.229003035784</v>
      </c>
      <c r="O10" s="19">
        <v>81805.580155681397</v>
      </c>
      <c r="P10" s="19">
        <v>86909.794011443286</v>
      </c>
      <c r="Q10" s="19">
        <v>79623.555988176173</v>
      </c>
      <c r="R10" s="19">
        <v>72153.170949800013</v>
      </c>
      <c r="S10" s="19">
        <v>84319.262489197703</v>
      </c>
      <c r="T10" s="19">
        <v>85415.736892690606</v>
      </c>
    </row>
    <row r="11" spans="1:21" x14ac:dyDescent="0.35">
      <c r="A11" s="27" t="s">
        <v>27</v>
      </c>
      <c r="B11" s="27" t="s">
        <v>57</v>
      </c>
      <c r="C11" s="19">
        <v>35426.048000000003</v>
      </c>
      <c r="D11" s="19">
        <v>37656.624000000003</v>
      </c>
      <c r="E11" s="19">
        <v>46334.126000000004</v>
      </c>
      <c r="F11" s="19">
        <v>46642.640999999996</v>
      </c>
      <c r="G11" s="19">
        <v>47779.507999999994</v>
      </c>
      <c r="H11" s="19">
        <v>46557.578000000001</v>
      </c>
      <c r="I11" s="19">
        <v>46923.140000000007</v>
      </c>
      <c r="J11" s="19">
        <v>44976.582999999999</v>
      </c>
      <c r="K11" s="19">
        <v>45598</v>
      </c>
      <c r="L11" s="19">
        <v>34705.717769999996</v>
      </c>
      <c r="M11" s="19">
        <v>37603.399744925264</v>
      </c>
      <c r="N11" s="19">
        <v>32048.191384064245</v>
      </c>
      <c r="O11" s="19">
        <v>28974.888076739793</v>
      </c>
      <c r="P11" s="19">
        <v>31115.319920176305</v>
      </c>
      <c r="Q11" s="19">
        <v>27222.588454563338</v>
      </c>
      <c r="R11" s="19">
        <v>30726.430302345703</v>
      </c>
      <c r="S11" s="19">
        <v>32063.247471562656</v>
      </c>
      <c r="T11" s="19">
        <v>33686.456483628142</v>
      </c>
    </row>
    <row r="12" spans="1:21" x14ac:dyDescent="0.35">
      <c r="A12" s="27" t="s">
        <v>36</v>
      </c>
      <c r="B12" s="27" t="s">
        <v>57</v>
      </c>
      <c r="C12" s="19">
        <v>120730</v>
      </c>
      <c r="D12" s="19">
        <v>123090</v>
      </c>
      <c r="E12" s="19">
        <v>119710</v>
      </c>
      <c r="F12" s="19">
        <v>124140</v>
      </c>
      <c r="G12" s="19">
        <v>143240</v>
      </c>
      <c r="H12" s="19">
        <v>137770</v>
      </c>
      <c r="I12" s="19">
        <v>152110</v>
      </c>
      <c r="J12" s="19">
        <v>143050</v>
      </c>
      <c r="K12" s="19">
        <v>175638</v>
      </c>
      <c r="L12" s="19">
        <v>168228.603</v>
      </c>
      <c r="M12" s="19">
        <v>169534.48734000002</v>
      </c>
      <c r="N12" s="19">
        <v>170366.70697000079</v>
      </c>
      <c r="O12" s="19">
        <v>153556.69399000015</v>
      </c>
      <c r="P12" s="19">
        <v>154447.8451599995</v>
      </c>
      <c r="Q12" s="19">
        <v>161451.859</v>
      </c>
      <c r="R12" s="19">
        <v>168541.965</v>
      </c>
      <c r="S12" s="19">
        <v>185563.68299999999</v>
      </c>
      <c r="T12" s="19">
        <v>207535.59599999999</v>
      </c>
    </row>
    <row r="14" spans="1:21" x14ac:dyDescent="0.35">
      <c r="A14" s="10" t="str">
        <f>CONCATENATE(B2)</f>
        <v>Real $2023</v>
      </c>
      <c r="B14" s="10"/>
      <c r="C14">
        <v>2006</v>
      </c>
      <c r="D14">
        <v>2007</v>
      </c>
      <c r="E14">
        <v>2008</v>
      </c>
      <c r="F14">
        <v>2009</v>
      </c>
      <c r="G14">
        <v>2010</v>
      </c>
      <c r="H14">
        <v>2011</v>
      </c>
      <c r="I14">
        <v>2012</v>
      </c>
      <c r="J14">
        <v>2013</v>
      </c>
      <c r="K14">
        <v>2014</v>
      </c>
      <c r="L14">
        <v>2015</v>
      </c>
      <c r="M14">
        <v>2016</v>
      </c>
      <c r="N14">
        <v>2017</v>
      </c>
      <c r="O14">
        <v>2018</v>
      </c>
      <c r="P14">
        <v>2019</v>
      </c>
      <c r="Q14">
        <v>2020</v>
      </c>
      <c r="R14">
        <v>2021</v>
      </c>
      <c r="S14">
        <v>2022</v>
      </c>
      <c r="T14">
        <v>2023</v>
      </c>
      <c r="U14" t="s">
        <v>108</v>
      </c>
    </row>
    <row r="15" spans="1:21" x14ac:dyDescent="0.35">
      <c r="A15" s="27" t="s">
        <v>35</v>
      </c>
      <c r="B15" s="27" t="s">
        <v>109</v>
      </c>
      <c r="C15" s="20">
        <f t="shared" ref="C15:N15" si="0">C8*C$4</f>
        <v>77269.984486873509</v>
      </c>
      <c r="D15" s="20">
        <f t="shared" si="0"/>
        <v>81717.563510392603</v>
      </c>
      <c r="E15" s="20">
        <f t="shared" si="0"/>
        <v>74194.700709315366</v>
      </c>
      <c r="F15" s="20">
        <f t="shared" si="0"/>
        <v>79370.628787878784</v>
      </c>
      <c r="G15" s="20">
        <f t="shared" si="0"/>
        <v>81619.383881230111</v>
      </c>
      <c r="H15" s="20">
        <f t="shared" si="0"/>
        <v>88815.98555211557</v>
      </c>
      <c r="I15" s="20">
        <f t="shared" si="0"/>
        <v>97239.286573146281</v>
      </c>
      <c r="J15" s="20">
        <f t="shared" si="0"/>
        <v>92445.685294117633</v>
      </c>
      <c r="K15" s="20">
        <f t="shared" si="0"/>
        <v>94610.541795801517</v>
      </c>
      <c r="L15" s="20">
        <f t="shared" si="0"/>
        <v>99843.356347879933</v>
      </c>
      <c r="M15" s="20">
        <f>M8*M$4</f>
        <v>104972.01297324721</v>
      </c>
      <c r="N15" s="20">
        <f t="shared" si="0"/>
        <v>108952.89938272726</v>
      </c>
      <c r="O15" s="20">
        <f t="shared" ref="O15" si="1">O8*O$4</f>
        <v>111071.6888617306</v>
      </c>
      <c r="P15" s="20">
        <f>P8*P$4</f>
        <v>109376.74057668711</v>
      </c>
      <c r="Q15" s="20">
        <f>Q8*Q$4</f>
        <v>114913.38801349397</v>
      </c>
      <c r="R15" s="20">
        <f>R8*R$4</f>
        <v>113787.39123010237</v>
      </c>
      <c r="S15" s="20">
        <f>S8*S$4</f>
        <v>110402.81831747736</v>
      </c>
      <c r="T15" s="20">
        <f>T8*T$4</f>
        <v>111924.58598119933</v>
      </c>
      <c r="U15" s="11">
        <f>ROUND(AVERAGE(P15:T15),0)</f>
        <v>112081</v>
      </c>
    </row>
    <row r="16" spans="1:21" x14ac:dyDescent="0.35">
      <c r="A16" s="27" t="s">
        <v>19</v>
      </c>
      <c r="B16" s="27" t="s">
        <v>109</v>
      </c>
      <c r="C16" s="20">
        <f t="shared" ref="C16:N16" si="2">C9*C$4</f>
        <v>189510.97494033413</v>
      </c>
      <c r="D16" s="20">
        <f t="shared" si="2"/>
        <v>198025.75635103925</v>
      </c>
      <c r="E16" s="20">
        <f t="shared" si="2"/>
        <v>216248.87093153759</v>
      </c>
      <c r="F16" s="20">
        <f t="shared" si="2"/>
        <v>206621.48484848483</v>
      </c>
      <c r="G16" s="20">
        <f t="shared" si="2"/>
        <v>215369.0074231177</v>
      </c>
      <c r="H16" s="20">
        <f t="shared" si="2"/>
        <v>208385.73065015476</v>
      </c>
      <c r="I16" s="20">
        <f t="shared" si="2"/>
        <v>214863.13426853705</v>
      </c>
      <c r="J16" s="20">
        <f t="shared" si="2"/>
        <v>219395.92821032353</v>
      </c>
      <c r="K16" s="20">
        <f t="shared" si="2"/>
        <v>230938.4046761918</v>
      </c>
      <c r="L16" s="20">
        <f t="shared" si="2"/>
        <v>264968.0567757648</v>
      </c>
      <c r="M16" s="20">
        <f t="shared" ref="M16" si="3">M9*M$4</f>
        <v>268461.95295202947</v>
      </c>
      <c r="N16" s="20">
        <f t="shared" si="2"/>
        <v>275010.14201181818</v>
      </c>
      <c r="O16" s="20">
        <f t="shared" ref="O16:P16" si="4">O9*O$4</f>
        <v>223764.70225901873</v>
      </c>
      <c r="P16" s="20">
        <f t="shared" si="4"/>
        <v>233614.03333887801</v>
      </c>
      <c r="Q16" s="20">
        <f t="shared" ref="Q16:R16" si="5">Q9*Q$4</f>
        <v>232538.00344578311</v>
      </c>
      <c r="R16" s="20">
        <f t="shared" si="5"/>
        <v>240327.88956206094</v>
      </c>
      <c r="S16" s="20">
        <f>S9*S$4</f>
        <v>227513.43123966816</v>
      </c>
      <c r="T16" s="20">
        <f>T9*T$4</f>
        <v>222573.09753915909</v>
      </c>
      <c r="U16" s="11">
        <f>ROUND(AVERAGE(P16:T16),0)</f>
        <v>231313</v>
      </c>
    </row>
    <row r="17" spans="1:21" x14ac:dyDescent="0.35">
      <c r="A17" s="27" t="s">
        <v>33</v>
      </c>
      <c r="B17" s="27" t="s">
        <v>109</v>
      </c>
      <c r="C17" s="20">
        <f t="shared" ref="C17:N17" si="6">C10*C$3</f>
        <v>99015.951111223869</v>
      </c>
      <c r="D17" s="20">
        <f t="shared" si="6"/>
        <v>95328.862147087624</v>
      </c>
      <c r="E17" s="20">
        <f t="shared" si="6"/>
        <v>88228.962357304641</v>
      </c>
      <c r="F17" s="20">
        <f t="shared" si="6"/>
        <v>111907.75239158575</v>
      </c>
      <c r="G17" s="20">
        <f t="shared" si="6"/>
        <v>114120.20514925376</v>
      </c>
      <c r="H17" s="20">
        <f t="shared" si="6"/>
        <v>104047.16746424871</v>
      </c>
      <c r="I17" s="20">
        <f t="shared" si="6"/>
        <v>97450.804528056091</v>
      </c>
      <c r="J17" s="20">
        <f t="shared" si="6"/>
        <v>99985.813992141455</v>
      </c>
      <c r="K17" s="20">
        <f t="shared" si="6"/>
        <v>106361.26566251346</v>
      </c>
      <c r="L17" s="20">
        <f t="shared" si="6"/>
        <v>106363.09587208132</v>
      </c>
      <c r="M17" s="20">
        <f t="shared" ref="M17" si="7">M10*M$3</f>
        <v>110661.81611940678</v>
      </c>
      <c r="N17" s="20">
        <f t="shared" si="6"/>
        <v>107109.3785896333</v>
      </c>
      <c r="O17" s="20">
        <f t="shared" ref="O17:P17" si="8">O10*O$3</f>
        <v>98181.383005517069</v>
      </c>
      <c r="P17" s="20">
        <f t="shared" si="8"/>
        <v>102377.44017030808</v>
      </c>
      <c r="Q17" s="20">
        <f t="shared" ref="Q17:R17" si="9">Q10*Q$3</f>
        <v>92250.168419576716</v>
      </c>
      <c r="R17" s="20">
        <f t="shared" si="9"/>
        <v>83019.612357902413</v>
      </c>
      <c r="S17" s="20">
        <f>S10*S$3</f>
        <v>94181.164534717886</v>
      </c>
      <c r="T17" s="20">
        <f>T10*T$3</f>
        <v>88920.203834073414</v>
      </c>
      <c r="U17" s="11">
        <f>ROUND(AVERAGE(P17:T17),0)</f>
        <v>92150</v>
      </c>
    </row>
    <row r="18" spans="1:21" x14ac:dyDescent="0.35">
      <c r="A18" s="27" t="s">
        <v>27</v>
      </c>
      <c r="B18" s="27" t="s">
        <v>109</v>
      </c>
      <c r="C18" s="20">
        <f t="shared" ref="C18:N18" si="10">C11*C$4</f>
        <v>56521.033622911695</v>
      </c>
      <c r="D18" s="20">
        <f t="shared" si="10"/>
        <v>58137.305182448043</v>
      </c>
      <c r="E18" s="20">
        <f t="shared" si="10"/>
        <v>69527.190193041533</v>
      </c>
      <c r="F18" s="20">
        <f t="shared" si="10"/>
        <v>67490.488113636355</v>
      </c>
      <c r="G18" s="20">
        <f t="shared" si="10"/>
        <v>67742.526188759264</v>
      </c>
      <c r="H18" s="20">
        <f t="shared" si="10"/>
        <v>64238.887292053652</v>
      </c>
      <c r="I18" s="20">
        <f t="shared" si="10"/>
        <v>62861.962104208418</v>
      </c>
      <c r="J18" s="20">
        <f t="shared" si="10"/>
        <v>58954.599481372541</v>
      </c>
      <c r="K18" s="20">
        <f t="shared" si="10"/>
        <v>58172.257633587782</v>
      </c>
      <c r="L18" s="20">
        <f t="shared" si="10"/>
        <v>43528.653525787988</v>
      </c>
      <c r="M18" s="20">
        <f t="shared" ref="M18" si="11">M11*M$4</f>
        <v>46379.838984285125</v>
      </c>
      <c r="N18" s="20">
        <f t="shared" si="10"/>
        <v>38953.119891358081</v>
      </c>
      <c r="O18" s="20">
        <f t="shared" ref="O18:P18" si="12">O11*O$4</f>
        <v>34557.91735825254</v>
      </c>
      <c r="P18" s="20">
        <f t="shared" si="12"/>
        <v>36460.282851249533</v>
      </c>
      <c r="Q18" s="20">
        <f t="shared" ref="Q18:R18" si="13">Q11*Q$4</f>
        <v>31322.375872419259</v>
      </c>
      <c r="R18" s="20">
        <f t="shared" si="13"/>
        <v>35052.250268119627</v>
      </c>
      <c r="S18" s="20">
        <f>S11*S$4</f>
        <v>35340.94135983452</v>
      </c>
      <c r="T18" s="20">
        <f>T11*T$4</f>
        <v>34443.491977457277</v>
      </c>
      <c r="U18" s="11">
        <f>ROUND(AVERAGE(P18:T18),0)</f>
        <v>34524</v>
      </c>
    </row>
    <row r="19" spans="1:21" x14ac:dyDescent="0.35">
      <c r="A19" s="27" t="s">
        <v>36</v>
      </c>
      <c r="B19" s="27" t="s">
        <v>109</v>
      </c>
      <c r="C19" s="20">
        <f t="shared" ref="C19:N19" si="14">C12*C$4</f>
        <v>192620.53699284009</v>
      </c>
      <c r="D19" s="20">
        <f t="shared" si="14"/>
        <v>190036.1778290993</v>
      </c>
      <c r="E19" s="20">
        <f t="shared" si="14"/>
        <v>179632.177328844</v>
      </c>
      <c r="F19" s="20">
        <f t="shared" si="14"/>
        <v>179626.81818181815</v>
      </c>
      <c r="G19" s="20">
        <f t="shared" si="14"/>
        <v>203087.88971367973</v>
      </c>
      <c r="H19" s="20">
        <f t="shared" si="14"/>
        <v>190091.32094943238</v>
      </c>
      <c r="I19" s="20">
        <f t="shared" si="14"/>
        <v>203778.62725450899</v>
      </c>
      <c r="J19" s="20">
        <f t="shared" si="14"/>
        <v>187507.69607843136</v>
      </c>
      <c r="K19" s="20">
        <f t="shared" si="14"/>
        <v>224072.5248091603</v>
      </c>
      <c r="L19" s="20">
        <f t="shared" si="14"/>
        <v>210995.91201782363</v>
      </c>
      <c r="M19" s="20">
        <f t="shared" ref="M19" si="15">M12*M$4</f>
        <v>209102.96086123618</v>
      </c>
      <c r="N19" s="20">
        <f t="shared" si="14"/>
        <v>207072.98838081001</v>
      </c>
      <c r="O19" s="20">
        <f t="shared" ref="O19:P19" si="16">O12*O$4</f>
        <v>183144.78132438016</v>
      </c>
      <c r="P19" s="20">
        <f t="shared" si="16"/>
        <v>180978.76334699328</v>
      </c>
      <c r="Q19" s="20">
        <f t="shared" ref="Q19:R19" si="17">Q12*Q$4</f>
        <v>185766.89800602407</v>
      </c>
      <c r="R19" s="20">
        <f t="shared" si="17"/>
        <v>192270.14266638225</v>
      </c>
      <c r="S19" s="20">
        <f t="shared" ref="S19:T19" si="18">S12*S$4</f>
        <v>204533.09494723822</v>
      </c>
      <c r="T19" s="20">
        <f t="shared" si="18"/>
        <v>212199.54195351223</v>
      </c>
      <c r="U19" s="11">
        <f>ROUND(AVERAGE(P19:T19),0)</f>
        <v>195150</v>
      </c>
    </row>
    <row r="21" spans="1:21" x14ac:dyDescent="0.35">
      <c r="C21" s="26"/>
      <c r="D21" s="26"/>
      <c r="E21" s="26"/>
      <c r="F21" s="26"/>
      <c r="G21" s="26"/>
      <c r="H21" s="26"/>
      <c r="I21" s="26"/>
      <c r="J21" s="26"/>
      <c r="K21" s="26"/>
    </row>
  </sheetData>
  <phoneticPr fontId="15" type="noConversion"/>
  <pageMargins left="0.7" right="0.7" top="0.75" bottom="0.75" header="0.3" footer="0.3"/>
  <pageSetup paperSize="9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400-000005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Opex!C8:T8</xm:f>
              <xm:sqref>U8</xm:sqref>
            </x14:sparkline>
            <x14:sparkline>
              <xm:f>Opex!C9:T9</xm:f>
              <xm:sqref>U9</xm:sqref>
            </x14:sparkline>
            <x14:sparkline>
              <xm:f>Opex!C10:T10</xm:f>
              <xm:sqref>U10</xm:sqref>
            </x14:sparkline>
            <x14:sparkline>
              <xm:f>Opex!C11:T11</xm:f>
              <xm:sqref>U11</xm:sqref>
            </x14:sparkline>
            <x14:sparkline>
              <xm:f>Opex!C12:T12</xm:f>
              <xm:sqref>U12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1"/>
  <sheetViews>
    <sheetView topLeftCell="L1" zoomScale="115" zoomScaleNormal="115" workbookViewId="0">
      <selection activeCell="P29" sqref="P29"/>
    </sheetView>
  </sheetViews>
  <sheetFormatPr defaultColWidth="9.1796875" defaultRowHeight="14.5" x14ac:dyDescent="0.35"/>
  <cols>
    <col min="1" max="1" width="46.453125" bestFit="1" customWidth="1"/>
    <col min="2" max="3" width="14" customWidth="1"/>
    <col min="4" max="4" width="27.26953125" customWidth="1"/>
    <col min="5" max="5" width="30" customWidth="1"/>
    <col min="6" max="11" width="14" customWidth="1"/>
    <col min="12" max="12" width="12.1796875" customWidth="1"/>
    <col min="13" max="15" width="14.1796875" customWidth="1"/>
    <col min="16" max="17" width="11.1796875" bestFit="1" customWidth="1"/>
    <col min="18" max="19" width="11.1796875" customWidth="1"/>
    <col min="20" max="20" width="14.81640625" customWidth="1"/>
    <col min="21" max="21" width="15.26953125" bestFit="1" customWidth="1"/>
  </cols>
  <sheetData>
    <row r="1" spans="1:21" x14ac:dyDescent="0.35">
      <c r="A1" s="10" t="s">
        <v>76</v>
      </c>
      <c r="B1" t="s">
        <v>115</v>
      </c>
      <c r="D1" t="s">
        <v>105</v>
      </c>
      <c r="F1" t="s">
        <v>104</v>
      </c>
      <c r="G1" t="s">
        <v>89</v>
      </c>
    </row>
    <row r="2" spans="1:21" x14ac:dyDescent="0.35">
      <c r="A2" t="s">
        <v>29</v>
      </c>
      <c r="B2" s="28">
        <v>2.1468213188495993E-2</v>
      </c>
      <c r="D2" s="28">
        <v>2.0367387739464404E-2</v>
      </c>
      <c r="F2" s="28">
        <v>2.5094977542418646E-2</v>
      </c>
      <c r="G2" s="28">
        <v>3.3527858038188293E-2</v>
      </c>
      <c r="I2" s="28">
        <v>2.9744598129268912E-2</v>
      </c>
    </row>
    <row r="3" spans="1:21" x14ac:dyDescent="0.35">
      <c r="B3" s="28"/>
      <c r="C3" s="28"/>
      <c r="D3" s="28"/>
      <c r="E3" s="28"/>
      <c r="G3" s="28"/>
    </row>
    <row r="4" spans="1:21" x14ac:dyDescent="0.35">
      <c r="A4" s="10" t="s">
        <v>38</v>
      </c>
      <c r="B4" s="28" t="str">
        <f>"Real $"&amp;Real_year&amp;""</f>
        <v>Real $2023</v>
      </c>
      <c r="C4">
        <v>2006</v>
      </c>
      <c r="D4">
        <v>2007</v>
      </c>
      <c r="E4">
        <v>2008</v>
      </c>
      <c r="F4">
        <v>2009</v>
      </c>
      <c r="G4">
        <v>2010</v>
      </c>
      <c r="H4">
        <v>2011</v>
      </c>
      <c r="I4">
        <v>2012</v>
      </c>
      <c r="J4">
        <v>2013</v>
      </c>
      <c r="K4">
        <v>2014</v>
      </c>
      <c r="L4">
        <v>2015</v>
      </c>
      <c r="M4">
        <v>2016</v>
      </c>
      <c r="N4">
        <v>2017</v>
      </c>
      <c r="O4">
        <v>2018</v>
      </c>
      <c r="P4">
        <v>2019</v>
      </c>
      <c r="Q4">
        <v>2020</v>
      </c>
      <c r="R4">
        <v>2021</v>
      </c>
      <c r="S4">
        <v>2022</v>
      </c>
      <c r="T4">
        <v>2023</v>
      </c>
    </row>
    <row r="5" spans="1:21" x14ac:dyDescent="0.35">
      <c r="A5" t="s">
        <v>52</v>
      </c>
      <c r="B5" s="28"/>
      <c r="C5" s="17">
        <f>CPI!F13</f>
        <v>1.6031175059952036</v>
      </c>
      <c r="D5" s="17">
        <f>CPI!G13</f>
        <v>1.5420991926182235</v>
      </c>
      <c r="E5" s="17">
        <f>CPI!H13</f>
        <v>1.5141562853907133</v>
      </c>
      <c r="F5" s="17">
        <f>CPI!I13</f>
        <v>1.442286947141316</v>
      </c>
      <c r="G5" s="17">
        <f>CPI!J13</f>
        <v>1.4253731343283582</v>
      </c>
      <c r="H5" s="17">
        <f>CPI!K13</f>
        <v>1.3854922279792745</v>
      </c>
      <c r="I5" s="17">
        <f>CPI!L13</f>
        <v>1.3396793587174347</v>
      </c>
      <c r="J5" s="17">
        <f>CPI!M13</f>
        <v>1.3133595284872297</v>
      </c>
      <c r="K5" s="17">
        <f>CPI!N13</f>
        <v>1.285576923076923</v>
      </c>
      <c r="L5" s="17">
        <f>CPI!O13</f>
        <v>1.2565789473684208</v>
      </c>
      <c r="M5" s="17">
        <f>CPI!P13</f>
        <v>1.2379629629629629</v>
      </c>
      <c r="N5" s="17">
        <f>CPI!Q13</f>
        <v>1.2221206581352833</v>
      </c>
      <c r="O5" s="17">
        <f>CPI!R13</f>
        <v>1.2001795332136445</v>
      </c>
      <c r="P5" s="17">
        <f>CPI!S13</f>
        <v>1.1779735682819383</v>
      </c>
      <c r="Q5" s="17">
        <f>CPI!T13</f>
        <v>1.1585788561525128</v>
      </c>
      <c r="R5" s="17">
        <f>CPI!U13</f>
        <v>1.1506024096385541</v>
      </c>
      <c r="S5" s="17">
        <f>CPI!V13</f>
        <v>1.1169590643274852</v>
      </c>
      <c r="T5" s="17">
        <f>CPI!W13</f>
        <v>1.0410283522553407</v>
      </c>
    </row>
    <row r="6" spans="1:21" x14ac:dyDescent="0.35">
      <c r="A6" t="s">
        <v>51</v>
      </c>
      <c r="B6" s="28"/>
      <c r="C6" s="17">
        <f>CPI!F12</f>
        <v>1.5954653937947494</v>
      </c>
      <c r="D6" s="17">
        <f>CPI!G12</f>
        <v>1.543879907621247</v>
      </c>
      <c r="E6" s="17">
        <f>CPI!H12</f>
        <v>1.5005611672278338</v>
      </c>
      <c r="F6" s="17">
        <f>CPI!I12</f>
        <v>1.4469696969696968</v>
      </c>
      <c r="G6" s="17">
        <f>CPI!J12</f>
        <v>1.417815482502651</v>
      </c>
      <c r="H6" s="17">
        <f>CPI!K12</f>
        <v>1.3797729618163053</v>
      </c>
      <c r="I6" s="17">
        <f>CPI!L12</f>
        <v>1.3396793587174347</v>
      </c>
      <c r="J6" s="17">
        <f>CPI!M12</f>
        <v>1.31078431372549</v>
      </c>
      <c r="K6" s="17">
        <f>CPI!N12</f>
        <v>1.2757633587786259</v>
      </c>
      <c r="L6" s="17">
        <f>CPI!O12</f>
        <v>1.2542213883677298</v>
      </c>
      <c r="M6" s="17">
        <f>CPI!P12</f>
        <v>1.2333948339483394</v>
      </c>
      <c r="N6" s="17">
        <f>CPI!Q12</f>
        <v>1.2154545454545453</v>
      </c>
      <c r="O6" s="17">
        <f>CPI!R12</f>
        <v>1.1926851025869758</v>
      </c>
      <c r="P6" s="17">
        <f>CPI!S12</f>
        <v>1.1717791411042944</v>
      </c>
      <c r="Q6" s="17">
        <f>CPI!T12</f>
        <v>1.1506024096385541</v>
      </c>
      <c r="R6" s="17">
        <f>CPI!U12</f>
        <v>1.1407849829351535</v>
      </c>
      <c r="S6" s="17">
        <f>CPI!V12</f>
        <v>1.1022258862324814</v>
      </c>
      <c r="T6" s="17">
        <f>CPI!W12</f>
        <v>1.0224729927945095</v>
      </c>
    </row>
    <row r="9" spans="1:21" x14ac:dyDescent="0.35">
      <c r="A9" s="10" t="s">
        <v>47</v>
      </c>
      <c r="B9" s="10" t="str">
        <f>IF(Depreciation!A14=RAB!A14,"valid","invalid")</f>
        <v>valid</v>
      </c>
    </row>
    <row r="10" spans="1:21" x14ac:dyDescent="0.35">
      <c r="A10" s="10" t="str">
        <f>Depreciation!A14</f>
        <v>Real $2023</v>
      </c>
      <c r="B10" s="10"/>
      <c r="C10">
        <v>2006</v>
      </c>
      <c r="D10">
        <v>2007</v>
      </c>
      <c r="E10">
        <v>2008</v>
      </c>
      <c r="F10">
        <v>2009</v>
      </c>
      <c r="G10">
        <v>2010</v>
      </c>
      <c r="H10">
        <v>2011</v>
      </c>
      <c r="I10">
        <v>2012</v>
      </c>
      <c r="J10">
        <v>2013</v>
      </c>
      <c r="K10">
        <v>2014</v>
      </c>
      <c r="L10">
        <v>2015</v>
      </c>
      <c r="M10">
        <v>2016</v>
      </c>
      <c r="N10">
        <v>2017</v>
      </c>
      <c r="O10">
        <v>2018</v>
      </c>
      <c r="P10">
        <v>2019</v>
      </c>
      <c r="Q10">
        <v>2020</v>
      </c>
      <c r="R10">
        <v>2021</v>
      </c>
      <c r="S10">
        <v>2022</v>
      </c>
      <c r="T10">
        <v>2023</v>
      </c>
      <c r="U10" t="s">
        <v>114</v>
      </c>
    </row>
    <row r="11" spans="1:21" x14ac:dyDescent="0.35">
      <c r="A11" s="27" t="s">
        <v>35</v>
      </c>
      <c r="B11" s="27" t="s">
        <v>109</v>
      </c>
      <c r="C11" s="20">
        <f>C27*C$6</f>
        <v>168700.22456348879</v>
      </c>
      <c r="D11" s="20">
        <f>D27*D$6</f>
        <v>168537.52737621646</v>
      </c>
      <c r="E11" s="20">
        <f t="shared" ref="E11:Q11" si="0">E27*E$6</f>
        <v>168389.65953314985</v>
      </c>
      <c r="F11" s="20">
        <f t="shared" si="0"/>
        <v>200050.29112463244</v>
      </c>
      <c r="G11" s="20">
        <f t="shared" si="0"/>
        <v>189053.88872325845</v>
      </c>
      <c r="H11" s="20">
        <f t="shared" si="0"/>
        <v>206918.3262963795</v>
      </c>
      <c r="I11" s="20">
        <f t="shared" si="0"/>
        <v>212672.50064788148</v>
      </c>
      <c r="J11" s="20">
        <f t="shared" si="0"/>
        <v>202089.20131595511</v>
      </c>
      <c r="K11" s="20">
        <f t="shared" si="0"/>
        <v>185520.40360786681</v>
      </c>
      <c r="L11" s="20">
        <f t="shared" si="0"/>
        <v>216173.92831202896</v>
      </c>
      <c r="M11" s="20">
        <f t="shared" si="0"/>
        <v>201343.23357330813</v>
      </c>
      <c r="N11" s="20">
        <f t="shared" si="0"/>
        <v>202904.53269581709</v>
      </c>
      <c r="O11" s="20">
        <f t="shared" si="0"/>
        <v>201992.73417296933</v>
      </c>
      <c r="P11" s="20">
        <f t="shared" si="0"/>
        <v>206669.33933771815</v>
      </c>
      <c r="Q11" s="20">
        <f t="shared" si="0"/>
        <v>210350.65698499227</v>
      </c>
      <c r="R11" s="20">
        <f>R27*R$6</f>
        <v>181445.27835587456</v>
      </c>
      <c r="S11" s="20">
        <f>S27*S$6</f>
        <v>185958.28261704629</v>
      </c>
      <c r="T11" s="20">
        <f>T27*T$6</f>
        <v>213221.52245162756</v>
      </c>
      <c r="U11" s="20">
        <f>AVERAGE(P11:T11)</f>
        <v>199529.01594945177</v>
      </c>
    </row>
    <row r="12" spans="1:21" x14ac:dyDescent="0.35">
      <c r="A12" s="27" t="s">
        <v>19</v>
      </c>
      <c r="B12" s="27" t="s">
        <v>109</v>
      </c>
      <c r="C12" s="20">
        <f>C28*C$6</f>
        <v>461389.60181719187</v>
      </c>
      <c r="D12" s="20">
        <f t="shared" ref="D12:Q12" si="1">D28*D$6</f>
        <v>453445.66449811816</v>
      </c>
      <c r="E12" s="20">
        <f t="shared" si="1"/>
        <v>501539.87641248177</v>
      </c>
      <c r="F12" s="20">
        <f t="shared" si="1"/>
        <v>639594.74660353235</v>
      </c>
      <c r="G12" s="20">
        <f t="shared" si="1"/>
        <v>635395.74668163864</v>
      </c>
      <c r="H12" s="20">
        <f t="shared" si="1"/>
        <v>746584.20199813507</v>
      </c>
      <c r="I12" s="20">
        <f t="shared" si="1"/>
        <v>784291.15038059372</v>
      </c>
      <c r="J12" s="20">
        <f t="shared" si="1"/>
        <v>637356.95510194264</v>
      </c>
      <c r="K12" s="20">
        <f t="shared" si="1"/>
        <v>592599.57864512585</v>
      </c>
      <c r="L12" s="20">
        <f t="shared" si="1"/>
        <v>679440.1575250536</v>
      </c>
      <c r="M12" s="20">
        <f t="shared" si="1"/>
        <v>607260.50570760667</v>
      </c>
      <c r="N12" s="20">
        <f t="shared" si="1"/>
        <v>570269.42280182859</v>
      </c>
      <c r="O12" s="20">
        <f t="shared" si="1"/>
        <v>536966.31311725918</v>
      </c>
      <c r="P12" s="20">
        <f t="shared" si="1"/>
        <v>557655.52059529244</v>
      </c>
      <c r="Q12" s="20">
        <f t="shared" si="1"/>
        <v>517583.92632475105</v>
      </c>
      <c r="R12" s="20">
        <f t="shared" ref="R12" si="2">R28*R$6</f>
        <v>441311.74953609164</v>
      </c>
      <c r="S12" s="20">
        <f>S28*S$6</f>
        <v>429996.37246887275</v>
      </c>
      <c r="T12" s="20">
        <f>T28*T$6</f>
        <v>469441.95433055033</v>
      </c>
      <c r="U12" s="20">
        <f>AVERAGE(P12:T12)</f>
        <v>483197.90465111163</v>
      </c>
    </row>
    <row r="13" spans="1:21" x14ac:dyDescent="0.35">
      <c r="A13" s="27" t="s">
        <v>33</v>
      </c>
      <c r="B13" s="27" t="s">
        <v>109</v>
      </c>
      <c r="C13" s="20">
        <f>C29*C$5</f>
        <v>318407.09773050144</v>
      </c>
      <c r="D13" s="20">
        <f t="shared" ref="D13:Q13" si="3">D29*D$5</f>
        <v>298526.37436235958</v>
      </c>
      <c r="E13" s="20">
        <f t="shared" si="3"/>
        <v>317648.82090412255</v>
      </c>
      <c r="F13" s="20">
        <f t="shared" si="3"/>
        <v>355159.67016258585</v>
      </c>
      <c r="G13" s="20">
        <f t="shared" si="3"/>
        <v>350300.65474535961</v>
      </c>
      <c r="H13" s="20">
        <f t="shared" si="3"/>
        <v>361822.30005032744</v>
      </c>
      <c r="I13" s="20">
        <f>I29*I$5</f>
        <v>380561.69812019152</v>
      </c>
      <c r="J13" s="20">
        <f t="shared" si="3"/>
        <v>339199.02834203804</v>
      </c>
      <c r="K13" s="20">
        <f>K29*K$5</f>
        <v>286842.52531235898</v>
      </c>
      <c r="L13" s="20">
        <f t="shared" si="3"/>
        <v>331106.75832575985</v>
      </c>
      <c r="M13" s="20">
        <f t="shared" si="3"/>
        <v>314691.79490712192</v>
      </c>
      <c r="N13" s="20">
        <f t="shared" si="3"/>
        <v>301600.24721312412</v>
      </c>
      <c r="O13" s="20">
        <f t="shared" si="3"/>
        <v>308856.28702773526</v>
      </c>
      <c r="P13" s="20">
        <f t="shared" si="3"/>
        <v>310054.23737769492</v>
      </c>
      <c r="Q13" s="20">
        <f t="shared" si="3"/>
        <v>297845.94708859525</v>
      </c>
      <c r="R13" s="20">
        <f t="shared" ref="R13" si="4">R29*R$5</f>
        <v>257330.97296222459</v>
      </c>
      <c r="S13" s="20">
        <f>S29*S$5</f>
        <v>224409.21141188237</v>
      </c>
      <c r="T13" s="20">
        <f>T29*T$5</f>
        <v>260793.107735564</v>
      </c>
      <c r="U13" s="20">
        <f>AVERAGE(P13:T13)</f>
        <v>270086.69531519222</v>
      </c>
    </row>
    <row r="14" spans="1:21" x14ac:dyDescent="0.35">
      <c r="A14" s="27" t="s">
        <v>27</v>
      </c>
      <c r="B14" s="27" t="s">
        <v>109</v>
      </c>
      <c r="C14" s="20">
        <f>C30*C$6</f>
        <v>111051.75195935975</v>
      </c>
      <c r="D14" s="20">
        <f t="shared" ref="D14:Q14" si="5">D30*D$6</f>
        <v>105594.96278549191</v>
      </c>
      <c r="E14" s="20">
        <f t="shared" si="5"/>
        <v>117541.70787733064</v>
      </c>
      <c r="F14" s="20">
        <f t="shared" si="5"/>
        <v>134440.66083663385</v>
      </c>
      <c r="G14" s="20">
        <f t="shared" si="5"/>
        <v>139185.98753610169</v>
      </c>
      <c r="H14" s="20">
        <f t="shared" si="5"/>
        <v>156259.92900233233</v>
      </c>
      <c r="I14" s="20">
        <f>I30*I$6</f>
        <v>171602.79325677283</v>
      </c>
      <c r="J14" s="20">
        <f t="shared" si="5"/>
        <v>145723.6416110789</v>
      </c>
      <c r="K14" s="20">
        <f t="shared" si="5"/>
        <v>137606.69610748067</v>
      </c>
      <c r="L14" s="20">
        <f t="shared" si="5"/>
        <v>140094.4732957223</v>
      </c>
      <c r="M14" s="20">
        <f t="shared" si="5"/>
        <v>125440.50402859155</v>
      </c>
      <c r="N14" s="20">
        <f t="shared" si="5"/>
        <v>123470.48535903271</v>
      </c>
      <c r="O14" s="20">
        <f t="shared" si="5"/>
        <v>119709.79635066382</v>
      </c>
      <c r="P14" s="20">
        <f t="shared" si="5"/>
        <v>120041.05591117006</v>
      </c>
      <c r="Q14" s="20">
        <f t="shared" si="5"/>
        <v>99741.221217138926</v>
      </c>
      <c r="R14" s="20">
        <f t="shared" ref="R14" si="6">R30*R$6</f>
        <v>83932.006695929871</v>
      </c>
      <c r="S14" s="20">
        <f>S30*S$6</f>
        <v>90689.901049628592</v>
      </c>
      <c r="T14" s="20">
        <f>T30*T$6</f>
        <v>94779.834397398459</v>
      </c>
      <c r="U14" s="20">
        <f>AVERAGE(P14:T14)</f>
        <v>97836.803854253172</v>
      </c>
    </row>
    <row r="15" spans="1:21" x14ac:dyDescent="0.35">
      <c r="A15" s="27" t="s">
        <v>36</v>
      </c>
      <c r="B15" s="27" t="s">
        <v>109</v>
      </c>
      <c r="C15" s="20">
        <f>C31*C$6</f>
        <v>456267.57835023513</v>
      </c>
      <c r="D15" s="20">
        <f t="shared" ref="D15:Q15" si="7">D31*D$6</f>
        <v>440407.4477368709</v>
      </c>
      <c r="E15" s="20">
        <f t="shared" si="7"/>
        <v>460644.96900807793</v>
      </c>
      <c r="F15" s="20">
        <f t="shared" si="7"/>
        <v>548709.33834430913</v>
      </c>
      <c r="G15" s="20">
        <f t="shared" si="7"/>
        <v>563310.88351804961</v>
      </c>
      <c r="H15" s="20">
        <f t="shared" si="7"/>
        <v>624052.11672243359</v>
      </c>
      <c r="I15" s="20">
        <f t="shared" si="7"/>
        <v>640014.99799441267</v>
      </c>
      <c r="J15" s="20">
        <f t="shared" si="7"/>
        <v>556932.07943102065</v>
      </c>
      <c r="K15" s="20">
        <f t="shared" si="7"/>
        <v>525818.93816928391</v>
      </c>
      <c r="L15" s="20">
        <f t="shared" si="7"/>
        <v>597686.3576657793</v>
      </c>
      <c r="M15" s="20">
        <f t="shared" si="7"/>
        <v>545853.83051083738</v>
      </c>
      <c r="N15" s="20">
        <f t="shared" si="7"/>
        <v>541360.40216567472</v>
      </c>
      <c r="O15" s="20">
        <f t="shared" si="7"/>
        <v>507184.48196784576</v>
      </c>
      <c r="P15" s="20">
        <f t="shared" si="7"/>
        <v>494529.09433192498</v>
      </c>
      <c r="Q15" s="20">
        <f t="shared" si="7"/>
        <v>465581.2266743459</v>
      </c>
      <c r="R15" s="20">
        <f t="shared" ref="R15:S15" si="8">R31*R$6</f>
        <v>405862.80638306733</v>
      </c>
      <c r="S15" s="20">
        <f t="shared" si="8"/>
        <v>395107.52933771134</v>
      </c>
      <c r="T15" s="20">
        <f>T31*T$6</f>
        <v>490044.3617618659</v>
      </c>
      <c r="U15" s="20">
        <f>AVERAGE(P15:T15)</f>
        <v>450225.0036977831</v>
      </c>
    </row>
    <row r="17" spans="1:21" x14ac:dyDescent="0.35">
      <c r="A17" s="10" t="s">
        <v>39</v>
      </c>
      <c r="B17" s="10"/>
      <c r="C17" s="10" t="str">
        <f>IF(A10=A18,"valid","invalid")</f>
        <v>valid</v>
      </c>
      <c r="D17" s="11"/>
      <c r="E17" s="11"/>
      <c r="F17" s="11"/>
      <c r="G17" s="11"/>
      <c r="H17" s="11"/>
      <c r="I17" s="11"/>
      <c r="J17" s="11"/>
      <c r="K17" s="11"/>
    </row>
    <row r="18" spans="1:21" x14ac:dyDescent="0.35">
      <c r="A18" s="10" t="str">
        <f>Opex!A14</f>
        <v>Real $2023</v>
      </c>
      <c r="B18" s="10"/>
      <c r="C18">
        <v>2006</v>
      </c>
      <c r="D18">
        <v>2007</v>
      </c>
      <c r="E18">
        <v>2008</v>
      </c>
      <c r="F18">
        <v>2009</v>
      </c>
      <c r="G18">
        <v>2010</v>
      </c>
      <c r="H18">
        <v>2011</v>
      </c>
      <c r="I18">
        <v>2012</v>
      </c>
      <c r="J18">
        <v>2013</v>
      </c>
      <c r="K18">
        <v>2014</v>
      </c>
      <c r="L18">
        <v>2015</v>
      </c>
      <c r="M18">
        <v>2016</v>
      </c>
      <c r="N18">
        <v>2017</v>
      </c>
      <c r="O18">
        <v>2018</v>
      </c>
      <c r="P18">
        <v>2019</v>
      </c>
      <c r="Q18">
        <v>2020</v>
      </c>
      <c r="R18">
        <v>2021</v>
      </c>
      <c r="S18">
        <v>2022</v>
      </c>
      <c r="T18">
        <v>2023</v>
      </c>
    </row>
    <row r="19" spans="1:21" x14ac:dyDescent="0.35">
      <c r="A19" s="27" t="s">
        <v>35</v>
      </c>
      <c r="B19" s="46" t="s">
        <v>110</v>
      </c>
      <c r="C19" s="20">
        <f>(C11+Opex!C15)*1000</f>
        <v>245970209.05036229</v>
      </c>
      <c r="D19" s="20">
        <f>(D11+Opex!D15)*1000</f>
        <v>250255090.88660905</v>
      </c>
      <c r="E19" s="20">
        <f>(E11+Opex!E15)*1000</f>
        <v>242584360.24246523</v>
      </c>
      <c r="F19" s="20">
        <f>(F11+Opex!F15)*1000</f>
        <v>279420919.91251123</v>
      </c>
      <c r="G19" s="20">
        <f>(G11+Opex!G15)*1000</f>
        <v>270673272.60448855</v>
      </c>
      <c r="H19" s="20">
        <f>(H11+Opex!H15)*1000</f>
        <v>295734311.84849507</v>
      </c>
      <c r="I19" s="20">
        <f>(I11+Opex!I15)*1000</f>
        <v>309911787.22102779</v>
      </c>
      <c r="J19" s="20">
        <f>(J11+Opex!J15)*1000</f>
        <v>294534886.61007273</v>
      </c>
      <c r="K19" s="20">
        <f>(K11+Opex!K15)*1000</f>
        <v>280130945.40366834</v>
      </c>
      <c r="L19" s="20">
        <f>(L11+Opex!L15)*1000</f>
        <v>316017284.65990889</v>
      </c>
      <c r="M19" s="20">
        <f>(M11+Opex!M15)*1000</f>
        <v>306315246.54655528</v>
      </c>
      <c r="N19" s="20">
        <f>(N11+Opex!N15)*1000</f>
        <v>311857432.07854432</v>
      </c>
      <c r="O19" s="20">
        <f>(O11+Opex!O15)*1000</f>
        <v>313064423.03469992</v>
      </c>
      <c r="P19" s="20">
        <f>(P11+Opex!P15)*1000</f>
        <v>316046079.91440523</v>
      </c>
      <c r="Q19" s="20">
        <f>(Q11+Opex!Q15)*1000</f>
        <v>325264044.99848622</v>
      </c>
      <c r="R19" s="20">
        <f>(R11+Opex!R15)*1000</f>
        <v>295232669.5859769</v>
      </c>
      <c r="S19" s="20">
        <f>(S11+Opex!S15)*1000</f>
        <v>296361100.93452364</v>
      </c>
      <c r="T19" s="20">
        <f>(T11+Opex!T15)*1000</f>
        <v>325146108.43282688</v>
      </c>
    </row>
    <row r="20" spans="1:21" x14ac:dyDescent="0.35">
      <c r="A20" s="27" t="s">
        <v>19</v>
      </c>
      <c r="B20" s="46" t="s">
        <v>110</v>
      </c>
      <c r="C20" s="20">
        <f>(C12+Opex!C16)*1000</f>
        <v>650900576.75752604</v>
      </c>
      <c r="D20" s="20">
        <f>(D12+Opex!D16)*1000</f>
        <v>651471420.84915733</v>
      </c>
      <c r="E20" s="20">
        <f>(E12+Opex!E16)*1000</f>
        <v>717788747.34401941</v>
      </c>
      <c r="F20" s="20">
        <f>(F12+Opex!F16)*1000</f>
        <v>846216231.45201719</v>
      </c>
      <c r="G20" s="20">
        <f>(G12+Opex!G16)*1000</f>
        <v>850764754.10475624</v>
      </c>
      <c r="H20" s="20">
        <f>(H12+Opex!H16)*1000</f>
        <v>954969932.6482898</v>
      </c>
      <c r="I20" s="20">
        <f>(I12+Opex!I16)*1000</f>
        <v>999154284.64913082</v>
      </c>
      <c r="J20" s="20">
        <f>(J12+Opex!J16)*1000</f>
        <v>856752883.31226623</v>
      </c>
      <c r="K20" s="20">
        <f>(K12+Opex!K16)*1000</f>
        <v>823537983.32131767</v>
      </c>
      <c r="L20" s="20">
        <f>(L12+Opex!L16)*1000</f>
        <v>944408214.30081844</v>
      </c>
      <c r="M20" s="20">
        <f>(M12+Opex!M16)*1000</f>
        <v>875722458.65963614</v>
      </c>
      <c r="N20" s="20">
        <f>(N12+Opex!N16)*1000</f>
        <v>845279564.81364667</v>
      </c>
      <c r="O20" s="20">
        <f>(O12+Opex!O16)*1000</f>
        <v>760731015.37627792</v>
      </c>
      <c r="P20" s="20">
        <f>(P12+Opex!P16)*1000</f>
        <v>791269553.93417037</v>
      </c>
      <c r="Q20" s="20">
        <f>(Q12+Opex!Q16)*1000</f>
        <v>750121929.77053416</v>
      </c>
      <c r="R20" s="20">
        <f>(R12+Opex!R16)*1000</f>
        <v>681639639.09815252</v>
      </c>
      <c r="S20" s="20">
        <f>(S12+Opex!S16)*1000</f>
        <v>657509803.70854092</v>
      </c>
      <c r="T20" s="20">
        <f>(T12+Opex!T16)*1000</f>
        <v>692015051.86970937</v>
      </c>
    </row>
    <row r="21" spans="1:21" x14ac:dyDescent="0.35">
      <c r="A21" s="27" t="s">
        <v>33</v>
      </c>
      <c r="B21" s="46" t="s">
        <v>110</v>
      </c>
      <c r="C21" s="20">
        <f>(C13+Opex!C17)*1000</f>
        <v>417423048.84172535</v>
      </c>
      <c r="D21" s="20">
        <f>(D13+Opex!D17)*1000</f>
        <v>393855236.50944722</v>
      </c>
      <c r="E21" s="20">
        <f>(E13+Opex!E17)*1000</f>
        <v>405877783.26142716</v>
      </c>
      <c r="F21" s="20">
        <f>(F13+Opex!F17)*1000</f>
        <v>467067422.55417156</v>
      </c>
      <c r="G21" s="20">
        <f>(G13+Opex!G17)*1000</f>
        <v>464420859.89461339</v>
      </c>
      <c r="H21" s="20">
        <f>(H13+Opex!H17)*1000</f>
        <v>465869467.51457614</v>
      </c>
      <c r="I21" s="20">
        <f>(I13+Opex!I17)*1000</f>
        <v>478012502.64824766</v>
      </c>
      <c r="J21" s="20">
        <f>(J13+Opex!J17)*1000</f>
        <v>439184842.33417952</v>
      </c>
      <c r="K21" s="20">
        <f>(K13+Opex!K17)*1000</f>
        <v>393203790.97487241</v>
      </c>
      <c r="L21" s="20">
        <f>(L13+Opex!L17)*1000</f>
        <v>437469854.19784117</v>
      </c>
      <c r="M21" s="20">
        <f>(M13+Opex!M17)*1000</f>
        <v>425353611.02652872</v>
      </c>
      <c r="N21" s="20">
        <f>(N13+Opex!N17)*1000</f>
        <v>408709625.80275744</v>
      </c>
      <c r="O21" s="20">
        <f>(O13+Opex!O17)*1000</f>
        <v>407037670.03325236</v>
      </c>
      <c r="P21" s="20">
        <f>(P13+Opex!P17)*1000</f>
        <v>412431677.54800302</v>
      </c>
      <c r="Q21" s="20">
        <f>(Q13+Opex!Q17)*1000</f>
        <v>390096115.50817198</v>
      </c>
      <c r="R21" s="20">
        <f>(R13+Opex!R17)*1000</f>
        <v>340350585.32012701</v>
      </c>
      <c r="S21" s="20">
        <f>(S13+Opex!S17)*1000</f>
        <v>318590375.9466002</v>
      </c>
      <c r="T21" s="20">
        <f>(T13+Opex!T17)*1000</f>
        <v>349713311.56963736</v>
      </c>
    </row>
    <row r="22" spans="1:21" x14ac:dyDescent="0.35">
      <c r="A22" s="27" t="s">
        <v>27</v>
      </c>
      <c r="B22" s="46" t="s">
        <v>110</v>
      </c>
      <c r="C22" s="20">
        <f>(C14+Opex!C18)*1000</f>
        <v>167572785.58227146</v>
      </c>
      <c r="D22" s="20">
        <f>(D14+Opex!D18)*1000</f>
        <v>163732267.96793997</v>
      </c>
      <c r="E22" s="20">
        <f>(E14+Opex!E18)*1000</f>
        <v>187068898.07037216</v>
      </c>
      <c r="F22" s="20">
        <f>(F14+Opex!F18)*1000</f>
        <v>201931148.95027021</v>
      </c>
      <c r="G22" s="20">
        <f>(G14+Opex!G18)*1000</f>
        <v>206928513.72486097</v>
      </c>
      <c r="H22" s="20">
        <f>(H14+Opex!H18)*1000</f>
        <v>220498816.294386</v>
      </c>
      <c r="I22" s="20">
        <f>(I14+Opex!I18)*1000</f>
        <v>234464755.36098126</v>
      </c>
      <c r="J22" s="20">
        <f>(J14+Opex!J18)*1000</f>
        <v>204678241.09245145</v>
      </c>
      <c r="K22" s="20">
        <f>(K14+Opex!K18)*1000</f>
        <v>195778953.74106845</v>
      </c>
      <c r="L22" s="20">
        <f>(L14+Opex!L18)*1000</f>
        <v>183623126.82151029</v>
      </c>
      <c r="M22" s="20">
        <f>(M14+Opex!M18)*1000</f>
        <v>171820343.01287666</v>
      </c>
      <c r="N22" s="20">
        <f>(N14+Opex!N18)*1000</f>
        <v>162423605.2503908</v>
      </c>
      <c r="O22" s="20">
        <f>(O14+Opex!O18)*1000</f>
        <v>154267713.70891637</v>
      </c>
      <c r="P22" s="20">
        <f>(P14+Opex!P18)*1000</f>
        <v>156501338.76241958</v>
      </c>
      <c r="Q22" s="20">
        <f>(Q14+Opex!Q18)*1000</f>
        <v>131063597.08955818</v>
      </c>
      <c r="R22" s="20">
        <f>(R14+Opex!R18)*1000</f>
        <v>118984256.9640495</v>
      </c>
      <c r="S22" s="20">
        <f>(S14+Opex!S18)*1000</f>
        <v>126030842.40946311</v>
      </c>
      <c r="T22" s="20">
        <f>(T14+Opex!T18)*1000</f>
        <v>129223326.37485574</v>
      </c>
    </row>
    <row r="23" spans="1:21" x14ac:dyDescent="0.35">
      <c r="A23" s="27" t="s">
        <v>36</v>
      </c>
      <c r="B23" s="46" t="s">
        <v>110</v>
      </c>
      <c r="C23" s="20">
        <f>(C15+Opex!C19)*1000</f>
        <v>648888115.34307528</v>
      </c>
      <c r="D23" s="20">
        <f>(D15+Opex!D19)*1000</f>
        <v>630443625.56597018</v>
      </c>
      <c r="E23" s="20">
        <f>(E15+Opex!E19)*1000</f>
        <v>640277146.33692193</v>
      </c>
      <c r="F23" s="20">
        <f>(F15+Opex!F19)*1000</f>
        <v>728336156.52612722</v>
      </c>
      <c r="G23" s="20">
        <f>(G15+Opex!G19)*1000</f>
        <v>766398773.23172939</v>
      </c>
      <c r="H23" s="20">
        <f>(H15+Opex!H19)*1000</f>
        <v>814143437.67186606</v>
      </c>
      <c r="I23" s="20">
        <f>(I15+Opex!I19)*1000</f>
        <v>843793625.24892163</v>
      </c>
      <c r="J23" s="20">
        <f>(J15+Opex!J19)*1000</f>
        <v>744439775.50945199</v>
      </c>
      <c r="K23" s="20">
        <f>(K15+Opex!K19)*1000</f>
        <v>749891462.97844422</v>
      </c>
      <c r="L23" s="20">
        <f>(L15+Opex!L19)*1000</f>
        <v>808682269.68360293</v>
      </c>
      <c r="M23" s="20">
        <f>(M15+Opex!M19)*1000</f>
        <v>754956791.37207353</v>
      </c>
      <c r="N23" s="20">
        <f>(N15+Opex!N19)*1000</f>
        <v>748433390.54648471</v>
      </c>
      <c r="O23" s="20">
        <f>(O15+Opex!O19)*1000</f>
        <v>690329263.29222584</v>
      </c>
      <c r="P23" s="20">
        <f>(P15+Opex!P19)*1000</f>
        <v>675507857.67891824</v>
      </c>
      <c r="Q23" s="20">
        <f>(Q15+Opex!Q19)*1000</f>
        <v>651348124.68036997</v>
      </c>
      <c r="R23" s="20">
        <f>(R15+Opex!R19)*1000</f>
        <v>598132949.04944956</v>
      </c>
      <c r="S23" s="20">
        <f>(S15+Opex!S19)*1000</f>
        <v>599640624.28494966</v>
      </c>
      <c r="T23" s="20">
        <f>(T15+Opex!T19)*1000</f>
        <v>702243903.71537817</v>
      </c>
    </row>
    <row r="25" spans="1:21" x14ac:dyDescent="0.35">
      <c r="A25" s="10" t="s">
        <v>47</v>
      </c>
      <c r="C25" s="26"/>
      <c r="D25" s="26"/>
      <c r="E25" s="26"/>
      <c r="F25" s="26"/>
      <c r="G25" s="26"/>
      <c r="H25" s="26"/>
      <c r="I25" s="26"/>
      <c r="J25" s="26"/>
      <c r="K25" s="26"/>
    </row>
    <row r="26" spans="1:21" x14ac:dyDescent="0.35">
      <c r="A26" s="10" t="s">
        <v>56</v>
      </c>
    </row>
    <row r="27" spans="1:21" x14ac:dyDescent="0.35">
      <c r="A27" s="27" t="s">
        <v>35</v>
      </c>
      <c r="B27" s="56" t="s">
        <v>98</v>
      </c>
      <c r="C27" s="85">
        <v>105737.31352595633</v>
      </c>
      <c r="D27" s="85">
        <v>109164.92049947902</v>
      </c>
      <c r="E27" s="85">
        <v>112217.79105761895</v>
      </c>
      <c r="F27" s="85">
        <v>138254.65145786118</v>
      </c>
      <c r="G27" s="85">
        <v>133341.67319822943</v>
      </c>
      <c r="H27" s="85">
        <v>149965.48854240222</v>
      </c>
      <c r="I27" s="85">
        <v>158748.80751427505</v>
      </c>
      <c r="J27" s="85">
        <v>154174.25979227692</v>
      </c>
      <c r="K27" s="85">
        <v>145419.13461559045</v>
      </c>
      <c r="L27" s="85">
        <v>172357.07373270224</v>
      </c>
      <c r="M27" s="85">
        <v>163243.1302868108</v>
      </c>
      <c r="N27" s="85">
        <v>166937.16227778522</v>
      </c>
      <c r="O27" s="85">
        <v>169359.65221234004</v>
      </c>
      <c r="P27" s="85">
        <v>176372.26341386419</v>
      </c>
      <c r="Q27" s="85">
        <v>182817.84847910324</v>
      </c>
      <c r="R27" s="85">
        <v>159053.00391405012</v>
      </c>
      <c r="S27" s="85">
        <v>168711.59073633296</v>
      </c>
      <c r="T27" s="85">
        <v>208535.11432988974</v>
      </c>
      <c r="U27" s="15"/>
    </row>
    <row r="28" spans="1:21" x14ac:dyDescent="0.35">
      <c r="A28" s="27" t="s">
        <v>19</v>
      </c>
      <c r="B28" s="27" t="s">
        <v>98</v>
      </c>
      <c r="C28" s="85">
        <v>289188.09747405146</v>
      </c>
      <c r="D28" s="85">
        <v>293705.26960012742</v>
      </c>
      <c r="E28" s="85">
        <v>334234.87650225975</v>
      </c>
      <c r="F28" s="85">
        <v>442023.59451134177</v>
      </c>
      <c r="G28" s="85">
        <v>448151.22596917371</v>
      </c>
      <c r="H28" s="85">
        <v>541092.06562168512</v>
      </c>
      <c r="I28" s="85">
        <v>585431.98809261981</v>
      </c>
      <c r="J28" s="85">
        <v>486240.9081555584</v>
      </c>
      <c r="K28" s="85">
        <v>464505.87765152723</v>
      </c>
      <c r="L28" s="85">
        <v>541722.66860262316</v>
      </c>
      <c r="M28" s="85">
        <v>492348.83185268939</v>
      </c>
      <c r="N28" s="85">
        <v>469182.02324757783</v>
      </c>
      <c r="O28" s="85">
        <v>450216.33283803111</v>
      </c>
      <c r="P28" s="85">
        <v>475904.97307346953</v>
      </c>
      <c r="Q28" s="85">
        <v>449837.33910946955</v>
      </c>
      <c r="R28" s="85">
        <v>386849.1925626772</v>
      </c>
      <c r="S28" s="85">
        <v>390116.37980908202</v>
      </c>
      <c r="T28" s="85">
        <v>459124.06258039514</v>
      </c>
    </row>
    <row r="29" spans="1:21" x14ac:dyDescent="0.35">
      <c r="A29" s="27" t="s">
        <v>33</v>
      </c>
      <c r="B29" s="27" t="s">
        <v>98</v>
      </c>
      <c r="C29" s="85">
        <v>198617.44166584761</v>
      </c>
      <c r="D29" s="85">
        <v>193584.41778022872</v>
      </c>
      <c r="E29" s="85">
        <v>209786.02008851178</v>
      </c>
      <c r="F29" s="85">
        <v>246247.57983598887</v>
      </c>
      <c r="G29" s="85">
        <v>245760.66877423134</v>
      </c>
      <c r="H29" s="85">
        <v>261150.72516721467</v>
      </c>
      <c r="I29" s="85">
        <v>284069.2406312275</v>
      </c>
      <c r="J29" s="85">
        <v>258268.22053268121</v>
      </c>
      <c r="K29" s="85">
        <v>223123.57989891799</v>
      </c>
      <c r="L29" s="85">
        <v>263498.57207076182</v>
      </c>
      <c r="M29" s="85">
        <v>254201.30029894668</v>
      </c>
      <c r="N29" s="85">
        <v>246784.34588717861</v>
      </c>
      <c r="O29" s="85">
        <v>257341.7380320846</v>
      </c>
      <c r="P29" s="85">
        <v>263209.84250088537</v>
      </c>
      <c r="Q29" s="85">
        <v>257078.70077803964</v>
      </c>
      <c r="R29" s="85">
        <v>223648.90843837324</v>
      </c>
      <c r="S29" s="85">
        <v>200910.86466718267</v>
      </c>
      <c r="T29" s="85">
        <v>250514.89440279658</v>
      </c>
    </row>
    <row r="30" spans="1:21" x14ac:dyDescent="0.35">
      <c r="A30" s="27" t="s">
        <v>27</v>
      </c>
      <c r="B30" s="27" t="s">
        <v>98</v>
      </c>
      <c r="C30" s="85">
        <v>69604.613419553833</v>
      </c>
      <c r="D30" s="85">
        <v>68395.839769810016</v>
      </c>
      <c r="E30" s="85">
        <v>78331.833746224089</v>
      </c>
      <c r="F30" s="85">
        <v>92911.870316417117</v>
      </c>
      <c r="G30" s="85">
        <v>98169.324043787521</v>
      </c>
      <c r="H30" s="85">
        <v>113250.46462472704</v>
      </c>
      <c r="I30" s="85">
        <v>128092.43655217599</v>
      </c>
      <c r="J30" s="85">
        <v>111172.86046619334</v>
      </c>
      <c r="K30" s="85">
        <v>107862.24197504844</v>
      </c>
      <c r="L30" s="85">
        <v>111698.36090743454</v>
      </c>
      <c r="M30" s="85">
        <v>101703.4453006681</v>
      </c>
      <c r="N30" s="85">
        <v>101583.79498499326</v>
      </c>
      <c r="O30" s="85">
        <v>100369.99379887371</v>
      </c>
      <c r="P30" s="85">
        <v>102443.41420691476</v>
      </c>
      <c r="Q30" s="85">
        <v>86686.087549974152</v>
      </c>
      <c r="R30" s="85">
        <v>73573.905645198072</v>
      </c>
      <c r="S30" s="85">
        <v>82278.870585788696</v>
      </c>
      <c r="T30" s="85">
        <v>92696.662958653556</v>
      </c>
    </row>
    <row r="31" spans="1:21" x14ac:dyDescent="0.35">
      <c r="A31" s="27" t="s">
        <v>36</v>
      </c>
      <c r="B31" s="27" t="s">
        <v>98</v>
      </c>
      <c r="C31" s="85">
        <v>285977.73422400677</v>
      </c>
      <c r="D31" s="85">
        <v>285260.17183255812</v>
      </c>
      <c r="E31" s="85">
        <v>306981.80058803101</v>
      </c>
      <c r="F31" s="85">
        <v>379212.73644737597</v>
      </c>
      <c r="G31" s="85">
        <v>397309.02255611133</v>
      </c>
      <c r="H31" s="85">
        <v>452286.08908305032</v>
      </c>
      <c r="I31" s="85">
        <v>477737.44801677181</v>
      </c>
      <c r="J31" s="85">
        <v>424884.60809247656</v>
      </c>
      <c r="K31" s="85">
        <v>412160.24472805503</v>
      </c>
      <c r="L31" s="85">
        <v>476539.75861759222</v>
      </c>
      <c r="M31" s="85">
        <v>442562.11837976647</v>
      </c>
      <c r="N31" s="85">
        <v>445397.48869277659</v>
      </c>
      <c r="O31" s="85">
        <v>425245.92691544886</v>
      </c>
      <c r="P31" s="85">
        <v>422032.68259740196</v>
      </c>
      <c r="Q31" s="85">
        <v>404641.27553896036</v>
      </c>
      <c r="R31" s="85">
        <v>355775.02549061703</v>
      </c>
      <c r="S31" s="85">
        <v>358463.30073795351</v>
      </c>
      <c r="T31" s="85">
        <v>479273.64851225179</v>
      </c>
    </row>
  </sheetData>
  <phoneticPr fontId="15" type="noConversion"/>
  <pageMargins left="0.7" right="0.7" top="0.75" bottom="0.75" header="0.3" footer="0.3"/>
  <pageSetup paperSize="9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300-000000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'Asset cost and Total cost'!C19:T19</xm:f>
              <xm:sqref>U19</xm:sqref>
            </x14:sparkline>
            <x14:sparkline>
              <xm:f>'Asset cost and Total cost'!C20:T20</xm:f>
              <xm:sqref>U20</xm:sqref>
            </x14:sparkline>
            <x14:sparkline>
              <xm:f>'Asset cost and Total cost'!C21:T21</xm:f>
              <xm:sqref>U21</xm:sqref>
            </x14:sparkline>
            <x14:sparkline>
              <xm:f>'Asset cost and Total cost'!C22:T22</xm:f>
              <xm:sqref>U22</xm:sqref>
            </x14:sparkline>
            <x14:sparkline>
              <xm:f>'Asset cost and Total cost'!C23:T23</xm:f>
              <xm:sqref>U23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/>
  <dimension ref="A1:U26"/>
  <sheetViews>
    <sheetView topLeftCell="O1" workbookViewId="0">
      <selection activeCell="U43" sqref="U43"/>
    </sheetView>
  </sheetViews>
  <sheetFormatPr defaultColWidth="9.1796875" defaultRowHeight="14.5" x14ac:dyDescent="0.35"/>
  <cols>
    <col min="1" max="1" width="45.81640625" customWidth="1"/>
    <col min="2" max="2" width="11.81640625" customWidth="1"/>
    <col min="3" max="12" width="12" customWidth="1"/>
    <col min="13" max="15" width="14.1796875" customWidth="1"/>
    <col min="16" max="16" width="17.81640625" bestFit="1" customWidth="1"/>
    <col min="17" max="17" width="17" bestFit="1" customWidth="1"/>
    <col min="18" max="20" width="17" customWidth="1"/>
    <col min="21" max="21" width="17.1796875" bestFit="1" customWidth="1"/>
  </cols>
  <sheetData>
    <row r="1" spans="1:21" x14ac:dyDescent="0.35">
      <c r="A1" s="10" t="s">
        <v>25</v>
      </c>
      <c r="T1" s="74"/>
    </row>
    <row r="2" spans="1:21" x14ac:dyDescent="0.35">
      <c r="A2" s="10" t="s">
        <v>38</v>
      </c>
      <c r="B2" s="10" t="str">
        <f>"Real $"&amp;Real_year&amp;""</f>
        <v>Real $2023</v>
      </c>
      <c r="C2">
        <v>2006</v>
      </c>
      <c r="D2">
        <v>2007</v>
      </c>
      <c r="E2">
        <v>2008</v>
      </c>
      <c r="F2">
        <v>2009</v>
      </c>
      <c r="G2">
        <v>2010</v>
      </c>
      <c r="H2">
        <v>2011</v>
      </c>
      <c r="I2">
        <v>2012</v>
      </c>
      <c r="J2">
        <v>2013</v>
      </c>
      <c r="K2">
        <v>2014</v>
      </c>
      <c r="L2">
        <v>2015</v>
      </c>
      <c r="M2">
        <v>2016</v>
      </c>
      <c r="N2">
        <v>2017</v>
      </c>
      <c r="O2">
        <v>2018</v>
      </c>
      <c r="P2">
        <v>2019</v>
      </c>
      <c r="Q2">
        <v>2020</v>
      </c>
      <c r="R2">
        <v>2021</v>
      </c>
      <c r="S2">
        <v>2022</v>
      </c>
      <c r="T2" s="74">
        <v>2023</v>
      </c>
    </row>
    <row r="3" spans="1:21" x14ac:dyDescent="0.35">
      <c r="A3" t="s">
        <v>52</v>
      </c>
      <c r="C3" s="17">
        <f>CPI!F13</f>
        <v>1.6031175059952036</v>
      </c>
      <c r="D3" s="17">
        <f>CPI!G13</f>
        <v>1.5420991926182235</v>
      </c>
      <c r="E3" s="17">
        <f>CPI!H13</f>
        <v>1.5141562853907133</v>
      </c>
      <c r="F3" s="17">
        <f>CPI!I13</f>
        <v>1.442286947141316</v>
      </c>
      <c r="G3" s="17">
        <f>CPI!J13</f>
        <v>1.4253731343283582</v>
      </c>
      <c r="H3" s="17">
        <f>CPI!K13</f>
        <v>1.3854922279792745</v>
      </c>
      <c r="I3" s="17">
        <f>CPI!L13</f>
        <v>1.3396793587174347</v>
      </c>
      <c r="J3" s="17">
        <f>CPI!M13</f>
        <v>1.3133595284872297</v>
      </c>
      <c r="K3" s="17">
        <f>CPI!N13</f>
        <v>1.285576923076923</v>
      </c>
      <c r="L3" s="17">
        <f>CPI!O13</f>
        <v>1.2565789473684208</v>
      </c>
      <c r="M3" s="17">
        <f>CPI!P13</f>
        <v>1.2379629629629629</v>
      </c>
      <c r="N3" s="17">
        <f>CPI!Q13</f>
        <v>1.2221206581352833</v>
      </c>
      <c r="O3" s="17">
        <f>CPI!R13</f>
        <v>1.2001795332136445</v>
      </c>
      <c r="P3" s="17">
        <f>CPI!S13</f>
        <v>1.1779735682819383</v>
      </c>
      <c r="Q3" s="17">
        <f>CPI!T13</f>
        <v>1.1585788561525128</v>
      </c>
      <c r="R3" s="17">
        <f>CPI!U13</f>
        <v>1.1506024096385541</v>
      </c>
      <c r="S3" s="17">
        <f>CPI!V13</f>
        <v>1.1169590643274852</v>
      </c>
      <c r="T3" s="17">
        <f>CPI!W13</f>
        <v>1.0410283522553407</v>
      </c>
    </row>
    <row r="4" spans="1:21" x14ac:dyDescent="0.35">
      <c r="A4" t="s">
        <v>51</v>
      </c>
      <c r="C4" s="17">
        <f>CPI!F12</f>
        <v>1.5954653937947494</v>
      </c>
      <c r="D4" s="17">
        <f>CPI!G12</f>
        <v>1.543879907621247</v>
      </c>
      <c r="E4" s="17">
        <f>CPI!H12</f>
        <v>1.5005611672278338</v>
      </c>
      <c r="F4" s="17">
        <f>CPI!I12</f>
        <v>1.4469696969696968</v>
      </c>
      <c r="G4" s="17">
        <f>CPI!J12</f>
        <v>1.417815482502651</v>
      </c>
      <c r="H4" s="17">
        <f>CPI!K12</f>
        <v>1.3797729618163053</v>
      </c>
      <c r="I4" s="17">
        <f>CPI!L12</f>
        <v>1.3396793587174347</v>
      </c>
      <c r="J4" s="17">
        <f>CPI!M12</f>
        <v>1.31078431372549</v>
      </c>
      <c r="K4" s="17">
        <f>CPI!N12</f>
        <v>1.2757633587786259</v>
      </c>
      <c r="L4" s="17">
        <f>CPI!O12</f>
        <v>1.2542213883677298</v>
      </c>
      <c r="M4" s="17">
        <f>CPI!P12</f>
        <v>1.2333948339483394</v>
      </c>
      <c r="N4" s="17">
        <f>CPI!Q12</f>
        <v>1.2154545454545453</v>
      </c>
      <c r="O4" s="17">
        <f>CPI!R12</f>
        <v>1.1926851025869758</v>
      </c>
      <c r="P4" s="17">
        <f>CPI!S12</f>
        <v>1.1717791411042944</v>
      </c>
      <c r="Q4" s="17">
        <f>CPI!T12</f>
        <v>1.1506024096385541</v>
      </c>
      <c r="R4" s="17">
        <f>CPI!U12</f>
        <v>1.1407849829351535</v>
      </c>
      <c r="S4" s="17">
        <f>CPI!V12</f>
        <v>1.1022258862324814</v>
      </c>
      <c r="T4" s="17">
        <f>CPI!W12</f>
        <v>1.0224729927945095</v>
      </c>
    </row>
    <row r="6" spans="1:21" x14ac:dyDescent="0.35">
      <c r="A6" s="10" t="s">
        <v>28</v>
      </c>
    </row>
    <row r="7" spans="1:21" x14ac:dyDescent="0.35">
      <c r="A7" s="10" t="s">
        <v>56</v>
      </c>
      <c r="C7">
        <v>2006</v>
      </c>
      <c r="D7">
        <v>2007</v>
      </c>
      <c r="E7">
        <v>2008</v>
      </c>
      <c r="F7">
        <v>2009</v>
      </c>
      <c r="G7">
        <v>2010</v>
      </c>
      <c r="H7">
        <v>2011</v>
      </c>
      <c r="I7">
        <v>2012</v>
      </c>
      <c r="J7">
        <v>2013</v>
      </c>
      <c r="K7">
        <v>2014</v>
      </c>
      <c r="L7">
        <v>2015</v>
      </c>
      <c r="M7">
        <v>2016</v>
      </c>
      <c r="N7">
        <v>2017</v>
      </c>
      <c r="O7">
        <v>2018</v>
      </c>
      <c r="P7">
        <v>2019</v>
      </c>
      <c r="Q7">
        <v>2020</v>
      </c>
      <c r="R7">
        <v>2021</v>
      </c>
      <c r="S7">
        <v>2022</v>
      </c>
      <c r="T7">
        <v>2023</v>
      </c>
    </row>
    <row r="8" spans="1:21" x14ac:dyDescent="0.35">
      <c r="A8" s="27" t="s">
        <v>35</v>
      </c>
      <c r="B8" s="27" t="s">
        <v>17</v>
      </c>
      <c r="C8" s="20">
        <v>1008498.0744489165</v>
      </c>
      <c r="D8" s="20">
        <v>1072410.1977797956</v>
      </c>
      <c r="E8" s="20">
        <v>1180457.0630350162</v>
      </c>
      <c r="F8" s="20">
        <v>1278429.4831257048</v>
      </c>
      <c r="G8" s="20">
        <v>1294892.6529556361</v>
      </c>
      <c r="H8" s="20">
        <v>1331479.0051210094</v>
      </c>
      <c r="I8" s="20">
        <v>1504540.6896702116</v>
      </c>
      <c r="J8" s="20">
        <v>1712893.4299247104</v>
      </c>
      <c r="K8" s="20">
        <v>1890087.8232150995</v>
      </c>
      <c r="L8" s="20">
        <v>2013147.9935692761</v>
      </c>
      <c r="M8" s="20">
        <v>2066967.4263843338</v>
      </c>
      <c r="N8" s="20">
        <v>2157003.2621017266</v>
      </c>
      <c r="O8" s="20">
        <v>2283322.8842957737</v>
      </c>
      <c r="P8" s="20">
        <v>2410576.8957586112</v>
      </c>
      <c r="Q8" s="49">
        <v>2447259.4160000002</v>
      </c>
      <c r="R8" s="49">
        <v>2408066.1732518435</v>
      </c>
      <c r="S8" s="49">
        <v>2496543.8947986625</v>
      </c>
      <c r="T8" s="49">
        <v>2853974.7816659287</v>
      </c>
    </row>
    <row r="9" spans="1:21" x14ac:dyDescent="0.35">
      <c r="A9" s="27" t="s">
        <v>19</v>
      </c>
      <c r="B9" s="27" t="s">
        <v>17</v>
      </c>
      <c r="C9" s="20">
        <v>2906163.8020416386</v>
      </c>
      <c r="D9" s="20">
        <v>3110944.766611123</v>
      </c>
      <c r="E9" s="20">
        <v>3568307.0443376545</v>
      </c>
      <c r="F9" s="20">
        <v>4186908.5814354168</v>
      </c>
      <c r="G9" s="20">
        <v>4681557.1948703378</v>
      </c>
      <c r="H9" s="20">
        <v>5093089.0531193521</v>
      </c>
      <c r="I9" s="20">
        <v>5477581.7371609155</v>
      </c>
      <c r="J9" s="20">
        <v>5819506.0639425004</v>
      </c>
      <c r="K9" s="20">
        <v>6301890.3431227049</v>
      </c>
      <c r="L9" s="20">
        <v>6604013.1766181048</v>
      </c>
      <c r="M9" s="20">
        <v>6605068.5105675301</v>
      </c>
      <c r="N9" s="20">
        <v>6644060.9068036843</v>
      </c>
      <c r="O9" s="20">
        <v>6541355.9075110834</v>
      </c>
      <c r="P9" s="20">
        <v>6556115.4742665607</v>
      </c>
      <c r="Q9" s="49">
        <v>6525242.2384730373</v>
      </c>
      <c r="R9" s="49">
        <v>6404622.1417386746</v>
      </c>
      <c r="S9" s="49">
        <v>6388735.0077023748</v>
      </c>
      <c r="T9" s="49">
        <v>6714680.9425891563</v>
      </c>
    </row>
    <row r="10" spans="1:21" x14ac:dyDescent="0.35">
      <c r="A10" s="27" t="s">
        <v>33</v>
      </c>
      <c r="B10" s="27" t="s">
        <v>17</v>
      </c>
      <c r="C10" s="20">
        <v>1889957.733</v>
      </c>
      <c r="D10" s="20">
        <v>1929607.6654999999</v>
      </c>
      <c r="E10" s="20">
        <v>2007291.2560000001</v>
      </c>
      <c r="F10" s="20">
        <v>2181178.4835000001</v>
      </c>
      <c r="G10" s="20">
        <v>2198049.1735</v>
      </c>
      <c r="H10" s="20">
        <v>2232904.4265000001</v>
      </c>
      <c r="I10" s="20">
        <v>2292941.9665000001</v>
      </c>
      <c r="J10" s="20">
        <v>2370849.6140000001</v>
      </c>
      <c r="K10" s="20">
        <v>2476349.311010506</v>
      </c>
      <c r="L10" s="20">
        <v>2790207.8150309501</v>
      </c>
      <c r="M10" s="20">
        <v>2857110.3028806783</v>
      </c>
      <c r="N10" s="20">
        <v>2903023.4716057549</v>
      </c>
      <c r="O10" s="20">
        <v>2948642.8739125249</v>
      </c>
      <c r="P10" s="20">
        <v>2944146.1043232437</v>
      </c>
      <c r="Q10" s="49">
        <v>2991255.196152173</v>
      </c>
      <c r="R10" s="49">
        <v>3029409.7461631317</v>
      </c>
      <c r="S10" s="49">
        <v>3228520.8813418695</v>
      </c>
      <c r="T10" s="49">
        <v>3477413.1527542737</v>
      </c>
    </row>
    <row r="11" spans="1:21" x14ac:dyDescent="0.35">
      <c r="A11" s="27" t="s">
        <v>27</v>
      </c>
      <c r="B11" s="27" t="s">
        <v>17</v>
      </c>
      <c r="C11" s="20">
        <v>666396.5</v>
      </c>
      <c r="D11" s="20">
        <v>728278.5</v>
      </c>
      <c r="E11" s="20">
        <v>787887</v>
      </c>
      <c r="F11" s="20">
        <v>845035</v>
      </c>
      <c r="G11" s="20">
        <v>895293</v>
      </c>
      <c r="H11" s="20">
        <v>1006943.5</v>
      </c>
      <c r="I11" s="20">
        <v>1139787</v>
      </c>
      <c r="J11" s="20">
        <v>1204832</v>
      </c>
      <c r="K11" s="20">
        <v>1310583.1592409625</v>
      </c>
      <c r="L11" s="20">
        <v>1386261.7283497157</v>
      </c>
      <c r="M11" s="20">
        <v>1382762.1991195932</v>
      </c>
      <c r="N11" s="20">
        <v>1371712.8989775274</v>
      </c>
      <c r="O11" s="20">
        <v>1371065.4063185384</v>
      </c>
      <c r="P11" s="20">
        <v>1390069.5081462832</v>
      </c>
      <c r="Q11" s="61">
        <v>1389808.4450801625</v>
      </c>
      <c r="R11" s="61">
        <v>1400273.2265098309</v>
      </c>
      <c r="S11" s="61">
        <v>1410143.1969039633</v>
      </c>
      <c r="T11" s="49">
        <v>1469074.569873774</v>
      </c>
    </row>
    <row r="12" spans="1:21" x14ac:dyDescent="0.35">
      <c r="A12" s="27" t="s">
        <v>36</v>
      </c>
      <c r="B12" s="27" t="s">
        <v>17</v>
      </c>
      <c r="C12" s="20">
        <v>3166374.415412093</v>
      </c>
      <c r="D12" s="20">
        <v>3313367.6045614304</v>
      </c>
      <c r="E12" s="20">
        <v>3566600.1045614304</v>
      </c>
      <c r="F12" s="20">
        <v>3976405.905427468</v>
      </c>
      <c r="G12" s="20">
        <v>4305989.6381644513</v>
      </c>
      <c r="H12" s="20">
        <v>4559614.3380024452</v>
      </c>
      <c r="I12" s="20">
        <v>4853368.9664179208</v>
      </c>
      <c r="J12" s="20">
        <v>5135315.116477563</v>
      </c>
      <c r="K12" s="20">
        <v>5576508.2256924072</v>
      </c>
      <c r="L12" s="20">
        <v>5908508.5172999017</v>
      </c>
      <c r="M12" s="20">
        <v>6033054.789736486</v>
      </c>
      <c r="N12" s="20">
        <v>6056226.9784158589</v>
      </c>
      <c r="O12" s="20">
        <v>6041537.9813804002</v>
      </c>
      <c r="P12" s="20">
        <v>6258956.0859821215</v>
      </c>
      <c r="Q12" s="49">
        <v>6345244.6040000003</v>
      </c>
      <c r="R12" s="49">
        <v>6357791.2060000002</v>
      </c>
      <c r="S12" s="49">
        <v>6533214.1509999996</v>
      </c>
      <c r="T12" s="49">
        <v>7060037.1160000004</v>
      </c>
    </row>
    <row r="13" spans="1:21" x14ac:dyDescent="0.35"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8"/>
    </row>
    <row r="14" spans="1:21" x14ac:dyDescent="0.35">
      <c r="A14" s="10" t="str">
        <f>CONCATENATE(B2)</f>
        <v>Real $2023</v>
      </c>
      <c r="C14">
        <v>2006</v>
      </c>
      <c r="D14">
        <v>2007</v>
      </c>
      <c r="E14">
        <v>2008</v>
      </c>
      <c r="F14">
        <v>2009</v>
      </c>
      <c r="G14">
        <v>2010</v>
      </c>
      <c r="H14">
        <v>2011</v>
      </c>
      <c r="I14">
        <v>2012</v>
      </c>
      <c r="J14">
        <v>2013</v>
      </c>
      <c r="K14">
        <v>2014</v>
      </c>
      <c r="L14">
        <v>2015</v>
      </c>
      <c r="M14">
        <v>2016</v>
      </c>
      <c r="N14">
        <v>2017</v>
      </c>
      <c r="O14">
        <v>2018</v>
      </c>
      <c r="P14">
        <v>2019</v>
      </c>
      <c r="Q14">
        <v>2020</v>
      </c>
      <c r="R14">
        <v>2021</v>
      </c>
      <c r="S14">
        <v>2022</v>
      </c>
      <c r="T14">
        <v>2023</v>
      </c>
      <c r="U14" t="s">
        <v>108</v>
      </c>
    </row>
    <row r="15" spans="1:21" x14ac:dyDescent="0.35">
      <c r="A15" s="27" t="s">
        <v>35</v>
      </c>
      <c r="B15" s="27" t="s">
        <v>109</v>
      </c>
      <c r="C15" s="20">
        <f>C8*C$4</f>
        <v>1609023.7774918871</v>
      </c>
      <c r="D15" s="20">
        <f t="shared" ref="D15:L15" si="0">D8*D$4</f>
        <v>1655672.5570803541</v>
      </c>
      <c r="E15" s="20">
        <f t="shared" si="0"/>
        <v>1771348.0283701646</v>
      </c>
      <c r="F15" s="20">
        <f t="shared" si="0"/>
        <v>1849848.7217955273</v>
      </c>
      <c r="G15" s="20">
        <f t="shared" si="0"/>
        <v>1835918.851539433</v>
      </c>
      <c r="H15" s="20">
        <f t="shared" si="0"/>
        <v>1837138.7304920426</v>
      </c>
      <c r="I15" s="20">
        <f t="shared" si="0"/>
        <v>2015602.106301676</v>
      </c>
      <c r="J15" s="20">
        <f t="shared" si="0"/>
        <v>2245233.8390287622</v>
      </c>
      <c r="K15" s="20">
        <f t="shared" si="0"/>
        <v>2411304.7897314769</v>
      </c>
      <c r="L15" s="20">
        <f t="shared" si="0"/>
        <v>2524933.2714841668</v>
      </c>
      <c r="M15" s="20">
        <f t="shared" ref="M15:O16" si="1">M8*M$4</f>
        <v>2549386.9456419316</v>
      </c>
      <c r="N15" s="20">
        <f t="shared" si="1"/>
        <v>2621739.4194818255</v>
      </c>
      <c r="O15" s="20">
        <f t="shared" si="1"/>
        <v>2723285.1884954944</v>
      </c>
      <c r="P15" s="20">
        <f t="shared" ref="P15:Q15" si="2">P8*P$4</f>
        <v>2824663.7244778816</v>
      </c>
      <c r="Q15" s="20">
        <f t="shared" si="2"/>
        <v>2815822.581060241</v>
      </c>
      <c r="R15" s="20">
        <f>R8*R$4</f>
        <v>2747085.728359825</v>
      </c>
      <c r="S15" s="20">
        <f>S8*S$4</f>
        <v>2751755.3069627467</v>
      </c>
      <c r="T15" s="20">
        <f>T8*T$4</f>
        <v>2918112.1363700191</v>
      </c>
      <c r="U15" s="11">
        <f>ROUND(AVERAGE(P15:T15),0)</f>
        <v>2811488</v>
      </c>
    </row>
    <row r="16" spans="1:21" x14ac:dyDescent="0.35">
      <c r="A16" s="27" t="s">
        <v>19</v>
      </c>
      <c r="B16" s="27" t="s">
        <v>109</v>
      </c>
      <c r="C16" s="20">
        <f>C9*C$4</f>
        <v>4636683.7748564091</v>
      </c>
      <c r="D16" s="20">
        <f t="shared" ref="D16:L16" si="3">D9*D$4</f>
        <v>4802925.1188903823</v>
      </c>
      <c r="E16" s="20">
        <f t="shared" si="3"/>
        <v>5354462.9834786123</v>
      </c>
      <c r="F16" s="20">
        <f t="shared" si="3"/>
        <v>6058329.8413194278</v>
      </c>
      <c r="G16" s="20">
        <f t="shared" si="3"/>
        <v>6637584.2731088456</v>
      </c>
      <c r="H16" s="20">
        <f t="shared" si="3"/>
        <v>7027306.56761669</v>
      </c>
      <c r="I16" s="20">
        <f t="shared" si="3"/>
        <v>7338203.1889620675</v>
      </c>
      <c r="J16" s="20">
        <f t="shared" si="3"/>
        <v>7628117.262246198</v>
      </c>
      <c r="K16" s="20">
        <f t="shared" si="3"/>
        <v>8039720.7907968089</v>
      </c>
      <c r="L16" s="20">
        <f t="shared" si="3"/>
        <v>8282894.575176741</v>
      </c>
      <c r="M16" s="20">
        <f t="shared" si="1"/>
        <v>8146657.3788088439</v>
      </c>
      <c r="N16" s="20">
        <f t="shared" si="1"/>
        <v>8075554.0294513861</v>
      </c>
      <c r="O16" s="20">
        <f t="shared" si="1"/>
        <v>7801777.7416077768</v>
      </c>
      <c r="P16" s="20">
        <f t="shared" ref="P16:Q16" si="4">P9*P$4</f>
        <v>7682319.3594166441</v>
      </c>
      <c r="Q16" s="20">
        <f t="shared" si="4"/>
        <v>7507959.4430623492</v>
      </c>
      <c r="R16" s="20">
        <f>R9*R$4</f>
        <v>7306296.7606694605</v>
      </c>
      <c r="S16" s="20">
        <f t="shared" ref="S16" si="5">S9*S$4</f>
        <v>7041829.1057692291</v>
      </c>
      <c r="T16" s="20">
        <f>T9*T$4</f>
        <v>6865579.9190293932</v>
      </c>
      <c r="U16" s="11">
        <f>ROUND(AVERAGE(P16:T16),0)</f>
        <v>7280797</v>
      </c>
    </row>
    <row r="17" spans="1:21" x14ac:dyDescent="0.35">
      <c r="A17" s="27" t="s">
        <v>33</v>
      </c>
      <c r="B17" s="27" t="s">
        <v>109</v>
      </c>
      <c r="C17" s="20">
        <f>C10*C$3</f>
        <v>3029824.327363309</v>
      </c>
      <c r="D17" s="20">
        <f t="shared" ref="D17:L17" si="6">D10*D$3</f>
        <v>2975646.4230374848</v>
      </c>
      <c r="E17" s="20">
        <f t="shared" si="6"/>
        <v>3039352.6718822196</v>
      </c>
      <c r="F17" s="20">
        <f t="shared" si="6"/>
        <v>3145885.2561375406</v>
      </c>
      <c r="G17" s="20">
        <f t="shared" si="6"/>
        <v>3133040.2398395524</v>
      </c>
      <c r="H17" s="20">
        <f t="shared" si="6"/>
        <v>3093671.7287362693</v>
      </c>
      <c r="I17" s="20">
        <f t="shared" si="6"/>
        <v>3071807.0232570139</v>
      </c>
      <c r="J17" s="20">
        <f t="shared" si="6"/>
        <v>3113777.9311571708</v>
      </c>
      <c r="K17" s="20">
        <f t="shared" si="6"/>
        <v>3183537.5277125444</v>
      </c>
      <c r="L17" s="20">
        <f t="shared" si="6"/>
        <v>3506116.3991507324</v>
      </c>
      <c r="M17" s="20">
        <f t="shared" ref="M17:Q17" si="7">M10*M$3</f>
        <v>3536996.7360661728</v>
      </c>
      <c r="N17" s="20">
        <f t="shared" si="7"/>
        <v>3547844.9557010001</v>
      </c>
      <c r="O17" s="20">
        <f t="shared" si="7"/>
        <v>3538900.8280260731</v>
      </c>
      <c r="P17" s="20">
        <f t="shared" si="7"/>
        <v>3468126.2920530192</v>
      </c>
      <c r="Q17" s="20">
        <f t="shared" si="7"/>
        <v>3465605.0236182446</v>
      </c>
      <c r="R17" s="20">
        <f>R10*R$3</f>
        <v>3485646.1537178196</v>
      </c>
      <c r="S17" s="20">
        <f>S10*S$3</f>
        <v>3606125.6627853625</v>
      </c>
      <c r="T17" s="20">
        <f>T10*T$3</f>
        <v>3620085.6845228309</v>
      </c>
      <c r="U17" s="11">
        <f>ROUND(AVERAGE(P17:T17),0)</f>
        <v>3529118</v>
      </c>
    </row>
    <row r="18" spans="1:21" x14ac:dyDescent="0.35">
      <c r="A18" s="27" t="s">
        <v>27</v>
      </c>
      <c r="B18" s="27" t="s">
        <v>109</v>
      </c>
      <c r="C18" s="20">
        <f>C11*C$4</f>
        <v>1063212.5542959427</v>
      </c>
      <c r="D18" s="20">
        <f t="shared" ref="D18:L18" si="8">D11*D$4</f>
        <v>1124374.5433025404</v>
      </c>
      <c r="E18" s="20">
        <f t="shared" si="8"/>
        <v>1182272.6363636362</v>
      </c>
      <c r="F18" s="20">
        <f t="shared" si="8"/>
        <v>1222740.0378787878</v>
      </c>
      <c r="G18" s="20">
        <f t="shared" si="8"/>
        <v>1269360.276776246</v>
      </c>
      <c r="H18" s="20">
        <f t="shared" si="8"/>
        <v>1389353.4153766767</v>
      </c>
      <c r="I18" s="20">
        <f t="shared" si="8"/>
        <v>1526949.1172344687</v>
      </c>
      <c r="J18" s="20">
        <f t="shared" si="8"/>
        <v>1579274.8862745096</v>
      </c>
      <c r="K18" s="20">
        <f t="shared" si="8"/>
        <v>1671993.973191953</v>
      </c>
      <c r="L18" s="20">
        <f t="shared" si="8"/>
        <v>1738679.1095718292</v>
      </c>
      <c r="M18" s="20">
        <f t="shared" ref="M18:O19" si="9">M11*M$4</f>
        <v>1705491.7529731514</v>
      </c>
      <c r="N18" s="20">
        <f t="shared" si="9"/>
        <v>1667254.6781208673</v>
      </c>
      <c r="O18" s="20">
        <f t="shared" si="9"/>
        <v>1635249.2847884796</v>
      </c>
      <c r="P18" s="20">
        <f t="shared" ref="P18" si="10">P11*P$4</f>
        <v>1628854.4543309207</v>
      </c>
      <c r="Q18" s="20">
        <f>Q11*Q$4</f>
        <v>1599116.945845247</v>
      </c>
      <c r="R18" s="20">
        <f t="shared" ref="R18:S18" si="11">R11*R$4</f>
        <v>1597410.6688085699</v>
      </c>
      <c r="S18" s="20">
        <f t="shared" si="11"/>
        <v>1554296.3349221756</v>
      </c>
      <c r="T18" s="20">
        <f>T11*T$4</f>
        <v>1502089.0720971446</v>
      </c>
      <c r="U18" s="11">
        <f>ROUND(AVERAGE(P18:T18),0)</f>
        <v>1576353</v>
      </c>
    </row>
    <row r="19" spans="1:21" x14ac:dyDescent="0.35">
      <c r="A19" s="27" t="s">
        <v>36</v>
      </c>
      <c r="B19" s="27" t="s">
        <v>109</v>
      </c>
      <c r="C19" s="20">
        <f>C12*C$4</f>
        <v>5051840.8035870744</v>
      </c>
      <c r="D19" s="20">
        <f t="shared" ref="D19:L19" si="12">D12*D$4</f>
        <v>5115441.671245534</v>
      </c>
      <c r="E19" s="20">
        <f t="shared" si="12"/>
        <v>5351901.6159356143</v>
      </c>
      <c r="F19" s="20">
        <f t="shared" si="12"/>
        <v>5753738.8480048962</v>
      </c>
      <c r="G19" s="20">
        <f t="shared" si="12"/>
        <v>6105098.7764855474</v>
      </c>
      <c r="H19" s="20">
        <f t="shared" si="12"/>
        <v>6291232.5798857259</v>
      </c>
      <c r="I19" s="20">
        <f t="shared" si="12"/>
        <v>6501958.2245498588</v>
      </c>
      <c r="J19" s="20">
        <f t="shared" si="12"/>
        <v>6731290.5007161768</v>
      </c>
      <c r="K19" s="20">
        <f t="shared" si="12"/>
        <v>7114304.8642659811</v>
      </c>
      <c r="L19" s="20">
        <f t="shared" si="12"/>
        <v>7410577.7557504391</v>
      </c>
      <c r="M19" s="20">
        <f t="shared" si="9"/>
        <v>7441138.6105882665</v>
      </c>
      <c r="N19" s="20">
        <f t="shared" si="9"/>
        <v>7361068.6092200028</v>
      </c>
      <c r="O19" s="20">
        <f t="shared" si="9"/>
        <v>7205652.3471057937</v>
      </c>
      <c r="P19" s="20">
        <f t="shared" ref="P19:Q19" si="13">P12*P$4</f>
        <v>7334114.1866416261</v>
      </c>
      <c r="Q19" s="20">
        <f t="shared" si="13"/>
        <v>7300853.7311084336</v>
      </c>
      <c r="R19" s="20">
        <f t="shared" ref="R19" si="14">R12*R$4</f>
        <v>7252872.7324419795</v>
      </c>
      <c r="S19" s="20">
        <f>S12*S$4</f>
        <v>7201077.7575325631</v>
      </c>
      <c r="T19" s="20">
        <f>T12*T$4</f>
        <v>7218697.2792368382</v>
      </c>
      <c r="U19" s="11">
        <f>ROUND(AVERAGE(P19:T19),0)</f>
        <v>7261523</v>
      </c>
    </row>
    <row r="21" spans="1:21" x14ac:dyDescent="0.35"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21" x14ac:dyDescent="0.35">
      <c r="P22" s="48"/>
    </row>
    <row r="25" spans="1:21" x14ac:dyDescent="0.35"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1:21" x14ac:dyDescent="0.35"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500-000006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RAB!C8:P8</xm:f>
              <xm:sqref>U8</xm:sqref>
            </x14:sparkline>
            <x14:sparkline>
              <xm:f>RAB!C9:P9</xm:f>
              <xm:sqref>U9</xm:sqref>
            </x14:sparkline>
            <x14:sparkline>
              <xm:f>RAB!C10:P10</xm:f>
              <xm:sqref>U10</xm:sqref>
            </x14:sparkline>
            <x14:sparkline>
              <xm:f>RAB!C11:P11</xm:f>
              <xm:sqref>U11</xm:sqref>
            </x14:sparkline>
            <x14:sparkline>
              <xm:f>RAB!C12:P12</xm:f>
              <xm:sqref>U12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23"/>
  <sheetViews>
    <sheetView topLeftCell="I1" zoomScale="130" zoomScaleNormal="130" workbookViewId="0">
      <selection activeCell="T11" sqref="T11"/>
    </sheetView>
  </sheetViews>
  <sheetFormatPr defaultRowHeight="14.5" x14ac:dyDescent="0.35"/>
  <cols>
    <col min="1" max="1" width="45.1796875" customWidth="1"/>
    <col min="2" max="2" width="11.1796875" style="12" customWidth="1"/>
    <col min="3" max="9" width="12.1796875" style="12" customWidth="1"/>
    <col min="10" max="15" width="12.1796875" customWidth="1"/>
    <col min="16" max="16" width="11.81640625" bestFit="1" customWidth="1"/>
    <col min="19" max="19" width="12.453125" bestFit="1" customWidth="1"/>
    <col min="20" max="20" width="12.453125" customWidth="1"/>
  </cols>
  <sheetData>
    <row r="1" spans="1:21" x14ac:dyDescent="0.35">
      <c r="A1" s="10" t="s">
        <v>21</v>
      </c>
      <c r="B1" s="32"/>
      <c r="C1" s="32"/>
      <c r="D1" s="32"/>
      <c r="E1" s="32"/>
      <c r="F1" s="32"/>
      <c r="G1" s="32"/>
      <c r="H1" s="32"/>
      <c r="I1" s="32"/>
      <c r="J1" s="32"/>
      <c r="T1" s="74"/>
    </row>
    <row r="2" spans="1:21" x14ac:dyDescent="0.35">
      <c r="B2" s="10" t="str">
        <f>"Real $"&amp;Real_year&amp;""</f>
        <v>Real $2023</v>
      </c>
      <c r="C2">
        <v>2006</v>
      </c>
      <c r="D2">
        <v>2007</v>
      </c>
      <c r="E2">
        <v>2008</v>
      </c>
      <c r="F2">
        <v>2009</v>
      </c>
      <c r="G2">
        <v>2010</v>
      </c>
      <c r="H2">
        <v>2011</v>
      </c>
      <c r="I2">
        <v>2012</v>
      </c>
      <c r="J2">
        <v>2013</v>
      </c>
      <c r="K2">
        <v>2014</v>
      </c>
      <c r="L2">
        <v>2015</v>
      </c>
      <c r="M2">
        <v>2016</v>
      </c>
      <c r="N2">
        <v>2017</v>
      </c>
      <c r="O2">
        <v>2018</v>
      </c>
      <c r="P2">
        <v>2019</v>
      </c>
      <c r="Q2">
        <v>2020</v>
      </c>
      <c r="R2">
        <v>2021</v>
      </c>
      <c r="S2">
        <v>2022</v>
      </c>
      <c r="T2" s="74">
        <v>2023</v>
      </c>
    </row>
    <row r="3" spans="1:21" x14ac:dyDescent="0.35">
      <c r="A3" t="s">
        <v>52</v>
      </c>
      <c r="B3"/>
      <c r="C3" s="17">
        <f>CPI!F13</f>
        <v>1.6031175059952036</v>
      </c>
      <c r="D3" s="17">
        <f>CPI!G13</f>
        <v>1.5420991926182235</v>
      </c>
      <c r="E3" s="17">
        <f>CPI!H13</f>
        <v>1.5141562853907133</v>
      </c>
      <c r="F3" s="17">
        <f>CPI!I13</f>
        <v>1.442286947141316</v>
      </c>
      <c r="G3" s="17">
        <f>CPI!J13</f>
        <v>1.4253731343283582</v>
      </c>
      <c r="H3" s="17">
        <f>CPI!K13</f>
        <v>1.3854922279792745</v>
      </c>
      <c r="I3" s="17">
        <f>CPI!L13</f>
        <v>1.3396793587174347</v>
      </c>
      <c r="J3" s="17">
        <f>CPI!M13</f>
        <v>1.3133595284872297</v>
      </c>
      <c r="K3" s="17">
        <f>CPI!N13</f>
        <v>1.285576923076923</v>
      </c>
      <c r="L3" s="17">
        <f>CPI!O13</f>
        <v>1.2565789473684208</v>
      </c>
      <c r="M3" s="17">
        <f>CPI!P13</f>
        <v>1.2379629629629629</v>
      </c>
      <c r="N3" s="17">
        <f>CPI!Q13</f>
        <v>1.2221206581352833</v>
      </c>
      <c r="O3" s="17">
        <f>CPI!R13</f>
        <v>1.2001795332136445</v>
      </c>
      <c r="P3" s="17">
        <f>CPI!S13</f>
        <v>1.1779735682819383</v>
      </c>
      <c r="Q3" s="17">
        <f>CPI!T13</f>
        <v>1.1585788561525128</v>
      </c>
      <c r="R3" s="17">
        <f>CPI!U13</f>
        <v>1.1506024096385541</v>
      </c>
      <c r="S3" s="17">
        <f>CPI!V13</f>
        <v>1.1169590643274852</v>
      </c>
      <c r="T3" s="17">
        <f>CPI!W13</f>
        <v>1.0410283522553407</v>
      </c>
    </row>
    <row r="4" spans="1:21" x14ac:dyDescent="0.35">
      <c r="A4" t="s">
        <v>51</v>
      </c>
      <c r="B4"/>
      <c r="C4" s="17">
        <f>CPI!F12</f>
        <v>1.5954653937947494</v>
      </c>
      <c r="D4" s="17">
        <f>CPI!G12</f>
        <v>1.543879907621247</v>
      </c>
      <c r="E4" s="17">
        <f>CPI!H12</f>
        <v>1.5005611672278338</v>
      </c>
      <c r="F4" s="17">
        <f>CPI!I12</f>
        <v>1.4469696969696968</v>
      </c>
      <c r="G4" s="17">
        <f>CPI!J12</f>
        <v>1.417815482502651</v>
      </c>
      <c r="H4" s="17">
        <f>CPI!K12</f>
        <v>1.3797729618163053</v>
      </c>
      <c r="I4" s="17">
        <f>CPI!L12</f>
        <v>1.3396793587174347</v>
      </c>
      <c r="J4" s="17">
        <f>CPI!M12</f>
        <v>1.31078431372549</v>
      </c>
      <c r="K4" s="17">
        <f>CPI!N12</f>
        <v>1.2757633587786259</v>
      </c>
      <c r="L4" s="17">
        <f>CPI!O12</f>
        <v>1.2542213883677298</v>
      </c>
      <c r="M4" s="17">
        <f>CPI!P12</f>
        <v>1.2333948339483394</v>
      </c>
      <c r="N4" s="17">
        <f>CPI!Q12</f>
        <v>1.2154545454545453</v>
      </c>
      <c r="O4" s="17">
        <f>CPI!R12</f>
        <v>1.1926851025869758</v>
      </c>
      <c r="P4" s="17">
        <f>CPI!S12</f>
        <v>1.1717791411042944</v>
      </c>
      <c r="Q4" s="17">
        <f>CPI!T12</f>
        <v>1.1506024096385541</v>
      </c>
      <c r="R4" s="17">
        <f>CPI!U12</f>
        <v>1.1407849829351535</v>
      </c>
      <c r="S4" s="17">
        <f>CPI!V12</f>
        <v>1.1022258862324814</v>
      </c>
      <c r="T4" s="17">
        <f>CPI!W12</f>
        <v>1.0224729927945095</v>
      </c>
    </row>
    <row r="5" spans="1:21" x14ac:dyDescent="0.35">
      <c r="B5"/>
      <c r="C5"/>
      <c r="D5"/>
      <c r="E5"/>
      <c r="F5"/>
      <c r="G5"/>
      <c r="H5"/>
      <c r="I5"/>
    </row>
    <row r="6" spans="1:21" x14ac:dyDescent="0.35">
      <c r="A6" s="10" t="s">
        <v>55</v>
      </c>
      <c r="B6" s="32"/>
      <c r="C6" s="32"/>
      <c r="D6" s="32"/>
      <c r="E6" s="32"/>
      <c r="F6" s="32"/>
      <c r="G6" s="32"/>
      <c r="H6" s="32"/>
      <c r="I6" s="32"/>
      <c r="J6" s="32"/>
    </row>
    <row r="7" spans="1:21" x14ac:dyDescent="0.35">
      <c r="A7" s="10" t="s">
        <v>56</v>
      </c>
      <c r="B7" s="32"/>
      <c r="C7">
        <v>2006</v>
      </c>
      <c r="D7">
        <v>2007</v>
      </c>
      <c r="E7">
        <v>2008</v>
      </c>
      <c r="F7">
        <v>2009</v>
      </c>
      <c r="G7">
        <v>2010</v>
      </c>
      <c r="H7">
        <v>2011</v>
      </c>
      <c r="I7">
        <v>2012</v>
      </c>
      <c r="J7">
        <v>2013</v>
      </c>
      <c r="K7">
        <v>2014</v>
      </c>
      <c r="L7">
        <v>2015</v>
      </c>
      <c r="M7">
        <v>2016</v>
      </c>
      <c r="N7">
        <v>2017</v>
      </c>
      <c r="O7">
        <v>2018</v>
      </c>
      <c r="P7">
        <v>2019</v>
      </c>
      <c r="Q7">
        <v>2020</v>
      </c>
      <c r="R7">
        <v>2021</v>
      </c>
      <c r="S7">
        <v>2022</v>
      </c>
      <c r="T7">
        <v>2023</v>
      </c>
    </row>
    <row r="8" spans="1:21" x14ac:dyDescent="0.35">
      <c r="A8" s="27" t="s">
        <v>35</v>
      </c>
      <c r="B8" s="27" t="s">
        <v>17</v>
      </c>
      <c r="C8" s="20">
        <v>-45791.849417636906</v>
      </c>
      <c r="D8" s="20">
        <v>-50958.501088076984</v>
      </c>
      <c r="E8" s="20">
        <v>-48204.850280116312</v>
      </c>
      <c r="F8" s="20">
        <v>-55008.877124563965</v>
      </c>
      <c r="G8" s="20">
        <v>-60040.104570401381</v>
      </c>
      <c r="H8" s="20">
        <v>-63337.177692221783</v>
      </c>
      <c r="I8" s="20">
        <v>-66722.89939335885</v>
      </c>
      <c r="J8" s="20">
        <v>-73303.01352783374</v>
      </c>
      <c r="K8" s="20">
        <v>-76094.486579693286</v>
      </c>
      <c r="L8" s="20">
        <v>-85643.071653748921</v>
      </c>
      <c r="M8" s="20">
        <v>-95982.674057186538</v>
      </c>
      <c r="N8" s="20">
        <v>-103289.94435068821</v>
      </c>
      <c r="O8" s="20">
        <v>-103984.56412373077</v>
      </c>
      <c r="P8" s="20">
        <v>-106385.24868914524</v>
      </c>
      <c r="Q8" s="27">
        <v>-126424.29</v>
      </c>
      <c r="R8" s="27">
        <v>-131173.97972722203</v>
      </c>
      <c r="S8" s="19">
        <v>-140644.79174180477</v>
      </c>
      <c r="T8" s="19">
        <v>-138986.73761955823</v>
      </c>
    </row>
    <row r="9" spans="1:21" x14ac:dyDescent="0.35">
      <c r="A9" s="27" t="s">
        <v>19</v>
      </c>
      <c r="B9" s="27" t="s">
        <v>17</v>
      </c>
      <c r="C9" s="20">
        <v>-132496.74622431587</v>
      </c>
      <c r="D9" s="20">
        <v>-140357.26629175912</v>
      </c>
      <c r="E9" s="20">
        <v>-156999.72982458232</v>
      </c>
      <c r="F9" s="20">
        <v>-182601.09296048834</v>
      </c>
      <c r="G9" s="20">
        <v>-191974.42283243482</v>
      </c>
      <c r="H9" s="20">
        <v>-209895.4904502311</v>
      </c>
      <c r="I9" s="20">
        <v>-224992.70041557745</v>
      </c>
      <c r="J9" s="20">
        <v>-212080.91622801078</v>
      </c>
      <c r="K9" s="20">
        <v>-234896.24841606364</v>
      </c>
      <c r="L9" s="20">
        <v>-261726.28652177399</v>
      </c>
      <c r="M9" s="20">
        <v>-277132.67885741114</v>
      </c>
      <c r="N9" s="20">
        <v>-273813.57027352898</v>
      </c>
      <c r="O9" s="20">
        <v>-261276.59177307546</v>
      </c>
      <c r="P9" s="20">
        <v>-286093.59674934688</v>
      </c>
      <c r="Q9" s="27">
        <v>-303179.94185928896</v>
      </c>
      <c r="R9" s="27">
        <v>-314468.95912751841</v>
      </c>
      <c r="S9" s="19">
        <v>-317696.76911903929</v>
      </c>
      <c r="T9" s="19">
        <v>-289760.79030280642</v>
      </c>
    </row>
    <row r="10" spans="1:21" x14ac:dyDescent="0.35">
      <c r="A10" s="27" t="s">
        <v>33</v>
      </c>
      <c r="B10" s="27" t="s">
        <v>17</v>
      </c>
      <c r="C10" s="20">
        <v>-86280.945999999996</v>
      </c>
      <c r="D10" s="20">
        <v>-91719.03</v>
      </c>
      <c r="E10" s="20">
        <v>-103392.598</v>
      </c>
      <c r="F10" s="20">
        <v>-107125.821</v>
      </c>
      <c r="G10" s="20">
        <v>-112873.439</v>
      </c>
      <c r="H10" s="20">
        <v>-118888.912</v>
      </c>
      <c r="I10" s="20">
        <v>-123748.05100000001</v>
      </c>
      <c r="J10" s="20">
        <v>-129632.00900000001</v>
      </c>
      <c r="K10" s="20">
        <v>-127428.17617868638</v>
      </c>
      <c r="L10" s="20">
        <v>-145677.73598860696</v>
      </c>
      <c r="M10" s="20">
        <v>-152613.9833679182</v>
      </c>
      <c r="N10" s="20">
        <v>-161231.0402391114</v>
      </c>
      <c r="O10" s="20">
        <v>-170906.18048810546</v>
      </c>
      <c r="P10" s="20">
        <v>-174346.82383437318</v>
      </c>
      <c r="Q10" s="27">
        <v>-182669.67724412392</v>
      </c>
      <c r="R10" s="27">
        <v>-186020.17268516027</v>
      </c>
      <c r="S10" s="19">
        <v>-167880.9635655687</v>
      </c>
      <c r="T10" s="19">
        <v>-180467.15135530775</v>
      </c>
    </row>
    <row r="11" spans="1:21" x14ac:dyDescent="0.35">
      <c r="A11" s="27" t="s">
        <v>27</v>
      </c>
      <c r="B11" s="27" t="s">
        <v>17</v>
      </c>
      <c r="C11" s="20">
        <v>-34117</v>
      </c>
      <c r="D11" s="20">
        <v>-33914</v>
      </c>
      <c r="E11" s="20">
        <v>-37777</v>
      </c>
      <c r="F11" s="20">
        <v>-41311</v>
      </c>
      <c r="G11" s="20">
        <v>-49841</v>
      </c>
      <c r="H11" s="20">
        <v>-54231</v>
      </c>
      <c r="I11" s="20">
        <v>-54880</v>
      </c>
      <c r="J11" s="20">
        <v>-54578</v>
      </c>
      <c r="K11" s="20">
        <v>-61434.606590000003</v>
      </c>
      <c r="L11" s="20">
        <v>-53237.514772859882</v>
      </c>
      <c r="M11" s="20">
        <v>-57207.430475358902</v>
      </c>
      <c r="N11" s="20">
        <v>-61304.04863066168</v>
      </c>
      <c r="O11" s="20">
        <v>-61390.494942420773</v>
      </c>
      <c r="P11" s="20">
        <v>-62790.62031208886</v>
      </c>
      <c r="Q11" s="27">
        <v>-56413.52930933053</v>
      </c>
      <c r="R11" s="27">
        <v>-58026.015771226463</v>
      </c>
      <c r="S11" s="19">
        <v>-66455.200904692145</v>
      </c>
      <c r="T11" s="19">
        <v>-56085.943245241222</v>
      </c>
    </row>
    <row r="12" spans="1:21" x14ac:dyDescent="0.35">
      <c r="A12" s="27" t="s">
        <v>36</v>
      </c>
      <c r="B12" s="27" t="s">
        <v>17</v>
      </c>
      <c r="C12" s="20">
        <v>-121720.69285763716</v>
      </c>
      <c r="D12" s="20">
        <v>-130837</v>
      </c>
      <c r="E12" s="20">
        <v>-138414</v>
      </c>
      <c r="F12" s="20">
        <v>-155347.27373057668</v>
      </c>
      <c r="G12" s="20">
        <v>-178956.02871101134</v>
      </c>
      <c r="H12" s="20">
        <v>-181714.94605466677</v>
      </c>
      <c r="I12" s="20">
        <v>-184338.2857749275</v>
      </c>
      <c r="J12" s="20">
        <v>-199415.56154466461</v>
      </c>
      <c r="K12" s="20">
        <v>-222310.25735920473</v>
      </c>
      <c r="L12" s="20">
        <v>-244163.23008389489</v>
      </c>
      <c r="M12" s="20">
        <v>-261875.0623888979</v>
      </c>
      <c r="N12" s="20">
        <v>-279708.00294541242</v>
      </c>
      <c r="O12" s="20">
        <v>-265038.9669400985</v>
      </c>
      <c r="P12" s="20">
        <v>-255967.76314920798</v>
      </c>
      <c r="Q12" s="27">
        <v>-274692.06699999998</v>
      </c>
      <c r="R12" s="27">
        <v>-289960.28600000002</v>
      </c>
      <c r="S12" s="19">
        <v>-291532.35600000003</v>
      </c>
      <c r="T12" s="19">
        <v>-316726.92099999997</v>
      </c>
    </row>
    <row r="13" spans="1:21" x14ac:dyDescent="0.35">
      <c r="B13" s="32"/>
      <c r="C13" s="32"/>
      <c r="D13" s="32"/>
      <c r="E13" s="32"/>
      <c r="F13" s="32"/>
      <c r="G13" s="32"/>
      <c r="H13" s="32"/>
      <c r="I13" s="32"/>
    </row>
    <row r="14" spans="1:21" x14ac:dyDescent="0.35">
      <c r="A14" s="10" t="str">
        <f>CONCATENATE(B2)</f>
        <v>Real $2023</v>
      </c>
      <c r="B14" s="33"/>
      <c r="C14">
        <v>2006</v>
      </c>
      <c r="D14">
        <v>2007</v>
      </c>
      <c r="E14">
        <v>2008</v>
      </c>
      <c r="F14">
        <v>2009</v>
      </c>
      <c r="G14">
        <v>2010</v>
      </c>
      <c r="H14">
        <v>2011</v>
      </c>
      <c r="I14">
        <v>2012</v>
      </c>
      <c r="J14">
        <v>2013</v>
      </c>
      <c r="K14">
        <v>2014</v>
      </c>
      <c r="L14">
        <v>2015</v>
      </c>
      <c r="M14">
        <v>2016</v>
      </c>
      <c r="N14">
        <v>2017</v>
      </c>
      <c r="O14">
        <v>2018</v>
      </c>
      <c r="P14">
        <v>2019</v>
      </c>
      <c r="Q14">
        <v>2020</v>
      </c>
      <c r="R14">
        <v>2021</v>
      </c>
      <c r="S14">
        <v>2022</v>
      </c>
      <c r="T14">
        <v>2023</v>
      </c>
      <c r="U14" t="s">
        <v>108</v>
      </c>
    </row>
    <row r="15" spans="1:21" x14ac:dyDescent="0.35">
      <c r="A15" s="27" t="s">
        <v>35</v>
      </c>
      <c r="B15" s="27" t="s">
        <v>109</v>
      </c>
      <c r="C15" s="20">
        <f>C8*C$4</f>
        <v>-73059.311063699934</v>
      </c>
      <c r="D15" s="20">
        <f t="shared" ref="D15:N15" si="0">D8*D$4</f>
        <v>-78673.805952377515</v>
      </c>
      <c r="E15" s="20">
        <f t="shared" si="0"/>
        <v>-72334.32640237431</v>
      </c>
      <c r="F15" s="20">
        <f t="shared" si="0"/>
        <v>-79596.178263573602</v>
      </c>
      <c r="G15" s="20">
        <f t="shared" si="0"/>
        <v>-85125.78983099325</v>
      </c>
      <c r="H15" s="20">
        <f t="shared" si="0"/>
        <v>-87390.925257482464</v>
      </c>
      <c r="I15" s="20">
        <f t="shared" si="0"/>
        <v>-89387.291071062893</v>
      </c>
      <c r="J15" s="20">
        <f t="shared" si="0"/>
        <v>-96084.440281091855</v>
      </c>
      <c r="K15" s="20">
        <f t="shared" si="0"/>
        <v>-97078.557783444587</v>
      </c>
      <c r="L15" s="20">
        <f t="shared" si="0"/>
        <v>-107415.37223364193</v>
      </c>
      <c r="M15" s="20">
        <f t="shared" si="0"/>
        <v>-118384.53433068117</v>
      </c>
      <c r="N15" s="20">
        <f t="shared" si="0"/>
        <v>-125544.23236079102</v>
      </c>
      <c r="O15" s="20">
        <f t="shared" ref="O15:Q16" si="1">O8*O$4</f>
        <v>-124020.8405293738</v>
      </c>
      <c r="P15" s="20">
        <f t="shared" si="1"/>
        <v>-124660.01533513337</v>
      </c>
      <c r="Q15" s="20">
        <f>Q8*Q$4</f>
        <v>-145464.09271084334</v>
      </c>
      <c r="R15" s="20">
        <f>R8*R$4</f>
        <v>-149641.30622465516</v>
      </c>
      <c r="S15" s="20">
        <f>S8*S$4</f>
        <v>-155022.33022159355</v>
      </c>
      <c r="T15" s="20">
        <f>T8*T$4</f>
        <v>-142110.18557261495</v>
      </c>
      <c r="U15" s="11">
        <f>AVERAGE(P15:T15)</f>
        <v>-143379.58601296804</v>
      </c>
    </row>
    <row r="16" spans="1:21" x14ac:dyDescent="0.35">
      <c r="A16" s="27" t="s">
        <v>19</v>
      </c>
      <c r="B16" s="27" t="s">
        <v>109</v>
      </c>
      <c r="C16" s="20">
        <f>C9*C$4</f>
        <v>-211393.97339130109</v>
      </c>
      <c r="D16" s="20">
        <f t="shared" ref="D16:N16" si="2">D9*D$4</f>
        <v>-216694.76331649185</v>
      </c>
      <c r="E16" s="20">
        <f t="shared" si="2"/>
        <v>-235587.69784002981</v>
      </c>
      <c r="F16" s="20">
        <f t="shared" si="2"/>
        <v>-264218.24814737326</v>
      </c>
      <c r="G16" s="20">
        <f t="shared" si="2"/>
        <v>-272184.30893633654</v>
      </c>
      <c r="H16" s="20">
        <f t="shared" si="2"/>
        <v>-289608.12253040139</v>
      </c>
      <c r="I16" s="20">
        <f t="shared" si="2"/>
        <v>-301418.07660884468</v>
      </c>
      <c r="J16" s="20">
        <f t="shared" si="2"/>
        <v>-277992.33823220624</v>
      </c>
      <c r="K16" s="20">
        <f t="shared" si="2"/>
        <v>-299672.02684377582</v>
      </c>
      <c r="L16" s="20">
        <f t="shared" si="2"/>
        <v>-328262.70645366964</v>
      </c>
      <c r="M16" s="20">
        <f t="shared" si="2"/>
        <v>-341814.01442099508</v>
      </c>
      <c r="N16" s="20">
        <f t="shared" si="2"/>
        <v>-332807.9485960984</v>
      </c>
      <c r="O16" s="20">
        <f t="shared" si="1"/>
        <v>-311620.69866244588</v>
      </c>
      <c r="P16" s="20">
        <f t="shared" si="1"/>
        <v>-335238.50907438801</v>
      </c>
      <c r="Q16" s="20">
        <f t="shared" si="1"/>
        <v>-348839.57165737462</v>
      </c>
      <c r="R16" s="20">
        <f>R9*R$4</f>
        <v>-358741.46617192158</v>
      </c>
      <c r="S16" s="20">
        <f>S9*S$4</f>
        <v>-350173.60289542913</v>
      </c>
      <c r="T16" s="20">
        <f>T9*T$4</f>
        <v>-296272.58245541278</v>
      </c>
      <c r="U16" s="11">
        <f>AVERAGE(P16:T16)</f>
        <v>-337853.14645090519</v>
      </c>
    </row>
    <row r="17" spans="1:21" x14ac:dyDescent="0.35">
      <c r="A17" s="27" t="s">
        <v>33</v>
      </c>
      <c r="B17" s="27" t="s">
        <v>109</v>
      </c>
      <c r="C17" s="20">
        <f>C10*C$3</f>
        <v>-138318.49496642684</v>
      </c>
      <c r="D17" s="20">
        <f t="shared" ref="D17:N17" si="3">D10*D$3</f>
        <v>-141439.8421107266</v>
      </c>
      <c r="E17" s="20">
        <f t="shared" si="3"/>
        <v>-156552.5521245753</v>
      </c>
      <c r="F17" s="20">
        <f t="shared" si="3"/>
        <v>-154506.17333009708</v>
      </c>
      <c r="G17" s="20">
        <f t="shared" si="3"/>
        <v>-160886.76752985074</v>
      </c>
      <c r="H17" s="20">
        <f t="shared" si="3"/>
        <v>-164719.6635689119</v>
      </c>
      <c r="I17" s="20">
        <f t="shared" si="3"/>
        <v>-165782.70960621242</v>
      </c>
      <c r="J17" s="20">
        <f t="shared" si="3"/>
        <v>-170253.43421709232</v>
      </c>
      <c r="K17" s="20">
        <f t="shared" si="3"/>
        <v>-163818.72264509968</v>
      </c>
      <c r="L17" s="20">
        <f t="shared" si="3"/>
        <v>-183055.57614357845</v>
      </c>
      <c r="M17" s="20">
        <f t="shared" si="3"/>
        <v>-188930.45903972836</v>
      </c>
      <c r="N17" s="20">
        <f t="shared" si="3"/>
        <v>-197043.78500885918</v>
      </c>
      <c r="O17" s="20">
        <f t="shared" ref="O17:T17" si="4">O10*O$3</f>
        <v>-205118.09992154129</v>
      </c>
      <c r="P17" s="20">
        <f t="shared" si="4"/>
        <v>-205375.95019079908</v>
      </c>
      <c r="Q17" s="20">
        <f t="shared" si="4"/>
        <v>-211637.22571524579</v>
      </c>
      <c r="R17" s="20">
        <f t="shared" si="4"/>
        <v>-214035.25893292535</v>
      </c>
      <c r="S17" s="20">
        <f t="shared" si="4"/>
        <v>-187516.16398259424</v>
      </c>
      <c r="T17" s="20">
        <f t="shared" si="4"/>
        <v>-187871.42121163121</v>
      </c>
      <c r="U17" s="11">
        <f>AVERAGE(P17:T17)</f>
        <v>-201287.20400663913</v>
      </c>
    </row>
    <row r="18" spans="1:21" x14ac:dyDescent="0.35">
      <c r="A18" s="27" t="s">
        <v>27</v>
      </c>
      <c r="B18" s="27" t="s">
        <v>109</v>
      </c>
      <c r="C18" s="20">
        <f>C11*C$4</f>
        <v>-54432.492840095467</v>
      </c>
      <c r="D18" s="20">
        <f t="shared" ref="D18:N18" si="5">D11*D$4</f>
        <v>-52359.143187066969</v>
      </c>
      <c r="E18" s="20">
        <f t="shared" si="5"/>
        <v>-56686.699214365879</v>
      </c>
      <c r="F18" s="20">
        <f t="shared" si="5"/>
        <v>-59775.765151515145</v>
      </c>
      <c r="G18" s="20">
        <f t="shared" si="5"/>
        <v>-70665.341463414632</v>
      </c>
      <c r="H18" s="20">
        <f t="shared" si="5"/>
        <v>-74826.467492260053</v>
      </c>
      <c r="I18" s="20">
        <f t="shared" si="5"/>
        <v>-73521.603206412823</v>
      </c>
      <c r="J18" s="20">
        <f t="shared" si="5"/>
        <v>-71539.986274509793</v>
      </c>
      <c r="K18" s="20">
        <f t="shared" si="5"/>
        <v>-78376.020048501916</v>
      </c>
      <c r="L18" s="20">
        <f t="shared" si="5"/>
        <v>-66771.629691663853</v>
      </c>
      <c r="M18" s="20">
        <f t="shared" si="5"/>
        <v>-70559.349211766457</v>
      </c>
      <c r="N18" s="20">
        <f t="shared" si="5"/>
        <v>-74512.284562904242</v>
      </c>
      <c r="O18" s="20">
        <f t="shared" ref="O18:Q19" si="6">O11*O$4</f>
        <v>-73219.528758266344</v>
      </c>
      <c r="P18" s="20">
        <f t="shared" si="6"/>
        <v>-73576.73913870535</v>
      </c>
      <c r="Q18" s="20">
        <f t="shared" si="6"/>
        <v>-64909.542759530901</v>
      </c>
      <c r="R18" s="20">
        <f t="shared" ref="R18:T19" si="7">R11*R$4</f>
        <v>-66195.207411373529</v>
      </c>
      <c r="S18" s="20">
        <f t="shared" si="7"/>
        <v>-73248.642711931898</v>
      </c>
      <c r="T18" s="20">
        <f t="shared" si="7"/>
        <v>-57346.3622436648</v>
      </c>
      <c r="U18" s="11">
        <f>AVERAGE(P18:T18)</f>
        <v>-67055.298853041299</v>
      </c>
    </row>
    <row r="19" spans="1:21" x14ac:dyDescent="0.35">
      <c r="A19" s="27" t="s">
        <v>36</v>
      </c>
      <c r="B19" s="27" t="s">
        <v>109</v>
      </c>
      <c r="C19" s="20">
        <f>C12*C$4</f>
        <v>-194201.15316307981</v>
      </c>
      <c r="D19" s="20">
        <f t="shared" ref="D19:N19" si="8">D12*D$4</f>
        <v>-201996.61547344111</v>
      </c>
      <c r="E19" s="20">
        <f t="shared" si="8"/>
        <v>-207698.6734006734</v>
      </c>
      <c r="F19" s="20">
        <f t="shared" si="8"/>
        <v>-224782.79759500109</v>
      </c>
      <c r="G19" s="20">
        <f t="shared" si="8"/>
        <v>-253726.62819366081</v>
      </c>
      <c r="H19" s="20">
        <f t="shared" si="8"/>
        <v>-250725.36932413769</v>
      </c>
      <c r="I19" s="20">
        <f t="shared" si="8"/>
        <v>-246954.1964740261</v>
      </c>
      <c r="J19" s="20">
        <f t="shared" si="8"/>
        <v>-261390.78998550642</v>
      </c>
      <c r="K19" s="20">
        <f t="shared" si="8"/>
        <v>-283615.28061951976</v>
      </c>
      <c r="L19" s="20">
        <f t="shared" si="8"/>
        <v>-306234.74542417208</v>
      </c>
      <c r="M19" s="20">
        <f t="shared" si="8"/>
        <v>-322995.34909036575</v>
      </c>
      <c r="N19" s="20">
        <f t="shared" si="8"/>
        <v>-339972.36358001491</v>
      </c>
      <c r="O19" s="20">
        <f t="shared" si="6"/>
        <v>-316108.02747449744</v>
      </c>
      <c r="P19" s="20">
        <f t="shared" si="6"/>
        <v>-299937.68565336638</v>
      </c>
      <c r="Q19" s="20">
        <f t="shared" si="6"/>
        <v>-316061.3541987951</v>
      </c>
      <c r="R19" s="20">
        <f t="shared" si="7"/>
        <v>-330782.33991638228</v>
      </c>
      <c r="S19" s="20">
        <f t="shared" si="7"/>
        <v>-321334.50945754332</v>
      </c>
      <c r="T19" s="20">
        <f t="shared" si="7"/>
        <v>-323844.72281346016</v>
      </c>
      <c r="U19" s="11">
        <f>AVERAGE(P19:T19)</f>
        <v>-318392.12240790937</v>
      </c>
    </row>
    <row r="20" spans="1:21" x14ac:dyDescent="0.35">
      <c r="B20" s="32"/>
      <c r="C20" s="32"/>
      <c r="D20" s="32"/>
      <c r="E20" s="32"/>
      <c r="F20" s="32"/>
      <c r="G20" s="32"/>
      <c r="H20" s="32"/>
      <c r="I20" s="32"/>
    </row>
    <row r="21" spans="1:21" x14ac:dyDescent="0.35">
      <c r="B21" s="32"/>
      <c r="C21" s="32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21" x14ac:dyDescent="0.35">
      <c r="B22" s="32"/>
      <c r="C22" s="32"/>
      <c r="D22" s="32"/>
      <c r="E22" s="32"/>
      <c r="F22" s="32"/>
      <c r="G22" s="32"/>
      <c r="H22" s="32"/>
      <c r="I22" s="32"/>
    </row>
    <row r="23" spans="1:21" x14ac:dyDescent="0.35">
      <c r="B23" s="32"/>
      <c r="C23" s="32"/>
      <c r="D23" s="32"/>
      <c r="E23" s="32"/>
      <c r="F23" s="32"/>
      <c r="G23" s="32"/>
      <c r="H23" s="32"/>
      <c r="I23" s="32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600-000007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Depreciation!C8:T8</xm:f>
              <xm:sqref>U8</xm:sqref>
            </x14:sparkline>
            <x14:sparkline>
              <xm:f>Depreciation!C9:T9</xm:f>
              <xm:sqref>U9</xm:sqref>
            </x14:sparkline>
            <x14:sparkline>
              <xm:f>Depreciation!C10:T10</xm:f>
              <xm:sqref>U10</xm:sqref>
            </x14:sparkline>
            <x14:sparkline>
              <xm:f>Depreciation!C11:T11</xm:f>
              <xm:sqref>U11</xm:sqref>
            </x14:sparkline>
            <x14:sparkline>
              <xm:f>Depreciation!C12:T12</xm:f>
              <xm:sqref>U12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/>
  <dimension ref="A1:W317"/>
  <sheetViews>
    <sheetView workbookViewId="0">
      <selection activeCell="D57" sqref="D57"/>
    </sheetView>
  </sheetViews>
  <sheetFormatPr defaultRowHeight="14.5" x14ac:dyDescent="0.35"/>
  <cols>
    <col min="1" max="1" width="24.81640625" style="5" customWidth="1"/>
    <col min="2" max="2" width="23.81640625" style="5" bestFit="1" customWidth="1"/>
    <col min="4" max="4" width="47" bestFit="1" customWidth="1"/>
    <col min="5" max="5" width="9.81640625" customWidth="1"/>
  </cols>
  <sheetData>
    <row r="1" spans="1:23" ht="34.5" customHeight="1" x14ac:dyDescent="0.35">
      <c r="A1" s="1"/>
      <c r="B1" s="6" t="s">
        <v>9</v>
      </c>
      <c r="D1" s="36" t="s">
        <v>77</v>
      </c>
      <c r="Q1" s="4"/>
      <c r="W1" s="74"/>
    </row>
    <row r="2" spans="1:23" x14ac:dyDescent="0.35">
      <c r="A2" s="2" t="s">
        <v>0</v>
      </c>
      <c r="B2" s="7" t="s">
        <v>10</v>
      </c>
      <c r="F2">
        <v>2006</v>
      </c>
      <c r="G2">
        <v>2007</v>
      </c>
      <c r="H2">
        <v>2008</v>
      </c>
      <c r="I2">
        <v>2009</v>
      </c>
      <c r="J2">
        <v>2010</v>
      </c>
      <c r="K2">
        <v>2011</v>
      </c>
      <c r="L2">
        <v>2012</v>
      </c>
      <c r="M2">
        <v>2013</v>
      </c>
      <c r="N2">
        <v>2014</v>
      </c>
      <c r="O2">
        <v>2015</v>
      </c>
      <c r="P2">
        <v>2016</v>
      </c>
      <c r="Q2">
        <v>2017</v>
      </c>
      <c r="R2">
        <v>2018</v>
      </c>
      <c r="S2">
        <v>2019</v>
      </c>
      <c r="T2">
        <v>2020</v>
      </c>
      <c r="U2">
        <v>2021</v>
      </c>
      <c r="V2">
        <v>2022</v>
      </c>
      <c r="W2" s="74">
        <v>2023</v>
      </c>
    </row>
    <row r="3" spans="1:23" x14ac:dyDescent="0.35">
      <c r="A3" s="2" t="s">
        <v>1</v>
      </c>
      <c r="B3" s="7" t="s">
        <v>11</v>
      </c>
      <c r="D3" s="74" t="s">
        <v>101</v>
      </c>
      <c r="E3" s="74"/>
      <c r="F3" s="67">
        <f>B243</f>
        <v>85.9</v>
      </c>
      <c r="G3" s="67">
        <f>B247</f>
        <v>87.7</v>
      </c>
      <c r="H3" s="67">
        <f>B251</f>
        <v>91.6</v>
      </c>
      <c r="I3" s="67">
        <f>B255</f>
        <v>92.9</v>
      </c>
      <c r="J3" s="67">
        <f>B259</f>
        <v>95.8</v>
      </c>
      <c r="K3" s="67">
        <f>B263</f>
        <v>99.2</v>
      </c>
      <c r="L3" s="67">
        <f>B267</f>
        <v>100.4</v>
      </c>
      <c r="M3" s="67">
        <f>B271</f>
        <v>102.8</v>
      </c>
      <c r="N3" s="67">
        <f>B275</f>
        <v>105.9</v>
      </c>
      <c r="O3" s="67">
        <f>B279</f>
        <v>107.5</v>
      </c>
      <c r="P3" s="67">
        <f>B283</f>
        <v>108.6</v>
      </c>
      <c r="Q3" s="67">
        <f>B287</f>
        <v>110.7</v>
      </c>
      <c r="R3" s="67">
        <f>B291</f>
        <v>113</v>
      </c>
      <c r="S3" s="67">
        <f>B295</f>
        <v>114.8</v>
      </c>
      <c r="T3" s="67">
        <f>B299</f>
        <v>114.4</v>
      </c>
      <c r="U3" s="67">
        <f>B303</f>
        <v>118.8</v>
      </c>
      <c r="V3" s="67">
        <f>B307</f>
        <v>126.1</v>
      </c>
      <c r="W3" s="67">
        <f>B311</f>
        <v>133.69999999999999</v>
      </c>
    </row>
    <row r="4" spans="1:23" x14ac:dyDescent="0.35">
      <c r="A4" s="2" t="s">
        <v>2</v>
      </c>
      <c r="B4" s="7" t="s">
        <v>12</v>
      </c>
      <c r="D4" t="s">
        <v>16</v>
      </c>
      <c r="F4" s="41">
        <f>B243</f>
        <v>85.9</v>
      </c>
      <c r="G4" s="41">
        <f>B247</f>
        <v>87.7</v>
      </c>
      <c r="H4" s="41">
        <f>B251</f>
        <v>91.6</v>
      </c>
      <c r="I4" s="41">
        <f>B255</f>
        <v>92.9</v>
      </c>
      <c r="J4" s="41">
        <f>B259</f>
        <v>95.8</v>
      </c>
      <c r="K4" s="41">
        <f>B263</f>
        <v>99.2</v>
      </c>
      <c r="L4" s="41">
        <f>B267</f>
        <v>100.4</v>
      </c>
      <c r="M4" s="41">
        <f>B271</f>
        <v>102.8</v>
      </c>
      <c r="N4" s="41">
        <f>B275</f>
        <v>105.9</v>
      </c>
      <c r="O4">
        <f>B279</f>
        <v>107.5</v>
      </c>
      <c r="P4">
        <f>B283</f>
        <v>108.6</v>
      </c>
      <c r="Q4" s="41">
        <f>B287</f>
        <v>110.7</v>
      </c>
      <c r="R4" s="41">
        <f>B291</f>
        <v>113</v>
      </c>
      <c r="S4" s="41">
        <f>B295</f>
        <v>114.8</v>
      </c>
      <c r="T4" s="42">
        <f>B299</f>
        <v>114.4</v>
      </c>
      <c r="U4" s="42">
        <f>B303</f>
        <v>118.8</v>
      </c>
      <c r="V4" s="67">
        <f>B307</f>
        <v>126.1</v>
      </c>
      <c r="W4" s="67">
        <f>B311</f>
        <v>133.69999999999999</v>
      </c>
    </row>
    <row r="5" spans="1:23" x14ac:dyDescent="0.35">
      <c r="A5" s="2" t="s">
        <v>3</v>
      </c>
      <c r="B5" s="7" t="s">
        <v>13</v>
      </c>
      <c r="D5" t="s">
        <v>15</v>
      </c>
      <c r="F5" s="41">
        <f>B241</f>
        <v>83.8</v>
      </c>
      <c r="G5" s="41">
        <f>B245</f>
        <v>86.6</v>
      </c>
      <c r="H5" s="41">
        <f>B249</f>
        <v>89.1</v>
      </c>
      <c r="I5" s="41">
        <f>B253</f>
        <v>92.4</v>
      </c>
      <c r="J5" s="41">
        <f>B257</f>
        <v>94.3</v>
      </c>
      <c r="K5" s="41">
        <f>B261</f>
        <v>96.9</v>
      </c>
      <c r="L5" s="41">
        <f>B265</f>
        <v>99.8</v>
      </c>
      <c r="M5" s="41">
        <f>B269</f>
        <v>102</v>
      </c>
      <c r="N5" s="41">
        <f>B273</f>
        <v>104.8</v>
      </c>
      <c r="O5" s="41">
        <f>B277</f>
        <v>106.6</v>
      </c>
      <c r="P5" s="41">
        <f>B281</f>
        <v>108.4</v>
      </c>
      <c r="Q5" s="42">
        <f>B285</f>
        <v>110</v>
      </c>
      <c r="R5" s="41">
        <f>B289</f>
        <v>112.1</v>
      </c>
      <c r="S5" s="41">
        <f>B293</f>
        <v>114.1</v>
      </c>
      <c r="T5" s="42">
        <f>B297</f>
        <v>116.2</v>
      </c>
      <c r="U5" s="42">
        <f>B301</f>
        <v>117.2</v>
      </c>
      <c r="V5" s="42">
        <f>B305</f>
        <v>121.3</v>
      </c>
      <c r="W5" s="78">
        <f>B309</f>
        <v>130.76140000000001</v>
      </c>
    </row>
    <row r="6" spans="1:23" x14ac:dyDescent="0.35">
      <c r="A6" s="2" t="s">
        <v>4</v>
      </c>
      <c r="B6" s="5">
        <v>3</v>
      </c>
      <c r="D6" t="s">
        <v>53</v>
      </c>
      <c r="F6" s="41">
        <f>B240</f>
        <v>83.4</v>
      </c>
      <c r="G6" s="41">
        <f>B244</f>
        <v>86.7</v>
      </c>
      <c r="H6" s="41">
        <f>B248</f>
        <v>88.3</v>
      </c>
      <c r="I6" s="41">
        <f>B252</f>
        <v>92.7</v>
      </c>
      <c r="J6" s="41">
        <f>B256</f>
        <v>93.8</v>
      </c>
      <c r="K6" s="41">
        <f>B260</f>
        <v>96.5</v>
      </c>
      <c r="L6" s="41">
        <f>B264</f>
        <v>99.8</v>
      </c>
      <c r="M6" s="41">
        <f>B268</f>
        <v>101.8</v>
      </c>
      <c r="N6" s="41">
        <f>B272</f>
        <v>104</v>
      </c>
      <c r="O6" s="41">
        <f>B276</f>
        <v>106.4</v>
      </c>
      <c r="P6" s="41">
        <f>B280</f>
        <v>108</v>
      </c>
      <c r="Q6" s="41">
        <f>B284</f>
        <v>109.4</v>
      </c>
      <c r="R6" s="41">
        <f>B288</f>
        <v>111.4</v>
      </c>
      <c r="S6" s="41">
        <f>B292</f>
        <v>113.5</v>
      </c>
      <c r="T6" s="42">
        <f>B296</f>
        <v>115.4</v>
      </c>
      <c r="U6" s="42">
        <f>B300</f>
        <v>116.2</v>
      </c>
      <c r="V6" s="42">
        <f>B304</f>
        <v>119.7</v>
      </c>
      <c r="W6" s="78">
        <f>B308</f>
        <v>128.4307</v>
      </c>
    </row>
    <row r="7" spans="1:23" x14ac:dyDescent="0.35">
      <c r="A7" s="2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2"/>
      <c r="U7" s="42"/>
      <c r="W7" s="74"/>
    </row>
    <row r="8" spans="1:23" x14ac:dyDescent="0.35">
      <c r="A8" s="3" t="s">
        <v>5</v>
      </c>
      <c r="B8" s="8">
        <v>17777</v>
      </c>
      <c r="D8" s="43" t="str">
        <f>"Convert to real"</f>
        <v>Convert to real</v>
      </c>
      <c r="E8" s="44">
        <v>2023</v>
      </c>
      <c r="W8" s="74"/>
    </row>
    <row r="9" spans="1:23" x14ac:dyDescent="0.35">
      <c r="A9" s="3" t="s">
        <v>6</v>
      </c>
      <c r="B9" s="8">
        <v>41699</v>
      </c>
      <c r="E9">
        <v>18</v>
      </c>
      <c r="W9" s="74"/>
    </row>
    <row r="10" spans="1:23" x14ac:dyDescent="0.35">
      <c r="A10" s="2" t="s">
        <v>7</v>
      </c>
      <c r="B10" s="5">
        <v>263</v>
      </c>
      <c r="D10" s="10" t="str">
        <f>CONCATENATE(D8, " ",Real_year)</f>
        <v>Convert to real 2023</v>
      </c>
      <c r="E10">
        <f>INDEX(F2:W6,2,$E$9)</f>
        <v>133.69999999999999</v>
      </c>
      <c r="W10" s="74"/>
    </row>
    <row r="11" spans="1:23" x14ac:dyDescent="0.35">
      <c r="A11" s="2" t="s">
        <v>8</v>
      </c>
      <c r="B11" s="7" t="s">
        <v>14</v>
      </c>
      <c r="D11" t="s">
        <v>97</v>
      </c>
      <c r="F11" s="45">
        <f t="shared" ref="F11:S11" si="0">$E$10/F4</f>
        <v>1.5564610011641442</v>
      </c>
      <c r="G11" s="45">
        <f t="shared" si="0"/>
        <v>1.524515393386545</v>
      </c>
      <c r="H11" s="45">
        <f t="shared" si="0"/>
        <v>1.4596069868995634</v>
      </c>
      <c r="I11" s="45">
        <f t="shared" si="0"/>
        <v>1.4391819160387511</v>
      </c>
      <c r="J11" s="45">
        <f t="shared" si="0"/>
        <v>1.3956158663883089</v>
      </c>
      <c r="K11" s="45">
        <f t="shared" si="0"/>
        <v>1.347782258064516</v>
      </c>
      <c r="L11" s="45">
        <f t="shared" si="0"/>
        <v>1.3316733067729081</v>
      </c>
      <c r="M11" s="45">
        <f t="shared" si="0"/>
        <v>1.3005836575875485</v>
      </c>
      <c r="N11" s="45">
        <f t="shared" si="0"/>
        <v>1.2625118035882907</v>
      </c>
      <c r="O11" s="45">
        <f t="shared" si="0"/>
        <v>1.243720930232558</v>
      </c>
      <c r="P11" s="45">
        <f>$E$10/P4</f>
        <v>1.2311233885819521</v>
      </c>
      <c r="Q11" s="45">
        <f t="shared" si="0"/>
        <v>1.2077687443541101</v>
      </c>
      <c r="R11" s="45">
        <f t="shared" si="0"/>
        <v>1.1831858407079645</v>
      </c>
      <c r="S11" s="45">
        <f t="shared" si="0"/>
        <v>1.1646341463414633</v>
      </c>
      <c r="T11" s="45">
        <f>$E$10/T4</f>
        <v>1.1687062937062935</v>
      </c>
      <c r="U11" s="45">
        <f>$E$10/U4</f>
        <v>1.1254208754208754</v>
      </c>
      <c r="V11" s="45">
        <f>$E$10/V4</f>
        <v>1.0602696272799366</v>
      </c>
      <c r="W11" s="84">
        <f>$E$10/W4</f>
        <v>1</v>
      </c>
    </row>
    <row r="12" spans="1:23" x14ac:dyDescent="0.35">
      <c r="A12" s="4">
        <v>17777</v>
      </c>
      <c r="B12" s="38">
        <v>3.7</v>
      </c>
      <c r="D12" t="s">
        <v>51</v>
      </c>
      <c r="F12" s="45">
        <f t="shared" ref="F12:N12" si="1">currency_base/F5</f>
        <v>1.5954653937947494</v>
      </c>
      <c r="G12" s="45">
        <f t="shared" si="1"/>
        <v>1.543879907621247</v>
      </c>
      <c r="H12" s="45">
        <f t="shared" si="1"/>
        <v>1.5005611672278338</v>
      </c>
      <c r="I12" s="45">
        <f t="shared" si="1"/>
        <v>1.4469696969696968</v>
      </c>
      <c r="J12" s="45">
        <f>currency_base/J5</f>
        <v>1.417815482502651</v>
      </c>
      <c r="K12" s="45">
        <f t="shared" si="1"/>
        <v>1.3797729618163053</v>
      </c>
      <c r="L12" s="45">
        <f t="shared" si="1"/>
        <v>1.3396793587174347</v>
      </c>
      <c r="M12" s="45">
        <f>currency_base/M5</f>
        <v>1.31078431372549</v>
      </c>
      <c r="N12" s="45">
        <f t="shared" si="1"/>
        <v>1.2757633587786259</v>
      </c>
      <c r="O12" s="45">
        <f t="shared" ref="O12" si="2">currency_base/O5</f>
        <v>1.2542213883677298</v>
      </c>
      <c r="P12" s="45">
        <f>currency_base/P5</f>
        <v>1.2333948339483394</v>
      </c>
      <c r="Q12" s="45">
        <f>currency_base/Q5</f>
        <v>1.2154545454545453</v>
      </c>
      <c r="R12" s="45">
        <f t="shared" ref="Q12:R13" si="3">currency_base/R5</f>
        <v>1.1926851025869758</v>
      </c>
      <c r="S12" s="45">
        <f t="shared" ref="S12:T12" si="4">currency_base/S5</f>
        <v>1.1717791411042944</v>
      </c>
      <c r="T12" s="45">
        <f t="shared" si="4"/>
        <v>1.1506024096385541</v>
      </c>
      <c r="U12" s="45">
        <f>currency_base/U5</f>
        <v>1.1407849829351535</v>
      </c>
      <c r="V12" s="45">
        <f>currency_base/V5</f>
        <v>1.1022258862324814</v>
      </c>
      <c r="W12" s="84">
        <f>currency_base/W5</f>
        <v>1.0224729927945095</v>
      </c>
    </row>
    <row r="13" spans="1:23" x14ac:dyDescent="0.35">
      <c r="A13" s="4">
        <v>17868</v>
      </c>
      <c r="B13" s="38">
        <v>3.8</v>
      </c>
      <c r="D13" t="s">
        <v>52</v>
      </c>
      <c r="F13" s="45">
        <f t="shared" ref="F13:N13" si="5">currency_base/F6</f>
        <v>1.6031175059952036</v>
      </c>
      <c r="G13" s="45">
        <f t="shared" si="5"/>
        <v>1.5420991926182235</v>
      </c>
      <c r="H13" s="45">
        <f t="shared" si="5"/>
        <v>1.5141562853907133</v>
      </c>
      <c r="I13" s="45">
        <f t="shared" si="5"/>
        <v>1.442286947141316</v>
      </c>
      <c r="J13" s="45">
        <f t="shared" si="5"/>
        <v>1.4253731343283582</v>
      </c>
      <c r="K13" s="45">
        <f t="shared" si="5"/>
        <v>1.3854922279792745</v>
      </c>
      <c r="L13" s="45">
        <f t="shared" si="5"/>
        <v>1.3396793587174347</v>
      </c>
      <c r="M13" s="45">
        <f t="shared" si="5"/>
        <v>1.3133595284872297</v>
      </c>
      <c r="N13" s="45">
        <f t="shared" si="5"/>
        <v>1.285576923076923</v>
      </c>
      <c r="O13" s="45">
        <f t="shared" ref="O13" si="6">currency_base/O6</f>
        <v>1.2565789473684208</v>
      </c>
      <c r="P13" s="45">
        <f t="shared" ref="P13" si="7">currency_base/P6</f>
        <v>1.2379629629629629</v>
      </c>
      <c r="Q13" s="45">
        <f t="shared" si="3"/>
        <v>1.2221206581352833</v>
      </c>
      <c r="R13" s="45">
        <f t="shared" si="3"/>
        <v>1.2001795332136445</v>
      </c>
      <c r="S13" s="45">
        <f t="shared" ref="S13:T13" si="8">currency_base/S6</f>
        <v>1.1779735682819383</v>
      </c>
      <c r="T13" s="45">
        <f t="shared" si="8"/>
        <v>1.1585788561525128</v>
      </c>
      <c r="U13" s="45">
        <f>currency_base/U6</f>
        <v>1.1506024096385541</v>
      </c>
      <c r="V13" s="45">
        <f t="shared" ref="V13" si="9">currency_base/V6</f>
        <v>1.1169590643274852</v>
      </c>
      <c r="W13" s="84">
        <f>currency_base/W6</f>
        <v>1.0410283522553407</v>
      </c>
    </row>
    <row r="14" spans="1:23" x14ac:dyDescent="0.35">
      <c r="A14" s="4">
        <v>17958</v>
      </c>
      <c r="B14" s="38">
        <v>3.9</v>
      </c>
      <c r="D14" s="73" t="s">
        <v>107</v>
      </c>
    </row>
    <row r="15" spans="1:23" x14ac:dyDescent="0.35">
      <c r="A15" s="4">
        <v>18050</v>
      </c>
      <c r="B15" s="38">
        <v>4</v>
      </c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</row>
    <row r="16" spans="1:23" x14ac:dyDescent="0.35">
      <c r="A16" s="4">
        <v>18142</v>
      </c>
      <c r="B16" s="38">
        <v>4.0999999999999996</v>
      </c>
    </row>
    <row r="17" spans="1:16" x14ac:dyDescent="0.35">
      <c r="A17" s="4">
        <v>18233</v>
      </c>
      <c r="B17" s="38">
        <v>4.0999999999999996</v>
      </c>
    </row>
    <row r="18" spans="1:16" x14ac:dyDescent="0.35">
      <c r="A18" s="4">
        <v>18323</v>
      </c>
      <c r="B18" s="38">
        <v>4.2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x14ac:dyDescent="0.35">
      <c r="A19" s="4">
        <v>18415</v>
      </c>
      <c r="B19" s="38">
        <v>4.3</v>
      </c>
    </row>
    <row r="20" spans="1:16" x14ac:dyDescent="0.35">
      <c r="A20" s="4">
        <v>18507</v>
      </c>
      <c r="B20" s="38">
        <v>4.4000000000000004</v>
      </c>
    </row>
    <row r="21" spans="1:16" x14ac:dyDescent="0.35">
      <c r="A21" s="4">
        <v>18598</v>
      </c>
      <c r="B21" s="38">
        <v>4.5999999999999996</v>
      </c>
    </row>
    <row r="22" spans="1:16" x14ac:dyDescent="0.35">
      <c r="A22" s="4">
        <v>18688</v>
      </c>
      <c r="B22" s="38">
        <v>4.8</v>
      </c>
    </row>
    <row r="23" spans="1:16" x14ac:dyDescent="0.35">
      <c r="A23" s="4">
        <v>18780</v>
      </c>
      <c r="B23" s="38">
        <v>5.0999999999999996</v>
      </c>
    </row>
    <row r="24" spans="1:16" x14ac:dyDescent="0.35">
      <c r="A24" s="4">
        <v>18872</v>
      </c>
      <c r="B24" s="38">
        <v>5.3</v>
      </c>
    </row>
    <row r="25" spans="1:16" x14ac:dyDescent="0.35">
      <c r="A25" s="4">
        <v>18963</v>
      </c>
      <c r="B25" s="38">
        <v>5.7</v>
      </c>
    </row>
    <row r="26" spans="1:16" x14ac:dyDescent="0.35">
      <c r="A26" s="4">
        <v>19054</v>
      </c>
      <c r="B26" s="38">
        <v>5.9</v>
      </c>
    </row>
    <row r="27" spans="1:16" x14ac:dyDescent="0.35">
      <c r="A27" s="4">
        <v>19146</v>
      </c>
      <c r="B27" s="38">
        <v>6.1</v>
      </c>
    </row>
    <row r="28" spans="1:16" x14ac:dyDescent="0.35">
      <c r="A28" s="4">
        <v>19238</v>
      </c>
      <c r="B28" s="38">
        <v>6.2</v>
      </c>
    </row>
    <row r="29" spans="1:16" x14ac:dyDescent="0.35">
      <c r="A29" s="4">
        <v>19329</v>
      </c>
      <c r="B29" s="38">
        <v>6.3</v>
      </c>
    </row>
    <row r="30" spans="1:16" x14ac:dyDescent="0.35">
      <c r="A30" s="4">
        <v>19419</v>
      </c>
      <c r="B30" s="38">
        <v>6.3</v>
      </c>
    </row>
    <row r="31" spans="1:16" x14ac:dyDescent="0.35">
      <c r="A31" s="4">
        <v>19511</v>
      </c>
      <c r="B31" s="38">
        <v>6.4</v>
      </c>
    </row>
    <row r="32" spans="1:16" x14ac:dyDescent="0.35">
      <c r="A32" s="4">
        <v>19603</v>
      </c>
      <c r="B32" s="38">
        <v>6.5</v>
      </c>
    </row>
    <row r="33" spans="1:2" x14ac:dyDescent="0.35">
      <c r="A33" s="4">
        <v>19694</v>
      </c>
      <c r="B33" s="38">
        <v>6.4</v>
      </c>
    </row>
    <row r="34" spans="1:2" x14ac:dyDescent="0.35">
      <c r="A34" s="4">
        <v>19784</v>
      </c>
      <c r="B34" s="38">
        <v>6.5</v>
      </c>
    </row>
    <row r="35" spans="1:2" x14ac:dyDescent="0.35">
      <c r="A35" s="4">
        <v>19876</v>
      </c>
      <c r="B35" s="38">
        <v>6.5</v>
      </c>
    </row>
    <row r="36" spans="1:2" x14ac:dyDescent="0.35">
      <c r="A36" s="4">
        <v>19968</v>
      </c>
      <c r="B36" s="38">
        <v>6.5</v>
      </c>
    </row>
    <row r="37" spans="1:2" x14ac:dyDescent="0.35">
      <c r="A37" s="4">
        <v>20059</v>
      </c>
      <c r="B37" s="38">
        <v>6.5</v>
      </c>
    </row>
    <row r="38" spans="1:2" x14ac:dyDescent="0.35">
      <c r="A38" s="4">
        <v>20149</v>
      </c>
      <c r="B38" s="38">
        <v>6.5</v>
      </c>
    </row>
    <row r="39" spans="1:2" x14ac:dyDescent="0.35">
      <c r="A39" s="4">
        <v>20241</v>
      </c>
      <c r="B39" s="38">
        <v>6.6</v>
      </c>
    </row>
    <row r="40" spans="1:2" x14ac:dyDescent="0.35">
      <c r="A40" s="4">
        <v>20333</v>
      </c>
      <c r="B40" s="38">
        <v>6.6</v>
      </c>
    </row>
    <row r="41" spans="1:2" x14ac:dyDescent="0.35">
      <c r="A41" s="4">
        <v>20424</v>
      </c>
      <c r="B41" s="38">
        <v>6.7</v>
      </c>
    </row>
    <row r="42" spans="1:2" x14ac:dyDescent="0.35">
      <c r="A42" s="4">
        <v>20515</v>
      </c>
      <c r="B42" s="38">
        <v>6.7</v>
      </c>
    </row>
    <row r="43" spans="1:2" x14ac:dyDescent="0.35">
      <c r="A43" s="4">
        <v>20607</v>
      </c>
      <c r="B43" s="38">
        <v>7</v>
      </c>
    </row>
    <row r="44" spans="1:2" x14ac:dyDescent="0.35">
      <c r="A44" s="4">
        <v>20699</v>
      </c>
      <c r="B44" s="38">
        <v>7.1</v>
      </c>
    </row>
    <row r="45" spans="1:2" x14ac:dyDescent="0.35">
      <c r="A45" s="4">
        <v>20790</v>
      </c>
      <c r="B45" s="38">
        <v>7.1</v>
      </c>
    </row>
    <row r="46" spans="1:2" x14ac:dyDescent="0.35">
      <c r="A46" s="4">
        <v>20880</v>
      </c>
      <c r="B46" s="38">
        <v>7.1</v>
      </c>
    </row>
    <row r="47" spans="1:2" x14ac:dyDescent="0.35">
      <c r="A47" s="4">
        <v>20972</v>
      </c>
      <c r="B47" s="38">
        <v>7.2</v>
      </c>
    </row>
    <row r="48" spans="1:2" x14ac:dyDescent="0.35">
      <c r="A48" s="4">
        <v>21064</v>
      </c>
      <c r="B48" s="38">
        <v>7.2</v>
      </c>
    </row>
    <row r="49" spans="1:2" x14ac:dyDescent="0.35">
      <c r="A49" s="4">
        <v>21155</v>
      </c>
      <c r="B49" s="38">
        <v>7.2</v>
      </c>
    </row>
    <row r="50" spans="1:2" x14ac:dyDescent="0.35">
      <c r="A50" s="4">
        <v>21245</v>
      </c>
      <c r="B50" s="38">
        <v>7.2</v>
      </c>
    </row>
    <row r="51" spans="1:2" x14ac:dyDescent="0.35">
      <c r="A51" s="4">
        <v>21337</v>
      </c>
      <c r="B51" s="38">
        <v>7.2</v>
      </c>
    </row>
    <row r="52" spans="1:2" x14ac:dyDescent="0.35">
      <c r="A52" s="4">
        <v>21429</v>
      </c>
      <c r="B52" s="38">
        <v>7.2</v>
      </c>
    </row>
    <row r="53" spans="1:2" x14ac:dyDescent="0.35">
      <c r="A53" s="4">
        <v>21520</v>
      </c>
      <c r="B53" s="38">
        <v>7.3</v>
      </c>
    </row>
    <row r="54" spans="1:2" x14ac:dyDescent="0.35">
      <c r="A54" s="4">
        <v>21610</v>
      </c>
      <c r="B54" s="38">
        <v>7.3</v>
      </c>
    </row>
    <row r="55" spans="1:2" x14ac:dyDescent="0.35">
      <c r="A55" s="4">
        <v>21702</v>
      </c>
      <c r="B55" s="38">
        <v>7.3</v>
      </c>
    </row>
    <row r="56" spans="1:2" x14ac:dyDescent="0.35">
      <c r="A56" s="4">
        <v>21794</v>
      </c>
      <c r="B56" s="38">
        <v>7.4</v>
      </c>
    </row>
    <row r="57" spans="1:2" x14ac:dyDescent="0.35">
      <c r="A57" s="4">
        <v>21885</v>
      </c>
      <c r="B57" s="38">
        <v>7.5</v>
      </c>
    </row>
    <row r="58" spans="1:2" x14ac:dyDescent="0.35">
      <c r="A58" s="4">
        <v>21976</v>
      </c>
      <c r="B58" s="38">
        <v>7.5</v>
      </c>
    </row>
    <row r="59" spans="1:2" x14ac:dyDescent="0.35">
      <c r="A59" s="4">
        <v>22068</v>
      </c>
      <c r="B59" s="38">
        <v>7.6</v>
      </c>
    </row>
    <row r="60" spans="1:2" x14ac:dyDescent="0.35">
      <c r="A60" s="4">
        <v>22160</v>
      </c>
      <c r="B60" s="38">
        <v>7.7</v>
      </c>
    </row>
    <row r="61" spans="1:2" x14ac:dyDescent="0.35">
      <c r="A61" s="4">
        <v>22251</v>
      </c>
      <c r="B61" s="38">
        <v>7.8</v>
      </c>
    </row>
    <row r="62" spans="1:2" x14ac:dyDescent="0.35">
      <c r="A62" s="4">
        <v>22341</v>
      </c>
      <c r="B62" s="38">
        <v>7.8</v>
      </c>
    </row>
    <row r="63" spans="1:2" x14ac:dyDescent="0.35">
      <c r="A63" s="4">
        <v>22433</v>
      </c>
      <c r="B63" s="38">
        <v>7.9</v>
      </c>
    </row>
    <row r="64" spans="1:2" x14ac:dyDescent="0.35">
      <c r="A64" s="4">
        <v>22525</v>
      </c>
      <c r="B64" s="38">
        <v>7.8</v>
      </c>
    </row>
    <row r="65" spans="1:2" x14ac:dyDescent="0.35">
      <c r="A65" s="4">
        <v>22616</v>
      </c>
      <c r="B65" s="38">
        <v>7.8</v>
      </c>
    </row>
    <row r="66" spans="1:2" x14ac:dyDescent="0.35">
      <c r="A66" s="4">
        <v>22706</v>
      </c>
      <c r="B66" s="38">
        <v>7.8</v>
      </c>
    </row>
    <row r="67" spans="1:2" x14ac:dyDescent="0.35">
      <c r="A67" s="4">
        <v>22798</v>
      </c>
      <c r="B67" s="38">
        <v>7.8</v>
      </c>
    </row>
    <row r="68" spans="1:2" x14ac:dyDescent="0.35">
      <c r="A68" s="4">
        <v>22890</v>
      </c>
      <c r="B68" s="38">
        <v>7.8</v>
      </c>
    </row>
    <row r="69" spans="1:2" x14ac:dyDescent="0.35">
      <c r="A69" s="4">
        <v>22981</v>
      </c>
      <c r="B69" s="38">
        <v>7.8</v>
      </c>
    </row>
    <row r="70" spans="1:2" x14ac:dyDescent="0.35">
      <c r="A70" s="4">
        <v>23071</v>
      </c>
      <c r="B70" s="38">
        <v>7.8</v>
      </c>
    </row>
    <row r="71" spans="1:2" x14ac:dyDescent="0.35">
      <c r="A71" s="4">
        <v>23163</v>
      </c>
      <c r="B71" s="38">
        <v>7.8</v>
      </c>
    </row>
    <row r="72" spans="1:2" x14ac:dyDescent="0.35">
      <c r="A72" s="4">
        <v>23255</v>
      </c>
      <c r="B72" s="38">
        <v>7.9</v>
      </c>
    </row>
    <row r="73" spans="1:2" x14ac:dyDescent="0.35">
      <c r="A73" s="4">
        <v>23346</v>
      </c>
      <c r="B73" s="38">
        <v>7.9</v>
      </c>
    </row>
    <row r="74" spans="1:2" x14ac:dyDescent="0.35">
      <c r="A74" s="4">
        <v>23437</v>
      </c>
      <c r="B74" s="38">
        <v>8</v>
      </c>
    </row>
    <row r="75" spans="1:2" x14ac:dyDescent="0.35">
      <c r="A75" s="4">
        <v>23529</v>
      </c>
      <c r="B75" s="38">
        <v>8</v>
      </c>
    </row>
    <row r="76" spans="1:2" x14ac:dyDescent="0.35">
      <c r="A76" s="4">
        <v>23621</v>
      </c>
      <c r="B76" s="38">
        <v>8.1</v>
      </c>
    </row>
    <row r="77" spans="1:2" x14ac:dyDescent="0.35">
      <c r="A77" s="4">
        <v>23712</v>
      </c>
      <c r="B77" s="38">
        <v>8.1999999999999993</v>
      </c>
    </row>
    <row r="78" spans="1:2" x14ac:dyDescent="0.35">
      <c r="A78" s="4">
        <v>23802</v>
      </c>
      <c r="B78" s="38">
        <v>8.1999999999999993</v>
      </c>
    </row>
    <row r="79" spans="1:2" x14ac:dyDescent="0.35">
      <c r="A79" s="4">
        <v>23894</v>
      </c>
      <c r="B79" s="38">
        <v>8.3000000000000007</v>
      </c>
    </row>
    <row r="80" spans="1:2" x14ac:dyDescent="0.35">
      <c r="A80" s="4">
        <v>23986</v>
      </c>
      <c r="B80" s="38">
        <v>8.4</v>
      </c>
    </row>
    <row r="81" spans="1:2" x14ac:dyDescent="0.35">
      <c r="A81" s="4">
        <v>24077</v>
      </c>
      <c r="B81" s="38">
        <v>8.5</v>
      </c>
    </row>
    <row r="82" spans="1:2" x14ac:dyDescent="0.35">
      <c r="A82" s="4">
        <v>24167</v>
      </c>
      <c r="B82" s="38">
        <v>8.6</v>
      </c>
    </row>
    <row r="83" spans="1:2" x14ac:dyDescent="0.35">
      <c r="A83" s="4">
        <v>24259</v>
      </c>
      <c r="B83" s="38">
        <v>8.6</v>
      </c>
    </row>
    <row r="84" spans="1:2" x14ac:dyDescent="0.35">
      <c r="A84" s="4">
        <v>24351</v>
      </c>
      <c r="B84" s="38">
        <v>8.6</v>
      </c>
    </row>
    <row r="85" spans="1:2" x14ac:dyDescent="0.35">
      <c r="A85" s="4">
        <v>24442</v>
      </c>
      <c r="B85" s="38">
        <v>8.6999999999999993</v>
      </c>
    </row>
    <row r="86" spans="1:2" x14ac:dyDescent="0.35">
      <c r="A86" s="4">
        <v>24532</v>
      </c>
      <c r="B86" s="38">
        <v>8.8000000000000007</v>
      </c>
    </row>
    <row r="87" spans="1:2" x14ac:dyDescent="0.35">
      <c r="A87" s="4">
        <v>24624</v>
      </c>
      <c r="B87" s="38">
        <v>8.9</v>
      </c>
    </row>
    <row r="88" spans="1:2" x14ac:dyDescent="0.35">
      <c r="A88" s="4">
        <v>24716</v>
      </c>
      <c r="B88" s="38">
        <v>9</v>
      </c>
    </row>
    <row r="89" spans="1:2" x14ac:dyDescent="0.35">
      <c r="A89" s="4">
        <v>24807</v>
      </c>
      <c r="B89" s="38">
        <v>9</v>
      </c>
    </row>
    <row r="90" spans="1:2" x14ac:dyDescent="0.35">
      <c r="A90" s="4">
        <v>24898</v>
      </c>
      <c r="B90" s="38">
        <v>9.1</v>
      </c>
    </row>
    <row r="91" spans="1:2" x14ac:dyDescent="0.35">
      <c r="A91" s="4">
        <v>24990</v>
      </c>
      <c r="B91" s="38">
        <v>9.1</v>
      </c>
    </row>
    <row r="92" spans="1:2" x14ac:dyDescent="0.35">
      <c r="A92" s="4">
        <v>25082</v>
      </c>
      <c r="B92" s="38">
        <v>9.1999999999999993</v>
      </c>
    </row>
    <row r="93" spans="1:2" x14ac:dyDescent="0.35">
      <c r="A93" s="4">
        <v>25173</v>
      </c>
      <c r="B93" s="38">
        <v>9.1999999999999993</v>
      </c>
    </row>
    <row r="94" spans="1:2" x14ac:dyDescent="0.35">
      <c r="A94" s="4">
        <v>25263</v>
      </c>
      <c r="B94" s="38">
        <v>9.4</v>
      </c>
    </row>
    <row r="95" spans="1:2" x14ac:dyDescent="0.35">
      <c r="A95" s="4">
        <v>25355</v>
      </c>
      <c r="B95" s="38">
        <v>9.4</v>
      </c>
    </row>
    <row r="96" spans="1:2" x14ac:dyDescent="0.35">
      <c r="A96" s="4">
        <v>25447</v>
      </c>
      <c r="B96" s="38">
        <v>9.5</v>
      </c>
    </row>
    <row r="97" spans="1:2" x14ac:dyDescent="0.35">
      <c r="A97" s="4">
        <v>25538</v>
      </c>
      <c r="B97" s="38">
        <v>9.5</v>
      </c>
    </row>
    <row r="98" spans="1:2" x14ac:dyDescent="0.35">
      <c r="A98" s="4">
        <v>25628</v>
      </c>
      <c r="B98" s="38">
        <v>9.6</v>
      </c>
    </row>
    <row r="99" spans="1:2" x14ac:dyDescent="0.35">
      <c r="A99" s="4">
        <v>25720</v>
      </c>
      <c r="B99" s="38">
        <v>9.6999999999999993</v>
      </c>
    </row>
    <row r="100" spans="1:2" x14ac:dyDescent="0.35">
      <c r="A100" s="4">
        <v>25812</v>
      </c>
      <c r="B100" s="38">
        <v>9.8000000000000007</v>
      </c>
    </row>
    <row r="101" spans="1:2" x14ac:dyDescent="0.35">
      <c r="A101" s="4">
        <v>25903</v>
      </c>
      <c r="B101" s="38">
        <v>10</v>
      </c>
    </row>
    <row r="102" spans="1:2" x14ac:dyDescent="0.35">
      <c r="A102" s="4">
        <v>25993</v>
      </c>
      <c r="B102" s="38">
        <v>10.1</v>
      </c>
    </row>
    <row r="103" spans="1:2" x14ac:dyDescent="0.35">
      <c r="A103" s="4">
        <v>26085</v>
      </c>
      <c r="B103" s="38">
        <v>10.199999999999999</v>
      </c>
    </row>
    <row r="104" spans="1:2" x14ac:dyDescent="0.35">
      <c r="A104" s="4">
        <v>26177</v>
      </c>
      <c r="B104" s="38">
        <v>10.5</v>
      </c>
    </row>
    <row r="105" spans="1:2" x14ac:dyDescent="0.35">
      <c r="A105" s="4">
        <v>26268</v>
      </c>
      <c r="B105" s="38">
        <v>10.7</v>
      </c>
    </row>
    <row r="106" spans="1:2" x14ac:dyDescent="0.35">
      <c r="A106" s="4">
        <v>26359</v>
      </c>
      <c r="B106" s="38">
        <v>10.8</v>
      </c>
    </row>
    <row r="107" spans="1:2" x14ac:dyDescent="0.35">
      <c r="A107" s="4">
        <v>26451</v>
      </c>
      <c r="B107" s="38">
        <v>10.9</v>
      </c>
    </row>
    <row r="108" spans="1:2" x14ac:dyDescent="0.35">
      <c r="A108" s="4">
        <v>26543</v>
      </c>
      <c r="B108" s="38">
        <v>11.1</v>
      </c>
    </row>
    <row r="109" spans="1:2" x14ac:dyDescent="0.35">
      <c r="A109" s="4">
        <v>26634</v>
      </c>
      <c r="B109" s="38">
        <v>11.2</v>
      </c>
    </row>
    <row r="110" spans="1:2" x14ac:dyDescent="0.35">
      <c r="A110" s="4">
        <v>26724</v>
      </c>
      <c r="B110" s="38">
        <v>11.4</v>
      </c>
    </row>
    <row r="111" spans="1:2" x14ac:dyDescent="0.35">
      <c r="A111" s="4">
        <v>26816</v>
      </c>
      <c r="B111" s="38">
        <v>11.8</v>
      </c>
    </row>
    <row r="112" spans="1:2" x14ac:dyDescent="0.35">
      <c r="A112" s="4">
        <v>26908</v>
      </c>
      <c r="B112" s="38">
        <v>12.2</v>
      </c>
    </row>
    <row r="113" spans="1:2" x14ac:dyDescent="0.35">
      <c r="A113" s="4">
        <v>26999</v>
      </c>
      <c r="B113" s="38">
        <v>12.6</v>
      </c>
    </row>
    <row r="114" spans="1:2" x14ac:dyDescent="0.35">
      <c r="A114" s="4">
        <v>27089</v>
      </c>
      <c r="B114" s="38">
        <v>13</v>
      </c>
    </row>
    <row r="115" spans="1:2" x14ac:dyDescent="0.35">
      <c r="A115" s="4">
        <v>27181</v>
      </c>
      <c r="B115" s="38">
        <v>13.5</v>
      </c>
    </row>
    <row r="116" spans="1:2" x14ac:dyDescent="0.35">
      <c r="A116" s="4">
        <v>27273</v>
      </c>
      <c r="B116" s="38">
        <v>14.2</v>
      </c>
    </row>
    <row r="117" spans="1:2" x14ac:dyDescent="0.35">
      <c r="A117" s="4">
        <v>27364</v>
      </c>
      <c r="B117" s="38">
        <v>14.7</v>
      </c>
    </row>
    <row r="118" spans="1:2" x14ac:dyDescent="0.35">
      <c r="A118" s="4">
        <v>27454</v>
      </c>
      <c r="B118" s="38">
        <v>15.3</v>
      </c>
    </row>
    <row r="119" spans="1:2" x14ac:dyDescent="0.35">
      <c r="A119" s="4">
        <v>27546</v>
      </c>
      <c r="B119" s="38">
        <v>15.8</v>
      </c>
    </row>
    <row r="120" spans="1:2" x14ac:dyDescent="0.35">
      <c r="A120" s="4">
        <v>27638</v>
      </c>
      <c r="B120" s="38">
        <v>15.9</v>
      </c>
    </row>
    <row r="121" spans="1:2" x14ac:dyDescent="0.35">
      <c r="A121" s="4">
        <v>27729</v>
      </c>
      <c r="B121" s="38">
        <v>16.8</v>
      </c>
    </row>
    <row r="122" spans="1:2" x14ac:dyDescent="0.35">
      <c r="A122" s="4">
        <v>27820</v>
      </c>
      <c r="B122" s="38">
        <v>17.3</v>
      </c>
    </row>
    <row r="123" spans="1:2" x14ac:dyDescent="0.35">
      <c r="A123" s="4">
        <v>27912</v>
      </c>
      <c r="B123" s="38">
        <v>17.7</v>
      </c>
    </row>
    <row r="124" spans="1:2" x14ac:dyDescent="0.35">
      <c r="A124" s="4">
        <v>28004</v>
      </c>
      <c r="B124" s="38">
        <v>18.100000000000001</v>
      </c>
    </row>
    <row r="125" spans="1:2" x14ac:dyDescent="0.35">
      <c r="A125" s="4">
        <v>28095</v>
      </c>
      <c r="B125" s="38">
        <v>19.2</v>
      </c>
    </row>
    <row r="126" spans="1:2" x14ac:dyDescent="0.35">
      <c r="A126" s="4">
        <v>28185</v>
      </c>
      <c r="B126" s="38">
        <v>19.600000000000001</v>
      </c>
    </row>
    <row r="127" spans="1:2" x14ac:dyDescent="0.35">
      <c r="A127" s="4">
        <v>28277</v>
      </c>
      <c r="B127" s="38">
        <v>20.100000000000001</v>
      </c>
    </row>
    <row r="128" spans="1:2" x14ac:dyDescent="0.35">
      <c r="A128" s="4">
        <v>28369</v>
      </c>
      <c r="B128" s="38">
        <v>20.5</v>
      </c>
    </row>
    <row r="129" spans="1:2" x14ac:dyDescent="0.35">
      <c r="A129" s="4">
        <v>28460</v>
      </c>
      <c r="B129" s="38">
        <v>21</v>
      </c>
    </row>
    <row r="130" spans="1:2" x14ac:dyDescent="0.35">
      <c r="A130" s="4">
        <v>28550</v>
      </c>
      <c r="B130" s="38">
        <v>21.3</v>
      </c>
    </row>
    <row r="131" spans="1:2" x14ac:dyDescent="0.35">
      <c r="A131" s="4">
        <v>28642</v>
      </c>
      <c r="B131" s="38">
        <v>21.7</v>
      </c>
    </row>
    <row r="132" spans="1:2" x14ac:dyDescent="0.35">
      <c r="A132" s="4">
        <v>28734</v>
      </c>
      <c r="B132" s="38">
        <v>22.1</v>
      </c>
    </row>
    <row r="133" spans="1:2" x14ac:dyDescent="0.35">
      <c r="A133" s="4">
        <v>28825</v>
      </c>
      <c r="B133" s="38">
        <v>22.6</v>
      </c>
    </row>
    <row r="134" spans="1:2" x14ac:dyDescent="0.35">
      <c r="A134" s="4">
        <v>28915</v>
      </c>
      <c r="B134" s="38">
        <v>23</v>
      </c>
    </row>
    <row r="135" spans="1:2" x14ac:dyDescent="0.35">
      <c r="A135" s="4">
        <v>29007</v>
      </c>
      <c r="B135" s="38">
        <v>23.6</v>
      </c>
    </row>
    <row r="136" spans="1:2" x14ac:dyDescent="0.35">
      <c r="A136" s="4">
        <v>29099</v>
      </c>
      <c r="B136" s="38">
        <v>24.2</v>
      </c>
    </row>
    <row r="137" spans="1:2" x14ac:dyDescent="0.35">
      <c r="A137" s="4">
        <v>29190</v>
      </c>
      <c r="B137" s="38">
        <v>24.9</v>
      </c>
    </row>
    <row r="138" spans="1:2" x14ac:dyDescent="0.35">
      <c r="A138" s="4">
        <v>29281</v>
      </c>
      <c r="B138" s="38">
        <v>25.4</v>
      </c>
    </row>
    <row r="139" spans="1:2" x14ac:dyDescent="0.35">
      <c r="A139" s="4">
        <v>29373</v>
      </c>
      <c r="B139" s="38">
        <v>26.2</v>
      </c>
    </row>
    <row r="140" spans="1:2" x14ac:dyDescent="0.35">
      <c r="A140" s="4">
        <v>29465</v>
      </c>
      <c r="B140" s="38">
        <v>26.6</v>
      </c>
    </row>
    <row r="141" spans="1:2" x14ac:dyDescent="0.35">
      <c r="A141" s="4">
        <v>29556</v>
      </c>
      <c r="B141" s="38">
        <v>27.2</v>
      </c>
    </row>
    <row r="142" spans="1:2" x14ac:dyDescent="0.35">
      <c r="A142" s="4">
        <v>29646</v>
      </c>
      <c r="B142" s="38">
        <v>27.8</v>
      </c>
    </row>
    <row r="143" spans="1:2" x14ac:dyDescent="0.35">
      <c r="A143" s="4">
        <v>29738</v>
      </c>
      <c r="B143" s="38">
        <v>28.4</v>
      </c>
    </row>
    <row r="144" spans="1:2" x14ac:dyDescent="0.35">
      <c r="A144" s="4">
        <v>29830</v>
      </c>
      <c r="B144" s="38">
        <v>29</v>
      </c>
    </row>
    <row r="145" spans="1:2" x14ac:dyDescent="0.35">
      <c r="A145" s="4">
        <v>29921</v>
      </c>
      <c r="B145" s="38">
        <v>30.2</v>
      </c>
    </row>
    <row r="146" spans="1:2" x14ac:dyDescent="0.35">
      <c r="A146" s="4">
        <v>30011</v>
      </c>
      <c r="B146" s="38">
        <v>30.8</v>
      </c>
    </row>
    <row r="147" spans="1:2" x14ac:dyDescent="0.35">
      <c r="A147" s="4">
        <v>30103</v>
      </c>
      <c r="B147" s="38">
        <v>31.5</v>
      </c>
    </row>
    <row r="148" spans="1:2" x14ac:dyDescent="0.35">
      <c r="A148" s="4">
        <v>30195</v>
      </c>
      <c r="B148" s="38">
        <v>32.6</v>
      </c>
    </row>
    <row r="149" spans="1:2" x14ac:dyDescent="0.35">
      <c r="A149" s="4">
        <v>30286</v>
      </c>
      <c r="B149" s="38">
        <v>33.6</v>
      </c>
    </row>
    <row r="150" spans="1:2" x14ac:dyDescent="0.35">
      <c r="A150" s="4">
        <v>30376</v>
      </c>
      <c r="B150" s="38">
        <v>34.299999999999997</v>
      </c>
    </row>
    <row r="151" spans="1:2" x14ac:dyDescent="0.35">
      <c r="A151" s="4">
        <v>30468</v>
      </c>
      <c r="B151" s="38">
        <v>35</v>
      </c>
    </row>
    <row r="152" spans="1:2" x14ac:dyDescent="0.35">
      <c r="A152" s="4">
        <v>30560</v>
      </c>
      <c r="B152" s="38">
        <v>35.6</v>
      </c>
    </row>
    <row r="153" spans="1:2" x14ac:dyDescent="0.35">
      <c r="A153" s="4">
        <v>30651</v>
      </c>
      <c r="B153" s="38">
        <v>36.5</v>
      </c>
    </row>
    <row r="154" spans="1:2" x14ac:dyDescent="0.35">
      <c r="A154" s="4">
        <v>30742</v>
      </c>
      <c r="B154" s="38">
        <v>36.299999999999997</v>
      </c>
    </row>
    <row r="155" spans="1:2" x14ac:dyDescent="0.35">
      <c r="A155" s="4">
        <v>30834</v>
      </c>
      <c r="B155" s="38">
        <v>36.4</v>
      </c>
    </row>
    <row r="156" spans="1:2" x14ac:dyDescent="0.35">
      <c r="A156" s="4">
        <v>30926</v>
      </c>
      <c r="B156" s="38">
        <v>36.9</v>
      </c>
    </row>
    <row r="157" spans="1:2" x14ac:dyDescent="0.35">
      <c r="A157" s="4">
        <v>31017</v>
      </c>
      <c r="B157" s="38">
        <v>37.4</v>
      </c>
    </row>
    <row r="158" spans="1:2" x14ac:dyDescent="0.35">
      <c r="A158" s="4">
        <v>31107</v>
      </c>
      <c r="B158" s="38">
        <v>37.9</v>
      </c>
    </row>
    <row r="159" spans="1:2" x14ac:dyDescent="0.35">
      <c r="A159" s="4">
        <v>31199</v>
      </c>
      <c r="B159" s="38">
        <v>38.799999999999997</v>
      </c>
    </row>
    <row r="160" spans="1:2" x14ac:dyDescent="0.35">
      <c r="A160" s="4">
        <v>31291</v>
      </c>
      <c r="B160" s="38">
        <v>39.700000000000003</v>
      </c>
    </row>
    <row r="161" spans="1:2" x14ac:dyDescent="0.35">
      <c r="A161" s="4">
        <v>31382</v>
      </c>
      <c r="B161" s="38">
        <v>40.5</v>
      </c>
    </row>
    <row r="162" spans="1:2" x14ac:dyDescent="0.35">
      <c r="A162" s="4">
        <v>31472</v>
      </c>
      <c r="B162" s="38">
        <v>41.4</v>
      </c>
    </row>
    <row r="163" spans="1:2" x14ac:dyDescent="0.35">
      <c r="A163" s="4">
        <v>31564</v>
      </c>
      <c r="B163" s="38">
        <v>42.1</v>
      </c>
    </row>
    <row r="164" spans="1:2" x14ac:dyDescent="0.35">
      <c r="A164" s="4">
        <v>31656</v>
      </c>
      <c r="B164" s="38">
        <v>43.2</v>
      </c>
    </row>
    <row r="165" spans="1:2" x14ac:dyDescent="0.35">
      <c r="A165" s="4">
        <v>31747</v>
      </c>
      <c r="B165" s="38">
        <v>44.4</v>
      </c>
    </row>
    <row r="166" spans="1:2" x14ac:dyDescent="0.35">
      <c r="A166" s="4">
        <v>31837</v>
      </c>
      <c r="B166" s="38">
        <v>45.3</v>
      </c>
    </row>
    <row r="167" spans="1:2" x14ac:dyDescent="0.35">
      <c r="A167" s="4">
        <v>31929</v>
      </c>
      <c r="B167" s="38">
        <v>46</v>
      </c>
    </row>
    <row r="168" spans="1:2" x14ac:dyDescent="0.35">
      <c r="A168" s="4">
        <v>32021</v>
      </c>
      <c r="B168" s="38">
        <v>46.8</v>
      </c>
    </row>
    <row r="169" spans="1:2" x14ac:dyDescent="0.35">
      <c r="A169" s="4">
        <v>32112</v>
      </c>
      <c r="B169" s="38">
        <v>47.6</v>
      </c>
    </row>
    <row r="170" spans="1:2" x14ac:dyDescent="0.35">
      <c r="A170" s="4">
        <v>32203</v>
      </c>
      <c r="B170" s="38">
        <v>48.4</v>
      </c>
    </row>
    <row r="171" spans="1:2" x14ac:dyDescent="0.35">
      <c r="A171" s="4">
        <v>32295</v>
      </c>
      <c r="B171" s="38">
        <v>49.3</v>
      </c>
    </row>
    <row r="172" spans="1:2" x14ac:dyDescent="0.35">
      <c r="A172" s="4">
        <v>32387</v>
      </c>
      <c r="B172" s="38">
        <v>50.2</v>
      </c>
    </row>
    <row r="173" spans="1:2" x14ac:dyDescent="0.35">
      <c r="A173" s="4">
        <v>32478</v>
      </c>
      <c r="B173" s="38">
        <v>51.2</v>
      </c>
    </row>
    <row r="174" spans="1:2" x14ac:dyDescent="0.35">
      <c r="A174" s="4">
        <v>32568</v>
      </c>
      <c r="B174" s="38">
        <v>51.7</v>
      </c>
    </row>
    <row r="175" spans="1:2" x14ac:dyDescent="0.35">
      <c r="A175" s="4">
        <v>32660</v>
      </c>
      <c r="B175" s="38">
        <v>53</v>
      </c>
    </row>
    <row r="176" spans="1:2" x14ac:dyDescent="0.35">
      <c r="A176" s="4">
        <v>32752</v>
      </c>
      <c r="B176" s="38">
        <v>54.2</v>
      </c>
    </row>
    <row r="177" spans="1:2" x14ac:dyDescent="0.35">
      <c r="A177" s="4">
        <v>32843</v>
      </c>
      <c r="B177" s="38">
        <v>55.2</v>
      </c>
    </row>
    <row r="178" spans="1:2" x14ac:dyDescent="0.35">
      <c r="A178" s="4">
        <v>32933</v>
      </c>
      <c r="B178" s="38">
        <v>56.2</v>
      </c>
    </row>
    <row r="179" spans="1:2" x14ac:dyDescent="0.35">
      <c r="A179" s="4">
        <v>33025</v>
      </c>
      <c r="B179" s="38">
        <v>57.1</v>
      </c>
    </row>
    <row r="180" spans="1:2" x14ac:dyDescent="0.35">
      <c r="A180" s="4">
        <v>33117</v>
      </c>
      <c r="B180" s="38">
        <v>57.5</v>
      </c>
    </row>
    <row r="181" spans="1:2" x14ac:dyDescent="0.35">
      <c r="A181" s="4">
        <v>33208</v>
      </c>
      <c r="B181" s="38">
        <v>59</v>
      </c>
    </row>
    <row r="182" spans="1:2" x14ac:dyDescent="0.35">
      <c r="A182" s="4">
        <v>33298</v>
      </c>
      <c r="B182" s="38">
        <v>58.9</v>
      </c>
    </row>
    <row r="183" spans="1:2" x14ac:dyDescent="0.35">
      <c r="A183" s="4">
        <v>33390</v>
      </c>
      <c r="B183" s="38">
        <v>59</v>
      </c>
    </row>
    <row r="184" spans="1:2" x14ac:dyDescent="0.35">
      <c r="A184" s="4">
        <v>33482</v>
      </c>
      <c r="B184" s="38">
        <v>59.3</v>
      </c>
    </row>
    <row r="185" spans="1:2" x14ac:dyDescent="0.35">
      <c r="A185" s="4">
        <v>33573</v>
      </c>
      <c r="B185" s="38">
        <v>59.9</v>
      </c>
    </row>
    <row r="186" spans="1:2" x14ac:dyDescent="0.35">
      <c r="A186" s="4">
        <v>33664</v>
      </c>
      <c r="B186" s="38">
        <v>59.9</v>
      </c>
    </row>
    <row r="187" spans="1:2" x14ac:dyDescent="0.35">
      <c r="A187" s="4">
        <v>33756</v>
      </c>
      <c r="B187" s="38">
        <v>59.7</v>
      </c>
    </row>
    <row r="188" spans="1:2" x14ac:dyDescent="0.35">
      <c r="A188" s="4">
        <v>33848</v>
      </c>
      <c r="B188" s="38">
        <v>59.8</v>
      </c>
    </row>
    <row r="189" spans="1:2" x14ac:dyDescent="0.35">
      <c r="A189" s="4">
        <v>33939</v>
      </c>
      <c r="B189" s="38">
        <v>60.1</v>
      </c>
    </row>
    <row r="190" spans="1:2" x14ac:dyDescent="0.35">
      <c r="A190" s="4">
        <v>34029</v>
      </c>
      <c r="B190" s="38">
        <v>60.6</v>
      </c>
    </row>
    <row r="191" spans="1:2" x14ac:dyDescent="0.35">
      <c r="A191" s="4">
        <v>34121</v>
      </c>
      <c r="B191" s="38">
        <v>60.8</v>
      </c>
    </row>
    <row r="192" spans="1:2" x14ac:dyDescent="0.35">
      <c r="A192" s="4">
        <v>34213</v>
      </c>
      <c r="B192" s="38">
        <v>61.1</v>
      </c>
    </row>
    <row r="193" spans="1:2" x14ac:dyDescent="0.35">
      <c r="A193" s="4">
        <v>34304</v>
      </c>
      <c r="B193" s="38">
        <v>61.2</v>
      </c>
    </row>
    <row r="194" spans="1:2" x14ac:dyDescent="0.35">
      <c r="A194" s="4">
        <v>34394</v>
      </c>
      <c r="B194" s="38">
        <v>61.5</v>
      </c>
    </row>
    <row r="195" spans="1:2" x14ac:dyDescent="0.35">
      <c r="A195" s="4">
        <v>34486</v>
      </c>
      <c r="B195" s="38">
        <v>61.9</v>
      </c>
    </row>
    <row r="196" spans="1:2" x14ac:dyDescent="0.35">
      <c r="A196" s="4">
        <v>34578</v>
      </c>
      <c r="B196" s="38">
        <v>62.3</v>
      </c>
    </row>
    <row r="197" spans="1:2" x14ac:dyDescent="0.35">
      <c r="A197" s="4">
        <v>34669</v>
      </c>
      <c r="B197" s="38">
        <v>62.8</v>
      </c>
    </row>
    <row r="198" spans="1:2" x14ac:dyDescent="0.35">
      <c r="A198" s="4">
        <v>34759</v>
      </c>
      <c r="B198" s="38">
        <v>63.8</v>
      </c>
    </row>
    <row r="199" spans="1:2" x14ac:dyDescent="0.35">
      <c r="A199" s="4">
        <v>34851</v>
      </c>
      <c r="B199" s="38">
        <v>64.7</v>
      </c>
    </row>
    <row r="200" spans="1:2" x14ac:dyDescent="0.35">
      <c r="A200" s="4">
        <v>34943</v>
      </c>
      <c r="B200" s="38">
        <v>65.5</v>
      </c>
    </row>
    <row r="201" spans="1:2" x14ac:dyDescent="0.35">
      <c r="A201" s="4">
        <v>35034</v>
      </c>
      <c r="B201" s="38">
        <v>66</v>
      </c>
    </row>
    <row r="202" spans="1:2" x14ac:dyDescent="0.35">
      <c r="A202" s="4">
        <v>35125</v>
      </c>
      <c r="B202" s="38">
        <v>66.2</v>
      </c>
    </row>
    <row r="203" spans="1:2" x14ac:dyDescent="0.35">
      <c r="A203" s="4">
        <v>35217</v>
      </c>
      <c r="B203" s="38">
        <v>66.7</v>
      </c>
    </row>
    <row r="204" spans="1:2" x14ac:dyDescent="0.35">
      <c r="A204" s="4">
        <v>35309</v>
      </c>
      <c r="B204" s="38">
        <v>66.900000000000006</v>
      </c>
    </row>
    <row r="205" spans="1:2" x14ac:dyDescent="0.35">
      <c r="A205" s="4">
        <v>35400</v>
      </c>
      <c r="B205" s="38">
        <v>67</v>
      </c>
    </row>
    <row r="206" spans="1:2" x14ac:dyDescent="0.35">
      <c r="A206" s="4">
        <v>35490</v>
      </c>
      <c r="B206" s="38">
        <v>67.099999999999994</v>
      </c>
    </row>
    <row r="207" spans="1:2" x14ac:dyDescent="0.35">
      <c r="A207" s="4">
        <v>35582</v>
      </c>
      <c r="B207" s="38">
        <v>66.900000000000006</v>
      </c>
    </row>
    <row r="208" spans="1:2" x14ac:dyDescent="0.35">
      <c r="A208" s="4">
        <v>35674</v>
      </c>
      <c r="B208" s="38">
        <v>66.599999999999994</v>
      </c>
    </row>
    <row r="209" spans="1:2" x14ac:dyDescent="0.35">
      <c r="A209" s="4">
        <v>35765</v>
      </c>
      <c r="B209" s="38">
        <v>66.8</v>
      </c>
    </row>
    <row r="210" spans="1:2" x14ac:dyDescent="0.35">
      <c r="A210" s="4">
        <v>35855</v>
      </c>
      <c r="B210" s="38">
        <v>67</v>
      </c>
    </row>
    <row r="211" spans="1:2" x14ac:dyDescent="0.35">
      <c r="A211" s="4">
        <v>35947</v>
      </c>
      <c r="B211" s="38">
        <v>67.400000000000006</v>
      </c>
    </row>
    <row r="212" spans="1:2" x14ac:dyDescent="0.35">
      <c r="A212" s="4">
        <v>36039</v>
      </c>
      <c r="B212" s="38">
        <v>67.5</v>
      </c>
    </row>
    <row r="213" spans="1:2" x14ac:dyDescent="0.35">
      <c r="A213" s="4">
        <v>36130</v>
      </c>
      <c r="B213" s="38">
        <v>67.8</v>
      </c>
    </row>
    <row r="214" spans="1:2" x14ac:dyDescent="0.35">
      <c r="A214" s="4">
        <v>36220</v>
      </c>
      <c r="B214" s="38">
        <v>67.8</v>
      </c>
    </row>
    <row r="215" spans="1:2" x14ac:dyDescent="0.35">
      <c r="A215" s="4">
        <v>36312</v>
      </c>
      <c r="B215" s="38">
        <v>68.099999999999994</v>
      </c>
    </row>
    <row r="216" spans="1:2" x14ac:dyDescent="0.35">
      <c r="A216" s="4">
        <v>36404</v>
      </c>
      <c r="B216" s="38">
        <v>68.7</v>
      </c>
    </row>
    <row r="217" spans="1:2" x14ac:dyDescent="0.35">
      <c r="A217" s="4">
        <v>36495</v>
      </c>
      <c r="B217" s="38">
        <v>69.099999999999994</v>
      </c>
    </row>
    <row r="218" spans="1:2" x14ac:dyDescent="0.35">
      <c r="A218" s="4">
        <v>36586</v>
      </c>
      <c r="B218" s="38">
        <v>69.7</v>
      </c>
    </row>
    <row r="219" spans="1:2" x14ac:dyDescent="0.35">
      <c r="A219" s="4">
        <v>36678</v>
      </c>
      <c r="B219" s="38">
        <v>70.2</v>
      </c>
    </row>
    <row r="220" spans="1:2" x14ac:dyDescent="0.35">
      <c r="A220" s="4">
        <v>36770</v>
      </c>
      <c r="B220" s="38">
        <v>72.900000000000006</v>
      </c>
    </row>
    <row r="221" spans="1:2" x14ac:dyDescent="0.35">
      <c r="A221" s="4">
        <v>36861</v>
      </c>
      <c r="B221" s="38">
        <v>73.099999999999994</v>
      </c>
    </row>
    <row r="222" spans="1:2" x14ac:dyDescent="0.35">
      <c r="A222" s="4">
        <v>36951</v>
      </c>
      <c r="B222" s="38">
        <v>73.900000000000006</v>
      </c>
    </row>
    <row r="223" spans="1:2" x14ac:dyDescent="0.35">
      <c r="A223" s="4">
        <v>37043</v>
      </c>
      <c r="B223" s="38">
        <v>74.5</v>
      </c>
    </row>
    <row r="224" spans="1:2" x14ac:dyDescent="0.35">
      <c r="A224" s="4">
        <v>37135</v>
      </c>
      <c r="B224" s="38">
        <v>74.7</v>
      </c>
    </row>
    <row r="225" spans="1:2" x14ac:dyDescent="0.35">
      <c r="A225" s="4">
        <v>37226</v>
      </c>
      <c r="B225" s="38">
        <v>75.400000000000006</v>
      </c>
    </row>
    <row r="226" spans="1:2" x14ac:dyDescent="0.35">
      <c r="A226" s="4">
        <v>37316</v>
      </c>
      <c r="B226" s="38">
        <v>76.099999999999994</v>
      </c>
    </row>
    <row r="227" spans="1:2" x14ac:dyDescent="0.35">
      <c r="A227" s="4">
        <v>37408</v>
      </c>
      <c r="B227" s="38">
        <v>76.599999999999994</v>
      </c>
    </row>
    <row r="228" spans="1:2" x14ac:dyDescent="0.35">
      <c r="A228" s="4">
        <v>37500</v>
      </c>
      <c r="B228" s="38">
        <v>77.099999999999994</v>
      </c>
    </row>
    <row r="229" spans="1:2" x14ac:dyDescent="0.35">
      <c r="A229" s="4">
        <v>37591</v>
      </c>
      <c r="B229" s="38">
        <v>77.599999999999994</v>
      </c>
    </row>
    <row r="230" spans="1:2" x14ac:dyDescent="0.35">
      <c r="A230" s="4">
        <v>37681</v>
      </c>
      <c r="B230" s="38">
        <v>78.599999999999994</v>
      </c>
    </row>
    <row r="231" spans="1:2" x14ac:dyDescent="0.35">
      <c r="A231" s="4">
        <v>37773</v>
      </c>
      <c r="B231" s="38">
        <v>78.599999999999994</v>
      </c>
    </row>
    <row r="232" spans="1:2" x14ac:dyDescent="0.35">
      <c r="A232" s="4">
        <v>37865</v>
      </c>
      <c r="B232" s="38">
        <v>79.099999999999994</v>
      </c>
    </row>
    <row r="233" spans="1:2" x14ac:dyDescent="0.35">
      <c r="A233" s="4">
        <v>37956</v>
      </c>
      <c r="B233" s="38">
        <v>79.5</v>
      </c>
    </row>
    <row r="234" spans="1:2" x14ac:dyDescent="0.35">
      <c r="A234" s="4">
        <v>38047</v>
      </c>
      <c r="B234" s="38">
        <v>80.2</v>
      </c>
    </row>
    <row r="235" spans="1:2" x14ac:dyDescent="0.35">
      <c r="A235" s="4">
        <v>38139</v>
      </c>
      <c r="B235" s="38">
        <v>80.599999999999994</v>
      </c>
    </row>
    <row r="236" spans="1:2" x14ac:dyDescent="0.35">
      <c r="A236" s="4">
        <v>38231</v>
      </c>
      <c r="B236" s="38">
        <v>80.900000000000006</v>
      </c>
    </row>
    <row r="237" spans="1:2" x14ac:dyDescent="0.35">
      <c r="A237" s="4">
        <v>38322</v>
      </c>
      <c r="B237" s="38">
        <v>81.5</v>
      </c>
    </row>
    <row r="238" spans="1:2" x14ac:dyDescent="0.35">
      <c r="A238" s="4">
        <v>38412</v>
      </c>
      <c r="B238" s="38">
        <v>82.1</v>
      </c>
    </row>
    <row r="239" spans="1:2" x14ac:dyDescent="0.35">
      <c r="A239" s="4">
        <v>38504</v>
      </c>
      <c r="B239" s="38">
        <v>82.6</v>
      </c>
    </row>
    <row r="240" spans="1:2" x14ac:dyDescent="0.35">
      <c r="A240" s="4">
        <v>38596</v>
      </c>
      <c r="B240" s="38">
        <v>83.4</v>
      </c>
    </row>
    <row r="241" spans="1:2" x14ac:dyDescent="0.35">
      <c r="A241" s="4">
        <v>38687</v>
      </c>
      <c r="B241" s="38">
        <v>83.8</v>
      </c>
    </row>
    <row r="242" spans="1:2" x14ac:dyDescent="0.35">
      <c r="A242" s="4">
        <v>38777</v>
      </c>
      <c r="B242" s="38">
        <v>84.5</v>
      </c>
    </row>
    <row r="243" spans="1:2" x14ac:dyDescent="0.35">
      <c r="A243" s="4">
        <v>38869</v>
      </c>
      <c r="B243" s="38">
        <v>85.9</v>
      </c>
    </row>
    <row r="244" spans="1:2" x14ac:dyDescent="0.35">
      <c r="A244" s="4">
        <v>38961</v>
      </c>
      <c r="B244" s="38">
        <v>86.7</v>
      </c>
    </row>
    <row r="245" spans="1:2" x14ac:dyDescent="0.35">
      <c r="A245" s="4">
        <v>39052</v>
      </c>
      <c r="B245" s="38">
        <v>86.6</v>
      </c>
    </row>
    <row r="246" spans="1:2" x14ac:dyDescent="0.35">
      <c r="A246" s="4">
        <v>39142</v>
      </c>
      <c r="B246" s="38">
        <v>86.6</v>
      </c>
    </row>
    <row r="247" spans="1:2" x14ac:dyDescent="0.35">
      <c r="A247" s="4">
        <v>39234</v>
      </c>
      <c r="B247" s="38">
        <v>87.7</v>
      </c>
    </row>
    <row r="248" spans="1:2" x14ac:dyDescent="0.35">
      <c r="A248" s="4">
        <v>39326</v>
      </c>
      <c r="B248" s="38">
        <v>88.3</v>
      </c>
    </row>
    <row r="249" spans="1:2" x14ac:dyDescent="0.35">
      <c r="A249" s="4">
        <v>39417</v>
      </c>
      <c r="B249" s="38">
        <v>89.1</v>
      </c>
    </row>
    <row r="250" spans="1:2" x14ac:dyDescent="0.35">
      <c r="A250" s="4">
        <v>39508</v>
      </c>
      <c r="B250" s="38">
        <v>90.3</v>
      </c>
    </row>
    <row r="251" spans="1:2" x14ac:dyDescent="0.35">
      <c r="A251" s="4">
        <v>39600</v>
      </c>
      <c r="B251" s="38">
        <v>91.6</v>
      </c>
    </row>
    <row r="252" spans="1:2" x14ac:dyDescent="0.35">
      <c r="A252" s="4">
        <v>39692</v>
      </c>
      <c r="B252" s="38">
        <v>92.7</v>
      </c>
    </row>
    <row r="253" spans="1:2" x14ac:dyDescent="0.35">
      <c r="A253" s="4">
        <v>39783</v>
      </c>
      <c r="B253" s="38">
        <v>92.4</v>
      </c>
    </row>
    <row r="254" spans="1:2" x14ac:dyDescent="0.35">
      <c r="A254" s="4">
        <v>39873</v>
      </c>
      <c r="B254" s="38">
        <v>92.5</v>
      </c>
    </row>
    <row r="255" spans="1:2" x14ac:dyDescent="0.35">
      <c r="A255" s="4">
        <v>39965</v>
      </c>
      <c r="B255" s="38">
        <v>92.9</v>
      </c>
    </row>
    <row r="256" spans="1:2" x14ac:dyDescent="0.35">
      <c r="A256" s="4">
        <v>40057</v>
      </c>
      <c r="B256" s="38">
        <v>93.8</v>
      </c>
    </row>
    <row r="257" spans="1:2" x14ac:dyDescent="0.35">
      <c r="A257" s="4">
        <v>40148</v>
      </c>
      <c r="B257" s="38">
        <v>94.3</v>
      </c>
    </row>
    <row r="258" spans="1:2" x14ac:dyDescent="0.35">
      <c r="A258" s="4">
        <v>40238</v>
      </c>
      <c r="B258" s="38">
        <v>95.2</v>
      </c>
    </row>
    <row r="259" spans="1:2" x14ac:dyDescent="0.35">
      <c r="A259" s="4">
        <v>40330</v>
      </c>
      <c r="B259" s="38">
        <v>95.8</v>
      </c>
    </row>
    <row r="260" spans="1:2" x14ac:dyDescent="0.35">
      <c r="A260" s="4">
        <v>40422</v>
      </c>
      <c r="B260" s="38">
        <v>96.5</v>
      </c>
    </row>
    <row r="261" spans="1:2" x14ac:dyDescent="0.35">
      <c r="A261" s="4">
        <v>40513</v>
      </c>
      <c r="B261" s="38">
        <v>96.9</v>
      </c>
    </row>
    <row r="262" spans="1:2" x14ac:dyDescent="0.35">
      <c r="A262" s="4">
        <v>40603</v>
      </c>
      <c r="B262" s="38">
        <v>98.3</v>
      </c>
    </row>
    <row r="263" spans="1:2" x14ac:dyDescent="0.35">
      <c r="A263" s="4">
        <v>40695</v>
      </c>
      <c r="B263" s="38">
        <v>99.2</v>
      </c>
    </row>
    <row r="264" spans="1:2" x14ac:dyDescent="0.35">
      <c r="A264" s="4">
        <v>40787</v>
      </c>
      <c r="B264" s="38">
        <v>99.8</v>
      </c>
    </row>
    <row r="265" spans="1:2" x14ac:dyDescent="0.35">
      <c r="A265" s="4">
        <v>40878</v>
      </c>
      <c r="B265" s="38">
        <v>99.8</v>
      </c>
    </row>
    <row r="266" spans="1:2" x14ac:dyDescent="0.35">
      <c r="A266" s="4">
        <v>40969</v>
      </c>
      <c r="B266" s="38">
        <v>99.9</v>
      </c>
    </row>
    <row r="267" spans="1:2" x14ac:dyDescent="0.35">
      <c r="A267" s="4">
        <v>41061</v>
      </c>
      <c r="B267" s="38">
        <v>100.4</v>
      </c>
    </row>
    <row r="268" spans="1:2" x14ac:dyDescent="0.35">
      <c r="A268" s="4">
        <v>41153</v>
      </c>
      <c r="B268" s="38">
        <v>101.8</v>
      </c>
    </row>
    <row r="269" spans="1:2" x14ac:dyDescent="0.35">
      <c r="A269" s="4">
        <v>41244</v>
      </c>
      <c r="B269" s="38">
        <v>102</v>
      </c>
    </row>
    <row r="270" spans="1:2" x14ac:dyDescent="0.35">
      <c r="A270" s="4">
        <v>41334</v>
      </c>
      <c r="B270" s="38">
        <v>102.4</v>
      </c>
    </row>
    <row r="271" spans="1:2" x14ac:dyDescent="0.35">
      <c r="A271" s="4">
        <v>41426</v>
      </c>
      <c r="B271" s="38">
        <v>102.8</v>
      </c>
    </row>
    <row r="272" spans="1:2" x14ac:dyDescent="0.35">
      <c r="A272" s="4">
        <v>41518</v>
      </c>
      <c r="B272" s="38">
        <v>104</v>
      </c>
    </row>
    <row r="273" spans="1:2" x14ac:dyDescent="0.35">
      <c r="A273" s="4">
        <v>41609</v>
      </c>
      <c r="B273" s="38">
        <v>104.8</v>
      </c>
    </row>
    <row r="274" spans="1:2" x14ac:dyDescent="0.35">
      <c r="A274" s="4">
        <v>41699</v>
      </c>
      <c r="B274" s="38">
        <v>105.4</v>
      </c>
    </row>
    <row r="275" spans="1:2" x14ac:dyDescent="0.35">
      <c r="A275" s="4">
        <v>41791</v>
      </c>
      <c r="B275" s="38">
        <v>105.9</v>
      </c>
    </row>
    <row r="276" spans="1:2" x14ac:dyDescent="0.35">
      <c r="A276" s="4">
        <v>41883</v>
      </c>
      <c r="B276" s="38">
        <v>106.4</v>
      </c>
    </row>
    <row r="277" spans="1:2" x14ac:dyDescent="0.35">
      <c r="A277" s="4">
        <v>41974</v>
      </c>
      <c r="B277" s="38">
        <v>106.6</v>
      </c>
    </row>
    <row r="278" spans="1:2" x14ac:dyDescent="0.35">
      <c r="A278" s="4">
        <v>42064</v>
      </c>
      <c r="B278" s="38">
        <v>106.8</v>
      </c>
    </row>
    <row r="279" spans="1:2" x14ac:dyDescent="0.35">
      <c r="A279" s="4">
        <v>42156</v>
      </c>
      <c r="B279" s="38">
        <v>107.5</v>
      </c>
    </row>
    <row r="280" spans="1:2" x14ac:dyDescent="0.35">
      <c r="A280" s="4">
        <v>42248</v>
      </c>
      <c r="B280" s="38">
        <v>108</v>
      </c>
    </row>
    <row r="281" spans="1:2" x14ac:dyDescent="0.35">
      <c r="A281" s="4">
        <v>42339</v>
      </c>
      <c r="B281" s="38">
        <v>108.4</v>
      </c>
    </row>
    <row r="282" spans="1:2" x14ac:dyDescent="0.35">
      <c r="A282" s="4">
        <v>42430</v>
      </c>
      <c r="B282" s="38">
        <v>108.2</v>
      </c>
    </row>
    <row r="283" spans="1:2" x14ac:dyDescent="0.35">
      <c r="A283" s="4">
        <v>42522</v>
      </c>
      <c r="B283" s="38">
        <v>108.6</v>
      </c>
    </row>
    <row r="284" spans="1:2" x14ac:dyDescent="0.35">
      <c r="A284" s="4">
        <v>42614</v>
      </c>
      <c r="B284" s="38">
        <v>109.4</v>
      </c>
    </row>
    <row r="285" spans="1:2" x14ac:dyDescent="0.35">
      <c r="A285" s="4">
        <v>42705</v>
      </c>
      <c r="B285" s="38">
        <v>110</v>
      </c>
    </row>
    <row r="286" spans="1:2" x14ac:dyDescent="0.35">
      <c r="A286" s="4">
        <v>42795</v>
      </c>
      <c r="B286" s="38">
        <v>110.5</v>
      </c>
    </row>
    <row r="287" spans="1:2" x14ac:dyDescent="0.35">
      <c r="A287" s="4">
        <v>42887</v>
      </c>
      <c r="B287" s="38">
        <v>110.7</v>
      </c>
    </row>
    <row r="288" spans="1:2" x14ac:dyDescent="0.35">
      <c r="A288" s="4">
        <v>42979</v>
      </c>
      <c r="B288" s="38">
        <v>111.4</v>
      </c>
    </row>
    <row r="289" spans="1:9" x14ac:dyDescent="0.35">
      <c r="A289" s="4">
        <v>43070</v>
      </c>
      <c r="B289" s="38">
        <v>112.1</v>
      </c>
    </row>
    <row r="290" spans="1:9" x14ac:dyDescent="0.35">
      <c r="A290" s="4">
        <v>43160</v>
      </c>
      <c r="B290" s="38">
        <v>112.6</v>
      </c>
    </row>
    <row r="291" spans="1:9" x14ac:dyDescent="0.35">
      <c r="A291" s="39">
        <v>43252</v>
      </c>
      <c r="B291" s="38">
        <v>113</v>
      </c>
    </row>
    <row r="292" spans="1:9" x14ac:dyDescent="0.35">
      <c r="A292" s="39">
        <v>43344</v>
      </c>
      <c r="B292" s="38">
        <v>113.5</v>
      </c>
    </row>
    <row r="293" spans="1:9" x14ac:dyDescent="0.35">
      <c r="A293" s="39">
        <v>43435</v>
      </c>
      <c r="B293" s="38">
        <v>114.1</v>
      </c>
    </row>
    <row r="294" spans="1:9" x14ac:dyDescent="0.35">
      <c r="A294" s="39">
        <v>43525</v>
      </c>
      <c r="B294" s="38">
        <v>114.1</v>
      </c>
    </row>
    <row r="295" spans="1:9" x14ac:dyDescent="0.35">
      <c r="A295" s="39">
        <v>43617</v>
      </c>
      <c r="B295" s="38">
        <v>114.8</v>
      </c>
    </row>
    <row r="296" spans="1:9" x14ac:dyDescent="0.35">
      <c r="A296" s="39">
        <v>43709</v>
      </c>
      <c r="B296" s="86">
        <v>115.4</v>
      </c>
    </row>
    <row r="297" spans="1:9" x14ac:dyDescent="0.35">
      <c r="A297" s="39">
        <v>43800</v>
      </c>
      <c r="B297" s="40">
        <v>116.2</v>
      </c>
    </row>
    <row r="298" spans="1:9" x14ac:dyDescent="0.35">
      <c r="A298" s="39">
        <v>43891</v>
      </c>
      <c r="B298" s="40">
        <v>116.6</v>
      </c>
    </row>
    <row r="299" spans="1:9" x14ac:dyDescent="0.35">
      <c r="A299" s="39">
        <v>43983</v>
      </c>
      <c r="B299" s="40">
        <v>114.4</v>
      </c>
    </row>
    <row r="300" spans="1:9" x14ac:dyDescent="0.35">
      <c r="A300" s="39">
        <v>44075</v>
      </c>
      <c r="B300" s="40">
        <v>116.2</v>
      </c>
    </row>
    <row r="301" spans="1:9" x14ac:dyDescent="0.35">
      <c r="A301" s="39">
        <v>44166</v>
      </c>
      <c r="B301" s="40">
        <v>117.2</v>
      </c>
    </row>
    <row r="302" spans="1:9" x14ac:dyDescent="0.35">
      <c r="A302" s="39">
        <v>44256</v>
      </c>
      <c r="B302" s="40">
        <v>117.9</v>
      </c>
    </row>
    <row r="303" spans="1:9" x14ac:dyDescent="0.35">
      <c r="A303" s="39">
        <v>44348</v>
      </c>
      <c r="B303" s="62">
        <v>118.8</v>
      </c>
      <c r="C303" s="51"/>
      <c r="D303" s="51"/>
      <c r="E303" s="51"/>
      <c r="F303" s="51"/>
      <c r="G303" s="51"/>
      <c r="H303" s="51"/>
      <c r="I303" s="51"/>
    </row>
    <row r="304" spans="1:9" x14ac:dyDescent="0.35">
      <c r="A304" s="39">
        <v>44440</v>
      </c>
      <c r="B304" s="62">
        <v>119.7</v>
      </c>
      <c r="C304" s="51"/>
      <c r="D304" s="51"/>
      <c r="E304" s="51"/>
      <c r="F304" s="51"/>
      <c r="G304" s="51"/>
      <c r="H304" s="51"/>
      <c r="I304" s="51"/>
    </row>
    <row r="305" spans="1:9" x14ac:dyDescent="0.35">
      <c r="A305" s="39">
        <v>44531</v>
      </c>
      <c r="B305" s="62">
        <v>121.3</v>
      </c>
      <c r="C305" s="51"/>
      <c r="D305" s="51"/>
      <c r="E305" s="51"/>
      <c r="F305" s="51"/>
      <c r="G305" s="51"/>
      <c r="H305" s="51"/>
      <c r="I305" s="51"/>
    </row>
    <row r="306" spans="1:9" x14ac:dyDescent="0.35">
      <c r="A306" s="52">
        <v>44651</v>
      </c>
      <c r="B306" s="62">
        <v>123.9</v>
      </c>
      <c r="C306" s="51"/>
      <c r="D306" s="51"/>
      <c r="E306" s="51"/>
      <c r="F306" s="51"/>
      <c r="G306" s="51"/>
      <c r="H306" s="51"/>
      <c r="I306" s="51"/>
    </row>
    <row r="307" spans="1:9" x14ac:dyDescent="0.35">
      <c r="A307" s="52">
        <v>44742</v>
      </c>
      <c r="B307" s="62">
        <v>126.1</v>
      </c>
      <c r="C307" s="51"/>
      <c r="D307" s="51"/>
      <c r="E307" s="51"/>
      <c r="F307" s="51"/>
      <c r="G307" s="51"/>
      <c r="H307" s="51"/>
      <c r="I307" s="51"/>
    </row>
    <row r="308" spans="1:9" x14ac:dyDescent="0.35">
      <c r="A308" s="52">
        <v>44834</v>
      </c>
      <c r="B308" s="62">
        <v>128.4307</v>
      </c>
      <c r="C308" s="51"/>
      <c r="D308" s="51"/>
      <c r="E308" s="51"/>
      <c r="F308" s="51"/>
      <c r="G308" s="51"/>
      <c r="H308" s="51"/>
      <c r="I308" s="51"/>
    </row>
    <row r="309" spans="1:9" x14ac:dyDescent="0.35">
      <c r="A309" s="52">
        <v>44926</v>
      </c>
      <c r="B309" s="62">
        <v>130.76140000000001</v>
      </c>
      <c r="C309" s="51"/>
      <c r="D309" s="51"/>
      <c r="E309" s="51"/>
      <c r="F309" s="51"/>
      <c r="G309" s="51"/>
      <c r="H309" s="51"/>
      <c r="I309" s="51"/>
    </row>
    <row r="310" spans="1:9" x14ac:dyDescent="0.35">
      <c r="A310" s="52">
        <v>45016</v>
      </c>
      <c r="B310" s="38">
        <v>132.6</v>
      </c>
    </row>
    <row r="311" spans="1:9" x14ac:dyDescent="0.35">
      <c r="A311" s="39">
        <v>45078</v>
      </c>
      <c r="B311" s="38">
        <v>133.69999999999999</v>
      </c>
    </row>
    <row r="312" spans="1:9" x14ac:dyDescent="0.35">
      <c r="A312" s="39">
        <v>45170</v>
      </c>
      <c r="B312" s="38">
        <v>135.30000000000001</v>
      </c>
    </row>
    <row r="313" spans="1:9" x14ac:dyDescent="0.35">
      <c r="A313" s="39">
        <v>45261</v>
      </c>
      <c r="B313" s="38">
        <v>136.1</v>
      </c>
    </row>
    <row r="314" spans="1:9" x14ac:dyDescent="0.35">
      <c r="A314" s="39"/>
      <c r="B314" s="38"/>
    </row>
    <row r="315" spans="1:9" x14ac:dyDescent="0.35">
      <c r="B315" s="38"/>
    </row>
    <row r="316" spans="1:9" x14ac:dyDescent="0.35">
      <c r="B316" s="38"/>
    </row>
    <row r="317" spans="1:9" x14ac:dyDescent="0.35">
      <c r="B317" s="38"/>
    </row>
  </sheetData>
  <dataValidations count="1">
    <dataValidation type="list" allowBlank="1" showInputMessage="1" showErrorMessage="1" sqref="E8" xr:uid="{00000000-0002-0000-0800-000000000000}">
      <formula1>$F$2:$W$2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/>
  <dimension ref="A1:U21"/>
  <sheetViews>
    <sheetView topLeftCell="D1" workbookViewId="0">
      <selection activeCell="T13" sqref="T13"/>
    </sheetView>
  </sheetViews>
  <sheetFormatPr defaultRowHeight="14.5" x14ac:dyDescent="0.35"/>
  <cols>
    <col min="1" max="1" width="52.1796875" customWidth="1"/>
    <col min="2" max="12" width="12.81640625" customWidth="1"/>
    <col min="14" max="14" width="11.1796875" bestFit="1" customWidth="1"/>
    <col min="15" max="15" width="11.1796875" customWidth="1"/>
    <col min="17" max="17" width="11.54296875" bestFit="1" customWidth="1"/>
    <col min="18" max="19" width="11.54296875" customWidth="1"/>
    <col min="20" max="20" width="17.81640625" customWidth="1"/>
  </cols>
  <sheetData>
    <row r="1" spans="1:21" x14ac:dyDescent="0.35">
      <c r="A1" s="10" t="s">
        <v>24</v>
      </c>
      <c r="T1" s="74"/>
    </row>
    <row r="2" spans="1:21" x14ac:dyDescent="0.35">
      <c r="B2" s="10" t="str">
        <f>"Real $"&amp;Real_year&amp;""</f>
        <v>Real $2023</v>
      </c>
      <c r="C2">
        <v>2006</v>
      </c>
      <c r="D2">
        <v>2007</v>
      </c>
      <c r="E2">
        <v>2008</v>
      </c>
      <c r="F2">
        <v>2009</v>
      </c>
      <c r="G2">
        <v>2010</v>
      </c>
      <c r="H2">
        <v>2011</v>
      </c>
      <c r="I2">
        <v>2012</v>
      </c>
      <c r="J2">
        <v>2013</v>
      </c>
      <c r="K2">
        <v>2014</v>
      </c>
      <c r="L2">
        <v>2015</v>
      </c>
      <c r="M2">
        <v>2016</v>
      </c>
      <c r="N2">
        <v>2017</v>
      </c>
      <c r="O2">
        <v>2018</v>
      </c>
      <c r="P2">
        <v>2019</v>
      </c>
      <c r="Q2">
        <v>2020</v>
      </c>
      <c r="R2">
        <v>2021</v>
      </c>
      <c r="S2">
        <v>2022</v>
      </c>
      <c r="T2" s="74">
        <v>2023</v>
      </c>
    </row>
    <row r="3" spans="1:21" x14ac:dyDescent="0.35">
      <c r="A3" t="s">
        <v>97</v>
      </c>
      <c r="B3" s="10"/>
      <c r="C3" s="17">
        <f>CPI!F11</f>
        <v>1.5564610011641442</v>
      </c>
      <c r="D3" s="17">
        <f>CPI!G11</f>
        <v>1.524515393386545</v>
      </c>
      <c r="E3" s="17">
        <f>CPI!H11</f>
        <v>1.4596069868995634</v>
      </c>
      <c r="F3" s="17">
        <f>CPI!I11</f>
        <v>1.4391819160387511</v>
      </c>
      <c r="G3" s="17">
        <f>CPI!J11</f>
        <v>1.3956158663883089</v>
      </c>
      <c r="H3" s="17">
        <f>CPI!K11</f>
        <v>1.347782258064516</v>
      </c>
      <c r="I3" s="17">
        <f>CPI!L11</f>
        <v>1.3316733067729081</v>
      </c>
      <c r="J3" s="17">
        <f>CPI!M11</f>
        <v>1.3005836575875485</v>
      </c>
      <c r="K3" s="17">
        <f>CPI!N11</f>
        <v>1.2625118035882907</v>
      </c>
      <c r="L3" s="17">
        <f>CPI!O11</f>
        <v>1.243720930232558</v>
      </c>
      <c r="M3" s="17">
        <f>CPI!P11</f>
        <v>1.2311233885819521</v>
      </c>
      <c r="N3" s="17">
        <f>CPI!Q11</f>
        <v>1.2077687443541101</v>
      </c>
      <c r="O3" s="17">
        <f>CPI!R11</f>
        <v>1.1831858407079645</v>
      </c>
      <c r="P3" s="17">
        <f>CPI!S11</f>
        <v>1.1646341463414633</v>
      </c>
      <c r="Q3" s="17">
        <f>CPI!T11</f>
        <v>1.1687062937062935</v>
      </c>
      <c r="R3" s="17">
        <f>CPI!U11</f>
        <v>1.1254208754208754</v>
      </c>
      <c r="S3" s="17">
        <f>CPI!V11</f>
        <v>1.0602696272799366</v>
      </c>
      <c r="T3" s="17">
        <f>CPI!W11</f>
        <v>1</v>
      </c>
    </row>
    <row r="4" spans="1:21" x14ac:dyDescent="0.35">
      <c r="A4" t="s">
        <v>52</v>
      </c>
      <c r="C4" s="17">
        <f>CPI!F13</f>
        <v>1.6031175059952036</v>
      </c>
      <c r="D4" s="17">
        <f>CPI!G13</f>
        <v>1.5420991926182235</v>
      </c>
      <c r="E4" s="17">
        <f>CPI!H13</f>
        <v>1.5141562853907133</v>
      </c>
      <c r="F4" s="17">
        <f>CPI!I13</f>
        <v>1.442286947141316</v>
      </c>
      <c r="G4" s="17">
        <f>CPI!J13</f>
        <v>1.4253731343283582</v>
      </c>
      <c r="H4" s="17">
        <f>CPI!K13</f>
        <v>1.3854922279792745</v>
      </c>
      <c r="I4" s="17">
        <f>CPI!L13</f>
        <v>1.3396793587174347</v>
      </c>
      <c r="J4" s="17">
        <f>CPI!M13</f>
        <v>1.3133595284872297</v>
      </c>
      <c r="K4" s="17">
        <f>CPI!N13</f>
        <v>1.285576923076923</v>
      </c>
      <c r="L4" s="17">
        <f>CPI!O13</f>
        <v>1.2565789473684208</v>
      </c>
      <c r="M4" s="17">
        <f>CPI!P13</f>
        <v>1.2379629629629629</v>
      </c>
      <c r="N4" s="17">
        <f>CPI!Q13</f>
        <v>1.2221206581352833</v>
      </c>
      <c r="O4" s="17">
        <f>CPI!R13</f>
        <v>1.2001795332136445</v>
      </c>
      <c r="P4" s="17">
        <f>CPI!S13</f>
        <v>1.1779735682819383</v>
      </c>
      <c r="Q4" s="17">
        <f>CPI!T13</f>
        <v>1.1585788561525128</v>
      </c>
      <c r="R4" s="17">
        <f>CPI!U13</f>
        <v>1.1506024096385541</v>
      </c>
      <c r="S4" s="17">
        <f>CPI!V13</f>
        <v>1.1169590643274852</v>
      </c>
      <c r="T4" s="17">
        <f>CPI!W13</f>
        <v>1.0410283522553407</v>
      </c>
    </row>
    <row r="5" spans="1:21" x14ac:dyDescent="0.35">
      <c r="A5" t="s">
        <v>51</v>
      </c>
      <c r="C5" s="17">
        <f>CPI!F12</f>
        <v>1.5954653937947494</v>
      </c>
      <c r="D5" s="17">
        <f>CPI!G12</f>
        <v>1.543879907621247</v>
      </c>
      <c r="E5" s="17">
        <f>CPI!H12</f>
        <v>1.5005611672278338</v>
      </c>
      <c r="F5" s="17">
        <f>CPI!I12</f>
        <v>1.4469696969696968</v>
      </c>
      <c r="G5" s="17">
        <f>CPI!J12</f>
        <v>1.417815482502651</v>
      </c>
      <c r="H5" s="17">
        <f>CPI!K12</f>
        <v>1.3797729618163053</v>
      </c>
      <c r="I5" s="17">
        <f>CPI!L12</f>
        <v>1.3396793587174347</v>
      </c>
      <c r="J5" s="17">
        <f>CPI!M12</f>
        <v>1.31078431372549</v>
      </c>
      <c r="K5" s="17">
        <f>CPI!N12</f>
        <v>1.2757633587786259</v>
      </c>
      <c r="L5" s="17">
        <f>CPI!O12</f>
        <v>1.2542213883677298</v>
      </c>
      <c r="M5" s="17">
        <f>CPI!P12</f>
        <v>1.2333948339483394</v>
      </c>
      <c r="N5" s="17">
        <f>CPI!Q12</f>
        <v>1.2154545454545453</v>
      </c>
      <c r="O5" s="17">
        <f>CPI!R12</f>
        <v>1.1926851025869758</v>
      </c>
      <c r="P5" s="17">
        <f>CPI!S12</f>
        <v>1.1717791411042944</v>
      </c>
      <c r="Q5" s="17">
        <f>CPI!T12</f>
        <v>1.1506024096385541</v>
      </c>
      <c r="R5" s="17">
        <f>CPI!U12</f>
        <v>1.1407849829351535</v>
      </c>
      <c r="S5" s="17">
        <f>CPI!V12</f>
        <v>1.1022258862324814</v>
      </c>
      <c r="T5" s="17">
        <f>CPI!W12</f>
        <v>1.0224729927945095</v>
      </c>
    </row>
    <row r="6" spans="1:21" x14ac:dyDescent="0.35">
      <c r="R6" s="17"/>
      <c r="S6" s="17"/>
      <c r="T6" s="17"/>
    </row>
    <row r="8" spans="1:21" x14ac:dyDescent="0.35">
      <c r="A8" s="10" t="s">
        <v>103</v>
      </c>
      <c r="B8" s="10" t="s">
        <v>96</v>
      </c>
    </row>
    <row r="9" spans="1:21" x14ac:dyDescent="0.35">
      <c r="A9" s="10" t="s">
        <v>58</v>
      </c>
      <c r="B9" s="10"/>
      <c r="C9">
        <f t="shared" ref="C9:M9" si="0">C2</f>
        <v>2006</v>
      </c>
      <c r="D9">
        <f t="shared" si="0"/>
        <v>2007</v>
      </c>
      <c r="E9">
        <f t="shared" si="0"/>
        <v>2008</v>
      </c>
      <c r="F9">
        <f t="shared" si="0"/>
        <v>2009</v>
      </c>
      <c r="G9">
        <f t="shared" si="0"/>
        <v>2010</v>
      </c>
      <c r="H9">
        <f t="shared" si="0"/>
        <v>2011</v>
      </c>
      <c r="I9">
        <f t="shared" si="0"/>
        <v>2012</v>
      </c>
      <c r="J9">
        <f t="shared" si="0"/>
        <v>2013</v>
      </c>
      <c r="K9">
        <f t="shared" si="0"/>
        <v>2014</v>
      </c>
      <c r="L9">
        <f t="shared" si="0"/>
        <v>2015</v>
      </c>
      <c r="M9">
        <f t="shared" si="0"/>
        <v>2016</v>
      </c>
      <c r="N9">
        <v>2017</v>
      </c>
      <c r="O9">
        <v>2018</v>
      </c>
      <c r="P9">
        <v>2019</v>
      </c>
      <c r="Q9">
        <v>2020</v>
      </c>
      <c r="R9">
        <v>2021</v>
      </c>
      <c r="S9">
        <v>2022</v>
      </c>
      <c r="T9">
        <v>2023</v>
      </c>
    </row>
    <row r="10" spans="1:21" x14ac:dyDescent="0.35">
      <c r="A10" s="27" t="s">
        <v>35</v>
      </c>
      <c r="B10" s="27" t="s">
        <v>57</v>
      </c>
      <c r="C10" s="20">
        <v>89258.11425374214</v>
      </c>
      <c r="D10" s="20">
        <v>80842.987365847715</v>
      </c>
      <c r="E10" s="20">
        <v>162293.47653741398</v>
      </c>
      <c r="F10" s="20">
        <v>59106.056239456964</v>
      </c>
      <c r="G10" s="20">
        <v>20345.625267704796</v>
      </c>
      <c r="H10" s="20">
        <v>97061.100193905717</v>
      </c>
      <c r="I10" s="20">
        <v>315713.09947788186</v>
      </c>
      <c r="J10" s="20">
        <v>178283.85468255344</v>
      </c>
      <c r="K10" s="20">
        <v>232198.0008218725</v>
      </c>
      <c r="L10" s="20">
        <v>96869.77632107136</v>
      </c>
      <c r="M10" s="20">
        <v>142117.46961331938</v>
      </c>
      <c r="N10" s="20">
        <v>169671.86470311059</v>
      </c>
      <c r="O10" s="20">
        <v>204289.22000560572</v>
      </c>
      <c r="P10" s="20">
        <v>177293.90200828851</v>
      </c>
      <c r="Q10" s="49">
        <v>49311.832000000002</v>
      </c>
      <c r="R10" s="49">
        <v>77797.344739000968</v>
      </c>
      <c r="S10" s="49">
        <v>272835.26611376967</v>
      </c>
      <c r="T10" s="49">
        <v>436388.77427986619</v>
      </c>
    </row>
    <row r="11" spans="1:21" x14ac:dyDescent="0.35">
      <c r="A11" s="27" t="s">
        <v>19</v>
      </c>
      <c r="B11" s="27" t="s">
        <v>57</v>
      </c>
      <c r="C11" s="20">
        <v>269318.53261280397</v>
      </c>
      <c r="D11" s="20">
        <v>256570.90166529323</v>
      </c>
      <c r="E11" s="20">
        <v>678189.56935022678</v>
      </c>
      <c r="F11" s="20">
        <v>671491.83669466269</v>
      </c>
      <c r="G11" s="20">
        <v>473251.6947943017</v>
      </c>
      <c r="H11" s="20">
        <v>463875.87787008594</v>
      </c>
      <c r="I11" s="20">
        <v>503875.60955456615</v>
      </c>
      <c r="J11" s="20">
        <v>504179.01052687335</v>
      </c>
      <c r="K11" s="20">
        <v>593347.80624161765</v>
      </c>
      <c r="L11" s="20">
        <v>245700.20910001502</v>
      </c>
      <c r="M11" s="20">
        <v>124656.92009012518</v>
      </c>
      <c r="N11" s="20">
        <v>165717.78678948872</v>
      </c>
      <c r="O11" s="20">
        <v>124148.14240923422</v>
      </c>
      <c r="P11" s="20">
        <v>214676.63614106682</v>
      </c>
      <c r="Q11" s="49">
        <v>77521.510388175127</v>
      </c>
      <c r="R11" s="49">
        <v>127577.26012747781</v>
      </c>
      <c r="S11" s="49">
        <v>199743.55664884832</v>
      </c>
      <c r="T11" s="49">
        <v>159298.29840850638</v>
      </c>
    </row>
    <row r="12" spans="1:21" x14ac:dyDescent="0.35">
      <c r="A12" s="27" t="s">
        <v>33</v>
      </c>
      <c r="B12" s="27" t="s">
        <v>57</v>
      </c>
      <c r="C12" s="20">
        <v>60055.487000000001</v>
      </c>
      <c r="D12" s="20">
        <v>81707.709000000003</v>
      </c>
      <c r="E12" s="20">
        <v>109142.72199999999</v>
      </c>
      <c r="F12" s="20">
        <v>41643.434000000001</v>
      </c>
      <c r="G12" s="20">
        <v>86552.108999999997</v>
      </c>
      <c r="H12" s="20">
        <v>110822.41800000001</v>
      </c>
      <c r="I12" s="20">
        <v>124792.08900000001</v>
      </c>
      <c r="J12" s="20">
        <v>166090.78399999999</v>
      </c>
      <c r="K12" s="20">
        <v>176329.54932170166</v>
      </c>
      <c r="L12" s="20">
        <v>192954.250261384</v>
      </c>
      <c r="M12" s="20">
        <v>133160.81765741587</v>
      </c>
      <c r="N12" s="20">
        <v>125721.37942957168</v>
      </c>
      <c r="O12" s="20">
        <v>113724.56413357373</v>
      </c>
      <c r="P12" s="20">
        <v>119668.70306964719</v>
      </c>
      <c r="Q12" s="49">
        <v>230006.49998383893</v>
      </c>
      <c r="R12" s="49">
        <v>148420.04715022445</v>
      </c>
      <c r="S12" s="49">
        <v>199940.24675008026</v>
      </c>
      <c r="T12" s="49">
        <v>109357.43157445145</v>
      </c>
    </row>
    <row r="13" spans="1:21" x14ac:dyDescent="0.35">
      <c r="A13" s="27" t="s">
        <v>27</v>
      </c>
      <c r="B13" s="27" t="s">
        <v>57</v>
      </c>
      <c r="C13" s="20">
        <v>67649</v>
      </c>
      <c r="D13" s="20">
        <v>97870</v>
      </c>
      <c r="E13" s="20">
        <v>59619</v>
      </c>
      <c r="F13" s="20">
        <v>82109</v>
      </c>
      <c r="G13" s="20">
        <v>49873</v>
      </c>
      <c r="H13" s="20">
        <v>222178</v>
      </c>
      <c r="I13" s="20">
        <v>105301</v>
      </c>
      <c r="J13" s="20">
        <v>87448</v>
      </c>
      <c r="K13" s="20">
        <v>174694.62803962029</v>
      </c>
      <c r="L13" s="20">
        <v>31333.159254127593</v>
      </c>
      <c r="M13" s="20">
        <v>24922.723995073349</v>
      </c>
      <c r="N13" s="20">
        <v>27737.785856726568</v>
      </c>
      <c r="O13" s="20">
        <v>47336.276340199896</v>
      </c>
      <c r="P13" s="20">
        <v>64485.204634988841</v>
      </c>
      <c r="Q13" s="49">
        <v>59472.139368714496</v>
      </c>
      <c r="R13" s="49">
        <v>38111.489240591822</v>
      </c>
      <c r="S13" s="49">
        <v>44360.198887180661</v>
      </c>
      <c r="T13" s="49">
        <v>35356.168832676551</v>
      </c>
    </row>
    <row r="14" spans="1:21" x14ac:dyDescent="0.35">
      <c r="A14" s="27" t="s">
        <v>36</v>
      </c>
      <c r="B14" s="27" t="s">
        <v>57</v>
      </c>
      <c r="C14" s="20">
        <v>162036</v>
      </c>
      <c r="D14" s="20">
        <v>225936</v>
      </c>
      <c r="E14" s="20">
        <v>337001</v>
      </c>
      <c r="F14" s="20">
        <v>549433.30268145294</v>
      </c>
      <c r="G14" s="20">
        <v>240632.34056820587</v>
      </c>
      <c r="H14" s="20">
        <v>370580.90669528913</v>
      </c>
      <c r="I14" s="20">
        <v>377519.62609399756</v>
      </c>
      <c r="J14" s="20">
        <v>386404.8127500806</v>
      </c>
      <c r="K14" s="20">
        <v>599025.85733420495</v>
      </c>
      <c r="L14" s="20">
        <v>299576.62671298435</v>
      </c>
      <c r="M14" s="20">
        <v>262567.9137873014</v>
      </c>
      <c r="N14" s="20">
        <v>139468.48002247565</v>
      </c>
      <c r="O14" s="20">
        <v>239882.38990682526</v>
      </c>
      <c r="P14" s="20">
        <v>265754.53729379684</v>
      </c>
      <c r="Q14" s="49">
        <v>217115.573</v>
      </c>
      <c r="R14" s="49">
        <v>208491.98199999999</v>
      </c>
      <c r="S14" s="49">
        <v>461120.63</v>
      </c>
      <c r="T14" s="49">
        <v>419965.97700000001</v>
      </c>
    </row>
    <row r="16" spans="1:21" x14ac:dyDescent="0.35">
      <c r="A16" s="10" t="str">
        <f>CONCATENATE(B2)</f>
        <v>Real $2023</v>
      </c>
      <c r="B16" s="10"/>
      <c r="C16">
        <f t="shared" ref="C16:M16" si="1">C2</f>
        <v>2006</v>
      </c>
      <c r="D16">
        <f t="shared" si="1"/>
        <v>2007</v>
      </c>
      <c r="E16">
        <f t="shared" si="1"/>
        <v>2008</v>
      </c>
      <c r="F16">
        <f t="shared" si="1"/>
        <v>2009</v>
      </c>
      <c r="G16">
        <f t="shared" si="1"/>
        <v>2010</v>
      </c>
      <c r="H16">
        <f t="shared" si="1"/>
        <v>2011</v>
      </c>
      <c r="I16">
        <f t="shared" si="1"/>
        <v>2012</v>
      </c>
      <c r="J16">
        <f t="shared" si="1"/>
        <v>2013</v>
      </c>
      <c r="K16">
        <f t="shared" si="1"/>
        <v>2014</v>
      </c>
      <c r="L16">
        <f t="shared" si="1"/>
        <v>2015</v>
      </c>
      <c r="M16">
        <f t="shared" si="1"/>
        <v>2016</v>
      </c>
      <c r="N16">
        <v>2017</v>
      </c>
      <c r="O16">
        <v>2018</v>
      </c>
      <c r="P16">
        <v>2019</v>
      </c>
      <c r="Q16">
        <v>2020</v>
      </c>
      <c r="R16">
        <v>2021</v>
      </c>
      <c r="S16">
        <v>2022</v>
      </c>
      <c r="T16">
        <v>2023</v>
      </c>
      <c r="U16" t="s">
        <v>108</v>
      </c>
    </row>
    <row r="17" spans="1:21" x14ac:dyDescent="0.35">
      <c r="A17" s="27" t="s">
        <v>35</v>
      </c>
      <c r="B17" s="27" t="s">
        <v>109</v>
      </c>
      <c r="C17" s="20">
        <f t="shared" ref="C17:Q21" si="2">C10*C$5</f>
        <v>142408.23240722343</v>
      </c>
      <c r="D17" s="20">
        <f t="shared" si="2"/>
        <v>124811.86386621061</v>
      </c>
      <c r="E17" s="20">
        <f t="shared" si="2"/>
        <v>243531.28858644498</v>
      </c>
      <c r="F17" s="20">
        <f t="shared" si="2"/>
        <v>85524.672285880893</v>
      </c>
      <c r="G17" s="20">
        <f t="shared" si="2"/>
        <v>28846.342505749002</v>
      </c>
      <c r="H17" s="20">
        <f t="shared" si="2"/>
        <v>133922.28169169446</v>
      </c>
      <c r="I17" s="20">
        <f t="shared" si="2"/>
        <v>422954.32264722243</v>
      </c>
      <c r="J17" s="20">
        <f t="shared" si="2"/>
        <v>233691.6801084058</v>
      </c>
      <c r="K17" s="20">
        <f t="shared" si="2"/>
        <v>296229.7014301942</v>
      </c>
      <c r="L17" s="20">
        <f t="shared" si="2"/>
        <v>121496.14534828556</v>
      </c>
      <c r="M17" s="20">
        <f t="shared" si="2"/>
        <v>175286.95283487823</v>
      </c>
      <c r="N17" s="20">
        <f t="shared" si="2"/>
        <v>206228.43918914441</v>
      </c>
      <c r="O17" s="20">
        <f t="shared" si="2"/>
        <v>243652.70931979912</v>
      </c>
      <c r="P17" s="20">
        <f t="shared" si="2"/>
        <v>207749.29621830126</v>
      </c>
      <c r="Q17" s="20">
        <f t="shared" si="2"/>
        <v>56738.312722891562</v>
      </c>
      <c r="R17" s="20">
        <f>R10*R$5</f>
        <v>88750.042590481477</v>
      </c>
      <c r="S17" s="20">
        <f>S10*S$5</f>
        <v>300726.0929877247</v>
      </c>
      <c r="T17" s="20">
        <f>T10*T$5</f>
        <v>446195.73605986248</v>
      </c>
      <c r="U17" s="11">
        <f>AVERAGE(P17:T17)</f>
        <v>220031.89611585229</v>
      </c>
    </row>
    <row r="18" spans="1:21" x14ac:dyDescent="0.35">
      <c r="A18" s="27" t="s">
        <v>19</v>
      </c>
      <c r="B18" s="27" t="s">
        <v>109</v>
      </c>
      <c r="C18" s="20">
        <f t="shared" si="2"/>
        <v>429688.39869131136</v>
      </c>
      <c r="D18" s="20">
        <f t="shared" si="2"/>
        <v>396114.65996131295</v>
      </c>
      <c r="E18" s="20">
        <f t="shared" si="2"/>
        <v>1017664.9317859183</v>
      </c>
      <c r="F18" s="20">
        <f t="shared" si="2"/>
        <v>971628.33945970121</v>
      </c>
      <c r="G18" s="20">
        <f t="shared" si="2"/>
        <v>670983.57999998017</v>
      </c>
      <c r="H18" s="20">
        <f t="shared" si="2"/>
        <v>640043.39392394712</v>
      </c>
      <c r="I18" s="20">
        <f t="shared" si="2"/>
        <v>675031.75348141766</v>
      </c>
      <c r="J18" s="20">
        <f t="shared" si="2"/>
        <v>660869.93830826425</v>
      </c>
      <c r="K18" s="20">
        <f t="shared" si="2"/>
        <v>756971.39021473553</v>
      </c>
      <c r="L18" s="20">
        <f t="shared" si="2"/>
        <v>308162.45737966237</v>
      </c>
      <c r="M18" s="20">
        <f t="shared" si="2"/>
        <v>153751.20125507136</v>
      </c>
      <c r="N18" s="20">
        <f t="shared" si="2"/>
        <v>201422.43721595127</v>
      </c>
      <c r="O18" s="20">
        <f t="shared" si="2"/>
        <v>148069.63996534</v>
      </c>
      <c r="P18" s="20">
        <f t="shared" si="2"/>
        <v>251553.6043125384</v>
      </c>
      <c r="Q18" s="20">
        <f t="shared" si="2"/>
        <v>89196.436651454511</v>
      </c>
      <c r="R18" s="20">
        <f t="shared" ref="R18:R21" si="3">R11*R$5</f>
        <v>145538.22251743841</v>
      </c>
      <c r="S18" s="20">
        <f>S11*S$5</f>
        <v>220162.51874650468</v>
      </c>
      <c r="T18" s="20">
        <f>T11*T$5</f>
        <v>162878.20792081839</v>
      </c>
      <c r="U18" s="11">
        <f>AVERAGE(P18:T18)</f>
        <v>173865.79802975088</v>
      </c>
    </row>
    <row r="19" spans="1:21" x14ac:dyDescent="0.35">
      <c r="A19" s="27" t="s">
        <v>33</v>
      </c>
      <c r="B19" s="27" t="s">
        <v>109</v>
      </c>
      <c r="C19" s="20">
        <f t="shared" ref="C19:Q19" si="4">C12*C$4</f>
        <v>96276.002540767382</v>
      </c>
      <c r="D19" s="20">
        <f t="shared" si="4"/>
        <v>126001.39207958475</v>
      </c>
      <c r="E19" s="20">
        <f t="shared" si="4"/>
        <v>165259.13852095127</v>
      </c>
      <c r="F19" s="20">
        <f t="shared" si="4"/>
        <v>60061.781292340886</v>
      </c>
      <c r="G19" s="20">
        <f t="shared" si="4"/>
        <v>123369.0508880597</v>
      </c>
      <c r="H19" s="20">
        <f t="shared" si="4"/>
        <v>153543.59882487045</v>
      </c>
      <c r="I19" s="20">
        <f t="shared" si="4"/>
        <v>167181.38576452906</v>
      </c>
      <c r="J19" s="20">
        <f t="shared" si="4"/>
        <v>218136.91376031429</v>
      </c>
      <c r="K19" s="20">
        <f t="shared" si="4"/>
        <v>226685.19946453374</v>
      </c>
      <c r="L19" s="20">
        <f t="shared" si="4"/>
        <v>242462.24868371274</v>
      </c>
      <c r="M19" s="20">
        <f t="shared" si="4"/>
        <v>164848.16037774537</v>
      </c>
      <c r="N19" s="20">
        <f t="shared" si="4"/>
        <v>153646.69497014381</v>
      </c>
      <c r="O19" s="20">
        <f t="shared" si="4"/>
        <v>136489.8942967577</v>
      </c>
      <c r="P19" s="20">
        <f>P12*P$4</f>
        <v>140966.56916662405</v>
      </c>
      <c r="Q19" s="20">
        <f t="shared" si="4"/>
        <v>266480.66765891906</v>
      </c>
      <c r="R19" s="20">
        <f>R12*R$4</f>
        <v>170772.46388971608</v>
      </c>
      <c r="S19" s="20">
        <f>S12*S$4</f>
        <v>223325.07093137616</v>
      </c>
      <c r="T19" s="20">
        <f>T12*T$4</f>
        <v>113844.18679882736</v>
      </c>
      <c r="U19" s="11">
        <f>AVERAGE(P19:T19)</f>
        <v>183077.79168909256</v>
      </c>
    </row>
    <row r="20" spans="1:21" x14ac:dyDescent="0.35">
      <c r="A20" s="27" t="s">
        <v>27</v>
      </c>
      <c r="B20" s="27" t="s">
        <v>109</v>
      </c>
      <c r="C20" s="20">
        <f t="shared" si="2"/>
        <v>107931.63842482099</v>
      </c>
      <c r="D20" s="20">
        <f t="shared" si="2"/>
        <v>151099.52655889146</v>
      </c>
      <c r="E20" s="20">
        <f t="shared" si="2"/>
        <v>89461.956228956231</v>
      </c>
      <c r="F20" s="20">
        <f t="shared" si="2"/>
        <v>118809.23484848483</v>
      </c>
      <c r="G20" s="20">
        <f t="shared" si="2"/>
        <v>70710.711558854717</v>
      </c>
      <c r="H20" s="20">
        <f t="shared" si="2"/>
        <v>306555.19711042306</v>
      </c>
      <c r="I20" s="20">
        <f t="shared" si="2"/>
        <v>141069.57615230459</v>
      </c>
      <c r="J20" s="20">
        <f t="shared" si="2"/>
        <v>114625.46666666665</v>
      </c>
      <c r="K20" s="20">
        <f t="shared" si="2"/>
        <v>222869.00542840871</v>
      </c>
      <c r="L20" s="20">
        <f t="shared" si="2"/>
        <v>39298.718501659088</v>
      </c>
      <c r="M20" s="20">
        <f t="shared" si="2"/>
        <v>30739.559023443788</v>
      </c>
      <c r="N20" s="20">
        <f t="shared" si="2"/>
        <v>33714.017900403109</v>
      </c>
      <c r="O20" s="20">
        <f t="shared" si="2"/>
        <v>56457.271602896748</v>
      </c>
      <c r="P20" s="20">
        <f t="shared" si="2"/>
        <v>75562.417701121885</v>
      </c>
      <c r="Q20" s="20">
        <f t="shared" si="2"/>
        <v>68428.786864002817</v>
      </c>
      <c r="R20" s="20">
        <f t="shared" si="3"/>
        <v>43477.014602961826</v>
      </c>
      <c r="S20" s="20">
        <f>S13*S$5</f>
        <v>48894.959531871842</v>
      </c>
      <c r="T20" s="20">
        <f>T13*T$5</f>
        <v>36150.727760094756</v>
      </c>
      <c r="U20" s="11">
        <f>AVERAGE(P20:T20)</f>
        <v>54502.781292010623</v>
      </c>
    </row>
    <row r="21" spans="1:21" x14ac:dyDescent="0.35">
      <c r="A21" s="27" t="s">
        <v>36</v>
      </c>
      <c r="B21" s="27" t="s">
        <v>109</v>
      </c>
      <c r="C21" s="20">
        <f t="shared" si="2"/>
        <v>258522.83054892602</v>
      </c>
      <c r="D21" s="20">
        <f t="shared" si="2"/>
        <v>348818.05080831406</v>
      </c>
      <c r="E21" s="20">
        <f t="shared" si="2"/>
        <v>505690.61391694722</v>
      </c>
      <c r="F21" s="20">
        <f t="shared" si="2"/>
        <v>795013.33948604169</v>
      </c>
      <c r="G21" s="20">
        <f t="shared" si="2"/>
        <v>341172.25804845302</v>
      </c>
      <c r="H21" s="20">
        <f t="shared" si="2"/>
        <v>511317.51522353094</v>
      </c>
      <c r="I21" s="20">
        <f t="shared" si="2"/>
        <v>505755.25058885239</v>
      </c>
      <c r="J21" s="20">
        <f t="shared" si="2"/>
        <v>506493.36730084085</v>
      </c>
      <c r="K21" s="20">
        <f t="shared" si="2"/>
        <v>764215.23974793125</v>
      </c>
      <c r="L21" s="20">
        <f t="shared" si="2"/>
        <v>375735.41267848038</v>
      </c>
      <c r="M21" s="20">
        <f t="shared" si="2"/>
        <v>323849.9084258505</v>
      </c>
      <c r="N21" s="20">
        <f t="shared" si="2"/>
        <v>169517.59799095447</v>
      </c>
      <c r="O21" s="20">
        <f t="shared" si="2"/>
        <v>286104.15281483083</v>
      </c>
      <c r="P21" s="20">
        <f t="shared" si="2"/>
        <v>311405.6234546944</v>
      </c>
      <c r="Q21" s="20">
        <f t="shared" si="2"/>
        <v>249813.7014638554</v>
      </c>
      <c r="R21" s="20">
        <f t="shared" si="3"/>
        <v>237844.52212798633</v>
      </c>
      <c r="S21" s="20">
        <f>S14*S$5</f>
        <v>508259.09506183019</v>
      </c>
      <c r="T21" s="20">
        <f>T14*T$5</f>
        <v>429403.8693750602</v>
      </c>
      <c r="U21" s="11">
        <f>AVERAGE(P21:T21)</f>
        <v>347345.36229668529</v>
      </c>
    </row>
  </sheetData>
  <phoneticPr fontId="15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/>
  <dimension ref="A1:CX55"/>
  <sheetViews>
    <sheetView topLeftCell="L9" zoomScaleNormal="100" workbookViewId="0">
      <selection activeCell="V57" sqref="V57"/>
    </sheetView>
  </sheetViews>
  <sheetFormatPr defaultRowHeight="14.5" x14ac:dyDescent="0.35"/>
  <cols>
    <col min="1" max="1" width="30.81640625" bestFit="1" customWidth="1"/>
    <col min="2" max="2" width="32.1796875" customWidth="1"/>
    <col min="3" max="3" width="12.81640625" bestFit="1" customWidth="1"/>
    <col min="4" max="12" width="12.1796875" customWidth="1"/>
    <col min="13" max="13" width="22.81640625" customWidth="1"/>
    <col min="14" max="17" width="12.1796875" customWidth="1"/>
    <col min="18" max="18" width="18.81640625" bestFit="1" customWidth="1"/>
    <col min="19" max="21" width="18.81640625" customWidth="1"/>
    <col min="22" max="22" width="18.81640625" bestFit="1" customWidth="1"/>
    <col min="23" max="23" width="13.7265625" customWidth="1"/>
  </cols>
  <sheetData>
    <row r="1" spans="1:102" x14ac:dyDescent="0.35">
      <c r="A1" s="10" t="s">
        <v>78</v>
      </c>
      <c r="B1" s="10" t="s">
        <v>78</v>
      </c>
    </row>
    <row r="2" spans="1:102" x14ac:dyDescent="0.35">
      <c r="A2" s="10" t="s">
        <v>45</v>
      </c>
      <c r="B2" s="10" t="s">
        <v>45</v>
      </c>
      <c r="C2" t="s">
        <v>60</v>
      </c>
      <c r="D2" s="14">
        <v>2006</v>
      </c>
      <c r="E2" s="14">
        <v>2007</v>
      </c>
      <c r="F2" s="14">
        <v>2008</v>
      </c>
      <c r="G2" s="14">
        <v>2009</v>
      </c>
      <c r="H2" s="14">
        <v>2010</v>
      </c>
      <c r="I2" s="14">
        <v>2011</v>
      </c>
      <c r="J2" s="14">
        <v>2012</v>
      </c>
      <c r="K2" s="14">
        <v>2013</v>
      </c>
      <c r="L2" s="14">
        <v>2014</v>
      </c>
      <c r="M2" s="14">
        <v>2015</v>
      </c>
      <c r="N2" s="14">
        <v>2016</v>
      </c>
      <c r="O2" s="14">
        <v>2017</v>
      </c>
      <c r="P2" s="14">
        <v>2018</v>
      </c>
      <c r="Q2" s="14">
        <v>2019</v>
      </c>
      <c r="R2" s="14">
        <v>2020</v>
      </c>
      <c r="S2" s="14">
        <v>2021</v>
      </c>
      <c r="T2" s="14">
        <v>2022</v>
      </c>
      <c r="U2" s="14">
        <v>2023</v>
      </c>
      <c r="V2" s="10" t="s">
        <v>108</v>
      </c>
    </row>
    <row r="3" spans="1:102" x14ac:dyDescent="0.35">
      <c r="A3" s="27" t="s">
        <v>35</v>
      </c>
      <c r="B3" s="27" t="s">
        <v>84</v>
      </c>
      <c r="C3" s="27" t="s">
        <v>59</v>
      </c>
      <c r="D3" s="20">
        <v>15101074.258214997</v>
      </c>
      <c r="E3" s="20">
        <v>13989610</v>
      </c>
      <c r="F3" s="20">
        <v>13083325.236576969</v>
      </c>
      <c r="G3" s="20">
        <v>13513587.369959038</v>
      </c>
      <c r="H3" s="20">
        <v>13846707.414743055</v>
      </c>
      <c r="I3" s="20">
        <v>13881537.225071985</v>
      </c>
      <c r="J3" s="20">
        <v>14062879.897383038</v>
      </c>
      <c r="K3" s="20">
        <v>14283594.450350931</v>
      </c>
      <c r="L3" s="20">
        <v>13957000</v>
      </c>
      <c r="M3" s="20">
        <v>13455329.989999998</v>
      </c>
      <c r="N3" s="20">
        <v>14247978.656044956</v>
      </c>
      <c r="O3" s="20">
        <v>14525020.775061335</v>
      </c>
      <c r="P3" s="20">
        <v>11444832.423724381</v>
      </c>
      <c r="Q3" s="20">
        <v>13786714.687984707</v>
      </c>
      <c r="R3" s="20">
        <v>13856515.144038128</v>
      </c>
      <c r="S3" s="20">
        <v>13621768.999909813</v>
      </c>
      <c r="T3" s="20">
        <v>13615857.093138969</v>
      </c>
      <c r="U3" s="50">
        <v>13473901.830179</v>
      </c>
      <c r="V3" s="20">
        <f>AVERAGE(Q3:U3)</f>
        <v>13670951.551050123</v>
      </c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</row>
    <row r="4" spans="1:102" x14ac:dyDescent="0.35">
      <c r="A4" s="27" t="s">
        <v>19</v>
      </c>
      <c r="B4" s="27" t="s">
        <v>85</v>
      </c>
      <c r="C4" s="27" t="s">
        <v>59</v>
      </c>
      <c r="D4" s="20">
        <v>51045963.444256991</v>
      </c>
      <c r="E4" s="20">
        <v>51964465.679886967</v>
      </c>
      <c r="F4" s="20">
        <v>51187327.595034994</v>
      </c>
      <c r="G4" s="20">
        <v>52191948.260312036</v>
      </c>
      <c r="H4" s="20">
        <v>52848520.626357004</v>
      </c>
      <c r="I4" s="20">
        <v>51917071.191967987</v>
      </c>
      <c r="J4" s="20">
        <v>50878576.976755999</v>
      </c>
      <c r="K4" s="20">
        <v>49333938.670690008</v>
      </c>
      <c r="L4" s="20">
        <v>47613581.421291001</v>
      </c>
      <c r="M4" s="20">
        <v>53087563.425000042</v>
      </c>
      <c r="N4" s="20">
        <v>52872387.581990004</v>
      </c>
      <c r="O4" s="20">
        <v>54253300.021025993</v>
      </c>
      <c r="P4" s="20">
        <v>54849858.036833994</v>
      </c>
      <c r="Q4" s="20">
        <v>53765294.224065989</v>
      </c>
      <c r="R4" s="20">
        <v>53076368.905469991</v>
      </c>
      <c r="S4" s="20">
        <v>51783263.917914994</v>
      </c>
      <c r="T4" s="20">
        <v>51131761.323307499</v>
      </c>
      <c r="U4" s="50">
        <v>51282390.690203503</v>
      </c>
      <c r="V4" s="20">
        <f>AVERAGE(Q4:U4)</f>
        <v>52207815.812192395</v>
      </c>
    </row>
    <row r="5" spans="1:102" x14ac:dyDescent="0.35">
      <c r="A5" s="27" t="s">
        <v>33</v>
      </c>
      <c r="B5" s="27" t="s">
        <v>86</v>
      </c>
      <c r="C5" s="27" t="s">
        <v>59</v>
      </c>
      <c r="D5" s="20">
        <v>45186299.678676002</v>
      </c>
      <c r="E5" s="20">
        <v>45956437.073729999</v>
      </c>
      <c r="F5" s="20">
        <v>45046718.030759998</v>
      </c>
      <c r="G5" s="20">
        <v>47419179.046665005</v>
      </c>
      <c r="H5" s="20">
        <v>48976636.241105005</v>
      </c>
      <c r="I5" s="20">
        <v>48047970.9925</v>
      </c>
      <c r="J5" s="20">
        <v>47529361.264941998</v>
      </c>
      <c r="K5" s="20">
        <v>49056428.480179004</v>
      </c>
      <c r="L5" s="20">
        <v>48503771.563634999</v>
      </c>
      <c r="M5" s="20">
        <v>47967077.018125005</v>
      </c>
      <c r="N5" s="20">
        <v>47805245.822115995</v>
      </c>
      <c r="O5" s="20">
        <v>46829301.624719001</v>
      </c>
      <c r="P5" s="20">
        <v>41725000</v>
      </c>
      <c r="Q5" s="20">
        <v>41479994.350973003</v>
      </c>
      <c r="R5" s="20">
        <v>41527840.000000007</v>
      </c>
      <c r="S5" s="20">
        <v>42258720</v>
      </c>
      <c r="T5" s="20">
        <v>44066710</v>
      </c>
      <c r="U5" s="50">
        <v>43304853</v>
      </c>
      <c r="V5" s="20">
        <f>AVERAGE(Q5:U5)</f>
        <v>42527623.470194601</v>
      </c>
    </row>
    <row r="6" spans="1:102" x14ac:dyDescent="0.35">
      <c r="A6" s="27" t="s">
        <v>27</v>
      </c>
      <c r="B6" s="27" t="s">
        <v>87</v>
      </c>
      <c r="C6" s="27" t="s">
        <v>59</v>
      </c>
      <c r="D6" s="50">
        <v>10530108.800000003</v>
      </c>
      <c r="E6" s="50">
        <v>12828493</v>
      </c>
      <c r="F6" s="50">
        <v>13500337</v>
      </c>
      <c r="G6" s="50">
        <v>13412711</v>
      </c>
      <c r="H6" s="50">
        <v>13030212</v>
      </c>
      <c r="I6" s="50">
        <v>13108443</v>
      </c>
      <c r="J6" s="50">
        <v>12589843</v>
      </c>
      <c r="K6" s="50">
        <v>12866188</v>
      </c>
      <c r="L6" s="50">
        <v>13359963.803999998</v>
      </c>
      <c r="M6" s="50">
        <v>13109624.082295986</v>
      </c>
      <c r="N6" s="50">
        <v>11654573.903348012</v>
      </c>
      <c r="O6" s="50">
        <v>12426700</v>
      </c>
      <c r="P6" s="50">
        <v>12434326.12001</v>
      </c>
      <c r="Q6" s="50">
        <v>12884563.992276987</v>
      </c>
      <c r="R6" s="50">
        <v>12412888.664812012</v>
      </c>
      <c r="S6" s="50">
        <v>12909204.95870496</v>
      </c>
      <c r="T6" s="50">
        <v>13236631.575661141</v>
      </c>
      <c r="U6" s="50">
        <v>12972703.032598792</v>
      </c>
      <c r="V6" s="20">
        <f>AVERAGE(Q6:U6)</f>
        <v>12883198.444810778</v>
      </c>
    </row>
    <row r="7" spans="1:102" x14ac:dyDescent="0.35">
      <c r="A7" s="27" t="s">
        <v>36</v>
      </c>
      <c r="B7" s="27" t="s">
        <v>88</v>
      </c>
      <c r="C7" s="27" t="s">
        <v>59</v>
      </c>
      <c r="D7" s="50">
        <v>81500000</v>
      </c>
      <c r="E7" s="50">
        <v>83000000</v>
      </c>
      <c r="F7" s="50">
        <v>82500000</v>
      </c>
      <c r="G7" s="50">
        <v>81100000</v>
      </c>
      <c r="H7" s="50">
        <v>80600000</v>
      </c>
      <c r="I7" s="50">
        <v>79800000</v>
      </c>
      <c r="J7" s="50">
        <v>76600000</v>
      </c>
      <c r="K7" s="50">
        <v>71100000</v>
      </c>
      <c r="L7" s="50">
        <v>67800000.346065998</v>
      </c>
      <c r="M7" s="50">
        <v>74400000</v>
      </c>
      <c r="N7" s="50">
        <v>72200000</v>
      </c>
      <c r="O7" s="50">
        <v>75000000</v>
      </c>
      <c r="P7" s="50">
        <v>75700000</v>
      </c>
      <c r="Q7" s="50">
        <v>74400000</v>
      </c>
      <c r="R7" s="50">
        <v>72900000</v>
      </c>
      <c r="S7" s="50">
        <v>71300000</v>
      </c>
      <c r="T7" s="50">
        <v>68200000</v>
      </c>
      <c r="U7" s="50">
        <v>70000000</v>
      </c>
      <c r="V7" s="20">
        <f>AVERAGE(Q7:U7)</f>
        <v>71360000</v>
      </c>
    </row>
    <row r="9" spans="1:102" ht="43.5" x14ac:dyDescent="0.35">
      <c r="A9" s="13" t="s">
        <v>40</v>
      </c>
      <c r="B9" s="13" t="s">
        <v>40</v>
      </c>
    </row>
    <row r="10" spans="1:102" x14ac:dyDescent="0.35">
      <c r="A10" s="13"/>
      <c r="B10" s="13"/>
      <c r="C10" t="s">
        <v>62</v>
      </c>
      <c r="D10" s="14">
        <v>2006</v>
      </c>
      <c r="E10" s="14">
        <v>2007</v>
      </c>
      <c r="F10" s="14">
        <v>2008</v>
      </c>
      <c r="G10" s="14">
        <v>2009</v>
      </c>
      <c r="H10" s="14">
        <v>2010</v>
      </c>
      <c r="I10" s="14">
        <v>2011</v>
      </c>
      <c r="J10" s="14">
        <v>2012</v>
      </c>
      <c r="K10" s="14">
        <v>2013</v>
      </c>
      <c r="L10" s="14">
        <v>2014</v>
      </c>
      <c r="M10" s="14">
        <v>2015</v>
      </c>
      <c r="N10" s="14">
        <v>2016</v>
      </c>
      <c r="O10" s="14">
        <v>2017</v>
      </c>
      <c r="P10" s="14">
        <v>2018</v>
      </c>
      <c r="Q10" s="14">
        <v>2019</v>
      </c>
      <c r="R10" s="63">
        <v>2020</v>
      </c>
      <c r="S10" s="63">
        <v>2021</v>
      </c>
      <c r="T10" s="63">
        <v>2022</v>
      </c>
      <c r="U10" s="63">
        <v>2023</v>
      </c>
      <c r="V10" s="10" t="s">
        <v>108</v>
      </c>
    </row>
    <row r="11" spans="1:102" x14ac:dyDescent="0.35">
      <c r="A11" s="27" t="s">
        <v>35</v>
      </c>
      <c r="B11" s="27" t="s">
        <v>84</v>
      </c>
      <c r="C11" s="27" t="s">
        <v>61</v>
      </c>
      <c r="D11" s="20">
        <v>3978.391944861738</v>
      </c>
      <c r="E11" s="20">
        <v>3976.363032332024</v>
      </c>
      <c r="F11" s="20">
        <v>4222.7950166755372</v>
      </c>
      <c r="G11" s="20">
        <v>4265.2719150267712</v>
      </c>
      <c r="H11" s="20">
        <v>4285.2901718002513</v>
      </c>
      <c r="I11" s="20">
        <v>4376.4504351791684</v>
      </c>
      <c r="J11" s="20">
        <v>4229.0017065495522</v>
      </c>
      <c r="K11" s="20">
        <v>4403.3212738811562</v>
      </c>
      <c r="L11" s="20">
        <v>3429.53</v>
      </c>
      <c r="M11" s="20">
        <v>3175.3143963269999</v>
      </c>
      <c r="N11" s="20">
        <v>3271.5960879999998</v>
      </c>
      <c r="O11" s="20">
        <v>3447.559915454</v>
      </c>
      <c r="P11" s="20">
        <v>3327.2034278649999</v>
      </c>
      <c r="Q11" s="20">
        <v>3685.7549853780001</v>
      </c>
      <c r="R11" s="64">
        <v>3512.323547</v>
      </c>
      <c r="S11" s="64">
        <v>3317.0199969799901</v>
      </c>
      <c r="T11" s="64">
        <v>3155.114829697</v>
      </c>
      <c r="U11" s="64">
        <v>3434.4730562700001</v>
      </c>
      <c r="V11" s="20">
        <f>AVERAGE(Q11:U11)</f>
        <v>3420.9372830649982</v>
      </c>
    </row>
    <row r="12" spans="1:102" x14ac:dyDescent="0.35">
      <c r="A12" s="27" t="s">
        <v>19</v>
      </c>
      <c r="B12" s="27" t="s">
        <v>85</v>
      </c>
      <c r="C12" s="27" t="s">
        <v>61</v>
      </c>
      <c r="D12" s="20">
        <v>11030.569023</v>
      </c>
      <c r="E12" s="20">
        <v>11737.383156999998</v>
      </c>
      <c r="F12" s="20">
        <v>11612.320067000001</v>
      </c>
      <c r="G12" s="20">
        <v>12068.720476999999</v>
      </c>
      <c r="H12" s="20">
        <v>12247.404947000005</v>
      </c>
      <c r="I12" s="20">
        <v>11937.636665000005</v>
      </c>
      <c r="J12" s="20">
        <v>11674.654921999996</v>
      </c>
      <c r="K12" s="20">
        <v>11664.853734000002</v>
      </c>
      <c r="L12" s="20">
        <v>11512.211092999996</v>
      </c>
      <c r="M12" s="20">
        <v>11832.312</v>
      </c>
      <c r="N12" s="20">
        <v>11995.302618000009</v>
      </c>
      <c r="O12" s="20">
        <v>12388.952756999994</v>
      </c>
      <c r="P12" s="20">
        <v>12321.175319</v>
      </c>
      <c r="Q12" s="20">
        <v>12496.769520000003</v>
      </c>
      <c r="R12" s="64">
        <v>12583.453072999999</v>
      </c>
      <c r="S12" s="64">
        <v>12014.231537999995</v>
      </c>
      <c r="T12" s="64">
        <v>12875.119141000003</v>
      </c>
      <c r="U12" s="64">
        <v>12665.024632503284</v>
      </c>
      <c r="V12" s="20">
        <f>AVERAGE(Q12:U12)</f>
        <v>12526.919580900658</v>
      </c>
    </row>
    <row r="13" spans="1:102" x14ac:dyDescent="0.35">
      <c r="A13" s="27" t="s">
        <v>33</v>
      </c>
      <c r="B13" s="27" t="s">
        <v>86</v>
      </c>
      <c r="C13" s="27" t="s">
        <v>61</v>
      </c>
      <c r="D13" s="20">
        <v>8046.7944919762931</v>
      </c>
      <c r="E13" s="20">
        <v>9518.2214075162174</v>
      </c>
      <c r="F13" s="20">
        <v>9821.7744475221989</v>
      </c>
      <c r="G13" s="20">
        <v>10238.839151920494</v>
      </c>
      <c r="H13" s="20">
        <v>9875.383784927044</v>
      </c>
      <c r="I13" s="20">
        <v>9612.8305056523277</v>
      </c>
      <c r="J13" s="20">
        <v>8932.6058819697173</v>
      </c>
      <c r="K13" s="20">
        <v>9569.9413842771264</v>
      </c>
      <c r="L13" s="20">
        <v>10258.200000000001</v>
      </c>
      <c r="M13" s="20">
        <v>9098.1233667172328</v>
      </c>
      <c r="N13" s="20">
        <v>9677.5927963400009</v>
      </c>
      <c r="O13" s="20">
        <v>9641.5859999999993</v>
      </c>
      <c r="P13" s="20">
        <v>10266.162</v>
      </c>
      <c r="Q13" s="20">
        <v>9909.9320000000007</v>
      </c>
      <c r="R13" s="64">
        <v>10139.175999999999</v>
      </c>
      <c r="S13" s="64">
        <v>8943.6239999999998</v>
      </c>
      <c r="T13" s="64">
        <v>9641.1038709999993</v>
      </c>
      <c r="U13" s="64">
        <v>9540</v>
      </c>
      <c r="V13" s="20">
        <f>AVERAGE(Q13:U13)</f>
        <v>9634.7671742000002</v>
      </c>
    </row>
    <row r="14" spans="1:102" x14ac:dyDescent="0.35">
      <c r="A14" s="27" t="s">
        <v>27</v>
      </c>
      <c r="B14" s="27" t="s">
        <v>87</v>
      </c>
      <c r="C14" s="27" t="s">
        <v>61</v>
      </c>
      <c r="D14" s="20">
        <v>2684.2440000000001</v>
      </c>
      <c r="E14" s="20">
        <v>2690.61</v>
      </c>
      <c r="F14" s="20">
        <v>2624.2620000000002</v>
      </c>
      <c r="G14" s="20">
        <v>2656.152</v>
      </c>
      <c r="H14" s="20">
        <v>2634.4740000000002</v>
      </c>
      <c r="I14" s="20">
        <v>2597.712</v>
      </c>
      <c r="J14" s="20">
        <v>2589.395</v>
      </c>
      <c r="K14" s="20">
        <v>2544.7469999999998</v>
      </c>
      <c r="L14" s="20">
        <v>2509</v>
      </c>
      <c r="M14" s="20">
        <v>2504.8915876265355</v>
      </c>
      <c r="N14" s="20">
        <v>2519.5</v>
      </c>
      <c r="O14" s="20">
        <v>2523.6453817803717</v>
      </c>
      <c r="P14" s="20">
        <v>2535.3500470044319</v>
      </c>
      <c r="Q14" s="20">
        <v>2394.0013028095805</v>
      </c>
      <c r="R14" s="64">
        <v>2460.3122380799996</v>
      </c>
      <c r="S14" s="64">
        <v>2410.3831052365917</v>
      </c>
      <c r="T14" s="64">
        <v>2420.861424197818</v>
      </c>
      <c r="U14" s="64">
        <v>2475.4516106520209</v>
      </c>
      <c r="V14" s="20">
        <f>AVERAGE(Q14:U14)</f>
        <v>2432.2019361952016</v>
      </c>
    </row>
    <row r="15" spans="1:102" x14ac:dyDescent="0.35">
      <c r="A15" s="27" t="s">
        <v>36</v>
      </c>
      <c r="B15" s="27" t="s">
        <v>88</v>
      </c>
      <c r="C15" s="27" t="s">
        <v>61</v>
      </c>
      <c r="D15" s="20">
        <v>18200</v>
      </c>
      <c r="E15" s="20">
        <v>18600</v>
      </c>
      <c r="F15" s="20">
        <v>18600</v>
      </c>
      <c r="G15" s="20">
        <v>18700</v>
      </c>
      <c r="H15" s="20">
        <v>18900</v>
      </c>
      <c r="I15" s="20">
        <v>19400</v>
      </c>
      <c r="J15" s="20">
        <v>18000</v>
      </c>
      <c r="K15" s="20">
        <v>17400</v>
      </c>
      <c r="L15" s="20">
        <v>17000</v>
      </c>
      <c r="M15" s="20">
        <v>16500</v>
      </c>
      <c r="N15" s="20">
        <v>18000</v>
      </c>
      <c r="O15" s="20">
        <v>18700</v>
      </c>
      <c r="P15" s="20">
        <v>18500</v>
      </c>
      <c r="Q15" s="20">
        <v>18700</v>
      </c>
      <c r="R15" s="64">
        <v>18900</v>
      </c>
      <c r="S15" s="64">
        <v>18500</v>
      </c>
      <c r="T15" s="64">
        <v>18200</v>
      </c>
      <c r="U15" s="64">
        <v>18500</v>
      </c>
      <c r="V15" s="20">
        <f>AVERAGE(Q15:U15)</f>
        <v>18560</v>
      </c>
    </row>
    <row r="16" spans="1:102" x14ac:dyDescent="0.35">
      <c r="E16" s="26">
        <f>(E11-D11)/D11</f>
        <v>-5.0998306799169473E-4</v>
      </c>
      <c r="F16" s="26">
        <f t="shared" ref="F16:U16" si="0">(F11-E11)/E11</f>
        <v>6.197421672512328E-2</v>
      </c>
      <c r="G16" s="26">
        <f t="shared" si="0"/>
        <v>1.0058953414384444E-2</v>
      </c>
      <c r="H16" s="26">
        <f t="shared" si="0"/>
        <v>4.6933131514909328E-3</v>
      </c>
      <c r="I16" s="26">
        <f t="shared" si="0"/>
        <v>2.1272833279483764E-2</v>
      </c>
      <c r="J16" s="26">
        <f t="shared" si="0"/>
        <v>-3.3691396901100693E-2</v>
      </c>
      <c r="K16" s="26">
        <f t="shared" si="0"/>
        <v>4.1220027663179074E-2</v>
      </c>
      <c r="L16" s="26">
        <f t="shared" si="0"/>
        <v>-0.2211492674080629</v>
      </c>
      <c r="M16" s="26">
        <f t="shared" si="0"/>
        <v>-7.4125493485404773E-2</v>
      </c>
      <c r="N16" s="26">
        <f t="shared" si="0"/>
        <v>3.0321939705993312E-2</v>
      </c>
      <c r="O16" s="26">
        <f t="shared" si="0"/>
        <v>5.3785315399851479E-2</v>
      </c>
      <c r="P16" s="26">
        <f t="shared" si="0"/>
        <v>-3.4910629703487177E-2</v>
      </c>
      <c r="Q16" s="26">
        <f t="shared" si="0"/>
        <v>0.10776364153455914</v>
      </c>
      <c r="R16" s="26">
        <f t="shared" si="0"/>
        <v>-4.7054521818740362E-2</v>
      </c>
      <c r="S16" s="26">
        <f t="shared" si="0"/>
        <v>-5.5605227538569321E-2</v>
      </c>
      <c r="T16" s="26">
        <f t="shared" si="0"/>
        <v>-4.8810428466032181E-2</v>
      </c>
      <c r="U16" s="26">
        <f t="shared" si="0"/>
        <v>8.8541381741034181E-2</v>
      </c>
      <c r="V16" s="26">
        <f>(V11-U11)/U11</f>
        <v>-3.9411499182650384E-3</v>
      </c>
    </row>
    <row r="17" spans="1:45" x14ac:dyDescent="0.35">
      <c r="A17" s="10" t="s">
        <v>41</v>
      </c>
      <c r="B17" s="10" t="s">
        <v>41</v>
      </c>
      <c r="C17" s="10"/>
      <c r="D17" s="14">
        <v>2006</v>
      </c>
      <c r="E17" s="14">
        <v>2007</v>
      </c>
      <c r="F17" s="14">
        <v>2008</v>
      </c>
      <c r="G17" s="14">
        <v>2009</v>
      </c>
      <c r="H17" s="14">
        <v>2010</v>
      </c>
      <c r="I17" s="14">
        <v>2011</v>
      </c>
      <c r="J17" s="14">
        <v>2012</v>
      </c>
      <c r="K17" s="14">
        <v>2013</v>
      </c>
      <c r="L17" s="14">
        <v>2014</v>
      </c>
      <c r="M17" s="14">
        <v>2015</v>
      </c>
      <c r="N17" s="14">
        <v>2016</v>
      </c>
      <c r="U17" s="66"/>
    </row>
    <row r="18" spans="1:45" x14ac:dyDescent="0.35">
      <c r="A18" s="27" t="s">
        <v>35</v>
      </c>
      <c r="B18" s="27" t="s">
        <v>35</v>
      </c>
      <c r="C18" s="27" t="s">
        <v>63</v>
      </c>
      <c r="D18" s="19">
        <v>5875.1</v>
      </c>
      <c r="E18" s="19">
        <v>5974.1</v>
      </c>
      <c r="F18" s="19">
        <v>6007.1</v>
      </c>
      <c r="G18" s="19">
        <v>6546.1</v>
      </c>
      <c r="H18" s="19">
        <v>6953.1</v>
      </c>
      <c r="I18" s="19">
        <v>7052.1</v>
      </c>
      <c r="J18" s="19">
        <v>7129.1</v>
      </c>
      <c r="K18" s="19">
        <v>7129.1</v>
      </c>
      <c r="L18" s="19">
        <v>7195.1</v>
      </c>
      <c r="M18" s="19">
        <v>7470.1</v>
      </c>
      <c r="N18" s="19">
        <v>7470.1</v>
      </c>
      <c r="U18" s="11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</row>
    <row r="19" spans="1:45" x14ac:dyDescent="0.35">
      <c r="A19" s="27" t="s">
        <v>19</v>
      </c>
      <c r="B19" s="27" t="s">
        <v>19</v>
      </c>
      <c r="C19" s="27" t="s">
        <v>63</v>
      </c>
      <c r="D19" s="19">
        <v>12468.5</v>
      </c>
      <c r="E19" s="19">
        <v>12694</v>
      </c>
      <c r="F19" s="19">
        <v>13117.5</v>
      </c>
      <c r="G19" s="19">
        <v>13898.5</v>
      </c>
      <c r="H19" s="19">
        <v>14580.5</v>
      </c>
      <c r="I19" s="19">
        <v>15009.5</v>
      </c>
      <c r="J19" s="19">
        <v>15356</v>
      </c>
      <c r="K19" s="19">
        <v>16214</v>
      </c>
      <c r="L19" s="19">
        <v>17050</v>
      </c>
      <c r="M19" s="19">
        <v>17160</v>
      </c>
      <c r="N19" s="19">
        <v>17407.5</v>
      </c>
      <c r="U19" s="11"/>
    </row>
    <row r="20" spans="1:45" x14ac:dyDescent="0.35">
      <c r="A20" s="27" t="s">
        <v>33</v>
      </c>
      <c r="B20" s="27" t="s">
        <v>33</v>
      </c>
      <c r="C20" s="27" t="s">
        <v>63</v>
      </c>
      <c r="D20" s="19">
        <v>7330</v>
      </c>
      <c r="E20" s="19">
        <v>7264</v>
      </c>
      <c r="F20" s="19">
        <v>7544</v>
      </c>
      <c r="G20" s="19">
        <v>8336</v>
      </c>
      <c r="H20" s="19">
        <v>8402</v>
      </c>
      <c r="I20" s="19">
        <v>8424</v>
      </c>
      <c r="J20" s="19">
        <v>9144</v>
      </c>
      <c r="K20" s="19">
        <v>10210</v>
      </c>
      <c r="L20" s="19">
        <v>10260</v>
      </c>
      <c r="M20" s="19">
        <v>9320</v>
      </c>
      <c r="N20" s="19">
        <v>9320</v>
      </c>
      <c r="U20" s="11"/>
    </row>
    <row r="21" spans="1:45" x14ac:dyDescent="0.35">
      <c r="A21" s="27" t="s">
        <v>27</v>
      </c>
      <c r="B21" s="27" t="s">
        <v>27</v>
      </c>
      <c r="C21" s="27" t="s">
        <v>63</v>
      </c>
      <c r="D21" s="19">
        <v>5893.8</v>
      </c>
      <c r="E21" s="19">
        <v>5882.8</v>
      </c>
      <c r="F21" s="19">
        <v>5860.8</v>
      </c>
      <c r="G21" s="19">
        <v>5970.8</v>
      </c>
      <c r="H21" s="19">
        <v>5860.8</v>
      </c>
      <c r="I21" s="19">
        <v>5893.8</v>
      </c>
      <c r="J21" s="19">
        <v>5948.8</v>
      </c>
      <c r="K21" s="19">
        <v>6058.8</v>
      </c>
      <c r="L21" s="19">
        <v>6058.8</v>
      </c>
      <c r="M21" s="19">
        <v>6058.8</v>
      </c>
      <c r="N21" s="19">
        <v>6058.8</v>
      </c>
      <c r="U21" s="11"/>
    </row>
    <row r="22" spans="1:45" x14ac:dyDescent="0.35">
      <c r="A22" s="27" t="s">
        <v>36</v>
      </c>
      <c r="B22" s="27" t="s">
        <v>36</v>
      </c>
      <c r="C22" s="27" t="s">
        <v>63</v>
      </c>
      <c r="D22" s="19">
        <v>14481</v>
      </c>
      <c r="E22" s="19">
        <v>14481</v>
      </c>
      <c r="F22" s="19">
        <v>15108</v>
      </c>
      <c r="G22" s="19">
        <v>15883.5</v>
      </c>
      <c r="H22" s="19">
        <v>16348</v>
      </c>
      <c r="I22" s="19">
        <v>16895</v>
      </c>
      <c r="J22" s="19">
        <v>17192</v>
      </c>
      <c r="K22" s="19">
        <v>17456</v>
      </c>
      <c r="L22" s="19">
        <v>17621</v>
      </c>
      <c r="M22" s="19">
        <v>17720</v>
      </c>
      <c r="N22" s="19">
        <v>18182</v>
      </c>
      <c r="U22" s="11"/>
    </row>
    <row r="24" spans="1:45" ht="29" x14ac:dyDescent="0.35">
      <c r="C24" s="10" t="s">
        <v>111</v>
      </c>
      <c r="D24" s="13" t="s">
        <v>34</v>
      </c>
      <c r="E24" s="13" t="s">
        <v>20</v>
      </c>
      <c r="F24" s="13" t="s">
        <v>18</v>
      </c>
      <c r="G24" s="13" t="s">
        <v>102</v>
      </c>
      <c r="H24" s="10" t="s">
        <v>37</v>
      </c>
      <c r="I24" s="13" t="s">
        <v>34</v>
      </c>
      <c r="J24" s="13" t="s">
        <v>20</v>
      </c>
      <c r="K24" s="13" t="s">
        <v>18</v>
      </c>
      <c r="L24" s="13" t="s">
        <v>102</v>
      </c>
    </row>
    <row r="25" spans="1:45" x14ac:dyDescent="0.35">
      <c r="A25" s="10"/>
      <c r="B25" s="10"/>
      <c r="C25" s="10"/>
      <c r="D25" s="13" t="str">
        <f>$C$33</f>
        <v>km</v>
      </c>
      <c r="E25" s="13" t="str">
        <f>$C$3</f>
        <v>MWh</v>
      </c>
      <c r="F25" s="13" t="str">
        <f>$C$11</f>
        <v>MVA</v>
      </c>
      <c r="G25" s="13" t="s">
        <v>66</v>
      </c>
      <c r="I25" s="13" t="str">
        <f>$C$33</f>
        <v>km</v>
      </c>
      <c r="J25" s="13" t="str">
        <f>$C$3</f>
        <v>MWh</v>
      </c>
      <c r="K25" s="13" t="str">
        <f>$C$11</f>
        <v>MVA</v>
      </c>
      <c r="L25" s="13" t="s">
        <v>66</v>
      </c>
    </row>
    <row r="26" spans="1:45" x14ac:dyDescent="0.35">
      <c r="A26" s="27" t="s">
        <v>35</v>
      </c>
      <c r="B26" s="27" t="s">
        <v>84</v>
      </c>
      <c r="C26" s="27"/>
      <c r="D26" s="83">
        <f>U33</f>
        <v>6041.7389999999996</v>
      </c>
      <c r="E26" s="83">
        <f>(U3)</f>
        <v>13473901.830179</v>
      </c>
      <c r="F26" s="83">
        <f>U11</f>
        <v>3434.4730562700001</v>
      </c>
      <c r="G26" s="83">
        <f>E26/1000</f>
        <v>13473.901830179</v>
      </c>
      <c r="I26" s="83">
        <f>V33</f>
        <v>5621.433</v>
      </c>
      <c r="J26" s="83">
        <f>V3</f>
        <v>13670951.551050123</v>
      </c>
      <c r="K26" s="83">
        <f>V11</f>
        <v>3420.9372830649982</v>
      </c>
      <c r="L26" s="87">
        <f>J26/1000</f>
        <v>13670.951551050122</v>
      </c>
    </row>
    <row r="27" spans="1:45" x14ac:dyDescent="0.35">
      <c r="A27" s="27" t="s">
        <v>19</v>
      </c>
      <c r="B27" s="27" t="s">
        <v>85</v>
      </c>
      <c r="C27" s="27"/>
      <c r="D27" s="83">
        <f>U34</f>
        <v>14547.2</v>
      </c>
      <c r="E27" s="83">
        <f>(U4)</f>
        <v>51282390.690203503</v>
      </c>
      <c r="F27" s="83">
        <f>U12</f>
        <v>12665.024632503284</v>
      </c>
      <c r="G27" s="83">
        <f t="shared" ref="G27:G30" si="1">E27/1000</f>
        <v>51282.390690203501</v>
      </c>
      <c r="I27" s="83">
        <f>V34</f>
        <v>14534.2</v>
      </c>
      <c r="J27" s="83">
        <f>V4</f>
        <v>52207815.812192395</v>
      </c>
      <c r="K27" s="83">
        <f>V12</f>
        <v>12526.919580900658</v>
      </c>
      <c r="L27" s="87">
        <f>J27/1000</f>
        <v>52207.815812192399</v>
      </c>
    </row>
    <row r="28" spans="1:45" x14ac:dyDescent="0.35">
      <c r="A28" s="27" t="s">
        <v>33</v>
      </c>
      <c r="B28" s="27" t="s">
        <v>86</v>
      </c>
      <c r="C28" s="27"/>
      <c r="D28" s="83">
        <f>U35</f>
        <v>6627.5229023333331</v>
      </c>
      <c r="E28" s="83">
        <f>(U5)</f>
        <v>43304853</v>
      </c>
      <c r="F28" s="83">
        <f>U13</f>
        <v>9540</v>
      </c>
      <c r="G28" s="83">
        <f t="shared" si="1"/>
        <v>43304.853000000003</v>
      </c>
      <c r="I28" s="83">
        <f>V35</f>
        <v>6669.7938204666661</v>
      </c>
      <c r="J28" s="83">
        <f>V5</f>
        <v>42527623.470194601</v>
      </c>
      <c r="K28" s="83">
        <f>V13</f>
        <v>9634.7671742000002</v>
      </c>
      <c r="L28" s="87">
        <f t="shared" ref="L28:L30" si="2">J28/1000</f>
        <v>42527.623470194601</v>
      </c>
    </row>
    <row r="29" spans="1:45" x14ac:dyDescent="0.35">
      <c r="A29" s="27" t="s">
        <v>27</v>
      </c>
      <c r="B29" s="27" t="s">
        <v>87</v>
      </c>
      <c r="C29" s="27"/>
      <c r="D29" s="83">
        <f>U36</f>
        <v>3337.1811109999999</v>
      </c>
      <c r="E29" s="83">
        <f>(U6)</f>
        <v>12972703.032598792</v>
      </c>
      <c r="F29" s="83">
        <f>U14</f>
        <v>2475.4516106520209</v>
      </c>
      <c r="G29" s="83">
        <f>E29/1000</f>
        <v>12972.703032598791</v>
      </c>
      <c r="I29" s="83">
        <f t="shared" ref="I29:I30" si="3">V36</f>
        <v>3384.2472586000004</v>
      </c>
      <c r="J29" s="83">
        <f>V6</f>
        <v>12883198.444810778</v>
      </c>
      <c r="K29" s="83">
        <f>V14</f>
        <v>2432.2019361952016</v>
      </c>
      <c r="L29" s="87">
        <f t="shared" si="2"/>
        <v>12883.198444810778</v>
      </c>
    </row>
    <row r="30" spans="1:45" x14ac:dyDescent="0.35">
      <c r="A30" s="27" t="s">
        <v>36</v>
      </c>
      <c r="B30" s="27" t="s">
        <v>88</v>
      </c>
      <c r="C30" s="27"/>
      <c r="D30" s="83">
        <f>U37</f>
        <v>13077.064999999999</v>
      </c>
      <c r="E30" s="83">
        <f>(U7)</f>
        <v>70000000</v>
      </c>
      <c r="F30" s="83">
        <f>U15</f>
        <v>18500</v>
      </c>
      <c r="G30" s="83">
        <f t="shared" si="1"/>
        <v>70000</v>
      </c>
      <c r="I30" s="83">
        <f t="shared" si="3"/>
        <v>13059.037505950644</v>
      </c>
      <c r="J30" s="83">
        <f>V7</f>
        <v>71360000</v>
      </c>
      <c r="K30" s="83">
        <f>V15</f>
        <v>18560</v>
      </c>
      <c r="L30" s="87">
        <f t="shared" si="2"/>
        <v>71360</v>
      </c>
    </row>
    <row r="32" spans="1:45" x14ac:dyDescent="0.35">
      <c r="A32" s="10" t="s">
        <v>42</v>
      </c>
      <c r="B32" s="10" t="s">
        <v>42</v>
      </c>
      <c r="C32" t="s">
        <v>65</v>
      </c>
      <c r="D32" s="14">
        <v>2006</v>
      </c>
      <c r="E32" s="14">
        <v>2007</v>
      </c>
      <c r="F32" s="14">
        <v>2008</v>
      </c>
      <c r="G32" s="14">
        <v>2009</v>
      </c>
      <c r="H32" s="14">
        <v>2010</v>
      </c>
      <c r="I32" s="14">
        <v>2011</v>
      </c>
      <c r="J32" s="14">
        <v>2012</v>
      </c>
      <c r="K32" s="14">
        <v>2013</v>
      </c>
      <c r="L32" s="14">
        <v>2014</v>
      </c>
      <c r="M32" s="14">
        <v>2015</v>
      </c>
      <c r="N32" s="14">
        <v>2016</v>
      </c>
      <c r="O32" s="14">
        <v>2017</v>
      </c>
      <c r="P32" s="14">
        <v>2018</v>
      </c>
      <c r="Q32" s="14">
        <v>2019</v>
      </c>
      <c r="R32" s="14">
        <v>2020</v>
      </c>
      <c r="S32" s="14">
        <v>2021</v>
      </c>
      <c r="T32" s="14">
        <v>2022</v>
      </c>
      <c r="U32" s="14">
        <v>2023</v>
      </c>
      <c r="V32" s="10" t="s">
        <v>108</v>
      </c>
    </row>
    <row r="33" spans="1:44" x14ac:dyDescent="0.35">
      <c r="A33" s="27" t="s">
        <v>35</v>
      </c>
      <c r="B33" s="27" t="s">
        <v>84</v>
      </c>
      <c r="C33" s="27" t="s">
        <v>64</v>
      </c>
      <c r="D33" s="50">
        <v>5600.5389999999998</v>
      </c>
      <c r="E33" s="50">
        <v>5518.6689999999999</v>
      </c>
      <c r="F33" s="50">
        <v>5518.6689999999999</v>
      </c>
      <c r="G33" s="50">
        <v>5503.6689999999999</v>
      </c>
      <c r="H33" s="50">
        <v>5501.6689999999999</v>
      </c>
      <c r="I33" s="50">
        <v>5504.6689999999999</v>
      </c>
      <c r="J33" s="50">
        <v>5526.0690000000004</v>
      </c>
      <c r="K33" s="50">
        <v>5527.3490000000002</v>
      </c>
      <c r="L33" s="50">
        <v>5529.4030540000012</v>
      </c>
      <c r="M33" s="50">
        <v>5521.3490000000002</v>
      </c>
      <c r="N33" s="50">
        <v>5524.3490000000002</v>
      </c>
      <c r="O33" s="50">
        <v>5519.5689999999995</v>
      </c>
      <c r="P33" s="50">
        <v>5522.1689999999999</v>
      </c>
      <c r="Q33" s="50">
        <v>5512.6689999999999</v>
      </c>
      <c r="R33" s="50">
        <v>5519.5789999999997</v>
      </c>
      <c r="S33" s="50">
        <v>5515.1390000000001</v>
      </c>
      <c r="T33" s="50">
        <v>5518.0389999999998</v>
      </c>
      <c r="U33" s="50">
        <v>6041.7389999999996</v>
      </c>
      <c r="V33" s="34">
        <f>AVERAGE(Q33:U33)</f>
        <v>5621.433</v>
      </c>
      <c r="AR33" s="15"/>
    </row>
    <row r="34" spans="1:44" x14ac:dyDescent="0.35">
      <c r="A34" s="27" t="s">
        <v>19</v>
      </c>
      <c r="B34" s="27" t="s">
        <v>85</v>
      </c>
      <c r="C34" s="27" t="s">
        <v>64</v>
      </c>
      <c r="D34" s="20">
        <v>11700.8</v>
      </c>
      <c r="E34" s="20">
        <v>11892.8</v>
      </c>
      <c r="F34" s="20">
        <v>12428.8</v>
      </c>
      <c r="G34" s="20">
        <v>12865.1</v>
      </c>
      <c r="H34" s="20">
        <v>13321.1</v>
      </c>
      <c r="I34" s="20">
        <v>13738.4</v>
      </c>
      <c r="J34" s="20">
        <v>13702.4</v>
      </c>
      <c r="K34" s="20">
        <v>14313.5</v>
      </c>
      <c r="L34" s="20">
        <v>14772.5</v>
      </c>
      <c r="M34" s="20">
        <v>14754.5</v>
      </c>
      <c r="N34" s="20">
        <v>14755.5</v>
      </c>
      <c r="O34" s="20">
        <v>14532.5</v>
      </c>
      <c r="P34" s="20">
        <v>14527.5</v>
      </c>
      <c r="Q34" s="20">
        <v>14526.2</v>
      </c>
      <c r="R34" s="20">
        <v>14528.2</v>
      </c>
      <c r="S34" s="20">
        <v>14534.2</v>
      </c>
      <c r="T34" s="20">
        <v>14535.2</v>
      </c>
      <c r="U34" s="20">
        <v>14547.2</v>
      </c>
      <c r="V34" s="34">
        <f>AVERAGE(Q34:U34)</f>
        <v>14534.2</v>
      </c>
    </row>
    <row r="35" spans="1:44" x14ac:dyDescent="0.35">
      <c r="A35" s="27" t="s">
        <v>33</v>
      </c>
      <c r="B35" s="27" t="s">
        <v>86</v>
      </c>
      <c r="C35" s="27" t="s">
        <v>64</v>
      </c>
      <c r="D35" s="20">
        <v>6573</v>
      </c>
      <c r="E35" s="20">
        <v>6573</v>
      </c>
      <c r="F35" s="20">
        <v>6573</v>
      </c>
      <c r="G35" s="20">
        <v>6573</v>
      </c>
      <c r="H35" s="20">
        <v>6573</v>
      </c>
      <c r="I35" s="20">
        <v>6573</v>
      </c>
      <c r="J35" s="20">
        <v>6573</v>
      </c>
      <c r="K35" s="20">
        <v>6573</v>
      </c>
      <c r="L35" s="20">
        <v>6573</v>
      </c>
      <c r="M35" s="20">
        <v>6573.2</v>
      </c>
      <c r="N35" s="20">
        <v>6558.8447567553731</v>
      </c>
      <c r="O35" s="20">
        <v>6559.9720813333324</v>
      </c>
      <c r="P35" s="20">
        <v>6623.72</v>
      </c>
      <c r="Q35" s="20">
        <v>6627.7700000000013</v>
      </c>
      <c r="R35" s="20">
        <v>6731.1111999999994</v>
      </c>
      <c r="S35" s="20">
        <v>6734.02</v>
      </c>
      <c r="T35" s="20">
        <v>6628.5450000000001</v>
      </c>
      <c r="U35" s="20">
        <v>6627.5229023333331</v>
      </c>
      <c r="V35" s="34">
        <f>AVERAGE(Q35:U35)</f>
        <v>6669.7938204666661</v>
      </c>
    </row>
    <row r="36" spans="1:44" x14ac:dyDescent="0.35">
      <c r="A36" s="27" t="s">
        <v>27</v>
      </c>
      <c r="B36" s="27" t="s">
        <v>87</v>
      </c>
      <c r="C36" s="27" t="s">
        <v>64</v>
      </c>
      <c r="D36" s="20">
        <v>3581.3</v>
      </c>
      <c r="E36" s="20">
        <v>3622.3</v>
      </c>
      <c r="F36" s="20">
        <v>3622.3</v>
      </c>
      <c r="G36" s="20">
        <v>3520.3</v>
      </c>
      <c r="H36" s="20">
        <v>3481.3</v>
      </c>
      <c r="I36" s="20">
        <v>3493.3</v>
      </c>
      <c r="J36" s="20">
        <v>3493.3</v>
      </c>
      <c r="K36" s="20">
        <v>3503.19</v>
      </c>
      <c r="L36" s="20">
        <v>3503.8</v>
      </c>
      <c r="M36" s="20">
        <v>3563.7000000000003</v>
      </c>
      <c r="N36" s="20">
        <v>3563.7000000000003</v>
      </c>
      <c r="O36" s="20">
        <v>3563.7</v>
      </c>
      <c r="P36" s="20">
        <v>3545.2</v>
      </c>
      <c r="Q36" s="20">
        <v>3545.2</v>
      </c>
      <c r="R36" s="20">
        <v>3350.5371820000005</v>
      </c>
      <c r="S36" s="20">
        <v>3350.2350000000001</v>
      </c>
      <c r="T36" s="20">
        <v>3338.0829999999996</v>
      </c>
      <c r="U36" s="20">
        <v>3337.1811109999999</v>
      </c>
      <c r="V36" s="34">
        <f>AVERAGE(Q36:U36)</f>
        <v>3384.2472586000004</v>
      </c>
    </row>
    <row r="37" spans="1:44" x14ac:dyDescent="0.35">
      <c r="A37" s="27" t="s">
        <v>36</v>
      </c>
      <c r="B37" s="27" t="s">
        <v>88</v>
      </c>
      <c r="C37" s="27" t="s">
        <v>64</v>
      </c>
      <c r="D37" s="20">
        <v>12517.231000000002</v>
      </c>
      <c r="E37" s="20">
        <v>12526.494000000004</v>
      </c>
      <c r="F37" s="20">
        <v>12523.514000000005</v>
      </c>
      <c r="G37" s="20">
        <v>12523.349000000004</v>
      </c>
      <c r="H37" s="20">
        <v>12682.458999999999</v>
      </c>
      <c r="I37" s="20">
        <v>12681.863000000001</v>
      </c>
      <c r="J37" s="20">
        <v>12697.207</v>
      </c>
      <c r="K37" s="20">
        <v>12893.617000000002</v>
      </c>
      <c r="L37" s="20">
        <v>12929.666000000003</v>
      </c>
      <c r="M37" s="20">
        <v>13024.7646976</v>
      </c>
      <c r="N37" s="20">
        <v>13039.195</v>
      </c>
      <c r="O37" s="20">
        <v>13078.1133974</v>
      </c>
      <c r="P37" s="20">
        <v>13089.494696939968</v>
      </c>
      <c r="Q37" s="20">
        <v>13052.37521975323</v>
      </c>
      <c r="R37" s="20">
        <v>13052.451309999999</v>
      </c>
      <c r="S37" s="20">
        <v>13038.453</v>
      </c>
      <c r="T37" s="20">
        <v>13074.842999999999</v>
      </c>
      <c r="U37" s="20">
        <v>13077.064999999999</v>
      </c>
      <c r="V37" s="34">
        <f>AVERAGE(Q37:U37)</f>
        <v>13059.037505950644</v>
      </c>
    </row>
    <row r="38" spans="1:44" x14ac:dyDescent="0.35">
      <c r="D38" s="11"/>
      <c r="E38" s="11"/>
      <c r="F38" s="11"/>
      <c r="G38" s="11"/>
      <c r="H38" s="11"/>
      <c r="I38" s="11"/>
      <c r="J38" s="11"/>
      <c r="K38" s="11"/>
      <c r="L38" s="11"/>
    </row>
    <row r="39" spans="1:44" x14ac:dyDescent="0.35">
      <c r="A39" s="76" t="s">
        <v>106</v>
      </c>
      <c r="B39" s="76" t="s">
        <v>106</v>
      </c>
      <c r="C39" s="10"/>
      <c r="D39" s="14">
        <v>2006</v>
      </c>
      <c r="E39" s="14">
        <v>2007</v>
      </c>
      <c r="F39" s="14">
        <v>2008</v>
      </c>
      <c r="G39" s="14">
        <v>2009</v>
      </c>
      <c r="H39" s="14">
        <v>2010</v>
      </c>
      <c r="I39" s="14">
        <v>2011</v>
      </c>
      <c r="J39" s="14">
        <v>2012</v>
      </c>
      <c r="K39" s="14">
        <v>2013</v>
      </c>
      <c r="L39" s="14">
        <v>2014</v>
      </c>
      <c r="M39" s="14">
        <v>2015</v>
      </c>
      <c r="N39" s="14">
        <v>2016</v>
      </c>
      <c r="O39" s="14">
        <v>2017</v>
      </c>
      <c r="P39" s="14">
        <v>2018</v>
      </c>
      <c r="Q39" s="14">
        <v>2019</v>
      </c>
      <c r="R39" s="14">
        <v>2020</v>
      </c>
      <c r="S39" s="14">
        <v>2021</v>
      </c>
      <c r="T39" s="14">
        <v>2022</v>
      </c>
      <c r="U39" s="14">
        <v>2023</v>
      </c>
      <c r="V39" s="10" t="s">
        <v>108</v>
      </c>
    </row>
    <row r="40" spans="1:44" x14ac:dyDescent="0.35">
      <c r="A40" s="27" t="s">
        <v>35</v>
      </c>
      <c r="B40" s="27" t="s">
        <v>84</v>
      </c>
      <c r="C40" s="56" t="s">
        <v>99</v>
      </c>
      <c r="D40" s="34">
        <f>D48/D33</f>
        <v>139.06500785013728</v>
      </c>
      <c r="E40" s="34">
        <f t="shared" ref="E40:O40" si="4">E48/E33</f>
        <v>141.23441721183133</v>
      </c>
      <c r="F40" s="34">
        <f t="shared" si="4"/>
        <v>141.53956325338592</v>
      </c>
      <c r="G40" s="34">
        <f t="shared" si="4"/>
        <v>147.98618884965649</v>
      </c>
      <c r="H40" s="34">
        <f t="shared" si="4"/>
        <v>150.31147820779478</v>
      </c>
      <c r="I40" s="34">
        <f t="shared" si="4"/>
        <v>151.88106678167208</v>
      </c>
      <c r="J40" s="34">
        <f t="shared" si="4"/>
        <v>152.75831698807957</v>
      </c>
      <c r="K40" s="34">
        <f t="shared" si="4"/>
        <v>153.37660060908041</v>
      </c>
      <c r="L40" s="34">
        <f t="shared" si="4"/>
        <v>154.04312032992917</v>
      </c>
      <c r="M40" s="34">
        <f t="shared" si="4"/>
        <v>154.6612974474173</v>
      </c>
      <c r="N40" s="34">
        <f t="shared" si="4"/>
        <v>155.42944517082464</v>
      </c>
      <c r="O40" s="34">
        <f t="shared" si="4"/>
        <v>159.12465266762678</v>
      </c>
      <c r="P40" s="34">
        <f t="shared" ref="P40:T40" si="5">P48/P33</f>
        <v>161.96480042534012</v>
      </c>
      <c r="Q40" s="34">
        <f t="shared" si="5"/>
        <v>164.38452952644172</v>
      </c>
      <c r="R40" s="34">
        <f t="shared" si="5"/>
        <v>165.70158702321314</v>
      </c>
      <c r="S40" s="34">
        <f t="shared" si="5"/>
        <v>166.9660547086846</v>
      </c>
      <c r="T40" s="34">
        <f t="shared" si="5"/>
        <v>168.30779920185415</v>
      </c>
      <c r="U40" s="34">
        <f>U48/U33</f>
        <v>155.03152320879801</v>
      </c>
      <c r="V40" s="34">
        <f>AVERAGE(Q40:U40)</f>
        <v>164.07829873379833</v>
      </c>
    </row>
    <row r="41" spans="1:44" x14ac:dyDescent="0.35">
      <c r="A41" s="27" t="s">
        <v>19</v>
      </c>
      <c r="B41" s="27" t="s">
        <v>85</v>
      </c>
      <c r="C41" s="56" t="s">
        <v>99</v>
      </c>
      <c r="D41" s="34">
        <f t="shared" ref="D41:O41" si="6">D49/D34</f>
        <v>156.92889053577022</v>
      </c>
      <c r="E41" s="34">
        <f t="shared" si="6"/>
        <v>157.34091018655405</v>
      </c>
      <c r="F41" s="34">
        <f t="shared" si="6"/>
        <v>153.79537391649478</v>
      </c>
      <c r="G41" s="34">
        <f t="shared" si="6"/>
        <v>151.62351503939416</v>
      </c>
      <c r="H41" s="34">
        <f t="shared" si="6"/>
        <v>148.9752598008663</v>
      </c>
      <c r="I41" s="34">
        <f t="shared" si="6"/>
        <v>146.70722209281939</v>
      </c>
      <c r="J41" s="34">
        <f t="shared" si="6"/>
        <v>149.1073461583365</v>
      </c>
      <c r="K41" s="34">
        <f t="shared" si="6"/>
        <v>144.62867223250709</v>
      </c>
      <c r="L41" s="34">
        <f t="shared" si="6"/>
        <v>142.04860382467422</v>
      </c>
      <c r="M41" s="34">
        <f t="shared" si="6"/>
        <v>144.05649123996068</v>
      </c>
      <c r="N41" s="34">
        <f t="shared" si="6"/>
        <v>146.44542712886721</v>
      </c>
      <c r="O41" s="34">
        <f t="shared" si="6"/>
        <v>150.95461895750904</v>
      </c>
      <c r="P41" s="34">
        <f t="shared" ref="P41:Q41" si="7">P49/P34</f>
        <v>153.77229392531407</v>
      </c>
      <c r="Q41" s="34">
        <f t="shared" si="7"/>
        <v>155.73522325177953</v>
      </c>
      <c r="R41" s="34">
        <f t="shared" ref="R41:S41" si="8">R49/R34</f>
        <v>156.8329868806872</v>
      </c>
      <c r="S41" s="34">
        <f t="shared" si="8"/>
        <v>158.45268401425602</v>
      </c>
      <c r="T41" s="34">
        <f>T49/T34</f>
        <v>161.42075788430844</v>
      </c>
      <c r="U41" s="34">
        <f>U49/U34</f>
        <v>164.19943356797182</v>
      </c>
      <c r="V41" s="34">
        <f>AVERAGE(Q41:U41)</f>
        <v>159.32821711980063</v>
      </c>
    </row>
    <row r="42" spans="1:44" x14ac:dyDescent="0.35">
      <c r="A42" s="27" t="s">
        <v>33</v>
      </c>
      <c r="B42" s="27" t="s">
        <v>86</v>
      </c>
      <c r="C42" s="56" t="s">
        <v>99</v>
      </c>
      <c r="D42" s="34">
        <f t="shared" ref="D42:O42" si="9">D50/D35</f>
        <v>375.81766552185911</v>
      </c>
      <c r="E42" s="34">
        <f t="shared" si="9"/>
        <v>381.82365499477407</v>
      </c>
      <c r="F42" s="34">
        <f t="shared" si="9"/>
        <v>387.30902721269433</v>
      </c>
      <c r="G42" s="34">
        <f t="shared" si="9"/>
        <v>392.35752717247675</v>
      </c>
      <c r="H42" s="34">
        <f t="shared" si="9"/>
        <v>397.76512389576146</v>
      </c>
      <c r="I42" s="34">
        <f t="shared" si="9"/>
        <v>402.96408326991786</v>
      </c>
      <c r="J42" s="34">
        <f t="shared" si="9"/>
        <v>409.49927514096601</v>
      </c>
      <c r="K42" s="34">
        <f t="shared" si="9"/>
        <v>415.95241633434205</v>
      </c>
      <c r="L42" s="34">
        <f t="shared" si="9"/>
        <v>420.01093729012024</v>
      </c>
      <c r="M42" s="34">
        <f t="shared" si="9"/>
        <v>427.23607732463029</v>
      </c>
      <c r="N42" s="34">
        <f t="shared" si="9"/>
        <v>435.69715490776071</v>
      </c>
      <c r="O42" s="34">
        <f t="shared" si="9"/>
        <v>444.222469832174</v>
      </c>
      <c r="P42" s="34">
        <f t="shared" ref="P42:Q42" si="10">P50/P35</f>
        <v>446.73385952304744</v>
      </c>
      <c r="Q42" s="34">
        <f t="shared" si="10"/>
        <v>455.53587405718656</v>
      </c>
      <c r="R42" s="34">
        <f t="shared" ref="R42:T42" si="11">R50/R35</f>
        <v>454.11372790869956</v>
      </c>
      <c r="S42" s="34">
        <f t="shared" si="11"/>
        <v>457.93359687081414</v>
      </c>
      <c r="T42" s="34">
        <f t="shared" si="11"/>
        <v>472.4755583616012</v>
      </c>
      <c r="U42" s="34">
        <f>U50/U35</f>
        <v>479.12591880777046</v>
      </c>
      <c r="V42" s="34">
        <f>AVERAGE(Q42:U42)</f>
        <v>463.83693520121443</v>
      </c>
    </row>
    <row r="43" spans="1:44" x14ac:dyDescent="0.35">
      <c r="A43" s="27" t="s">
        <v>27</v>
      </c>
      <c r="B43" s="27" t="s">
        <v>87</v>
      </c>
      <c r="C43" s="56" t="s">
        <v>99</v>
      </c>
      <c r="D43" s="34">
        <f t="shared" ref="D43:O43" si="12">D51/D36</f>
        <v>69.986464189344645</v>
      </c>
      <c r="E43" s="34">
        <f t="shared" si="12"/>
        <v>70.530984583482862</v>
      </c>
      <c r="F43" s="34">
        <f t="shared" si="12"/>
        <v>71.894724194914829</v>
      </c>
      <c r="G43" s="34">
        <f t="shared" si="12"/>
        <v>75.409519141899835</v>
      </c>
      <c r="H43" s="34">
        <f t="shared" si="12"/>
        <v>77.731313596030219</v>
      </c>
      <c r="I43" s="34">
        <f t="shared" si="12"/>
        <v>78.966020668133282</v>
      </c>
      <c r="J43" s="34">
        <f t="shared" si="12"/>
        <v>79.693126842810514</v>
      </c>
      <c r="K43" s="34">
        <f t="shared" si="12"/>
        <v>79.889472166793695</v>
      </c>
      <c r="L43" s="34">
        <f t="shared" si="12"/>
        <v>80.127290370454929</v>
      </c>
      <c r="M43" s="34">
        <f t="shared" si="12"/>
        <v>79.428403064230992</v>
      </c>
      <c r="N43" s="34">
        <f t="shared" si="12"/>
        <v>80.064259056598473</v>
      </c>
      <c r="O43" s="34">
        <f t="shared" si="12"/>
        <v>80.717091814686995</v>
      </c>
      <c r="P43" s="34">
        <f t="shared" ref="P43:Q43" si="13">P51/P36</f>
        <v>81.218549024032498</v>
      </c>
      <c r="Q43" s="34">
        <f t="shared" si="13"/>
        <v>81.926548572718048</v>
      </c>
      <c r="R43" s="34">
        <f t="shared" ref="R43:T43" si="14">R51/R36</f>
        <v>87.731902089961636</v>
      </c>
      <c r="S43" s="34">
        <f t="shared" si="14"/>
        <v>88.846304811453521</v>
      </c>
      <c r="T43" s="34">
        <f t="shared" si="14"/>
        <v>90.19053750311177</v>
      </c>
      <c r="U43" s="34">
        <f>U51/U36</f>
        <v>91.19672857934971</v>
      </c>
      <c r="V43" s="34">
        <f>AVERAGE(Q43:U43)</f>
        <v>87.97840431131894</v>
      </c>
    </row>
    <row r="44" spans="1:44" x14ac:dyDescent="0.35">
      <c r="A44" s="27" t="s">
        <v>36</v>
      </c>
      <c r="B44" s="27" t="s">
        <v>88</v>
      </c>
      <c r="C44" s="56" t="s">
        <v>99</v>
      </c>
      <c r="D44" s="34">
        <f t="shared" ref="D44:O44" si="15">D52/D37</f>
        <v>267.57361858241251</v>
      </c>
      <c r="E44" s="34">
        <f t="shared" si="15"/>
        <v>270.058510010801</v>
      </c>
      <c r="F44" s="34">
        <f t="shared" si="15"/>
        <v>272.87010153830613</v>
      </c>
      <c r="G44" s="34">
        <f t="shared" si="15"/>
        <v>275.27941669569532</v>
      </c>
      <c r="H44" s="34">
        <f t="shared" si="15"/>
        <v>273.84884845451109</v>
      </c>
      <c r="I44" s="34">
        <f t="shared" si="15"/>
        <v>276.55059590221009</v>
      </c>
      <c r="J44" s="34">
        <f t="shared" si="15"/>
        <v>278.5633240754002</v>
      </c>
      <c r="K44" s="34">
        <f t="shared" si="15"/>
        <v>277.34159653563461</v>
      </c>
      <c r="L44" s="34">
        <f t="shared" si="15"/>
        <v>280.29563950066455</v>
      </c>
      <c r="M44" s="34">
        <f t="shared" si="15"/>
        <v>282.09668929197869</v>
      </c>
      <c r="N44" s="34">
        <f t="shared" si="15"/>
        <v>285.34447261954898</v>
      </c>
      <c r="O44" s="34">
        <f t="shared" si="15"/>
        <v>288.6165141181902</v>
      </c>
      <c r="P44" s="34">
        <f t="shared" ref="P44:Q44" si="16">P52/P37</f>
        <v>293.08717325022917</v>
      </c>
      <c r="Q44" s="34">
        <f t="shared" si="16"/>
        <v>297.9352749616649</v>
      </c>
      <c r="R44" s="34">
        <f t="shared" ref="R44:S44" si="17">R52/R37</f>
        <v>302.19967164160249</v>
      </c>
      <c r="S44" s="34">
        <f t="shared" si="17"/>
        <v>305.95934195567526</v>
      </c>
      <c r="T44" s="34">
        <f>T52/T37</f>
        <v>308.09631901507345</v>
      </c>
      <c r="U44" s="34">
        <f>U52/U37</f>
        <v>310.63779066454907</v>
      </c>
      <c r="V44" s="34">
        <f>AVERAGE(Q44:U44)</f>
        <v>304.96567964771305</v>
      </c>
    </row>
    <row r="46" spans="1:44" x14ac:dyDescent="0.35">
      <c r="A46" s="10" t="s">
        <v>81</v>
      </c>
      <c r="B46" s="10" t="s">
        <v>81</v>
      </c>
    </row>
    <row r="47" spans="1:44" x14ac:dyDescent="0.35">
      <c r="C47" s="10"/>
      <c r="D47" s="14">
        <v>2006</v>
      </c>
      <c r="E47" s="14">
        <v>2007</v>
      </c>
      <c r="F47" s="14">
        <v>2008</v>
      </c>
      <c r="G47" s="14">
        <v>2009</v>
      </c>
      <c r="H47" s="14">
        <v>2010</v>
      </c>
      <c r="I47" s="14">
        <v>2011</v>
      </c>
      <c r="J47" s="14">
        <v>2012</v>
      </c>
      <c r="K47" s="14">
        <v>2013</v>
      </c>
      <c r="L47" s="14">
        <v>2014</v>
      </c>
      <c r="M47" s="14">
        <v>2015</v>
      </c>
      <c r="N47" s="14">
        <v>2016</v>
      </c>
      <c r="O47" s="14">
        <v>2017</v>
      </c>
      <c r="P47" s="14">
        <v>2018</v>
      </c>
      <c r="Q47" s="14">
        <v>2019</v>
      </c>
      <c r="R47" s="14">
        <v>2020</v>
      </c>
      <c r="S47" s="14">
        <v>2021</v>
      </c>
      <c r="T47" s="14">
        <v>2022</v>
      </c>
      <c r="U47" s="14">
        <v>2023</v>
      </c>
      <c r="V47" s="10" t="s">
        <v>108</v>
      </c>
    </row>
    <row r="48" spans="1:44" x14ac:dyDescent="0.35">
      <c r="A48" s="27" t="s">
        <v>35</v>
      </c>
      <c r="B48" s="27" t="s">
        <v>84</v>
      </c>
      <c r="C48" s="27" t="s">
        <v>82</v>
      </c>
      <c r="D48" s="27">
        <v>778839</v>
      </c>
      <c r="E48" s="27">
        <v>779426</v>
      </c>
      <c r="F48" s="27">
        <v>781110</v>
      </c>
      <c r="G48" s="27">
        <v>814467</v>
      </c>
      <c r="H48" s="27">
        <v>826964</v>
      </c>
      <c r="I48" s="27">
        <v>836055</v>
      </c>
      <c r="J48" s="27">
        <v>844153</v>
      </c>
      <c r="K48" s="27">
        <v>847766</v>
      </c>
      <c r="L48" s="27">
        <v>851766.5</v>
      </c>
      <c r="M48" s="27">
        <v>853939</v>
      </c>
      <c r="N48" s="27">
        <v>858646.5</v>
      </c>
      <c r="O48" s="27">
        <v>878299.5</v>
      </c>
      <c r="P48" s="27">
        <v>894397</v>
      </c>
      <c r="Q48" s="27">
        <v>906197.5</v>
      </c>
      <c r="R48" s="65">
        <v>914602.99999999965</v>
      </c>
      <c r="S48" s="65">
        <v>920841</v>
      </c>
      <c r="T48" s="65">
        <v>928729</v>
      </c>
      <c r="U48" s="65">
        <v>936660</v>
      </c>
      <c r="V48" s="34">
        <f>ROUND(AVERAGE(Q48:U48),0)</f>
        <v>921406</v>
      </c>
    </row>
    <row r="49" spans="1:22" x14ac:dyDescent="0.35">
      <c r="A49" s="27" t="s">
        <v>19</v>
      </c>
      <c r="B49" s="27" t="s">
        <v>85</v>
      </c>
      <c r="C49" s="27" t="s">
        <v>82</v>
      </c>
      <c r="D49" s="27">
        <v>1836193.56238094</v>
      </c>
      <c r="E49" s="27">
        <v>1871223.97666665</v>
      </c>
      <c r="F49" s="27">
        <v>1911491.9433333301</v>
      </c>
      <c r="G49" s="27">
        <v>1950651.6833333101</v>
      </c>
      <c r="H49" s="27">
        <v>1984514.33333332</v>
      </c>
      <c r="I49" s="27">
        <v>2015522.49999999</v>
      </c>
      <c r="J49" s="27">
        <v>2043128.49999999</v>
      </c>
      <c r="K49" s="27">
        <v>2070142.49999999</v>
      </c>
      <c r="L49" s="27">
        <v>2098413</v>
      </c>
      <c r="M49" s="27">
        <v>2125481.5</v>
      </c>
      <c r="N49" s="27">
        <v>2160875.5</v>
      </c>
      <c r="O49" s="27">
        <v>2193748</v>
      </c>
      <c r="P49" s="27">
        <v>2233927</v>
      </c>
      <c r="Q49" s="27">
        <v>2262241</v>
      </c>
      <c r="R49" s="65">
        <v>2278501</v>
      </c>
      <c r="S49" s="65">
        <v>2302983</v>
      </c>
      <c r="T49" s="65">
        <v>2346283</v>
      </c>
      <c r="U49" s="65">
        <v>2388642</v>
      </c>
      <c r="V49" s="34">
        <f>ROUND(AVERAGE(Q49:U49),0)</f>
        <v>2315730</v>
      </c>
    </row>
    <row r="50" spans="1:22" x14ac:dyDescent="0.35">
      <c r="A50" s="27" t="s">
        <v>33</v>
      </c>
      <c r="B50" s="27" t="s">
        <v>86</v>
      </c>
      <c r="C50" s="27" t="s">
        <v>82</v>
      </c>
      <c r="D50" s="27">
        <v>2470249.51547518</v>
      </c>
      <c r="E50" s="27">
        <v>2509726.8842806499</v>
      </c>
      <c r="F50" s="27">
        <v>2545782.2358690398</v>
      </c>
      <c r="G50" s="27">
        <v>2578966.0261046896</v>
      </c>
      <c r="H50" s="27">
        <v>2614510.15936684</v>
      </c>
      <c r="I50" s="27">
        <v>2648682.9193331702</v>
      </c>
      <c r="J50" s="27">
        <v>2691638.7355015697</v>
      </c>
      <c r="K50" s="27">
        <v>2734055.2325656302</v>
      </c>
      <c r="L50" s="27">
        <v>2760731.8908079602</v>
      </c>
      <c r="M50" s="27">
        <v>2808308.1834702599</v>
      </c>
      <c r="N50" s="27">
        <v>2857670</v>
      </c>
      <c r="O50" s="27">
        <v>2914087</v>
      </c>
      <c r="P50" s="27">
        <v>2959040</v>
      </c>
      <c r="Q50" s="27">
        <v>3019187</v>
      </c>
      <c r="R50" s="65">
        <v>3056690</v>
      </c>
      <c r="S50" s="65">
        <v>3083734</v>
      </c>
      <c r="T50" s="65">
        <v>3131825.5</v>
      </c>
      <c r="U50" s="65">
        <v>3175418</v>
      </c>
      <c r="V50" s="34">
        <f>ROUND(AVERAGE(Q50:U50),0)</f>
        <v>3093371</v>
      </c>
    </row>
    <row r="51" spans="1:22" x14ac:dyDescent="0.35">
      <c r="A51" s="27" t="s">
        <v>27</v>
      </c>
      <c r="B51" s="27" t="s">
        <v>87</v>
      </c>
      <c r="C51" s="27" t="s">
        <v>82</v>
      </c>
      <c r="D51" s="27">
        <v>250642.5242013</v>
      </c>
      <c r="E51" s="27">
        <v>255484.38545674999</v>
      </c>
      <c r="F51" s="27">
        <v>260424.25945124001</v>
      </c>
      <c r="G51" s="27">
        <v>265464.13023523003</v>
      </c>
      <c r="H51" s="27">
        <v>270606.02202186</v>
      </c>
      <c r="I51" s="27">
        <v>275851.99999998999</v>
      </c>
      <c r="J51" s="27">
        <v>278391.99999998999</v>
      </c>
      <c r="K51" s="27">
        <v>279867.99999998999</v>
      </c>
      <c r="L51" s="27">
        <v>280750</v>
      </c>
      <c r="M51" s="27">
        <v>283059</v>
      </c>
      <c r="N51" s="27">
        <v>285325</v>
      </c>
      <c r="O51" s="27">
        <v>287651.5001</v>
      </c>
      <c r="P51" s="27">
        <v>287936</v>
      </c>
      <c r="Q51" s="27">
        <v>290446</v>
      </c>
      <c r="R51" s="65">
        <v>293949</v>
      </c>
      <c r="S51" s="65">
        <v>297656</v>
      </c>
      <c r="T51" s="65">
        <v>301063.49999999983</v>
      </c>
      <c r="U51" s="65">
        <v>304339.99999999971</v>
      </c>
      <c r="V51" s="34">
        <f>ROUND(AVERAGE(Q51:U51),0)</f>
        <v>297491</v>
      </c>
    </row>
    <row r="52" spans="1:22" x14ac:dyDescent="0.35">
      <c r="A52" s="27" t="s">
        <v>36</v>
      </c>
      <c r="B52" s="27" t="s">
        <v>88</v>
      </c>
      <c r="C52" s="27" t="s">
        <v>82</v>
      </c>
      <c r="D52" s="27">
        <v>3349280.7933019502</v>
      </c>
      <c r="E52" s="27">
        <v>3382886.3052992402</v>
      </c>
      <c r="F52" s="27">
        <v>3417292.5367963999</v>
      </c>
      <c r="G52" s="27">
        <v>3447420.2077966202</v>
      </c>
      <c r="H52" s="27">
        <v>3473076.79272155</v>
      </c>
      <c r="I52" s="27">
        <v>3507176.7698001899</v>
      </c>
      <c r="J52" s="27">
        <v>3536976.1883934401</v>
      </c>
      <c r="K52" s="27">
        <v>3575936.323899</v>
      </c>
      <c r="L52" s="27">
        <v>3624129</v>
      </c>
      <c r="M52" s="27">
        <v>3674243</v>
      </c>
      <c r="N52" s="27">
        <v>3720662.2206584597</v>
      </c>
      <c r="O52" s="27">
        <v>3774559.4999999898</v>
      </c>
      <c r="P52" s="27">
        <v>3836363</v>
      </c>
      <c r="Q52" s="27">
        <v>3888763</v>
      </c>
      <c r="R52" s="65">
        <v>3944446.5000000042</v>
      </c>
      <c r="S52" s="65">
        <v>3989236.5</v>
      </c>
      <c r="T52" s="65">
        <v>4028311</v>
      </c>
      <c r="U52" s="65">
        <v>4062230.5799767007</v>
      </c>
      <c r="V52" s="34">
        <f>ROUND(AVERAGE(Q52:U52),0)</f>
        <v>3982598</v>
      </c>
    </row>
    <row r="55" spans="1:22" x14ac:dyDescent="0.35">
      <c r="V55" s="11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13711866-1202-4DFE-ABD5-72AA6F303A7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'Physical data'!D48:V48</xm:f>
              <xm:sqref>W48</xm:sqref>
            </x14:sparkline>
            <x14:sparkline>
              <xm:f>'Physical data'!D49:V49</xm:f>
              <xm:sqref>W49</xm:sqref>
            </x14:sparkline>
            <x14:sparkline>
              <xm:f>'Physical data'!D50:V50</xm:f>
              <xm:sqref>W50</xm:sqref>
            </x14:sparkline>
            <x14:sparkline>
              <xm:f>'Physical data'!D51:V51</xm:f>
              <xm:sqref>W51</xm:sqref>
            </x14:sparkline>
            <x14:sparkline>
              <xm:f>'Physical data'!D52:V52</xm:f>
              <xm:sqref>W52</xm:sqref>
            </x14:sparkline>
          </x14:sparklines>
        </x14:sparklineGroup>
        <x14:sparklineGroup displayEmptyCellsAs="gap" xr2:uid="{9DECFE2D-6706-46D9-B034-28E259BC9BE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'Physical data'!D40:V40</xm:f>
              <xm:sqref>W40</xm:sqref>
            </x14:sparkline>
            <x14:sparkline>
              <xm:f>'Physical data'!D41:V41</xm:f>
              <xm:sqref>W41</xm:sqref>
            </x14:sparkline>
            <x14:sparkline>
              <xm:f>'Physical data'!D42:V42</xm:f>
              <xm:sqref>W42</xm:sqref>
            </x14:sparkline>
            <x14:sparkline>
              <xm:f>'Physical data'!D43:V43</xm:f>
              <xm:sqref>W43</xm:sqref>
            </x14:sparkline>
            <x14:sparkline>
              <xm:f>'Physical data'!D44:V44</xm:f>
              <xm:sqref>W44</xm:sqref>
            </x14:sparkline>
          </x14:sparklines>
        </x14:sparklineGroup>
        <x14:sparklineGroup displayEmptyCellsAs="gap" xr2:uid="{00000000-0003-0000-0900-000008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data'!D3:U3</xm:f>
              <xm:sqref>W3</xm:sqref>
            </x14:sparkline>
            <x14:sparkline>
              <xm:f>'Physical data'!D4:U4</xm:f>
              <xm:sqref>W4</xm:sqref>
            </x14:sparkline>
            <x14:sparkline>
              <xm:f>'Physical data'!D5:U5</xm:f>
              <xm:sqref>W5</xm:sqref>
            </x14:sparkline>
            <x14:sparkline>
              <xm:f>'Physical data'!D6:U6</xm:f>
              <xm:sqref>W6</xm:sqref>
            </x14:sparkline>
            <x14:sparkline>
              <xm:f>'Physical data'!D7:U7</xm:f>
              <xm:sqref>W7</xm:sqref>
            </x14:sparkline>
          </x14:sparklines>
        </x14:sparklineGroup>
        <x14:sparklineGroup displayEmptyCellsAs="gap" xr2:uid="{00000000-0003-0000-0900-000009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data'!D37:U37</xm:f>
              <xm:sqref>W37</xm:sqref>
            </x14:sparkline>
          </x14:sparklines>
        </x14:sparklineGroup>
        <x14:sparklineGroup displayEmptyCellsAs="gap" xr2:uid="{00000000-0003-0000-0900-00000A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data'!D36:U36</xm:f>
              <xm:sqref>W36</xm:sqref>
            </x14:sparkline>
          </x14:sparklines>
        </x14:sparklineGroup>
        <x14:sparklineGroup displayEmptyCellsAs="gap" xr2:uid="{00000000-0003-0000-0900-00000B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data'!D35:U35</xm:f>
              <xm:sqref>W35</xm:sqref>
            </x14:sparkline>
          </x14:sparklines>
        </x14:sparklineGroup>
        <x14:sparklineGroup displayEmptyCellsAs="gap" xr2:uid="{00000000-0003-0000-0900-00000C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data'!D34:U34</xm:f>
              <xm:sqref>W34</xm:sqref>
            </x14:sparkline>
          </x14:sparklines>
        </x14:sparklineGroup>
        <x14:sparklineGroup displayEmptyCellsAs="gap" xr2:uid="{00000000-0003-0000-0900-00000D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data'!D33:U33</xm:f>
              <xm:sqref>W33</xm:sqref>
            </x14:sparkline>
          </x14:sparklines>
        </x14:sparklineGroup>
        <x14:sparklineGroup displayEmptyCellsAs="gap" xr2:uid="{00000000-0003-0000-0900-000013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data'!D15:U15</xm:f>
              <xm:sqref>W15</xm:sqref>
            </x14:sparkline>
          </x14:sparklines>
        </x14:sparklineGroup>
        <x14:sparklineGroup displayEmptyCellsAs="gap" xr2:uid="{00000000-0003-0000-0900-000014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data'!D14:U14</xm:f>
              <xm:sqref>W14</xm:sqref>
            </x14:sparkline>
          </x14:sparklines>
        </x14:sparklineGroup>
        <x14:sparklineGroup displayEmptyCellsAs="gap" xr2:uid="{00000000-0003-0000-0900-000015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data'!D13:U13</xm:f>
              <xm:sqref>W13</xm:sqref>
            </x14:sparkline>
          </x14:sparklines>
        </x14:sparklineGroup>
        <x14:sparklineGroup displayEmptyCellsAs="gap" xr2:uid="{00000000-0003-0000-0900-000016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data'!D12:U12</xm:f>
              <xm:sqref>W12</xm:sqref>
            </x14:sparkline>
          </x14:sparklines>
        </x14:sparklineGroup>
        <x14:sparklineGroup displayEmptyCellsAs="gap" xr2:uid="{00000000-0003-0000-0900-000017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'Physical data'!D11:U11</xm:f>
              <xm:sqref>W11</xm:sqref>
            </x14:sparkline>
          </x14:sparklines>
        </x14:sparklineGroup>
      </x14:sparklineGroup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8"/>
  <sheetViews>
    <sheetView tabSelected="1" topLeftCell="B1" zoomScale="130" zoomScaleNormal="130" workbookViewId="0">
      <selection activeCell="G23" sqref="G23"/>
    </sheetView>
  </sheetViews>
  <sheetFormatPr defaultRowHeight="14.5" x14ac:dyDescent="0.35"/>
  <cols>
    <col min="1" max="1" width="25.453125" customWidth="1"/>
    <col min="2" max="6" width="20" customWidth="1"/>
    <col min="7" max="7" width="19.1796875" customWidth="1"/>
    <col min="8" max="9" width="17.81640625" customWidth="1"/>
  </cols>
  <sheetData>
    <row r="1" spans="1:6" x14ac:dyDescent="0.35">
      <c r="A1" s="10" t="s">
        <v>54</v>
      </c>
    </row>
    <row r="2" spans="1:6" x14ac:dyDescent="0.35">
      <c r="A2" s="10" t="s">
        <v>49</v>
      </c>
    </row>
    <row r="3" spans="1:6" x14ac:dyDescent="0.35">
      <c r="B3" s="10" t="str">
        <f>'Physical data'!D24</f>
        <v>Circuit line length</v>
      </c>
      <c r="C3" s="10" t="str">
        <f>'Physical data'!E24</f>
        <v>Energy transported</v>
      </c>
      <c r="D3" s="10" t="str">
        <f>'Physical data'!F24</f>
        <v>Maximum demand</v>
      </c>
      <c r="E3" s="10" t="s">
        <v>135</v>
      </c>
    </row>
    <row r="4" spans="1:6" x14ac:dyDescent="0.35">
      <c r="B4" s="35" t="str">
        <f>'Physical data'!D25</f>
        <v>km</v>
      </c>
      <c r="C4" s="88" t="s">
        <v>66</v>
      </c>
      <c r="D4" s="35" t="str">
        <f>'Physical data'!F25</f>
        <v>MVA</v>
      </c>
      <c r="E4" s="35" t="s">
        <v>136</v>
      </c>
    </row>
    <row r="5" spans="1:6" x14ac:dyDescent="0.35">
      <c r="A5" t="str">
        <f>'Physical data'!B26</f>
        <v>ENT</v>
      </c>
      <c r="B5" s="35">
        <f>'Physical data'!I26</f>
        <v>5621.433</v>
      </c>
      <c r="C5" s="35">
        <f>'Physical data'!L26</f>
        <v>13670.951551050122</v>
      </c>
      <c r="D5" s="35">
        <f>'Physical data'!K26</f>
        <v>3420.9372830649982</v>
      </c>
      <c r="E5" s="35">
        <f>'Physical data'!V48</f>
        <v>921406</v>
      </c>
    </row>
    <row r="6" spans="1:6" x14ac:dyDescent="0.35">
      <c r="A6" t="str">
        <f>'Physical data'!B27</f>
        <v>PLK</v>
      </c>
      <c r="B6" s="35">
        <f>'Physical data'!I27</f>
        <v>14534.2</v>
      </c>
      <c r="C6" s="35">
        <f>'Physical data'!L27</f>
        <v>52207.815812192399</v>
      </c>
      <c r="D6" s="35">
        <f>'Physical data'!K27</f>
        <v>12526.919580900658</v>
      </c>
      <c r="E6" s="35">
        <f>'Physical data'!V49</f>
        <v>2315730</v>
      </c>
    </row>
    <row r="7" spans="1:6" x14ac:dyDescent="0.35">
      <c r="A7" t="str">
        <f>'Physical data'!B28</f>
        <v>ANT</v>
      </c>
      <c r="B7" s="35">
        <f>'Physical data'!I28</f>
        <v>6669.7938204666661</v>
      </c>
      <c r="C7" s="35">
        <f>'Physical data'!L28</f>
        <v>42527.623470194601</v>
      </c>
      <c r="D7" s="35">
        <f>'Physical data'!K28</f>
        <v>9634.7671742000002</v>
      </c>
      <c r="E7" s="35">
        <f>'Physical data'!V50</f>
        <v>3093371</v>
      </c>
    </row>
    <row r="8" spans="1:6" x14ac:dyDescent="0.35">
      <c r="A8" t="str">
        <f>'Physical data'!B29</f>
        <v>TNT</v>
      </c>
      <c r="B8" s="35">
        <f>'Physical data'!I29</f>
        <v>3384.2472586000004</v>
      </c>
      <c r="C8" s="35">
        <f>'Physical data'!L29</f>
        <v>12883.198444810778</v>
      </c>
      <c r="D8" s="35">
        <f>'Physical data'!K29</f>
        <v>2432.2019361952016</v>
      </c>
      <c r="E8" s="35">
        <f>'Physical data'!V51</f>
        <v>297491</v>
      </c>
    </row>
    <row r="9" spans="1:6" x14ac:dyDescent="0.35">
      <c r="A9" t="str">
        <f>'Physical data'!B30</f>
        <v>TRG</v>
      </c>
      <c r="B9" s="35">
        <f>'Physical data'!I30</f>
        <v>13059.037505950644</v>
      </c>
      <c r="C9" s="35">
        <f>'Physical data'!L30</f>
        <v>71360</v>
      </c>
      <c r="D9" s="35">
        <f>'Physical data'!K30</f>
        <v>18560</v>
      </c>
      <c r="E9" s="35">
        <f>'Physical data'!V52</f>
        <v>3982598</v>
      </c>
    </row>
    <row r="11" spans="1:6" x14ac:dyDescent="0.35">
      <c r="A11" s="10" t="s">
        <v>48</v>
      </c>
    </row>
    <row r="12" spans="1:6" x14ac:dyDescent="0.35">
      <c r="B12" s="10" t="s">
        <v>23</v>
      </c>
      <c r="C12" s="10" t="s">
        <v>24</v>
      </c>
      <c r="D12" s="10" t="s">
        <v>25</v>
      </c>
      <c r="E12" s="10" t="s">
        <v>21</v>
      </c>
      <c r="F12" s="10" t="s">
        <v>26</v>
      </c>
    </row>
    <row r="13" spans="1:6" x14ac:dyDescent="0.35">
      <c r="B13" t="str">
        <f>Opex!$B$16</f>
        <v>$'000 2023</v>
      </c>
      <c r="C13" t="str">
        <f>Capex!$B$18</f>
        <v>$'000 2023</v>
      </c>
      <c r="D13" t="str">
        <f>RAB!$B$15</f>
        <v>$'000 2023</v>
      </c>
      <c r="E13" t="str">
        <f>Depreciation!$B$15</f>
        <v>$'000 2023</v>
      </c>
      <c r="F13" t="str">
        <f>'Asset cost and Total cost'!$B$11</f>
        <v>$'000 2023</v>
      </c>
    </row>
    <row r="14" spans="1:6" x14ac:dyDescent="0.35">
      <c r="A14" t="s">
        <v>35</v>
      </c>
      <c r="B14" s="11">
        <f>Opex!U15</f>
        <v>112081</v>
      </c>
      <c r="C14" s="11">
        <f>Capex!U17</f>
        <v>220031.89611585229</v>
      </c>
      <c r="D14" s="11">
        <f>RAB!U15</f>
        <v>2811488</v>
      </c>
      <c r="E14" s="11">
        <f>ABS(Depreciation!U15)</f>
        <v>143379.58601296804</v>
      </c>
      <c r="F14" s="11">
        <f>'Asset cost and Total cost'!U11</f>
        <v>199529.01594945177</v>
      </c>
    </row>
    <row r="15" spans="1:6" x14ac:dyDescent="0.35">
      <c r="A15" t="s">
        <v>19</v>
      </c>
      <c r="B15" s="11">
        <f>Opex!U16</f>
        <v>231313</v>
      </c>
      <c r="C15" s="11">
        <f>Capex!U18</f>
        <v>173865.79802975088</v>
      </c>
      <c r="D15" s="11">
        <f>RAB!U16</f>
        <v>7280797</v>
      </c>
      <c r="E15" s="11">
        <f>ABS(Depreciation!U16)</f>
        <v>337853.14645090519</v>
      </c>
      <c r="F15" s="11">
        <f>'Asset cost and Total cost'!U12</f>
        <v>483197.90465111163</v>
      </c>
    </row>
    <row r="16" spans="1:6" x14ac:dyDescent="0.35">
      <c r="A16" t="s">
        <v>33</v>
      </c>
      <c r="B16" s="11">
        <f>Opex!U17</f>
        <v>92150</v>
      </c>
      <c r="C16" s="11">
        <f>Capex!U19</f>
        <v>183077.79168909256</v>
      </c>
      <c r="D16" s="11">
        <f>RAB!U17</f>
        <v>3529118</v>
      </c>
      <c r="E16" s="11">
        <f>ABS(Depreciation!U17)</f>
        <v>201287.20400663913</v>
      </c>
      <c r="F16" s="11">
        <f>'Asset cost and Total cost'!U13</f>
        <v>270086.69531519222</v>
      </c>
    </row>
    <row r="17" spans="1:6" x14ac:dyDescent="0.35">
      <c r="A17" t="s">
        <v>27</v>
      </c>
      <c r="B17" s="11">
        <f>Opex!U18</f>
        <v>34524</v>
      </c>
      <c r="C17" s="11">
        <f>Capex!U20</f>
        <v>54502.781292010623</v>
      </c>
      <c r="D17" s="11">
        <f>RAB!U18</f>
        <v>1576353</v>
      </c>
      <c r="E17" s="11">
        <f>ABS(Depreciation!U18)</f>
        <v>67055.298853041299</v>
      </c>
      <c r="F17" s="11">
        <f>'Asset cost and Total cost'!U14</f>
        <v>97836.803854253172</v>
      </c>
    </row>
    <row r="18" spans="1:6" x14ac:dyDescent="0.35">
      <c r="A18" t="s">
        <v>36</v>
      </c>
      <c r="B18" s="11">
        <f>Opex!U19</f>
        <v>195150</v>
      </c>
      <c r="C18" s="11">
        <f>Capex!U21</f>
        <v>347345.36229668529</v>
      </c>
      <c r="D18" s="11">
        <f>RAB!U19</f>
        <v>7261523</v>
      </c>
      <c r="E18" s="11">
        <f>ABS(Depreciation!U19)</f>
        <v>318392.12240790937</v>
      </c>
      <c r="F18" s="11">
        <f>'Asset cost and Total cost'!U15</f>
        <v>450225.0036977831</v>
      </c>
    </row>
  </sheetData>
  <pageMargins left="0.7" right="0.7" top="0.75" bottom="0.75" header="0.3" footer="0.3"/>
  <pageSetup paperSize="9" orientation="portrait" r:id="rId1"/>
</worksheet>
</file>

<file path=customXML/item2.xml>�� 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FD61789-8058-49DF-AA70-8E6E01049E9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Readme</vt:lpstr>
      <vt:lpstr>TNSP Analysis</vt:lpstr>
      <vt:lpstr>TNSP Charts</vt:lpstr>
      <vt:lpstr>Opex</vt:lpstr>
      <vt:lpstr>Asset cost and Total cost</vt:lpstr>
      <vt:lpstr>RAB</vt:lpstr>
      <vt:lpstr>Depreciation</vt:lpstr>
      <vt:lpstr>CPI</vt:lpstr>
      <vt:lpstr>Capex</vt:lpstr>
      <vt:lpstr>Physical data</vt:lpstr>
      <vt:lpstr>Network size table</vt:lpstr>
      <vt:lpstr>Readme!_GoBack</vt:lpstr>
      <vt:lpstr>'Physical data'!_Ref390772024</vt:lpstr>
      <vt:lpstr>currency_base</vt:lpstr>
      <vt:lpstr>Real_year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2015-11-26T04:54:25Z</dcterms:created>
  <dcterms:modified xsi:type="dcterms:W3CDTF">2024-11-07T06:56:31Z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d5a995-dfdf-4407-9a97-edbbc68c9f53_Enabled">
    <vt:lpwstr>true</vt:lpwstr>
  </property>
  <property fmtid="{D5CDD505-2E9C-101B-9397-08002B2CF9AE}" pid="3" name="MSIP_Label_d9d5a995-dfdf-4407-9a97-edbbc68c9f53_SetDate">
    <vt:lpwstr>2024-05-31T01:03:58Z</vt:lpwstr>
  </property>
  <property fmtid="{D5CDD505-2E9C-101B-9397-08002B2CF9AE}" pid="4" name="MSIP_Label_d9d5a995-dfdf-4407-9a97-edbbc68c9f53_Method">
    <vt:lpwstr>Privileged</vt:lpwstr>
  </property>
  <property fmtid="{D5CDD505-2E9C-101B-9397-08002B2CF9AE}" pid="5" name="MSIP_Label_d9d5a995-dfdf-4407-9a97-edbbc68c9f53_Name">
    <vt:lpwstr>OFFICIAL</vt:lpwstr>
  </property>
  <property fmtid="{D5CDD505-2E9C-101B-9397-08002B2CF9AE}" pid="6" name="MSIP_Label_d9d5a995-dfdf-4407-9a97-edbbc68c9f53_SiteId">
    <vt:lpwstr>b33e9e1a-e443-4edd-9789-24bed26d38d6</vt:lpwstr>
  </property>
  <property fmtid="{D5CDD505-2E9C-101B-9397-08002B2CF9AE}" pid="7" name="MSIP_Label_d9d5a995-dfdf-4407-9a97-edbbc68c9f53_ActionId">
    <vt:lpwstr>a9a43afc-a59f-4591-bf05-2d2a70a796f8</vt:lpwstr>
  </property>
  <property fmtid="{D5CDD505-2E9C-101B-9397-08002B2CF9AE}" pid="8" name="MSIP_Label_d9d5a995-dfdf-4407-9a97-edbbc68c9f53_ContentBits">
    <vt:lpwstr>0</vt:lpwstr>
  </property>
</Properties>
</file>