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8. JGN 2025-30\2. Draft decision\Publication DD\final\"/>
    </mc:Choice>
  </mc:AlternateContent>
  <xr:revisionPtr revIDLastSave="0" documentId="13_ncr:1_{AE211B04-230C-4262-9D30-CF489F35E658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58" l="1"/>
  <c r="J95" i="2"/>
  <c r="K95" i="2"/>
  <c r="K102" i="2"/>
  <c r="J102" i="2"/>
  <c r="K101" i="2"/>
  <c r="J101" i="2"/>
  <c r="K100" i="2"/>
  <c r="J100" i="2"/>
  <c r="K99" i="2"/>
  <c r="J99" i="2"/>
  <c r="K98" i="2"/>
  <c r="J98" i="2"/>
  <c r="K97" i="2"/>
  <c r="J97" i="2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5" i="55"/>
  <c r="V85" i="55" l="1"/>
  <c r="V86" i="55"/>
  <c r="V87" i="55"/>
  <c r="V88" i="55"/>
  <c r="W32" i="53" l="1"/>
  <c r="W18" i="53"/>
  <c r="W19" i="53"/>
  <c r="W20" i="53"/>
  <c r="M93" i="2"/>
  <c r="L93" i="2"/>
  <c r="K93" i="2"/>
  <c r="X93" i="2" s="1"/>
  <c r="J93" i="2"/>
  <c r="V66" i="58"/>
  <c r="V67" i="58"/>
  <c r="V55" i="58"/>
  <c r="V45" i="58" l="1"/>
  <c r="V44" i="58"/>
  <c r="V22" i="58"/>
  <c r="V23" i="58"/>
  <c r="V24" i="58"/>
  <c r="V25" i="58"/>
  <c r="V26" i="58"/>
  <c r="V27" i="58"/>
  <c r="B2" i="55"/>
  <c r="T40" i="2" l="1"/>
  <c r="S40" i="2"/>
  <c r="R40" i="2"/>
  <c r="Q40" i="2"/>
  <c r="P40" i="2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E102" i="2"/>
  <c r="E101" i="2"/>
  <c r="E100" i="2"/>
  <c r="E99" i="2"/>
  <c r="E98" i="2"/>
  <c r="E97" i="2"/>
  <c r="C87" i="2"/>
  <c r="C88" i="2"/>
  <c r="C89" i="2"/>
  <c r="C90" i="2"/>
  <c r="C91" i="2"/>
  <c r="C86" i="2"/>
  <c r="L95" i="2"/>
  <c r="M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35" i="42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34" i="58"/>
  <c r="M43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23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M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57" i="58"/>
  <c r="K57" i="58"/>
  <c r="J57" i="58"/>
  <c r="M57" i="58"/>
  <c r="K12" i="42" l="1"/>
  <c r="S91" i="42"/>
  <c r="S31" i="42"/>
  <c r="R16" i="42"/>
  <c r="R75" i="42"/>
  <c r="R49" i="42"/>
  <c r="R33" i="42"/>
  <c r="L19" i="42"/>
  <c r="K91" i="42"/>
  <c r="S49" i="42"/>
  <c r="S75" i="42"/>
  <c r="K49" i="42"/>
  <c r="S46" i="42"/>
  <c r="S43" i="42"/>
  <c r="K107" i="42"/>
  <c r="S14" i="42"/>
  <c r="S33" i="42"/>
  <c r="K19" i="42"/>
  <c r="K106" i="42"/>
  <c r="K16" i="42"/>
  <c r="S40" i="42"/>
  <c r="K40" i="42"/>
  <c r="S10" i="42"/>
  <c r="S19" i="42"/>
  <c r="S21" i="42"/>
  <c r="R10" i="42"/>
  <c r="R91" i="42"/>
  <c r="R31" i="42"/>
  <c r="J91" i="42"/>
  <c r="R46" i="42"/>
  <c r="R14" i="42"/>
  <c r="R43" i="42"/>
  <c r="R19" i="42"/>
  <c r="R40" i="42"/>
  <c r="R21" i="42"/>
  <c r="R37" i="42"/>
  <c r="R12" i="42"/>
  <c r="R23" i="42"/>
  <c r="L106" i="42"/>
  <c r="S23" i="42"/>
  <c r="S37" i="42"/>
  <c r="K105" i="42"/>
  <c r="S16" i="42"/>
  <c r="K31" i="42"/>
  <c r="S12" i="42"/>
  <c r="L40" i="42"/>
  <c r="T75" i="42"/>
  <c r="T106" i="42"/>
  <c r="L75" i="42"/>
  <c r="T105" i="42"/>
  <c r="L16" i="42"/>
  <c r="T107" i="42"/>
  <c r="L105" i="42"/>
  <c r="L46" i="42"/>
  <c r="L49" i="42"/>
  <c r="L10" i="42"/>
  <c r="L91" i="42"/>
  <c r="L43" i="42"/>
  <c r="L23" i="42"/>
  <c r="L107" i="42"/>
  <c r="L37" i="42"/>
  <c r="P21" i="42"/>
  <c r="P23" i="42"/>
  <c r="M14" i="42"/>
  <c r="P16" i="42"/>
  <c r="P43" i="42"/>
  <c r="R10" i="53"/>
  <c r="F17" i="44"/>
  <c r="O21" i="42"/>
  <c r="O43" i="42"/>
  <c r="O12" i="42"/>
  <c r="P75" i="42"/>
  <c r="M49" i="2"/>
  <c r="M60" i="2" s="1"/>
  <c r="R26" i="53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R35" i="42"/>
  <c r="T58" i="42"/>
  <c r="T71" i="42" s="1" a="1"/>
  <c r="T71" i="42" s="1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16" i="53" l="1"/>
  <c r="L68" i="42" a="1"/>
  <c r="L68" i="42" s="1"/>
  <c r="J22" i="53"/>
  <c r="W12" i="53"/>
  <c r="W14" i="53"/>
  <c r="W31" i="53"/>
  <c r="W30" i="53"/>
  <c r="W29" i="53"/>
  <c r="V54" i="58"/>
  <c r="V52" i="58"/>
  <c r="V53" i="58"/>
  <c r="J28" i="42"/>
  <c r="V65" i="58"/>
  <c r="V20" i="58"/>
  <c r="V21" i="58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51" i="58"/>
  <c r="O68" i="42" a="1"/>
  <c r="O68" i="42" s="1"/>
  <c r="V19" i="58"/>
  <c r="V71" i="58"/>
  <c r="V69" i="58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P70" i="42" l="1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N77" i="42" l="1"/>
  <c r="T84" i="42"/>
  <c r="K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J77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94" i="42"/>
  <c r="S15" i="44" s="1"/>
  <c r="L29" i="42"/>
  <c r="N47" i="42"/>
  <c r="Q29" i="42"/>
  <c r="P47" i="42"/>
  <c r="P97" i="42"/>
  <c r="P18" i="44" s="1"/>
  <c r="Q97" i="42"/>
  <c r="Q18" i="44" s="1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T78" i="42"/>
  <c r="M50" i="42"/>
  <c r="L83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T41" i="42"/>
  <c r="M84" i="42"/>
  <c r="R41" i="42"/>
  <c r="T50" i="42"/>
  <c r="L47" i="42"/>
  <c r="R81" i="42"/>
  <c r="S85" i="42"/>
  <c r="K50" i="42"/>
  <c r="Q95" i="42"/>
  <c r="Q16" i="44" s="1"/>
  <c r="O50" i="42"/>
  <c r="T79" i="42"/>
  <c r="K95" i="42"/>
  <c r="K78" i="42"/>
  <c r="T82" i="42"/>
  <c r="N85" i="42"/>
  <c r="S47" i="42"/>
  <c r="M93" i="42"/>
  <c r="M14" i="44" s="1"/>
  <c r="K84" i="42"/>
  <c r="M95" i="42"/>
  <c r="L85" i="42"/>
  <c r="O77" i="42"/>
  <c r="Q50" i="42"/>
  <c r="P79" i="42"/>
  <c r="P77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L81" i="42"/>
  <c r="L77" i="42"/>
  <c r="R38" i="42"/>
  <c r="P81" i="42"/>
  <c r="O38" i="42"/>
  <c r="P41" i="42"/>
  <c r="O80" i="42"/>
  <c r="J26" i="2"/>
  <c r="T81" i="42"/>
  <c r="J94" i="42"/>
  <c r="O94" i="42"/>
  <c r="O15" i="44" s="1"/>
  <c r="K82" i="42"/>
  <c r="R85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L99" i="42" l="1"/>
  <c r="S52" i="42"/>
  <c r="S54" i="42" s="1"/>
  <c r="P52" i="42"/>
  <c r="P54" i="42" s="1"/>
  <c r="T99" i="42"/>
  <c r="Q52" i="42"/>
  <c r="Q54" i="42" s="1"/>
  <c r="R52" i="42"/>
  <c r="R54" i="42" s="1"/>
  <c r="K52" i="42"/>
  <c r="K54" i="42" s="1"/>
  <c r="N87" i="42"/>
  <c r="J99" i="42"/>
  <c r="O52" i="42"/>
  <c r="O54" i="42" s="1"/>
  <c r="J52" i="42"/>
  <c r="K99" i="42"/>
  <c r="N99" i="42"/>
  <c r="M99" i="42"/>
  <c r="M16" i="44"/>
  <c r="M87" i="42"/>
  <c r="J87" i="42"/>
  <c r="L87" i="42"/>
  <c r="K87" i="42"/>
  <c r="T87" i="42"/>
  <c r="K28" i="2"/>
  <c r="L27" i="2"/>
  <c r="L26" i="2"/>
  <c r="J54" i="42" l="1"/>
  <c r="L31" i="42" l="1"/>
  <c r="L35" i="42" l="1"/>
  <c r="L33" i="42"/>
  <c r="L52" i="42" s="1"/>
  <c r="L54" i="42" l="1"/>
  <c r="M106" i="42" l="1"/>
  <c r="M107" i="42" s="1"/>
  <c r="M105" i="42"/>
  <c r="M13" i="44" s="1"/>
  <c r="I71" i="55" l="1"/>
  <c r="V71" i="55" s="1"/>
  <c r="I72" i="55" l="1"/>
  <c r="V72" i="55" s="1"/>
  <c r="I73" i="55" l="1"/>
  <c r="V73" i="55" s="1"/>
  <c r="I74" i="55"/>
  <c r="I75" i="55" l="1"/>
  <c r="V75" i="55" s="1"/>
  <c r="V74" i="55"/>
  <c r="M12" i="2"/>
  <c r="M18" i="2" l="1"/>
  <c r="M28" i="2" s="1"/>
  <c r="M29" i="2"/>
  <c r="L19" i="2"/>
  <c r="M17" i="2"/>
  <c r="M27" i="2" s="1"/>
  <c r="M16" i="2"/>
  <c r="M26" i="2" s="1"/>
  <c r="K19" i="2" l="1"/>
  <c r="L29" i="2"/>
  <c r="K29" i="2" l="1"/>
  <c r="J19" i="2"/>
  <c r="J29" i="2" s="1"/>
  <c r="M31" i="42" l="1"/>
  <c r="M35" i="42" l="1"/>
  <c r="M33" i="42"/>
  <c r="M52" i="42" s="1"/>
  <c r="M54" i="42" l="1"/>
  <c r="N105" i="42" l="1"/>
  <c r="N13" i="44" s="1"/>
  <c r="N106" i="42" l="1"/>
  <c r="N107" i="42" s="1"/>
  <c r="H76" i="55" l="1"/>
  <c r="I76" i="55" s="1"/>
  <c r="V76" i="55" s="1"/>
  <c r="H77" i="55"/>
  <c r="I77" i="55" s="1"/>
  <c r="V77" i="55" s="1"/>
  <c r="H78" i="55"/>
  <c r="H82" i="55" s="1"/>
  <c r="H86" i="55" l="1"/>
  <c r="I86" i="55" s="1"/>
  <c r="I82" i="55"/>
  <c r="O12" i="2" s="1"/>
  <c r="O31" i="2" s="1"/>
  <c r="I78" i="55"/>
  <c r="H80" i="55"/>
  <c r="H79" i="55" s="1"/>
  <c r="I79" i="55" s="1"/>
  <c r="V79" i="55" s="1"/>
  <c r="V82" i="55" l="1"/>
  <c r="H90" i="55"/>
  <c r="I90" i="55" s="1"/>
  <c r="O20" i="2"/>
  <c r="O30" i="2" s="1"/>
  <c r="N21" i="2"/>
  <c r="V78" i="55"/>
  <c r="N12" i="2"/>
  <c r="M21" i="2" s="1"/>
  <c r="I80" i="55"/>
  <c r="V80" i="55" s="1"/>
  <c r="H81" i="55"/>
  <c r="I81" i="55" s="1"/>
  <c r="V81" i="55" s="1"/>
  <c r="H84" i="55"/>
  <c r="N13" i="42"/>
  <c r="N26" i="42" s="1"/>
  <c r="N20" i="42"/>
  <c r="H94" i="55" l="1"/>
  <c r="I94" i="55" s="1"/>
  <c r="N31" i="2"/>
  <c r="V1" i="55"/>
  <c r="G11" i="16" s="1"/>
  <c r="N30" i="2"/>
  <c r="N18" i="2"/>
  <c r="N16" i="2"/>
  <c r="N17" i="2"/>
  <c r="M20" i="2"/>
  <c r="N19" i="2"/>
  <c r="L21" i="2"/>
  <c r="M31" i="2"/>
  <c r="H88" i="55"/>
  <c r="H83" i="55"/>
  <c r="I83" i="55" s="1"/>
  <c r="I84" i="55"/>
  <c r="H85" i="55"/>
  <c r="I85" i="55" s="1"/>
  <c r="M20" i="42" l="1"/>
  <c r="H98" i="55"/>
  <c r="I98" i="55" s="1"/>
  <c r="N29" i="2"/>
  <c r="O19" i="2"/>
  <c r="M30" i="2"/>
  <c r="L20" i="2"/>
  <c r="O17" i="2"/>
  <c r="O27" i="2" s="1"/>
  <c r="N27" i="2"/>
  <c r="N26" i="2"/>
  <c r="O16" i="2"/>
  <c r="N28" i="2"/>
  <c r="O18" i="2"/>
  <c r="O28" i="2" s="1"/>
  <c r="K21" i="2"/>
  <c r="L31" i="2"/>
  <c r="I88" i="55"/>
  <c r="H89" i="55"/>
  <c r="I89" i="55" s="1"/>
  <c r="H92" i="55"/>
  <c r="H87" i="55"/>
  <c r="I87" i="55" s="1"/>
  <c r="L20" i="42"/>
  <c r="N40" i="42" l="1"/>
  <c r="N41" i="42" s="1"/>
  <c r="V64" i="58"/>
  <c r="O29" i="2"/>
  <c r="M47" i="58"/>
  <c r="M12" i="42" s="1"/>
  <c r="M13" i="42" s="1"/>
  <c r="M26" i="42" s="1"/>
  <c r="V42" i="58"/>
  <c r="K20" i="2"/>
  <c r="L30" i="2"/>
  <c r="N22" i="42"/>
  <c r="L24" i="42"/>
  <c r="L15" i="42"/>
  <c r="O17" i="42"/>
  <c r="S24" i="42"/>
  <c r="L22" i="42"/>
  <c r="Q17" i="42"/>
  <c r="M22" i="42"/>
  <c r="M15" i="42"/>
  <c r="P24" i="42"/>
  <c r="S22" i="42"/>
  <c r="O26" i="2"/>
  <c r="O24" i="42"/>
  <c r="J17" i="42"/>
  <c r="Q15" i="42"/>
  <c r="L17" i="42"/>
  <c r="P15" i="42"/>
  <c r="T17" i="42"/>
  <c r="N17" i="42"/>
  <c r="N24" i="42"/>
  <c r="S17" i="42"/>
  <c r="R17" i="42"/>
  <c r="K24" i="42"/>
  <c r="Q24" i="42"/>
  <c r="O22" i="42"/>
  <c r="K22" i="42"/>
  <c r="M24" i="42"/>
  <c r="T22" i="42"/>
  <c r="J24" i="42"/>
  <c r="R15" i="42"/>
  <c r="Q22" i="42"/>
  <c r="T24" i="42"/>
  <c r="J22" i="42"/>
  <c r="O15" i="42"/>
  <c r="P22" i="42"/>
  <c r="R24" i="42"/>
  <c r="P17" i="42"/>
  <c r="T15" i="42"/>
  <c r="J15" i="42"/>
  <c r="S15" i="42"/>
  <c r="K17" i="42"/>
  <c r="M17" i="42"/>
  <c r="R22" i="42"/>
  <c r="K15" i="42"/>
  <c r="N15" i="42"/>
  <c r="H93" i="55"/>
  <c r="I93" i="55" s="1"/>
  <c r="H96" i="55"/>
  <c r="I92" i="55"/>
  <c r="H91" i="55"/>
  <c r="I91" i="55" s="1"/>
  <c r="K20" i="42"/>
  <c r="K13" i="42"/>
  <c r="K26" i="42" s="1"/>
  <c r="K31" i="2"/>
  <c r="J21" i="2"/>
  <c r="J31" i="2" s="1"/>
  <c r="N31" i="42" l="1"/>
  <c r="J20" i="2"/>
  <c r="J30" i="2" s="1"/>
  <c r="K30" i="2"/>
  <c r="J13" i="42"/>
  <c r="J26" i="42" s="1"/>
  <c r="J20" i="42"/>
  <c r="N35" i="42" s="1"/>
  <c r="I96" i="55"/>
  <c r="H100" i="55"/>
  <c r="H97" i="55"/>
  <c r="I97" i="55" s="1"/>
  <c r="H95" i="55"/>
  <c r="I95" i="55" s="1"/>
  <c r="I100" i="55" l="1"/>
  <c r="H99" i="55"/>
  <c r="I99" i="55" s="1"/>
  <c r="J47" i="58" l="1"/>
  <c r="V43" i="58"/>
  <c r="K47" i="58"/>
  <c r="L47" i="58"/>
  <c r="L12" i="42" s="1"/>
  <c r="L13" i="42" s="1"/>
  <c r="L26" i="42" s="1"/>
  <c r="N33" i="42" l="1"/>
  <c r="R80" i="42" l="1"/>
  <c r="S80" i="42"/>
  <c r="W15" i="53"/>
  <c r="P80" i="42"/>
  <c r="Q80" i="42"/>
  <c r="W17" i="53" l="1"/>
  <c r="O82" i="42"/>
  <c r="S82" i="42"/>
  <c r="R82" i="42"/>
  <c r="Q82" i="42"/>
  <c r="P82" i="42"/>
  <c r="N37" i="42" l="1"/>
  <c r="N38" i="42" s="1"/>
  <c r="V63" i="58"/>
  <c r="G12" i="16" s="1"/>
  <c r="N52" i="42" l="1"/>
  <c r="O34" i="53"/>
  <c r="O93" i="42"/>
  <c r="P34" i="53"/>
  <c r="P93" i="42"/>
  <c r="Q34" i="53"/>
  <c r="Q93" i="42"/>
  <c r="S34" i="53"/>
  <c r="S93" i="42"/>
  <c r="Q78" i="42" l="1"/>
  <c r="Q87" i="42" s="1"/>
  <c r="Q22" i="53"/>
  <c r="P78" i="42"/>
  <c r="P87" i="42" s="1"/>
  <c r="P22" i="53"/>
  <c r="S78" i="42"/>
  <c r="S87" i="42" s="1"/>
  <c r="S22" i="53"/>
  <c r="N54" i="42"/>
  <c r="R78" i="42"/>
  <c r="R87" i="42" s="1"/>
  <c r="R22" i="53"/>
  <c r="O14" i="44"/>
  <c r="O99" i="42"/>
  <c r="S14" i="44"/>
  <c r="S99" i="42"/>
  <c r="Q14" i="44"/>
  <c r="Q99" i="42"/>
  <c r="P14" i="44"/>
  <c r="P99" i="42"/>
  <c r="R34" i="53"/>
  <c r="W34" i="53" s="1"/>
  <c r="R93" i="42"/>
  <c r="W28" i="53"/>
  <c r="S105" i="42" l="1"/>
  <c r="S13" i="44" s="1"/>
  <c r="P105" i="42"/>
  <c r="P13" i="44" s="1"/>
  <c r="R105" i="42"/>
  <c r="R13" i="44" s="1"/>
  <c r="Q105" i="42"/>
  <c r="Q13" i="44" s="1"/>
  <c r="W13" i="53"/>
  <c r="O78" i="42"/>
  <c r="O22" i="53"/>
  <c r="W22" i="53" s="1"/>
  <c r="P106" i="42"/>
  <c r="R14" i="44"/>
  <c r="R99" i="42"/>
  <c r="Q106" i="42"/>
  <c r="S106" i="42"/>
  <c r="O87" i="42" l="1"/>
  <c r="R106" i="42"/>
  <c r="O106" i="42" l="1"/>
  <c r="O105" i="42"/>
  <c r="O13" i="44" s="1"/>
  <c r="O42" i="53" l="1"/>
  <c r="O107" i="42"/>
  <c r="P42" i="53" l="1"/>
  <c r="P107" i="42"/>
  <c r="Q42" i="53" l="1"/>
  <c r="Q107" i="42"/>
  <c r="R42" i="53" l="1"/>
  <c r="R107" i="42"/>
  <c r="S42" i="53" l="1"/>
  <c r="W42" i="53" s="1"/>
  <c r="S1" i="53" s="1"/>
  <c r="G14" i="16" s="1"/>
  <c r="S1" i="16" s="1"/>
  <c r="S107" i="42"/>
  <c r="W1" i="42" l="1"/>
  <c r="V1" i="58"/>
  <c r="X1" i="2"/>
  <c r="V1" i="4"/>
  <c r="Y1" i="55"/>
  <c r="W1" i="44"/>
  <c r="V1" i="54"/>
  <c r="V1" i="53"/>
</calcChain>
</file>

<file path=xl/sharedStrings.xml><?xml version="1.0" encoding="utf-8"?>
<sst xmlns="http://schemas.openxmlformats.org/spreadsheetml/2006/main" count="782" uniqueCount="226">
  <si>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</si>
  <si>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</si>
  <si>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</si>
  <si>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</si>
  <si>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</si>
  <si>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</si>
  <si>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</si>
  <si>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</si>
  <si>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</si>
  <si>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</si>
  <si>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</si>
  <si>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</si>
  <si>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</si>
  <si>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</si>
  <si>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</si>
  <si>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</si>
  <si>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</si>
  <si>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</si>
  <si>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</si>
  <si>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</si>
  <si>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</si>
  <si>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</si>
  <si>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</si>
  <si>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</si>
  <si>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</si>
  <si>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</si>
  <si>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</si>
  <si>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</si>
  <si>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</si>
  <si>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</si>
  <si>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</si>
  <si>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</si>
  <si>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</si>
  <si>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</si>
  <si>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</si>
  <si>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</si>
  <si>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</si>
  <si>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</si>
  <si>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</si>
  <si>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</si>
  <si>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</si>
  <si>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</si>
  <si>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</si>
  <si>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</si>
  <si>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</si>
  <si>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</si>
  <si>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</si>
  <si>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</si>
  <si>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</si>
  <si>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</si>
  <si>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</si>
  <si>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</si>
  <si>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</si>
  <si>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</si>
  <si>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</si>
  <si>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</si>
  <si>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</si>
  <si>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</si>
  <si>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</si>
  <si>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</si>
  <si>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</si>
  <si>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</si>
  <si>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</si>
  <si>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</si>
  <si>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</si>
  <si>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</si>
  <si>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</si>
  <si>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</si>
  <si>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</si>
  <si>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</si>
  <si>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</si>
  <si>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</si>
  <si>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</si>
  <si>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</si>
  <si>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</si>
  <si>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</si>
  <si>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</si>
  <si>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</si>
  <si>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</si>
  <si>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</si>
  <si>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</si>
  <si>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</si>
  <si>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</si>
  <si>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</si>
  <si>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</si>
  <si>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</si>
  <si>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</si>
  <si>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</si>
  <si>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</si>
  <si>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</si>
  <si>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</si>
  <si>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</si>
  <si>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</si>
  <si>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</si>
  <si>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</si>
  <si>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</si>
  <si>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</si>
  <si>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</si>
  <si>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</si>
  <si>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</si>
  <si>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</si>
  <si>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</si>
  <si>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</si>
  <si>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</si>
  <si>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</si>
  <si>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</si>
  <si>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</si>
  <si>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</si>
  <si>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</si>
  <si>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</si>
  <si>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</si>
  <si>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</si>
  <si>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</si>
  <si>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</si>
  <si>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</si>
  <si>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</si>
  <si>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</si>
  <si>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</si>
  <si>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</si>
  <si>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</si>
  <si>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</si>
  <si>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</si>
  <si>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</si>
  <si>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</si>
  <si>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</si>
  <si>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</si>
  <si>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</si>
  <si>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</si>
  <si>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</si>
  <si>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</si>
  <si>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</si>
  <si>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</si>
  <si>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</si>
  <si>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</si>
  <si>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</si>
  <si>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</si>
  <si>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</si>
  <si>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</si>
  <si>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</si>
  <si>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</si>
  <si>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</si>
  <si>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</si>
  <si>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</si>
  <si>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</si>
  <si>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</si>
  <si>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</si>
  <si>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</si>
  <si>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</si>
  <si>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</si>
  <si>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</si>
  <si>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</si>
  <si>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Output weights</t>
  </si>
  <si>
    <t>Forecast output growth</t>
  </si>
  <si>
    <t>Total opex to be trended</t>
  </si>
  <si>
    <t>Non-recurrent efficiency gain in the base year</t>
  </si>
  <si>
    <t>Categories of opex to be excluded from forecast opex (excluding category specific forecasts)</t>
  </si>
  <si>
    <t>Previous period year 0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</si>
  <si>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</si>
  <si>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</si>
  <si>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</si>
  <si>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</si>
  <si>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</si>
  <si>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</si>
  <si>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</si>
  <si>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</si>
  <si>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</si>
  <si>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</si>
  <si>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</si>
  <si>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</si>
  <si>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</si>
  <si>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WPI - average</t>
  </si>
  <si>
    <t>Customer numbers (#)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</si>
  <si>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</si>
  <si>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</si>
  <si>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</si>
  <si>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</si>
  <si>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</si>
  <si>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</si>
  <si>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</si>
  <si>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RBA</t>
  </si>
  <si>
    <t>Forecast annual CPI growth</t>
  </si>
  <si>
    <t>Forecast and actual index value</t>
  </si>
  <si>
    <t>Output elasticities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</si>
  <si>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</si>
  <si>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</si>
  <si>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</si>
  <si>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</si>
  <si>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</si>
  <si>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</si>
  <si>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</si>
  <si>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</si>
  <si>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</si>
  <si>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</si>
  <si>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</si>
  <si>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</si>
  <si>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</si>
  <si>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</si>
  <si>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</si>
  <si>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</si>
  <si>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Total UAG (tariff and demand market)</t>
  </si>
  <si>
    <t>Total Government levies (Mains tax and licence fees)</t>
  </si>
  <si>
    <t xml:space="preserve">Movement in Provisions </t>
  </si>
  <si>
    <t>Specific Forecasts - UAG</t>
  </si>
  <si>
    <t>Specific Forecasts - Gov. levies</t>
  </si>
  <si>
    <t>Specific Forecasts - Debt raising costs</t>
  </si>
  <si>
    <t>New IFRS treatment - SaaS implementation costs in base year</t>
  </si>
  <si>
    <t>Incremental ICT project opex</t>
  </si>
  <si>
    <t>Estimated base year ancillary service opex</t>
  </si>
  <si>
    <t>SaaS costs that would have been capitalised under old IFRS</t>
  </si>
  <si>
    <t>Jemmena Gas Network</t>
  </si>
  <si>
    <t>Support for customers experiencing vulnerability</t>
  </si>
  <si>
    <t>ICT services for new recurrent projects</t>
  </si>
  <si>
    <t>Emissions measurement – Picarro leak detection services</t>
  </si>
  <si>
    <t>Pipeline Integrity Management Program</t>
  </si>
  <si>
    <t>UAG costs</t>
  </si>
  <si>
    <t>License fees</t>
  </si>
  <si>
    <t>Safeguard mechanism costs</t>
  </si>
  <si>
    <t>Estimate: midpoint target inflation band</t>
  </si>
  <si>
    <t>Estimate: RBA, Statement on monetary policy (SoMP), August 2024.</t>
  </si>
  <si>
    <t>WPI - DAE</t>
  </si>
  <si>
    <t>WPI - BIS Oxford Economics</t>
  </si>
  <si>
    <t>SFA</t>
  </si>
  <si>
    <t>GLS</t>
  </si>
  <si>
    <t>Mains Length (km)</t>
  </si>
  <si>
    <t>Emissions reduction – Climate change reporting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</si>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</sst>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  <numFmt numFmtId="211" formatCode="#,##0.00_ ;\-#,##0.0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07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  <xf numFmtId="0" fontId="15" fillId="38" borderId="29" applyNumberFormat="0" applyFont="0" applyFill="0" applyAlignment="0" applyProtection="0">
      <alignment horizontal="center" vertical="center"/>
    </xf>
  </cellStyleXfs>
  <cellXfs count="21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2" fontId="20" fillId="0" borderId="0" xfId="0" applyNumberFormat="1" applyFont="1" applyAlignment="1" applyProtection="1">
      <alignment horizontal="center"/>
      <protection locked="0"/>
    </xf>
    <xf numFmtId="49" fontId="20" fillId="41" borderId="3" xfId="0" applyNumberFormat="1" applyFont="1" applyFill="1" applyBorder="1" applyAlignment="1" applyProtection="1">
      <alignment horizontal="left" indent="1"/>
      <protection locked="0"/>
    </xf>
    <xf numFmtId="166" fontId="12" fillId="0" borderId="0" xfId="0" applyNumberFormat="1" applyFont="1" applyBorder="1" applyAlignment="1">
      <alignment horizontal="center"/>
    </xf>
    <xf numFmtId="197" fontId="6" fillId="0" borderId="0" xfId="150" applyNumberFormat="1" applyFont="1" applyAlignment="1">
      <alignment horizontal="left"/>
    </xf>
    <xf numFmtId="195" fontId="6" fillId="0" borderId="0" xfId="150" applyNumberFormat="1" applyFont="1" applyProtection="1">
      <protection locked="0"/>
    </xf>
    <xf numFmtId="168" fontId="6" fillId="0" borderId="0" xfId="150" applyNumberFormat="1" applyFont="1"/>
    <xf numFmtId="211" fontId="0" fillId="0" borderId="0" xfId="0" applyNumberFormat="1" applyFont="1"/>
    <xf numFmtId="2" fontId="0" fillId="0" borderId="0" xfId="0" applyNumberFormat="1" applyFont="1" applyAlignment="1" applyProtection="1">
      <alignment horizontal="left"/>
      <protection locked="0"/>
    </xf>
    <xf numFmtId="10" fontId="6" fillId="41" borderId="3" xfId="4" applyNumberFormat="1" applyFont="1" applyFill="1" applyBorder="1" applyAlignment="1" applyProtection="1">
      <alignment horizontal="center"/>
      <protection locked="0"/>
    </xf>
    <xf numFmtId="194" fontId="8" fillId="8" borderId="26" xfId="9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82" fontId="15" fillId="0" borderId="0" xfId="2" applyNumberFormat="1" applyFont="1" applyFill="1" applyBorder="1" applyAlignment="1" applyProtection="1">
      <alignment horizontal="center"/>
      <protection locked="0"/>
    </xf>
    <xf numFmtId="196" fontId="15" fillId="0" borderId="0" xfId="2" applyNumberFormat="1" applyFont="1" applyFill="1" applyBorder="1" applyAlignment="1" applyProtection="1">
      <alignment horizontal="center"/>
      <protection locked="0"/>
    </xf>
    <xf numFmtId="168" fontId="15" fillId="51" borderId="3" xfId="0" applyNumberFormat="1" applyFont="1" applyFill="1" applyBorder="1" applyAlignment="1" applyProtection="1">
      <alignment horizontal="left" indent="1"/>
      <protection locked="0"/>
    </xf>
    <xf numFmtId="0" fontId="74" fillId="38" borderId="2" xfId="0" applyFont="1" applyFill="1" applyBorder="1" applyAlignment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Q Unique" xfId="306" xr:uid="{19A59794-6696-4E35-BA66-FB0E822DAE3C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aug/outlook.html" TargetMode="External"/><Relationship Id="rId2" Type="http://schemas.openxmlformats.org/officeDocument/2006/relationships/hyperlink" Target="https://www.rba.gov.au/publications/smp/2024/aug/outlook.html" TargetMode="External"/><Relationship Id="rId1" Type="http://schemas.openxmlformats.org/officeDocument/2006/relationships/hyperlink" Target="https://www.rba.gov.au/publications/smp/2024/aug/outlook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4/aug/outlook.html" TargetMode="External"/><Relationship Id="rId4" Type="http://schemas.openxmlformats.org/officeDocument/2006/relationships/hyperlink" Target="https://www.rba.gov.au/publications/smp/2024/aug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198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187" t="s">
        <v>57</v>
      </c>
      <c r="D7" s="8" t="s">
        <v>185</v>
      </c>
    </row>
    <row r="8" spans="1:30">
      <c r="C8" s="187" t="s">
        <v>35</v>
      </c>
      <c r="D8" s="8" t="s">
        <v>91</v>
      </c>
    </row>
    <row r="9" spans="1:30">
      <c r="C9" s="187" t="s">
        <v>54</v>
      </c>
      <c r="D9" s="8" t="s">
        <v>191</v>
      </c>
    </row>
    <row r="10" spans="1:30">
      <c r="C10" s="187" t="s">
        <v>166</v>
      </c>
      <c r="D10" s="8" t="s">
        <v>186</v>
      </c>
    </row>
    <row r="11" spans="1:30">
      <c r="C11" s="187" t="s">
        <v>56</v>
      </c>
      <c r="D11" s="8" t="s">
        <v>187</v>
      </c>
    </row>
    <row r="12" spans="1:30">
      <c r="C12" s="187" t="s">
        <v>167</v>
      </c>
      <c r="D12" s="8" t="s">
        <v>188</v>
      </c>
    </row>
    <row r="13" spans="1:30">
      <c r="C13" s="187" t="s">
        <v>168</v>
      </c>
      <c r="D13" s="8" t="s">
        <v>189</v>
      </c>
    </row>
    <row r="14" spans="1:30">
      <c r="C14" s="187" t="s">
        <v>50</v>
      </c>
      <c r="D14" s="8" t="s">
        <v>55</v>
      </c>
    </row>
    <row r="15" spans="1:30">
      <c r="C15" s="187" t="s">
        <v>25</v>
      </c>
      <c r="D15" s="8" t="s">
        <v>190</v>
      </c>
    </row>
    <row r="16" spans="1:30" ht="12.75">
      <c r="C16" s="10"/>
      <c r="D16" s="7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S14" sqref="S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89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>
      <c r="C7" s="8" t="s">
        <v>59</v>
      </c>
      <c r="D7" s="16" t="s">
        <v>63</v>
      </c>
      <c r="E7" s="8"/>
      <c r="F7" s="8"/>
      <c r="G7" s="39" t="s">
        <v>209</v>
      </c>
      <c r="H7" s="8"/>
      <c r="I7" s="8"/>
      <c r="S7" s="81" t="str">
        <f>IF(COUNTBLANK($G7),"Check","Ok")</f>
        <v>Ok</v>
      </c>
    </row>
    <row r="8" spans="1:30">
      <c r="C8" s="8" t="s">
        <v>125</v>
      </c>
      <c r="D8" s="16" t="s">
        <v>64</v>
      </c>
      <c r="E8" s="8"/>
      <c r="F8" s="8"/>
      <c r="G8" s="39" t="s">
        <v>175</v>
      </c>
      <c r="H8" s="8"/>
      <c r="I8" s="8"/>
      <c r="S8" s="81" t="str">
        <f>IF(COUNTBLANK($G8),"Check","Ok")</f>
        <v>Ok</v>
      </c>
    </row>
    <row r="9" spans="1:30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183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184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169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W14:W16">
    <cfRule type="cellIs" dxfId="237" priority="13" operator="equal">
      <formula>"Check"</formula>
    </cfRule>
    <cfRule type="cellIs" dxfId="236" priority="14" operator="equal">
      <formula>"Ok"</formula>
    </cfRule>
  </conditionalFormatting>
  <conditionalFormatting sqref="V1">
    <cfRule type="cellIs" dxfId="235" priority="3" operator="equal">
      <formula>"Check"</formula>
    </cfRule>
    <cfRule type="cellIs" dxfId="234" priority="4" operator="equal">
      <formula>"Ok"</formula>
    </cfRule>
  </conditionalFormatting>
  <conditionalFormatting sqref="S7:S15">
    <cfRule type="cellIs" dxfId="233" priority="5" operator="equal">
      <formula>"Check"</formula>
    </cfRule>
    <cfRule type="cellIs" dxfId="232" priority="6" operator="equal">
      <formula>"Ok"</formula>
    </cfRule>
  </conditionalFormatting>
  <conditionalFormatting sqref="S1">
    <cfRule type="cellIs" dxfId="231" priority="1" operator="equal">
      <formula>"Check"</formula>
    </cfRule>
    <cfRule type="cellIs" dxfId="230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12"/>
  <sheetViews>
    <sheetView showGridLines="0" workbookViewId="0">
      <selection activeCell="X1" sqref="X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8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IF(COUNTA($V$5:$V$101)=COUNTIF($V5:$V102,"OK"),"OK","Check")</f>
        <v>OK</v>
      </c>
      <c r="X1" s="189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92</v>
      </c>
      <c r="E6" s="47" t="s">
        <v>123</v>
      </c>
      <c r="F6" s="47" t="s">
        <v>92</v>
      </c>
      <c r="G6" s="47" t="s">
        <v>180</v>
      </c>
      <c r="H6" s="47" t="s">
        <v>181</v>
      </c>
      <c r="I6" s="47" t="s">
        <v>123</v>
      </c>
      <c r="J6" s="47"/>
      <c r="K6" s="8"/>
      <c r="L6" s="8"/>
    </row>
    <row r="7" spans="1:33">
      <c r="C7" s="9" t="s">
        <v>7</v>
      </c>
      <c r="D7" s="50" t="s">
        <v>90</v>
      </c>
      <c r="E7" s="50" t="s">
        <v>30</v>
      </c>
      <c r="F7" s="50" t="s">
        <v>90</v>
      </c>
      <c r="G7" s="50" t="s">
        <v>179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195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195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195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195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195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195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195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195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195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195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195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195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196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196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196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196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196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196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196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196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196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196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196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196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196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196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196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196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196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196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196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196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196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196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196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196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196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196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196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196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196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196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196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196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196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196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196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196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196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196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196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196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196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196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196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196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196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196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196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196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196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196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196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196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196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196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6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196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196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1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196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196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1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196" t="s">
        <v>225</v>
      </c>
      <c r="G79" s="110"/>
      <c r="H79" s="117">
        <f>IF(F79="",IF(COUNT(G79:G$88)=0,"",IF(ISBLANK(G79),AVERAGE(H78,H80),(1+G79)*H75)),F79)</f>
        <v>139.4915</v>
      </c>
      <c r="I79" s="72">
        <f>IF(H79="","",H79/H75-1)</f>
        <v>3.0979305247597955E-2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196" t="s">
        <v>225</v>
      </c>
      <c r="G80" s="110">
        <v>0.03</v>
      </c>
      <c r="H80" s="117">
        <f>IF(F80="",IF(COUNT(G80:G$88)=0,"",IF(ISBLANK(G80),AVERAGE(H79,H81),(1+G80)*H76)),F80)</f>
        <v>140.18299999999999</v>
      </c>
      <c r="I80" s="72">
        <f t="shared" ref="I80:I84" si="3">IF(H80="","",H80/H76-1)</f>
        <v>3.0000000000000027E-2</v>
      </c>
      <c r="J80" s="186" t="s">
        <v>218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3:22">
      <c r="C81" s="49">
        <v>45747</v>
      </c>
      <c r="D81" s="8"/>
      <c r="E81" s="8"/>
      <c r="F81" s="196" t="s">
        <v>225</v>
      </c>
      <c r="G81" s="110"/>
      <c r="H81" s="117">
        <f>IF(F81="",IF(COUNT(G81:G$88)=0,"",IF(ISBLANK(G81),AVERAGE(H80,H82),(1+G81)*H77)),F81)</f>
        <v>141.43470000000002</v>
      </c>
      <c r="I81" s="72">
        <f t="shared" si="3"/>
        <v>2.9364628820960803E-2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3:22">
      <c r="C82" s="49">
        <v>45838</v>
      </c>
      <c r="D82" s="8"/>
      <c r="E82" s="8"/>
      <c r="F82" s="196" t="s">
        <v>225</v>
      </c>
      <c r="G82" s="110">
        <v>2.8000000000000001E-2</v>
      </c>
      <c r="H82" s="117">
        <f>IF(F82="",IF(COUNT(G82:G$88)=0,"",IF(ISBLANK(G82),AVERAGE(H81,H83),(1+G82)*H78)),F82)</f>
        <v>142.68640000000002</v>
      </c>
      <c r="I82" s="72">
        <f t="shared" si="3"/>
        <v>2.8000000000000025E-2</v>
      </c>
      <c r="J82" s="186" t="s">
        <v>218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3:22">
      <c r="C83" s="49">
        <v>45930</v>
      </c>
      <c r="D83" s="8"/>
      <c r="E83" s="8"/>
      <c r="F83" s="196" t="s">
        <v>225</v>
      </c>
      <c r="G83" s="110"/>
      <c r="H83" s="117">
        <f>IF(F83="",IF(COUNT(G83:G$88)=0,"",IF(ISBLANK(G83),AVERAGE(H82,H84),(1+G83)*H79)),F83)</f>
        <v>144.0280855</v>
      </c>
      <c r="I83" s="72">
        <f t="shared" si="3"/>
        <v>3.2522307810870288E-2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3:22">
      <c r="C84" s="49">
        <v>46022</v>
      </c>
      <c r="D84" s="8"/>
      <c r="E84" s="8"/>
      <c r="F84" s="196" t="s">
        <v>225</v>
      </c>
      <c r="G84" s="110">
        <v>3.6999999999999998E-2</v>
      </c>
      <c r="H84" s="117">
        <f>IF(F84="",IF(COUNT(G84:G$88)=0,"",IF(ISBLANK(G84),AVERAGE(H83,H85),(1+G84)*H80)),F84)</f>
        <v>145.36977099999999</v>
      </c>
      <c r="I84" s="72">
        <f t="shared" si="3"/>
        <v>3.6999999999999922E-2</v>
      </c>
      <c r="J84" s="186" t="s">
        <v>218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3:22">
      <c r="C85" s="49">
        <v>46112</v>
      </c>
      <c r="D85" s="8"/>
      <c r="E85" s="8"/>
      <c r="F85" s="196" t="s">
        <v>225</v>
      </c>
      <c r="G85" s="110"/>
      <c r="H85" s="117">
        <f>IF(F85="",IF(COUNT(G85:G$88)=0,"",IF(ISBLANK(G85),AVERAGE(H84,H86),(1+G85)*H81)),F85)</f>
        <v>146.31106790000001</v>
      </c>
      <c r="I85" s="72">
        <f t="shared" ref="I85:I87" si="4">IF(H85="","",H85/H81-1)</f>
        <v>3.4477874948651177E-2</v>
      </c>
      <c r="J85" s="116"/>
      <c r="K85" s="8"/>
      <c r="L85" s="8"/>
      <c r="V85" s="81" t="str">
        <f>IF(C85&gt;EOMONTH(DATE('Input|General'!$G$12,MONTH('Input|General'!$G$9),1),0),"Ok",IF(I85="","Check","Ok"))</f>
        <v>Ok</v>
      </c>
    </row>
    <row r="86" spans="3:22">
      <c r="C86" s="49">
        <v>46203</v>
      </c>
      <c r="D86" s="8"/>
      <c r="E86" s="8"/>
      <c r="F86" s="196" t="s">
        <v>225</v>
      </c>
      <c r="G86" s="110">
        <v>3.2000000000000001E-2</v>
      </c>
      <c r="H86" s="117">
        <f>IF(F86="",IF(COUNT(G86:G$88)=0,"",IF(ISBLANK(G86),AVERAGE(H85,H87),(1+G86)*H82)),F86)</f>
        <v>147.25236480000004</v>
      </c>
      <c r="I86" s="72">
        <f t="shared" si="4"/>
        <v>3.2000000000000028E-2</v>
      </c>
      <c r="J86" s="186" t="s">
        <v>218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3:22">
      <c r="C87" s="49">
        <v>46295</v>
      </c>
      <c r="D87" s="8"/>
      <c r="E87" s="8"/>
      <c r="F87" s="196" t="s">
        <v>225</v>
      </c>
      <c r="G87" s="110"/>
      <c r="H87" s="117">
        <f>IF(F87="",IF(COUNT(G87:G$88)=0,"",IF(ISBLANK(G87),AVERAGE(H86,H88),(1+G87)*H83)),F87)</f>
        <v>148.20087492300001</v>
      </c>
      <c r="I87" s="72">
        <f t="shared" si="4"/>
        <v>2.8972053669351849E-2</v>
      </c>
      <c r="J87" s="116"/>
      <c r="K87" s="8"/>
      <c r="L87" s="8"/>
      <c r="V87" s="81" t="str">
        <f>IF(C87&gt;EOMONTH(DATE('Input|General'!$G$12,MONTH('Input|General'!$G$9),1),0),"Ok",IF(I87="","Check","Ok"))</f>
        <v>Ok</v>
      </c>
    </row>
    <row r="88" spans="3:22">
      <c r="C88" s="49">
        <v>46387</v>
      </c>
      <c r="D88" s="8"/>
      <c r="E88" s="8"/>
      <c r="F88" s="196" t="s">
        <v>225</v>
      </c>
      <c r="G88" s="110">
        <v>2.5999999999999999E-2</v>
      </c>
      <c r="H88" s="117">
        <f>IF(F88="",IF(COUNT(G88:G$88)=0,"",IF(ISBLANK(G88),AVERAGE(H87,H89),(1+G88)*H84)),F88)</f>
        <v>149.14938504599999</v>
      </c>
      <c r="I88" s="72">
        <f>IF(H88="","",H88/H84-1)</f>
        <v>2.6000000000000023E-2</v>
      </c>
      <c r="J88" s="186" t="s">
        <v>218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3:22">
      <c r="C89" s="201">
        <v>46477</v>
      </c>
      <c r="D89" s="8"/>
      <c r="E89" s="8"/>
      <c r="F89" s="196" t="s">
        <v>225</v>
      </c>
      <c r="G89" s="110"/>
      <c r="H89" s="117">
        <f>IF(F89="",IF(COUNT(G$88:G89)=0,"",IF(ISBLANK(G89),AVERAGE(H88,H90),(1+G89)*H85)),F89)</f>
        <v>150.04152948300001</v>
      </c>
      <c r="I89" s="72">
        <f t="shared" ref="I89:I100" si="5">IF(H89="","",H89/H85-1)</f>
        <v>2.5496783234127296E-2</v>
      </c>
      <c r="J89" s="116"/>
      <c r="K89" s="8"/>
      <c r="L89" s="8"/>
      <c r="V89" s="200"/>
    </row>
    <row r="90" spans="3:22">
      <c r="C90" s="201">
        <v>46568</v>
      </c>
      <c r="D90" s="8"/>
      <c r="E90" s="8"/>
      <c r="F90" s="196" t="s">
        <v>225</v>
      </c>
      <c r="G90" s="110">
        <v>2.5000000000000001E-2</v>
      </c>
      <c r="H90" s="117">
        <f>IF(F90="",IF(COUNT(G$88:G90)=0,"",IF(ISBLANK(G90),AVERAGE(H89,H91),(1+G90)*H86)),F90)</f>
        <v>150.93367392000002</v>
      </c>
      <c r="I90" s="72">
        <f t="shared" si="5"/>
        <v>2.4999999999999911E-2</v>
      </c>
      <c r="J90" s="116" t="s">
        <v>217</v>
      </c>
      <c r="K90" s="8"/>
      <c r="L90" s="8"/>
      <c r="V90" s="200"/>
    </row>
    <row r="91" spans="3:22">
      <c r="C91" s="201">
        <v>46660</v>
      </c>
      <c r="D91" s="8"/>
      <c r="E91" s="8"/>
      <c r="F91" s="196" t="s">
        <v>225</v>
      </c>
      <c r="G91" s="110"/>
      <c r="H91" s="117">
        <f>IF(F91="",IF(COUNT(G$88:G91)=0,"",IF(ISBLANK(G91),AVERAGE(H90,H92),(1+G91)*H87)),F91)</f>
        <v>151.90589679607501</v>
      </c>
      <c r="I91" s="72">
        <f t="shared" si="5"/>
        <v>2.4999999999999911E-2</v>
      </c>
      <c r="J91" s="202"/>
      <c r="K91" s="8"/>
      <c r="L91" s="8"/>
      <c r="V91" s="200"/>
    </row>
    <row r="92" spans="3:22">
      <c r="C92" s="201">
        <v>46752</v>
      </c>
      <c r="D92" s="8"/>
      <c r="E92" s="8"/>
      <c r="F92" s="196" t="s">
        <v>225</v>
      </c>
      <c r="G92" s="110">
        <v>2.5000000000000001E-2</v>
      </c>
      <c r="H92" s="117">
        <f>IF(F92="",IF(COUNT(G$88:G92)=0,"",IF(ISBLANK(G92),AVERAGE(H91,H93),(1+G92)*H88)),F92)</f>
        <v>152.87811967214998</v>
      </c>
      <c r="I92" s="72">
        <f t="shared" si="5"/>
        <v>2.4999999999999911E-2</v>
      </c>
      <c r="J92" s="116" t="s">
        <v>217</v>
      </c>
      <c r="K92" s="8"/>
      <c r="L92" s="8"/>
      <c r="V92" s="200"/>
    </row>
    <row r="93" spans="3:22">
      <c r="C93" s="201">
        <v>46843</v>
      </c>
      <c r="D93" s="8"/>
      <c r="E93" s="8"/>
      <c r="F93" s="196" t="s">
        <v>225</v>
      </c>
      <c r="G93" s="110"/>
      <c r="H93" s="117">
        <f>IF(F93="",IF(COUNT(G$88:G93)=0,"",IF(ISBLANK(G93),AVERAGE(H92,H94),(1+G93)*H89)),F93)</f>
        <v>153.792567720075</v>
      </c>
      <c r="I93" s="72">
        <f t="shared" si="5"/>
        <v>2.4999999999999911E-2</v>
      </c>
      <c r="J93" s="203"/>
      <c r="K93" s="8"/>
      <c r="L93" s="8"/>
      <c r="V93" s="200"/>
    </row>
    <row r="94" spans="3:22">
      <c r="C94" s="201">
        <v>46934</v>
      </c>
      <c r="D94" s="8"/>
      <c r="E94" s="8"/>
      <c r="F94" s="196" t="s">
        <v>225</v>
      </c>
      <c r="G94" s="110">
        <v>2.5000000000000001E-2</v>
      </c>
      <c r="H94" s="117">
        <f>IF(F94="",IF(COUNT(G$88:G94)=0,"",IF(ISBLANK(G94),AVERAGE(H93,H95),(1+G94)*H90)),F94)</f>
        <v>154.70701576800002</v>
      </c>
      <c r="I94" s="72">
        <f t="shared" si="5"/>
        <v>2.4999999999999911E-2</v>
      </c>
      <c r="J94" s="116" t="s">
        <v>217</v>
      </c>
      <c r="K94" s="8"/>
      <c r="L94" s="8"/>
      <c r="V94" s="200"/>
    </row>
    <row r="95" spans="3:22">
      <c r="C95" s="201">
        <v>47026</v>
      </c>
      <c r="D95" s="8"/>
      <c r="E95" s="8"/>
      <c r="F95" s="196" t="s">
        <v>225</v>
      </c>
      <c r="G95" s="110"/>
      <c r="H95" s="117">
        <f>IF(F95="",IF(COUNT(G$88:G95)=0,"",IF(ISBLANK(G95),AVERAGE(H94,H96),(1+G95)*H91)),F95)</f>
        <v>155.70354421597688</v>
      </c>
      <c r="I95" s="72">
        <f t="shared" si="5"/>
        <v>2.4999999999999911E-2</v>
      </c>
      <c r="J95" s="203"/>
      <c r="K95" s="8"/>
      <c r="L95" s="8"/>
      <c r="V95" s="200"/>
    </row>
    <row r="96" spans="3:22">
      <c r="C96" s="201">
        <v>47118</v>
      </c>
      <c r="D96" s="8"/>
      <c r="E96" s="8"/>
      <c r="F96" s="196" t="s">
        <v>225</v>
      </c>
      <c r="G96" s="110">
        <v>2.5000000000000001E-2</v>
      </c>
      <c r="H96" s="117">
        <f>IF(F96="",IF(COUNT(G$88:G96)=0,"",IF(ISBLANK(G96),AVERAGE(H95,H97),(1+G96)*H92)),F96)</f>
        <v>156.7000726639537</v>
      </c>
      <c r="I96" s="72">
        <f t="shared" si="5"/>
        <v>2.4999999999999911E-2</v>
      </c>
      <c r="J96" s="116" t="s">
        <v>217</v>
      </c>
      <c r="K96" s="8"/>
      <c r="L96" s="8"/>
      <c r="V96" s="200"/>
    </row>
    <row r="97" spans="1:50">
      <c r="C97" s="201">
        <v>47208</v>
      </c>
      <c r="D97" s="8"/>
      <c r="E97" s="8"/>
      <c r="F97" s="196" t="s">
        <v>225</v>
      </c>
      <c r="G97" s="110"/>
      <c r="H97" s="117">
        <f>IF(F97="",IF(COUNT(G$88:G97)=0,"",IF(ISBLANK(G97),AVERAGE(H96,H98),(1+G97)*H93)),F97)</f>
        <v>157.63738191307687</v>
      </c>
      <c r="I97" s="72">
        <f t="shared" si="5"/>
        <v>2.4999999999999911E-2</v>
      </c>
      <c r="J97" s="203"/>
      <c r="K97" s="8"/>
      <c r="L97" s="8"/>
      <c r="V97" s="200"/>
    </row>
    <row r="98" spans="1:50">
      <c r="C98" s="201">
        <v>47299</v>
      </c>
      <c r="D98" s="8"/>
      <c r="E98" s="8"/>
      <c r="F98" s="196" t="s">
        <v>225</v>
      </c>
      <c r="G98" s="110">
        <v>2.5000000000000001E-2</v>
      </c>
      <c r="H98" s="117">
        <f>IF(F98="",IF(COUNT(G$88:G98)=0,"",IF(ISBLANK(G98),AVERAGE(H97,H99),(1+G98)*H94)),F98)</f>
        <v>158.5746911622</v>
      </c>
      <c r="I98" s="72">
        <f t="shared" si="5"/>
        <v>2.4999999999999911E-2</v>
      </c>
      <c r="J98" s="116" t="s">
        <v>217</v>
      </c>
      <c r="K98" s="8"/>
      <c r="L98" s="8"/>
      <c r="V98" s="200"/>
    </row>
    <row r="99" spans="1:50">
      <c r="C99" s="201">
        <v>47391</v>
      </c>
      <c r="D99" s="8"/>
      <c r="E99" s="8"/>
      <c r="F99" s="196" t="s">
        <v>225</v>
      </c>
      <c r="G99" s="110"/>
      <c r="H99" s="117">
        <f>IF(F99="",IF(COUNT(G$88:G99)=0,"",IF(ISBLANK(G99),AVERAGE(H98,H100),(1+G99)*H95)),F99)</f>
        <v>159.59613282137627</v>
      </c>
      <c r="I99" s="72">
        <f t="shared" si="5"/>
        <v>2.4999999999999911E-2</v>
      </c>
      <c r="J99" s="203"/>
      <c r="K99" s="8"/>
      <c r="L99" s="8"/>
      <c r="V99" s="200"/>
    </row>
    <row r="100" spans="1:50">
      <c r="C100" s="201">
        <v>47483</v>
      </c>
      <c r="D100" s="8"/>
      <c r="E100" s="8"/>
      <c r="F100" s="196" t="s">
        <v>225</v>
      </c>
      <c r="G100" s="110">
        <v>2.5000000000000001E-2</v>
      </c>
      <c r="H100" s="117">
        <f>IF(F100="",IF(COUNT(G$88:G100)=0,"",IF(ISBLANK(G100),AVERAGE(H99,H101),(1+G100)*H96)),F100)</f>
        <v>160.61757448055252</v>
      </c>
      <c r="I100" s="72">
        <f t="shared" si="5"/>
        <v>2.4999999999999911E-2</v>
      </c>
      <c r="J100" s="116" t="s">
        <v>217</v>
      </c>
      <c r="K100" s="8"/>
      <c r="L100" s="8"/>
      <c r="V100" s="200"/>
    </row>
    <row r="101" spans="1:50">
      <c r="F101" s="8"/>
      <c r="G101" s="8"/>
      <c r="H101" s="8"/>
      <c r="I101" s="8"/>
      <c r="J101" s="203"/>
      <c r="K101" s="8"/>
      <c r="L101" s="8"/>
      <c r="V101" s="82"/>
    </row>
    <row r="102" spans="1:50" customFormat="1" ht="12.75">
      <c r="A102" s="32"/>
      <c r="B102" s="38" t="s">
        <v>21</v>
      </c>
      <c r="C102" s="32"/>
      <c r="D102" s="32"/>
      <c r="E102" s="32"/>
      <c r="F102" s="32"/>
      <c r="G102" s="32"/>
      <c r="H102" s="32"/>
      <c r="I102" s="33"/>
      <c r="J102" s="33"/>
      <c r="K102" s="33"/>
      <c r="L102" s="33"/>
      <c r="M102" s="34"/>
      <c r="N102" s="35"/>
      <c r="O102" s="34"/>
      <c r="P102" s="35"/>
      <c r="Q102" s="34"/>
      <c r="R102" s="34"/>
      <c r="S102" s="34"/>
      <c r="T102" s="34"/>
      <c r="U102" s="34"/>
      <c r="V102" s="34"/>
      <c r="W102" s="34"/>
      <c r="X102" s="34"/>
      <c r="Y102" s="35"/>
      <c r="Z102" s="35"/>
      <c r="AA102" s="36"/>
      <c r="AB102" s="36"/>
      <c r="AC102" s="36"/>
      <c r="AD102" s="36"/>
      <c r="AE102" s="36"/>
      <c r="AF102" s="37"/>
      <c r="AG102" s="37"/>
    </row>
    <row r="103" spans="1:50" hidden="1">
      <c r="J103" s="20"/>
      <c r="K103" s="20"/>
    </row>
    <row r="104" spans="1:50" hidden="1">
      <c r="J104" s="20"/>
      <c r="K104" s="20"/>
    </row>
    <row r="105" spans="1:50" s="16" customFormat="1" hidden="1">
      <c r="A105" s="8"/>
      <c r="B105" s="8"/>
      <c r="C105" s="8"/>
      <c r="J105" s="20"/>
      <c r="K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s="16" customFormat="1" hidden="1">
      <c r="A106" s="8"/>
      <c r="B106" s="8"/>
      <c r="C106" s="8"/>
      <c r="J106" s="20"/>
      <c r="K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s="16" customFormat="1" hidden="1">
      <c r="A107" s="8"/>
      <c r="B107" s="8"/>
      <c r="C107" s="8"/>
      <c r="J107" s="20"/>
      <c r="K107" s="2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s="16" customFormat="1" hidden="1">
      <c r="A108" s="8"/>
      <c r="B108" s="8"/>
      <c r="C108" s="8"/>
      <c r="J108" s="20"/>
      <c r="K108" s="2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s="16" customFormat="1" hidden="1">
      <c r="A109" s="8"/>
      <c r="B109" s="8"/>
      <c r="C109" s="8"/>
      <c r="J109" s="20"/>
      <c r="K109" s="2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s="16" customFormat="1" hidden="1">
      <c r="A110" s="8"/>
      <c r="B110" s="8"/>
      <c r="C110" s="8"/>
      <c r="J110" s="20"/>
      <c r="K110" s="2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s="16" customFormat="1" hidden="1">
      <c r="A111" s="8"/>
      <c r="B111" s="8"/>
      <c r="C111" s="8"/>
      <c r="J111" s="20"/>
      <c r="K111" s="2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s="16" customFormat="1" hidden="1">
      <c r="A112" s="8"/>
      <c r="B112" s="8"/>
      <c r="C112" s="8"/>
      <c r="J112" s="20"/>
      <c r="K112" s="2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conditionalFormatting sqref="Y1">
    <cfRule type="cellIs" dxfId="229" priority="9" operator="equal">
      <formula>"Check"</formula>
    </cfRule>
    <cfRule type="cellIs" dxfId="228" priority="10" operator="equal">
      <formula>"Ok"</formula>
    </cfRule>
  </conditionalFormatting>
  <conditionalFormatting sqref="V1">
    <cfRule type="cellIs" dxfId="227" priority="7" operator="equal">
      <formula>"Check"</formula>
    </cfRule>
    <cfRule type="cellIs" dxfId="226" priority="8" operator="equal">
      <formula>"Ok"</formula>
    </cfRule>
  </conditionalFormatting>
  <conditionalFormatting sqref="G21:G100">
    <cfRule type="expression" dxfId="225" priority="2">
      <formula>F21=""</formula>
    </cfRule>
  </conditionalFormatting>
  <conditionalFormatting sqref="V9:V100">
    <cfRule type="cellIs" dxfId="224" priority="13" operator="equal">
      <formula>"Check"</formula>
    </cfRule>
    <cfRule type="cellIs" dxfId="223" priority="14" operator="equal">
      <formula>"Ok"</formula>
    </cfRule>
  </conditionalFormatting>
  <dataValidations count="4">
    <dataValidation type="list" allowBlank="1" showInputMessage="1" showErrorMessage="1" sqref="I101" xr:uid="{00000000-0002-0000-0300-000000000000}">
      <formula1>"Real 2010,Real 2011,Real 2012,Real 2013,Real 2014,Real 2015,Nominal"</formula1>
    </dataValidation>
    <dataValidation type="list" allowBlank="1" showInputMessage="1" showErrorMessage="1" sqref="L101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100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0" r:id="rId1" location="3-5-detailed-forecast-information" xr:uid="{F5D02EA8-6D52-4BF7-8E61-4B6EAE9F5192}"/>
    <hyperlink ref="J82" r:id="rId2" location="3-5-detailed-forecast-information" xr:uid="{EB136FCB-6B42-4ACE-A360-35D21A364B14}"/>
    <hyperlink ref="J84" r:id="rId3" location="3-5-detailed-forecast-information" xr:uid="{9B273FD4-30B0-43CF-9164-A7CC2F168597}"/>
    <hyperlink ref="J86" r:id="rId4" location="3-5-detailed-forecast-information" xr:uid="{EFEBAB3C-F080-44C3-BE08-639BC55EAB27}"/>
    <hyperlink ref="J88" r:id="rId5" location="3-5-detailed-forecast-information" xr:uid="{6E4D2801-BAAC-4579-BA4C-58BA8EB1A25C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6" zoomScaleNormal="100" workbookViewId="0">
      <selection activeCell="S2" sqref="S2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8" width="3.33203125" customWidth="1"/>
    <col min="9" max="9" width="4.83203125" customWidth="1"/>
    <col min="10" max="20" width="10.83203125" customWidth="1"/>
    <col min="21" max="21" width="53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8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189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8"/>
      <c r="B8" s="38" t="s">
        <v>192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/>
      <c r="V10" s="8"/>
    </row>
    <row r="11" spans="1:22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43983</v>
      </c>
      <c r="G13" s="124"/>
      <c r="H13" s="124"/>
      <c r="I13" s="123"/>
      <c r="J13" s="132">
        <v>206.00415103306275</v>
      </c>
      <c r="K13" s="132">
        <v>214.911742927316</v>
      </c>
      <c r="L13" s="132">
        <v>222.01457726239664</v>
      </c>
      <c r="M13" s="132">
        <v>222.59951234345303</v>
      </c>
      <c r="N13" s="132">
        <v>226.21971960316213</v>
      </c>
      <c r="O13" s="132"/>
      <c r="P13" s="132"/>
      <c r="Q13" s="132"/>
      <c r="R13" s="132"/>
      <c r="S13" s="132"/>
      <c r="T13" s="132"/>
      <c r="U13" s="122"/>
      <c r="V13" s="64" t="str">
        <f>IF(COUNT(J13:T13)=COUNT($J$10:$T$10),"Ok","Check")</f>
        <v>Ok</v>
      </c>
    </row>
    <row r="14" spans="1:22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43983</v>
      </c>
      <c r="G15" s="124"/>
      <c r="H15" s="124"/>
      <c r="I15" s="123"/>
      <c r="J15" s="136">
        <f>J13</f>
        <v>206.00415103306275</v>
      </c>
      <c r="K15" s="136">
        <f t="shared" ref="K15:S15" si="1">K13</f>
        <v>214.911742927316</v>
      </c>
      <c r="L15" s="136">
        <f t="shared" si="1"/>
        <v>222.01457726239664</v>
      </c>
      <c r="M15" s="136">
        <f t="shared" si="1"/>
        <v>222.59951234345303</v>
      </c>
      <c r="N15" s="136">
        <f t="shared" si="1"/>
        <v>226.21971960316213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>
      <c r="A17" s="122"/>
      <c r="B17" s="122"/>
      <c r="C17" s="125" t="s">
        <v>193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199</v>
      </c>
      <c r="D19" s="123" t="s">
        <v>64</v>
      </c>
      <c r="E19" s="123" t="str">
        <f t="shared" ref="E19:E27" si="2">units</f>
        <v>$millions</v>
      </c>
      <c r="F19" s="137">
        <f>$F$13</f>
        <v>43983</v>
      </c>
      <c r="G19" s="124"/>
      <c r="H19" s="124"/>
      <c r="I19" s="123"/>
      <c r="J19" s="132">
        <v>28.737769054654699</v>
      </c>
      <c r="K19" s="132">
        <v>27.261317183497102</v>
      </c>
      <c r="L19" s="132">
        <v>29.0262426395369</v>
      </c>
      <c r="M19" s="132">
        <v>29.504944403910802</v>
      </c>
      <c r="N19" s="132">
        <v>29.090921362153999</v>
      </c>
      <c r="O19" s="132"/>
      <c r="P19" s="132"/>
      <c r="Q19" s="132"/>
      <c r="R19" s="132"/>
      <c r="S19" s="132"/>
      <c r="T19" s="132"/>
      <c r="U19" s="122"/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 t="s">
        <v>200</v>
      </c>
      <c r="D20" s="123" t="s">
        <v>64</v>
      </c>
      <c r="E20" s="123" t="str">
        <f t="shared" si="2"/>
        <v>$millions</v>
      </c>
      <c r="F20" s="137">
        <f t="shared" ref="F20:F29" si="3">$F$13</f>
        <v>43983</v>
      </c>
      <c r="G20" s="124"/>
      <c r="H20" s="124"/>
      <c r="I20" s="123"/>
      <c r="J20" s="132">
        <v>4.6951952355560103</v>
      </c>
      <c r="K20" s="132">
        <v>4.6951952355560103</v>
      </c>
      <c r="L20" s="132">
        <v>4.6951952355560103</v>
      </c>
      <c r="M20" s="132">
        <v>4.6951952355560103</v>
      </c>
      <c r="N20" s="132">
        <v>4.6951952355560103</v>
      </c>
      <c r="O20" s="197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 t="s">
        <v>39</v>
      </c>
      <c r="D21" s="123" t="s">
        <v>64</v>
      </c>
      <c r="E21" s="123" t="str">
        <f t="shared" si="2"/>
        <v>$millions</v>
      </c>
      <c r="F21" s="137">
        <f t="shared" si="3"/>
        <v>43983</v>
      </c>
      <c r="G21" s="124"/>
      <c r="H21" s="124"/>
      <c r="I21" s="123"/>
      <c r="J21" s="132">
        <v>1.6908102494060799</v>
      </c>
      <c r="K21" s="132">
        <v>1.7147080342749199</v>
      </c>
      <c r="L21" s="132">
        <v>1.7323636446867001</v>
      </c>
      <c r="M21" s="132">
        <v>1.7367767304982</v>
      </c>
      <c r="N21" s="132">
        <v>1.73366700859212</v>
      </c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43983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43983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43983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43983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43983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43983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43983</v>
      </c>
      <c r="G29" s="124"/>
      <c r="H29" s="124"/>
      <c r="I29" s="123"/>
      <c r="J29" s="136">
        <f>SUM(J19:J27)</f>
        <v>35.123774539616782</v>
      </c>
      <c r="K29" s="136">
        <f>SUM(K19:K27)</f>
        <v>33.671220453328033</v>
      </c>
      <c r="L29" s="136">
        <f>SUM(L19:L27)</f>
        <v>35.45380151977961</v>
      </c>
      <c r="M29" s="136">
        <f>SUM(M19:M27)</f>
        <v>35.936916369965012</v>
      </c>
      <c r="N29" s="136">
        <f>SUM(N19:N27)</f>
        <v>35.519783606302127</v>
      </c>
      <c r="O29" s="136">
        <f t="shared" ref="O29:S29" si="5">SUM(O19:O27)</f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2.75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69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44348</v>
      </c>
      <c r="K34" s="126">
        <f t="shared" si="6"/>
        <v>44713</v>
      </c>
      <c r="L34" s="126">
        <f t="shared" si="6"/>
        <v>45078</v>
      </c>
      <c r="M34" s="126">
        <f t="shared" si="6"/>
        <v>45444</v>
      </c>
      <c r="N34" s="126">
        <f t="shared" si="6"/>
        <v>45809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/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32">
        <v>165.92217846833879</v>
      </c>
      <c r="K37" s="132">
        <v>174.42248120999989</v>
      </c>
      <c r="L37" s="132">
        <v>225.01939337000002</v>
      </c>
      <c r="M37" s="209">
        <v>258.42717589999984</v>
      </c>
      <c r="N37" s="132"/>
      <c r="O37" s="132"/>
      <c r="P37" s="132"/>
      <c r="Q37" s="132"/>
      <c r="R37" s="132"/>
      <c r="S37" s="132"/>
      <c r="T37" s="132"/>
      <c r="U37" s="122"/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>
      <c r="A39" s="122"/>
      <c r="B39" s="122"/>
      <c r="C39" s="125" t="s">
        <v>155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210" t="s">
        <v>208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209">
        <v>0</v>
      </c>
      <c r="K41" s="209">
        <v>5.8825159999999999</v>
      </c>
      <c r="L41" s="209">
        <v>1.7617033200000001</v>
      </c>
      <c r="M41" s="209">
        <v>2.355944</v>
      </c>
      <c r="N41" s="132"/>
      <c r="O41" s="197"/>
      <c r="P41" s="132"/>
      <c r="Q41" s="132"/>
      <c r="R41" s="132"/>
      <c r="S41" s="132"/>
      <c r="T41" s="132"/>
      <c r="U41" s="122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210" t="s">
        <v>207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209">
        <v>11.336128037475687</v>
      </c>
      <c r="K42" s="209">
        <v>0</v>
      </c>
      <c r="L42" s="209">
        <v>13.416540689424984</v>
      </c>
      <c r="M42" s="209">
        <v>20.864299020791332</v>
      </c>
      <c r="N42" s="132"/>
      <c r="O42" s="132"/>
      <c r="P42" s="132"/>
      <c r="Q42" s="132"/>
      <c r="R42" s="132"/>
      <c r="S42" s="132"/>
      <c r="T42" s="132"/>
      <c r="U42" s="122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210" t="s">
        <v>201</v>
      </c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209">
        <v>-8.5065209999999822E-2</v>
      </c>
      <c r="K43" s="209">
        <v>0.29392804999999983</v>
      </c>
      <c r="L43" s="209">
        <v>-1.02486568</v>
      </c>
      <c r="M43" s="209">
        <v>0.68863700639999981</v>
      </c>
      <c r="N43" s="132"/>
      <c r="O43" s="208"/>
      <c r="P43" s="132"/>
      <c r="Q43" s="132"/>
      <c r="R43" s="132"/>
      <c r="S43" s="132"/>
      <c r="T43" s="132"/>
      <c r="U43" s="122"/>
      <c r="V43" s="64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4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4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>
      <c r="A47" s="122"/>
      <c r="B47" s="122"/>
      <c r="C47" s="133" t="s">
        <v>153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154.67111564086309</v>
      </c>
      <c r="K47" s="136">
        <f>K37-SUM(K41:K45)</f>
        <v>168.2460371599999</v>
      </c>
      <c r="L47" s="136">
        <f>L37-SUM(L41:L45)</f>
        <v>210.86601504057504</v>
      </c>
      <c r="M47" s="136">
        <f>M37-SUM(M41:M45)</f>
        <v>234.51829587280849</v>
      </c>
      <c r="N47" s="136">
        <f>N37-SUM(N41:N45)</f>
        <v>0</v>
      </c>
      <c r="O47" s="136">
        <f t="shared" ref="O47:S47" si="8">O37-SUM(O41:O45)</f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202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32">
        <v>24.787949999999999</v>
      </c>
      <c r="K51" s="132">
        <v>27.228831249999999</v>
      </c>
      <c r="L51" s="132">
        <v>49.155811920000005</v>
      </c>
      <c r="M51" s="209">
        <v>71.003595469999993</v>
      </c>
      <c r="N51" s="132"/>
      <c r="O51" s="205"/>
      <c r="P51" s="132"/>
      <c r="Q51" s="132"/>
      <c r="R51" s="132"/>
      <c r="S51" s="132"/>
      <c r="T51" s="132"/>
      <c r="U51" s="122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 t="s">
        <v>203</v>
      </c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32">
        <v>4.6470276100000003</v>
      </c>
      <c r="K52" s="132">
        <v>3.6196330900000002</v>
      </c>
      <c r="L52" s="132">
        <v>4.3829880999999995</v>
      </c>
      <c r="M52" s="209">
        <v>4.377704640000001</v>
      </c>
      <c r="N52" s="132"/>
      <c r="O52" s="197"/>
      <c r="P52" s="132"/>
      <c r="Q52" s="132"/>
      <c r="R52" s="132"/>
      <c r="S52" s="132"/>
      <c r="T52" s="132"/>
      <c r="U52" s="122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 t="s">
        <v>204</v>
      </c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32">
        <v>0</v>
      </c>
      <c r="K53" s="132">
        <v>0</v>
      </c>
      <c r="L53" s="132">
        <v>0</v>
      </c>
      <c r="M53" s="209">
        <v>0</v>
      </c>
      <c r="N53" s="132"/>
      <c r="O53" s="197"/>
      <c r="P53" s="132"/>
      <c r="Q53" s="132"/>
      <c r="R53" s="132"/>
      <c r="S53" s="132"/>
      <c r="T53" s="132"/>
      <c r="U53" s="122"/>
      <c r="V53" s="64" t="str">
        <f t="shared" si="9"/>
        <v>Ok</v>
      </c>
    </row>
    <row r="54" spans="1:22">
      <c r="A54" s="122"/>
      <c r="B54" s="122"/>
      <c r="C54" s="199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32"/>
      <c r="K54" s="132"/>
      <c r="L54" s="132"/>
      <c r="M54" s="198"/>
      <c r="N54" s="132"/>
      <c r="O54" s="197"/>
      <c r="P54" s="132"/>
      <c r="Q54" s="132"/>
      <c r="R54" s="132"/>
      <c r="S54" s="132"/>
      <c r="T54" s="132"/>
      <c r="U54" s="122"/>
      <c r="V54" s="64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29.434977609999997</v>
      </c>
      <c r="K57" s="140">
        <f t="shared" ref="K57:S57" si="10">SUM(K51:K55)</f>
        <v>30.84846434</v>
      </c>
      <c r="L57" s="140">
        <f>SUM(L51:L55)</f>
        <v>53.538800020000004</v>
      </c>
      <c r="M57" s="140">
        <f t="shared" si="10"/>
        <v>75.381300109999998</v>
      </c>
      <c r="N57" s="140">
        <f t="shared" si="10"/>
        <v>0</v>
      </c>
      <c r="O57" s="140">
        <f>SUM(O51:O55)</f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204"/>
      <c r="K58" s="204"/>
      <c r="L58" s="204"/>
      <c r="M58" s="204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2.75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45809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205</v>
      </c>
      <c r="D63" s="123" t="s">
        <v>34</v>
      </c>
      <c r="E63" s="123" t="str">
        <f>units</f>
        <v>$millions</v>
      </c>
      <c r="F63" s="142">
        <f>DATE(PPLastYear,MONTH(month),1)</f>
        <v>45809</v>
      </c>
      <c r="G63" s="124"/>
      <c r="H63" s="124"/>
      <c r="I63" s="124"/>
      <c r="J63" s="132"/>
      <c r="K63" s="132"/>
      <c r="L63" s="132"/>
      <c r="M63" s="123"/>
      <c r="N63" s="209">
        <v>2.4687311063408548</v>
      </c>
      <c r="O63" s="197"/>
      <c r="P63" s="132"/>
      <c r="Q63" s="132"/>
      <c r="R63" s="132"/>
      <c r="S63" s="132"/>
      <c r="T63" s="132"/>
      <c r="U63" s="122"/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2"/>
      <c r="B64" s="122"/>
      <c r="C64" s="130" t="s">
        <v>206</v>
      </c>
      <c r="D64" s="123" t="s">
        <v>34</v>
      </c>
      <c r="E64" s="123" t="str">
        <f>units</f>
        <v>$millions</v>
      </c>
      <c r="F64" s="142">
        <f>DATE(PPLastYear,MONTH(month),1)</f>
        <v>45809</v>
      </c>
      <c r="G64" s="124"/>
      <c r="H64" s="124"/>
      <c r="I64" s="124"/>
      <c r="J64" s="132"/>
      <c r="K64" s="132"/>
      <c r="L64" s="132"/>
      <c r="M64" s="123"/>
      <c r="N64" s="209">
        <v>2.1389406012600096</v>
      </c>
      <c r="O64" s="197"/>
      <c r="P64" s="132"/>
      <c r="Q64" s="132"/>
      <c r="R64" s="132"/>
      <c r="S64" s="132"/>
      <c r="T64" s="132"/>
      <c r="U64" s="125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22"/>
      <c r="B65" s="122"/>
      <c r="C65" s="199"/>
      <c r="D65" s="123" t="s">
        <v>34</v>
      </c>
      <c r="E65" s="123" t="str">
        <f>units</f>
        <v>$millions</v>
      </c>
      <c r="F65" s="142">
        <f>DATE(PPLastYear,MONTH(month),1)</f>
        <v>45809</v>
      </c>
      <c r="G65" s="124"/>
      <c r="H65" s="124"/>
      <c r="I65" s="124"/>
      <c r="J65" s="132"/>
      <c r="K65" s="132"/>
      <c r="L65" s="132"/>
      <c r="M65" s="123"/>
      <c r="N65" s="209"/>
      <c r="O65" s="197"/>
      <c r="P65" s="132"/>
      <c r="Q65" s="132"/>
      <c r="R65" s="132"/>
      <c r="S65" s="132"/>
      <c r="T65" s="132"/>
      <c r="U65" s="125"/>
      <c r="V65" s="64" t="str">
        <f t="shared" si="12"/>
        <v>Ok</v>
      </c>
    </row>
    <row r="66" spans="1:22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45809</v>
      </c>
      <c r="G66" s="124"/>
      <c r="H66" s="124"/>
      <c r="I66" s="124"/>
      <c r="J66" s="132"/>
      <c r="K66" s="132"/>
      <c r="L66" s="132"/>
      <c r="M66" s="132"/>
      <c r="N66" s="209"/>
      <c r="O66" s="132"/>
      <c r="P66" s="132"/>
      <c r="Q66" s="132"/>
      <c r="R66" s="132"/>
      <c r="S66" s="132"/>
      <c r="T66" s="132"/>
      <c r="U66" s="125"/>
      <c r="V66" s="64" t="str">
        <f t="shared" si="12"/>
        <v>Ok</v>
      </c>
    </row>
    <row r="67" spans="1:22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45809</v>
      </c>
      <c r="G67" s="124"/>
      <c r="H67" s="124"/>
      <c r="I67" s="124"/>
      <c r="J67" s="132"/>
      <c r="K67" s="132"/>
      <c r="L67" s="132"/>
      <c r="M67" s="132"/>
      <c r="N67" s="209"/>
      <c r="O67" s="132"/>
      <c r="P67" s="132"/>
      <c r="Q67" s="132"/>
      <c r="R67" s="132"/>
      <c r="S67" s="132"/>
      <c r="T67" s="132"/>
      <c r="U67" s="125"/>
      <c r="V67" s="64" t="str">
        <f t="shared" si="12"/>
        <v>Ok</v>
      </c>
    </row>
    <row r="68" spans="1:22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211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154</v>
      </c>
      <c r="D69" s="123" t="s">
        <v>34</v>
      </c>
      <c r="E69" s="123" t="str">
        <f>units</f>
        <v>$millions</v>
      </c>
      <c r="F69" s="142">
        <f>DATE(PPLastYear,MONTH(month),1)</f>
        <v>45809</v>
      </c>
      <c r="G69" s="124"/>
      <c r="H69" s="124"/>
      <c r="I69" s="124"/>
      <c r="J69" s="132"/>
      <c r="K69" s="132"/>
      <c r="L69" s="132"/>
      <c r="M69" s="132"/>
      <c r="N69" s="209">
        <v>0</v>
      </c>
      <c r="O69" s="197"/>
      <c r="P69" s="132"/>
      <c r="Q69" s="132"/>
      <c r="R69" s="132"/>
      <c r="S69" s="132"/>
      <c r="T69" s="132"/>
      <c r="U69" s="122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211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212">
        <v>0</v>
      </c>
      <c r="O71" s="197"/>
      <c r="P71" s="146"/>
      <c r="Q71" s="146"/>
      <c r="R71" s="146"/>
      <c r="S71" s="146"/>
      <c r="T71" s="146"/>
      <c r="U71" s="122"/>
      <c r="V71" s="64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2.75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V52:V55">
    <cfRule type="cellIs" dxfId="222" priority="90" operator="equal">
      <formula>"Check"</formula>
    </cfRule>
    <cfRule type="cellIs" dxfId="221" priority="91" operator="equal">
      <formula>"Ok"</formula>
    </cfRule>
  </conditionalFormatting>
  <conditionalFormatting sqref="V57">
    <cfRule type="cellIs" dxfId="220" priority="88" operator="equal">
      <formula>"Check"</formula>
    </cfRule>
    <cfRule type="cellIs" dxfId="219" priority="89" operator="equal">
      <formula>"Ok"</formula>
    </cfRule>
  </conditionalFormatting>
  <conditionalFormatting sqref="V15">
    <cfRule type="cellIs" dxfId="218" priority="86" operator="equal">
      <formula>"Check"</formula>
    </cfRule>
    <cfRule type="cellIs" dxfId="217" priority="87" operator="equal">
      <formula>"Ok"</formula>
    </cfRule>
  </conditionalFormatting>
  <conditionalFormatting sqref="V1">
    <cfRule type="cellIs" dxfId="216" priority="84" operator="equal">
      <formula>"Check"</formula>
    </cfRule>
    <cfRule type="cellIs" dxfId="215" priority="85" operator="equal">
      <formula>"Ok"</formula>
    </cfRule>
  </conditionalFormatting>
  <conditionalFormatting sqref="S1">
    <cfRule type="cellIs" dxfId="214" priority="82" operator="equal">
      <formula>"Check"</formula>
    </cfRule>
    <cfRule type="cellIs" dxfId="213" priority="83" operator="equal">
      <formula>"Ok"</formula>
    </cfRule>
  </conditionalFormatting>
  <conditionalFormatting sqref="J15:N15">
    <cfRule type="cellIs" dxfId="212" priority="81" operator="equal">
      <formula>0</formula>
    </cfRule>
  </conditionalFormatting>
  <conditionalFormatting sqref="J57:N57">
    <cfRule type="cellIs" dxfId="211" priority="80" operator="equal">
      <formula>0</formula>
    </cfRule>
  </conditionalFormatting>
  <conditionalFormatting sqref="V48:V50">
    <cfRule type="cellIs" dxfId="210" priority="78" operator="equal">
      <formula>"Check"</formula>
    </cfRule>
    <cfRule type="cellIs" dxfId="209" priority="79" operator="equal">
      <formula>"Ok"</formula>
    </cfRule>
  </conditionalFormatting>
  <conditionalFormatting sqref="J33:N33 N37 J54:J55 J41:N41 J42:L45 N42:N45 K54 O41:T42 O44:T45 P43:T43 J51:O51">
    <cfRule type="expression" dxfId="208" priority="76">
      <formula>J$34=J$4</formula>
    </cfRule>
  </conditionalFormatting>
  <conditionalFormatting sqref="J20:N27 J13:O13">
    <cfRule type="expression" dxfId="207" priority="75">
      <formula>J$10=J$4</formula>
    </cfRule>
  </conditionalFormatting>
  <conditionalFormatting sqref="J37:N37">
    <cfRule type="expression" dxfId="206" priority="72">
      <formula>J$10=J$4</formula>
    </cfRule>
  </conditionalFormatting>
  <conditionalFormatting sqref="V47">
    <cfRule type="cellIs" dxfId="205" priority="70" operator="equal">
      <formula>"Check"</formula>
    </cfRule>
    <cfRule type="cellIs" dxfId="204" priority="71" operator="equal">
      <formula>"Ok"</formula>
    </cfRule>
  </conditionalFormatting>
  <conditionalFormatting sqref="J47:N47">
    <cfRule type="cellIs" dxfId="203" priority="68" operator="equal">
      <formula>0</formula>
    </cfRule>
  </conditionalFormatting>
  <conditionalFormatting sqref="J66:N67 J63:L65 N63:N65 J69:T69 J71:T71 O63:T67">
    <cfRule type="expression" dxfId="202" priority="67">
      <formula>J$61=J$4</formula>
    </cfRule>
  </conditionalFormatting>
  <conditionalFormatting sqref="V29">
    <cfRule type="cellIs" dxfId="201" priority="63" operator="equal">
      <formula>"Check"</formula>
    </cfRule>
    <cfRule type="cellIs" dxfId="200" priority="64" operator="equal">
      <formula>"Ok"</formula>
    </cfRule>
  </conditionalFormatting>
  <conditionalFormatting sqref="J29:N29">
    <cfRule type="cellIs" dxfId="199" priority="62" operator="equal">
      <formula>0</formula>
    </cfRule>
  </conditionalFormatting>
  <conditionalFormatting sqref="T1">
    <cfRule type="cellIs" dxfId="198" priority="55" operator="equal">
      <formula>"Check"</formula>
    </cfRule>
    <cfRule type="cellIs" dxfId="197" priority="56" operator="equal">
      <formula>"Ok"</formula>
    </cfRule>
  </conditionalFormatting>
  <conditionalFormatting sqref="O57:T57">
    <cfRule type="cellIs" dxfId="196" priority="37" operator="equal">
      <formula>0</formula>
    </cfRule>
  </conditionalFormatting>
  <conditionalFormatting sqref="O37:T37">
    <cfRule type="expression" dxfId="195" priority="34">
      <formula>O$10=O$4</formula>
    </cfRule>
  </conditionalFormatting>
  <conditionalFormatting sqref="O47:T47">
    <cfRule type="cellIs" dxfId="194" priority="33" operator="equal">
      <formula>0</formula>
    </cfRule>
  </conditionalFormatting>
  <conditionalFormatting sqref="O29:T29">
    <cfRule type="cellIs" dxfId="193" priority="31" operator="equal">
      <formula>0</formula>
    </cfRule>
  </conditionalFormatting>
  <conditionalFormatting sqref="O15:T15">
    <cfRule type="cellIs" dxfId="192" priority="38" operator="equal">
      <formula>0</formula>
    </cfRule>
  </conditionalFormatting>
  <conditionalFormatting sqref="O33:T33 O37:T37 P52:T53 O54:T55 O51:T51">
    <cfRule type="expression" dxfId="191" priority="36">
      <formula>O$34=O$4</formula>
    </cfRule>
  </conditionalFormatting>
  <conditionalFormatting sqref="P13:T13 O21:T27 P19:T20">
    <cfRule type="expression" dxfId="190" priority="35">
      <formula>O$10=O$4</formula>
    </cfRule>
  </conditionalFormatting>
  <conditionalFormatting sqref="J19:O19">
    <cfRule type="expression" dxfId="189" priority="30">
      <formula>J$10=J$4</formula>
    </cfRule>
  </conditionalFormatting>
  <conditionalFormatting sqref="J53:N53 K55:N55 L54:N54">
    <cfRule type="expression" dxfId="188" priority="29">
      <formula>J$34=J$4</formula>
    </cfRule>
  </conditionalFormatting>
  <conditionalFormatting sqref="M43:M45">
    <cfRule type="expression" dxfId="187" priority="28">
      <formula>M$34=M$4</formula>
    </cfRule>
  </conditionalFormatting>
  <conditionalFormatting sqref="J52:M52">
    <cfRule type="expression" dxfId="186" priority="26">
      <formula>J$34=J$4</formula>
    </cfRule>
  </conditionalFormatting>
  <conditionalFormatting sqref="N52">
    <cfRule type="expression" dxfId="185" priority="25">
      <formula>N$34=N$4</formula>
    </cfRule>
  </conditionalFormatting>
  <conditionalFormatting sqref="V13">
    <cfRule type="cellIs" dxfId="184" priority="23" operator="equal">
      <formula>"Check"</formula>
    </cfRule>
    <cfRule type="cellIs" dxfId="183" priority="24" operator="equal">
      <formula>"Ok"</formula>
    </cfRule>
  </conditionalFormatting>
  <conditionalFormatting sqref="V19:V27">
    <cfRule type="cellIs" dxfId="182" priority="21" operator="equal">
      <formula>"Check"</formula>
    </cfRule>
    <cfRule type="cellIs" dxfId="181" priority="22" operator="equal">
      <formula>"Ok"</formula>
    </cfRule>
  </conditionalFormatting>
  <conditionalFormatting sqref="V37">
    <cfRule type="cellIs" dxfId="180" priority="17" operator="equal">
      <formula>"Check"</formula>
    </cfRule>
    <cfRule type="cellIs" dxfId="179" priority="18" operator="equal">
      <formula>"Ok"</formula>
    </cfRule>
  </conditionalFormatting>
  <conditionalFormatting sqref="V41:V45">
    <cfRule type="cellIs" dxfId="178" priority="13" operator="equal">
      <formula>"Check"</formula>
    </cfRule>
    <cfRule type="cellIs" dxfId="177" priority="14" operator="equal">
      <formula>"Ok"</formula>
    </cfRule>
  </conditionalFormatting>
  <conditionalFormatting sqref="V51:V55">
    <cfRule type="cellIs" dxfId="176" priority="11" operator="equal">
      <formula>"Check"</formula>
    </cfRule>
    <cfRule type="cellIs" dxfId="175" priority="12" operator="equal">
      <formula>"Ok"</formula>
    </cfRule>
  </conditionalFormatting>
  <conditionalFormatting sqref="V63:V67">
    <cfRule type="cellIs" dxfId="174" priority="9" operator="equal">
      <formula>"Check"</formula>
    </cfRule>
    <cfRule type="cellIs" dxfId="173" priority="10" operator="equal">
      <formula>"Ok"</formula>
    </cfRule>
  </conditionalFormatting>
  <conditionalFormatting sqref="V69">
    <cfRule type="cellIs" dxfId="172" priority="7" operator="equal">
      <formula>"Check"</formula>
    </cfRule>
    <cfRule type="cellIs" dxfId="171" priority="8" operator="equal">
      <formula>"Ok"</formula>
    </cfRule>
  </conditionalFormatting>
  <conditionalFormatting sqref="V71">
    <cfRule type="cellIs" dxfId="170" priority="5" operator="equal">
      <formula>"Check"</formula>
    </cfRule>
    <cfRule type="cellIs" dxfId="169" priority="6" operator="equal">
      <formula>"Ok"</formula>
    </cfRule>
  </conditionalFormatting>
  <conditionalFormatting sqref="O52:O53">
    <cfRule type="expression" dxfId="168" priority="4">
      <formula>O$34=O$4</formula>
    </cfRule>
  </conditionalFormatting>
  <conditionalFormatting sqref="O20">
    <cfRule type="expression" dxfId="167" priority="3">
      <formula>O$34=O$4</formula>
    </cfRule>
  </conditionalFormatting>
  <conditionalFormatting sqref="M42">
    <cfRule type="expression" dxfId="166" priority="1">
      <formula>M$34=M$4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O55 P51:T55 J51:N55" xr:uid="{4DD52D4E-5EDB-4419-8C55-4D6C586486C3}">
      <formula1>0</formula1>
    </dataValidation>
    <dataValidation type="decimal" operator="lessThanOrEqual" allowBlank="1" showInputMessage="1" showErrorMessage="1" sqref="J71:N71 P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O66" sqref="O66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8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89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109</v>
      </c>
      <c r="K3" s="215"/>
      <c r="L3" s="215"/>
      <c r="M3" s="215"/>
      <c r="N3" s="105"/>
      <c r="O3" s="215"/>
      <c r="P3" s="215"/>
      <c r="Q3" s="215"/>
      <c r="R3" s="215"/>
      <c r="S3" s="215"/>
      <c r="T3" s="215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2.75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43983</v>
      </c>
      <c r="K10" s="126">
        <f t="shared" si="0"/>
        <v>44348</v>
      </c>
      <c r="L10" s="126">
        <f t="shared" si="0"/>
        <v>44713</v>
      </c>
      <c r="M10" s="126">
        <f t="shared" si="0"/>
        <v>45078</v>
      </c>
      <c r="N10" s="126">
        <f t="shared" si="0"/>
        <v>45444</v>
      </c>
      <c r="O10" s="126">
        <f t="shared" si="0"/>
        <v>45809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IF(J10=J4,LOOKUP(EOMONTH(J4,0),'Input|Inflation'!$C$9:$C$84,'Input|Inflation'!$I$9:$I$84),"")</f>
        <v>-3.4843205574912606E-3</v>
      </c>
      <c r="K12" s="151">
        <f>IF(K10=K4,LOOKUP(EOMONTH(K4,0),'Input|Inflation'!$C$9:$C$84,'Input|Inflation'!$I$9:$I$84),"")</f>
        <v>3.8461538461538325E-2</v>
      </c>
      <c r="L12" s="151">
        <f>IF(L10=L4,LOOKUP(EOMONTH(L4,0),'Input|Inflation'!$C$9:$C$84,'Input|Inflation'!$I$9:$I$84),"")</f>
        <v>6.1447811447811418E-2</v>
      </c>
      <c r="M12" s="151">
        <f>IF(M10=M4,LOOKUP(EOMONTH(M4,0),'Input|Inflation'!$C$9:$C$84,'Input|Inflation'!$I$9:$I$84),"")</f>
        <v>6.0269627279936566E-2</v>
      </c>
      <c r="N12" s="151">
        <f>IF(N10=N4,LOOKUP(EOMONTH(N4,0),'Input|Inflation'!$C$9:$C$84,'Input|Inflation'!$I$9:$I$84),"")</f>
        <v>3.8145100972326373E-2</v>
      </c>
      <c r="O12" s="151">
        <f>IF(O10=O4,LOOKUP(EOMONTH(O4,0),'Input|Inflation'!$C$9:$C$84,'Input|Inflation'!$I$9:$I$84),"")</f>
        <v>2.8000000000000025E-2</v>
      </c>
      <c r="P12" s="151" t="str">
        <f>IF(P10=P4,LOOKUP(EOMONTH(P4,0),'Input|Inflation'!$C$9:$C$84,'Input|Inflation'!$I$9:$I$84),"")</f>
        <v/>
      </c>
      <c r="Q12" s="151" t="str">
        <f>IF(Q10=Q4,LOOKUP(EOMONTH(Q4,0),'Input|Inflation'!$C$9:$C$84,'Input|Inflation'!$I$9:$I$84),"")</f>
        <v/>
      </c>
      <c r="R12" s="151" t="str">
        <f>IF(R10=R4,LOOKUP(EOMONTH(R4,0),'Input|Inflation'!$C$9:$C$84,'Input|Inflation'!$I$9:$I$84),"")</f>
        <v/>
      </c>
      <c r="S12" s="151" t="str">
        <f>IF(S10=S4,LOOKUP(EOMONTH(S4,0),'Input|Inflation'!$C$9:$C$84,'Input|Inflation'!$I$9:$I$84),"")</f>
        <v/>
      </c>
      <c r="T12" s="151" t="str">
        <f>IF(T10=T4,LOOKUP(EOMONTH(T4,0),'Input|Inflation'!$C$9:$C$84,'Input|Inflation'!$I$9:$I$84),"")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43983</v>
      </c>
      <c r="K14" s="126">
        <f t="shared" si="1"/>
        <v>44348</v>
      </c>
      <c r="L14" s="126">
        <f t="shared" si="1"/>
        <v>44713</v>
      </c>
      <c r="M14" s="126">
        <f t="shared" si="1"/>
        <v>45078</v>
      </c>
      <c r="N14" s="126">
        <f t="shared" si="1"/>
        <v>45444</v>
      </c>
      <c r="O14" s="126">
        <f t="shared" si="1"/>
        <v>45809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43983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1.0384615384615383</v>
      </c>
      <c r="L16" s="157">
        <f t="shared" si="3"/>
        <v>1.1022727272727271</v>
      </c>
      <c r="M16" s="157">
        <f t="shared" si="3"/>
        <v>1.1687062937062935</v>
      </c>
      <c r="N16" s="157">
        <f t="shared" si="3"/>
        <v>1.2132867132867133</v>
      </c>
      <c r="O16" s="157">
        <f t="shared" ref="O16:P16" si="4">IF(AND($C16&gt;O$14,ISNONTEXT($C16)),P16/(1+O$12),IF(AND($C16=O$14,O$14=O$4),1,IF(AND($C16&lt;O$14,O$14=O$4),N16*(1+O$12),0)))</f>
        <v>1.2472587412587413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44348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0.96296296296296313</v>
      </c>
      <c r="K17" s="157">
        <f t="shared" si="6"/>
        <v>1</v>
      </c>
      <c r="L17" s="157">
        <f t="shared" si="6"/>
        <v>1.0614478114478114</v>
      </c>
      <c r="M17" s="157">
        <f t="shared" si="6"/>
        <v>1.1254208754208754</v>
      </c>
      <c r="N17" s="157">
        <f t="shared" si="6"/>
        <v>1.1683501683501687</v>
      </c>
      <c r="O17" s="157">
        <f t="shared" ref="O17:P17" si="7">IF(AND($C17&gt;O$14,ISNONTEXT($C17)),P17/(1+O$12),IF(AND($C17=O$14,O$14=O$4),1,IF(AND($C17&lt;O$14,O$14=O$4),N17*(1+O$12),0)))</f>
        <v>1.2010639730639734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44713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0.90721649484536093</v>
      </c>
      <c r="K18" s="157">
        <f t="shared" si="8"/>
        <v>0.94210943695479776</v>
      </c>
      <c r="L18" s="157">
        <f t="shared" si="8"/>
        <v>1</v>
      </c>
      <c r="M18" s="157">
        <f t="shared" si="8"/>
        <v>1.0602696272799366</v>
      </c>
      <c r="N18" s="157">
        <f t="shared" si="8"/>
        <v>1.1007137192704206</v>
      </c>
      <c r="O18" s="157">
        <f t="shared" ref="O18:P18" si="9">IF(AND($C18&gt;O$14,ISNONTEXT($C18)),P18/(1+O$12),IF(AND($C18=O$14,O$14=O$4),1,IF(AND($C18&lt;O$14,O$14=O$4),N18*(1+O$12),0)))</f>
        <v>1.1315337034099924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45078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0.85564697083021701</v>
      </c>
      <c r="K19" s="157">
        <f t="shared" si="10"/>
        <v>0.88855646970830215</v>
      </c>
      <c r="L19" s="157">
        <f t="shared" si="10"/>
        <v>0.94315632011967088</v>
      </c>
      <c r="M19" s="157">
        <f t="shared" si="10"/>
        <v>1</v>
      </c>
      <c r="N19" s="157">
        <f t="shared" si="10"/>
        <v>1.0381451009723264</v>
      </c>
      <c r="O19" s="157">
        <f t="shared" ref="O19:P19" si="11">IF(AND($C19&gt;O$14,ISNONTEXT($C19)),P19/(1+O$12),IF(AND($C19=O$14,O$14=O$4),1,IF(AND($C19&lt;O$14,O$14=O$4),N19*(1+O$12),0)))</f>
        <v>1.0672131637995514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45444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0.82420749279538896</v>
      </c>
      <c r="K20" s="157">
        <f t="shared" ref="K20:N20" si="12">IF(AND($C20&gt;K$14,ISNONTEXT($C20)),L20/(1+L$12),IF(AND($C20=K$14,K$14=K$4),1,IF(AND($C20&lt;K$14,K$14=K$4),J20*(1+K$12),0)))</f>
        <v>0.85590778097982689</v>
      </c>
      <c r="L20" s="157">
        <f t="shared" si="12"/>
        <v>0.90850144092218998</v>
      </c>
      <c r="M20" s="157">
        <f t="shared" si="12"/>
        <v>0.96325648414985565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1.028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45809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0.80175826147411366</v>
      </c>
      <c r="K21" s="157">
        <f t="shared" ref="K21:K22" si="14">IF(AND($C21&gt;K$14,ISNONTEXT($C21)),L21/(1+L$12),IF(AND($C21=K$14,K$14=K$4),1,IF(AND($C21&lt;K$14,K$14=K$4),J21*(1+K$12),0)))</f>
        <v>0.83259511768465644</v>
      </c>
      <c r="L21" s="157">
        <f t="shared" ref="L21:L22" si="15">IF(AND($C21&gt;L$14,ISNONTEXT($C21)),M21/(1+M$12),IF(AND($C21=L$14,L$14=L$4),1,IF(AND($C21&lt;L$14,L$14=L$4),K21*(1+L$12),0)))</f>
        <v>0.88375626548851161</v>
      </c>
      <c r="M21" s="157">
        <f t="shared" ref="M21:M22" si="16">IF(AND($C21&gt;M$14,ISNONTEXT($C21)),N21/(1+N$12),IF(AND($C21=M$14,M$14=M$4),1,IF(AND($C21&lt;M$14,M$14=M$4),L21*(1+M$12),0)))</f>
        <v>0.93701992621581287</v>
      </c>
      <c r="N21" s="157">
        <f t="shared" ref="N21:N22" si="17">IF(AND($C21&gt;N$14,ISNONTEXT($C21)),O21/(1+O$12),IF(AND($C21=N$14,N$14=N$4),1,IF(AND($C21&lt;N$14,N$14=N$4),M21*(1+N$12),0)))</f>
        <v>0.97276264591439687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43983</v>
      </c>
      <c r="K24" s="126">
        <f t="shared" si="20"/>
        <v>44348</v>
      </c>
      <c r="L24" s="126">
        <f t="shared" si="20"/>
        <v>44713</v>
      </c>
      <c r="M24" s="126">
        <f t="shared" si="20"/>
        <v>45078</v>
      </c>
      <c r="N24" s="126">
        <f t="shared" si="20"/>
        <v>45444</v>
      </c>
      <c r="O24" s="126">
        <f t="shared" si="20"/>
        <v>45809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43983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0.99825631951042948</v>
      </c>
      <c r="K26" s="157">
        <f t="shared" ref="K26:T26" si="22">IF(AND(K$24=K$4,ISNONTEXT($C26)),1/K16*(1+K$12)^0.5,0)</f>
        <v>0.98130676292531638</v>
      </c>
      <c r="L26" s="157">
        <f t="shared" si="22"/>
        <v>0.93467421272075479</v>
      </c>
      <c r="M26" s="157">
        <f t="shared" si="22"/>
        <v>0.88105450779258843</v>
      </c>
      <c r="N26" s="157">
        <f t="shared" si="22"/>
        <v>0.83978011678411546</v>
      </c>
      <c r="O26" s="157">
        <f t="shared" si="22"/>
        <v>0.81290538595679718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44348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1.0366507933377536</v>
      </c>
      <c r="K27" s="157">
        <f t="shared" si="24"/>
        <v>1.019049330730136</v>
      </c>
      <c r="L27" s="157">
        <f t="shared" si="24"/>
        <v>0.970623220902322</v>
      </c>
      <c r="M27" s="157">
        <f t="shared" si="24"/>
        <v>0.9149412196307648</v>
      </c>
      <c r="N27" s="157">
        <f t="shared" si="24"/>
        <v>0.87207935204504272</v>
      </c>
      <c r="O27" s="157">
        <f t="shared" si="24"/>
        <v>0.844170977724366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44713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1.100350715823996</v>
      </c>
      <c r="K28" s="157">
        <f t="shared" si="25"/>
        <v>1.0816676818608599</v>
      </c>
      <c r="L28" s="157">
        <f t="shared" si="25"/>
        <v>1.0302658935671953</v>
      </c>
      <c r="M28" s="157">
        <f t="shared" si="25"/>
        <v>0.97116235518046667</v>
      </c>
      <c r="N28" s="157">
        <f t="shared" si="25"/>
        <v>0.92566671963703617</v>
      </c>
      <c r="O28" s="157">
        <f t="shared" si="25"/>
        <v>0.89604343679328757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45078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1.1666684433439196</v>
      </c>
      <c r="K29" s="157">
        <f t="shared" si="26"/>
        <v>1.1468593898873669</v>
      </c>
      <c r="L29" s="157">
        <f t="shared" si="26"/>
        <v>1.0923596349717211</v>
      </c>
      <c r="M29" s="157">
        <f t="shared" si="26"/>
        <v>1.0296939483554988</v>
      </c>
      <c r="N29" s="157">
        <f t="shared" si="26"/>
        <v>0.98145630781500182</v>
      </c>
      <c r="O29" s="157">
        <f t="shared" si="26"/>
        <v>0.95004764075545245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45444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1.2111711289165001</v>
      </c>
      <c r="K30" s="157">
        <f t="shared" si="27"/>
        <v>1.1906064571156811</v>
      </c>
      <c r="L30" s="157">
        <f t="shared" si="27"/>
        <v>1.1340278035458109</v>
      </c>
      <c r="M30" s="157">
        <f t="shared" si="27"/>
        <v>1.0689717279861126</v>
      </c>
      <c r="N30" s="157">
        <f t="shared" si="27"/>
        <v>1.0188940577765317</v>
      </c>
      <c r="O30" s="157">
        <f t="shared" si="27"/>
        <v>0.98628730394058961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45809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1.2450839205261623</v>
      </c>
      <c r="K31" s="157">
        <f t="shared" si="28"/>
        <v>1.2239434379149203</v>
      </c>
      <c r="L31" s="157">
        <f t="shared" si="28"/>
        <v>1.1657805820450935</v>
      </c>
      <c r="M31" s="157">
        <f t="shared" si="28"/>
        <v>1.0989029363697238</v>
      </c>
      <c r="N31" s="157">
        <f t="shared" si="28"/>
        <v>1.0474230913942746</v>
      </c>
      <c r="O31" s="157">
        <f t="shared" si="28"/>
        <v>1.0139033484509261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2.75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46174</v>
      </c>
      <c r="Q36" s="141">
        <f t="shared" si="29"/>
        <v>46539</v>
      </c>
      <c r="R36" s="141">
        <f t="shared" si="29"/>
        <v>46905</v>
      </c>
      <c r="S36" s="141">
        <f t="shared" si="29"/>
        <v>47270</v>
      </c>
      <c r="T36" s="141">
        <f t="shared" si="29"/>
        <v>47635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219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1.0629694082536556E-2</v>
      </c>
      <c r="Q38" s="162">
        <v>8.1313357754799753E-3</v>
      </c>
      <c r="R38" s="162">
        <v>6.8704982315614949E-3</v>
      </c>
      <c r="S38" s="162">
        <v>8.5215133744886984E-3</v>
      </c>
      <c r="T38" s="162">
        <v>1.0867497548806559E-2</v>
      </c>
      <c r="U38" s="122"/>
      <c r="V38" s="122"/>
      <c r="W38" s="122"/>
    </row>
    <row r="39" spans="1:34" ht="11.25" customHeight="1" outlineLevel="1">
      <c r="A39" s="122"/>
      <c r="B39" s="122"/>
      <c r="C39" s="164" t="s">
        <v>220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3">
        <v>1.1698010996330277E-2</v>
      </c>
      <c r="Q39" s="163">
        <v>1.1103534761613765E-2</v>
      </c>
      <c r="R39" s="163">
        <v>8.9783713888744645E-3</v>
      </c>
      <c r="S39" s="163">
        <v>1.1846642027943286E-2</v>
      </c>
      <c r="T39" s="163">
        <v>1.3462514172696735E-2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170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1.1163852539433416E-2</v>
      </c>
      <c r="Q40" s="163">
        <f t="shared" ref="Q40:T40" si="31">AVERAGE(Q38:Q39)</f>
        <v>9.6174352685468693E-3</v>
      </c>
      <c r="R40" s="163">
        <f t="shared" si="31"/>
        <v>7.9244348102179805E-3</v>
      </c>
      <c r="S40" s="163">
        <f t="shared" si="31"/>
        <v>1.0184077701215991E-2</v>
      </c>
      <c r="T40" s="163">
        <f t="shared" si="31"/>
        <v>1.2165005860751647E-2</v>
      </c>
      <c r="U40" s="122"/>
      <c r="V40" s="122"/>
      <c r="W40" s="122"/>
    </row>
    <row r="41" spans="1:34" ht="11.25" customHeight="1" outlineLevel="1">
      <c r="A41" s="122"/>
      <c r="B41" s="122"/>
      <c r="C41" s="130" t="s">
        <v>158</v>
      </c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206">
        <v>5.0000000000000001E-3</v>
      </c>
      <c r="Q41" s="206">
        <v>0</v>
      </c>
      <c r="R41" s="206">
        <v>0</v>
      </c>
      <c r="S41" s="206">
        <v>0</v>
      </c>
      <c r="T41" s="206">
        <v>0</v>
      </c>
      <c r="U41" s="165"/>
      <c r="V41" s="166"/>
      <c r="W41" s="122"/>
    </row>
    <row r="42" spans="1:34" ht="11.25" customHeight="1" outlineLevel="1">
      <c r="A42" s="122"/>
      <c r="B42" s="122"/>
      <c r="C42" s="130" t="s">
        <v>159</v>
      </c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>
        <f>P41+P40</f>
        <v>1.6163852539433417E-2</v>
      </c>
      <c r="Q42" s="163">
        <f t="shared" ref="Q42:T42" si="32">Q41+Q40</f>
        <v>9.6174352685468693E-3</v>
      </c>
      <c r="R42" s="163">
        <f t="shared" si="32"/>
        <v>7.9244348102179805E-3</v>
      </c>
      <c r="S42" s="163">
        <f t="shared" si="32"/>
        <v>1.0184077701215991E-2</v>
      </c>
      <c r="T42" s="163">
        <f t="shared" si="32"/>
        <v>1.2165005860751647E-2</v>
      </c>
      <c r="U42" s="165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7"/>
      <c r="Q43" s="167"/>
      <c r="R43" s="167"/>
      <c r="S43" s="167"/>
      <c r="T43" s="167"/>
      <c r="U43" s="165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7"/>
      <c r="Q44" s="167"/>
      <c r="R44" s="167"/>
      <c r="S44" s="167"/>
      <c r="T44" s="167"/>
      <c r="U44" s="165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8" t="str">
        <f t="shared" ref="J47:S47" si="33">IF(J36=J4,IF(COUNTA($C38:$C45)=COUNT(J38:J45),"Ok","Check"),"")</f>
        <v/>
      </c>
      <c r="K47" s="168" t="str">
        <f t="shared" si="33"/>
        <v/>
      </c>
      <c r="L47" s="168" t="str">
        <f t="shared" si="33"/>
        <v/>
      </c>
      <c r="M47" s="168" t="str">
        <f t="shared" si="33"/>
        <v/>
      </c>
      <c r="N47" s="168" t="str">
        <f t="shared" si="33"/>
        <v/>
      </c>
      <c r="O47" s="168" t="str">
        <f t="shared" si="33"/>
        <v/>
      </c>
      <c r="P47" s="168" t="str">
        <f t="shared" si="33"/>
        <v>Ok</v>
      </c>
      <c r="Q47" s="168" t="str">
        <f t="shared" si="33"/>
        <v>Ok</v>
      </c>
      <c r="R47" s="168" t="str">
        <f t="shared" si="33"/>
        <v>Ok</v>
      </c>
      <c r="S47" s="168" t="str">
        <f t="shared" si="33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4">IF(YEAR(J$4)&gt;=FPFirstYear,IF(YEAR(J$4)&lt;=FPLastYear,J$4,""),"")</f>
        <v/>
      </c>
      <c r="K49" s="141" t="str">
        <f t="shared" si="34"/>
        <v/>
      </c>
      <c r="L49" s="141" t="str">
        <f t="shared" si="34"/>
        <v/>
      </c>
      <c r="M49" s="141" t="str">
        <f t="shared" si="34"/>
        <v/>
      </c>
      <c r="N49" s="141" t="str">
        <f t="shared" si="34"/>
        <v/>
      </c>
      <c r="O49" s="141" t="str">
        <f t="shared" si="34"/>
        <v/>
      </c>
      <c r="P49" s="141">
        <f t="shared" si="34"/>
        <v>46174</v>
      </c>
      <c r="Q49" s="141">
        <f t="shared" si="34"/>
        <v>46539</v>
      </c>
      <c r="R49" s="141">
        <f t="shared" si="34"/>
        <v>46905</v>
      </c>
      <c r="S49" s="141">
        <f t="shared" si="34"/>
        <v>47270</v>
      </c>
      <c r="T49" s="141">
        <f t="shared" si="34"/>
        <v>47635</v>
      </c>
      <c r="U49" s="141" t="str">
        <f t="shared" si="34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70" t="str">
        <f t="shared" ref="C51:C58" si="35">C38</f>
        <v>WPI - DAE</v>
      </c>
      <c r="D51" s="123" t="s">
        <v>96</v>
      </c>
      <c r="E51" s="123" t="str">
        <f t="shared" ref="E51:E58" si="36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1"/>
      <c r="V51" s="122"/>
      <c r="W51" s="122"/>
    </row>
    <row r="52" spans="1:34" ht="11.25" customHeight="1" outlineLevel="1">
      <c r="A52" s="122"/>
      <c r="B52" s="122"/>
      <c r="C52" s="170" t="str">
        <f t="shared" si="35"/>
        <v>WPI - BIS Oxford Economics</v>
      </c>
      <c r="D52" s="123" t="s">
        <v>96</v>
      </c>
      <c r="E52" s="123" t="str">
        <f t="shared" si="36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1"/>
      <c r="V52" s="122"/>
      <c r="W52" s="122"/>
    </row>
    <row r="53" spans="1:34" ht="11.25" customHeight="1" outlineLevel="1">
      <c r="A53" s="122"/>
      <c r="B53" s="122"/>
      <c r="C53" s="170" t="str">
        <f t="shared" si="35"/>
        <v>WPI - average</v>
      </c>
      <c r="D53" s="123" t="s">
        <v>96</v>
      </c>
      <c r="E53" s="123" t="str">
        <f t="shared" si="36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/>
      <c r="Q53" s="146"/>
      <c r="R53" s="146"/>
      <c r="S53" s="146"/>
      <c r="T53" s="146"/>
      <c r="U53" s="171"/>
      <c r="V53" s="122"/>
      <c r="W53" s="122"/>
    </row>
    <row r="54" spans="1:34" ht="11.25" customHeight="1" outlineLevel="1">
      <c r="A54" s="122"/>
      <c r="B54" s="122"/>
      <c r="C54" s="170" t="str">
        <f t="shared" si="35"/>
        <v>Superannuation guarantee increases</v>
      </c>
      <c r="D54" s="123" t="s">
        <v>96</v>
      </c>
      <c r="E54" s="123" t="str">
        <f t="shared" si="36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1"/>
      <c r="V54" s="166"/>
      <c r="W54" s="122"/>
    </row>
    <row r="55" spans="1:34" ht="11.25" customHeight="1" outlineLevel="1">
      <c r="A55" s="122"/>
      <c r="B55" s="122"/>
      <c r="C55" s="170" t="str">
        <f t="shared" si="35"/>
        <v>WPI - average + super guarantee increases</v>
      </c>
      <c r="D55" s="123" t="s">
        <v>96</v>
      </c>
      <c r="E55" s="123" t="str">
        <f t="shared" si="36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46">
        <v>0.62</v>
      </c>
      <c r="Q55" s="146">
        <v>0.62</v>
      </c>
      <c r="R55" s="146">
        <v>0.62</v>
      </c>
      <c r="S55" s="146">
        <v>0.62</v>
      </c>
      <c r="T55" s="146">
        <v>0.62</v>
      </c>
      <c r="U55" s="171"/>
      <c r="V55" s="122"/>
      <c r="W55" s="122"/>
    </row>
    <row r="56" spans="1:34" ht="11.25" customHeight="1" outlineLevel="1">
      <c r="A56" s="122"/>
      <c r="B56" s="122"/>
      <c r="C56" s="170">
        <f t="shared" si="35"/>
        <v>0</v>
      </c>
      <c r="D56" s="123" t="s">
        <v>96</v>
      </c>
      <c r="E56" s="123" t="str">
        <f t="shared" si="36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1"/>
      <c r="V56" s="122"/>
      <c r="W56" s="122"/>
    </row>
    <row r="57" spans="1:34" ht="11.25" customHeight="1" outlineLevel="1">
      <c r="A57" s="122"/>
      <c r="B57" s="122"/>
      <c r="C57" s="170">
        <f t="shared" si="35"/>
        <v>0</v>
      </c>
      <c r="D57" s="123" t="s">
        <v>96</v>
      </c>
      <c r="E57" s="123" t="str">
        <f t="shared" si="36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1"/>
      <c r="V57" s="122"/>
      <c r="W57" s="122"/>
    </row>
    <row r="58" spans="1:34" ht="11.25" customHeight="1" outlineLevel="1">
      <c r="A58" s="122"/>
      <c r="B58" s="122"/>
      <c r="C58" s="170" t="str">
        <f t="shared" si="35"/>
        <v>CPI</v>
      </c>
      <c r="D58" s="123" t="s">
        <v>96</v>
      </c>
      <c r="E58" s="123" t="str">
        <f t="shared" si="36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0.38</v>
      </c>
      <c r="Q58" s="146">
        <v>0.38</v>
      </c>
      <c r="R58" s="146">
        <v>0.38</v>
      </c>
      <c r="S58" s="146">
        <v>0.38</v>
      </c>
      <c r="T58" s="146">
        <v>0.38</v>
      </c>
      <c r="U58" s="171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8" t="str">
        <f t="shared" ref="J60:S60" si="37">IF(J49=J$4,IF(SUM(J51:J58)=1,"Ok","Check"),"")</f>
        <v/>
      </c>
      <c r="K60" s="168" t="str">
        <f t="shared" si="37"/>
        <v/>
      </c>
      <c r="L60" s="168" t="str">
        <f t="shared" si="37"/>
        <v/>
      </c>
      <c r="M60" s="168" t="str">
        <f t="shared" si="37"/>
        <v/>
      </c>
      <c r="N60" s="168" t="str">
        <f t="shared" si="37"/>
        <v/>
      </c>
      <c r="O60" s="168" t="str">
        <f t="shared" si="37"/>
        <v/>
      </c>
      <c r="P60" s="168" t="str">
        <f t="shared" si="37"/>
        <v>Ok</v>
      </c>
      <c r="Q60" s="168" t="str">
        <f t="shared" si="37"/>
        <v>Ok</v>
      </c>
      <c r="R60" s="168" t="str">
        <f t="shared" si="37"/>
        <v>Ok</v>
      </c>
      <c r="S60" s="168" t="str">
        <f t="shared" si="37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2.75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8">IF(YEAR(J$4)&gt;=PPLastYear,IF(YEAR(J$4)&lt;=FPLastYear,J$4,""),"")</f>
        <v/>
      </c>
      <c r="K64" s="141" t="str">
        <f t="shared" si="38"/>
        <v/>
      </c>
      <c r="L64" s="141" t="str">
        <f t="shared" si="38"/>
        <v/>
      </c>
      <c r="M64" s="141" t="str">
        <f t="shared" si="38"/>
        <v/>
      </c>
      <c r="N64" s="141" t="str">
        <f t="shared" si="38"/>
        <v/>
      </c>
      <c r="O64" s="141">
        <f t="shared" si="38"/>
        <v>45809</v>
      </c>
      <c r="P64" s="141">
        <f t="shared" si="38"/>
        <v>46174</v>
      </c>
      <c r="Q64" s="141">
        <f t="shared" si="38"/>
        <v>46539</v>
      </c>
      <c r="R64" s="141">
        <f t="shared" si="38"/>
        <v>46905</v>
      </c>
      <c r="S64" s="141">
        <f t="shared" si="38"/>
        <v>47270</v>
      </c>
      <c r="T64" s="141">
        <f t="shared" si="38"/>
        <v>47635</v>
      </c>
      <c r="U64" s="141" t="str">
        <f t="shared" si="38"/>
        <v/>
      </c>
      <c r="V64" s="122"/>
      <c r="W64" s="122"/>
    </row>
    <row r="65" spans="1:24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171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2"/>
      <c r="L66" s="172"/>
      <c r="M66" s="172"/>
      <c r="N66" s="172"/>
      <c r="O66" s="144">
        <v>1512893.2071773228</v>
      </c>
      <c r="P66" s="144">
        <v>1530709.7934830603</v>
      </c>
      <c r="Q66" s="144">
        <v>1544152.1525162731</v>
      </c>
      <c r="R66" s="144">
        <v>1551520.8327718221</v>
      </c>
      <c r="S66" s="144">
        <v>1549719.7021384023</v>
      </c>
      <c r="T66" s="144">
        <v>1537243.1138528204</v>
      </c>
      <c r="U66" s="144"/>
      <c r="V66" s="122"/>
      <c r="W66" s="122"/>
    </row>
    <row r="67" spans="1:24" outlineLevel="1">
      <c r="A67" s="122"/>
      <c r="B67" s="122"/>
      <c r="C67" s="130" t="s">
        <v>223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2"/>
      <c r="L67" s="172"/>
      <c r="M67" s="172"/>
      <c r="N67" s="172"/>
      <c r="O67" s="144">
        <v>26736.279030576483</v>
      </c>
      <c r="P67" s="144">
        <v>26879.983871541175</v>
      </c>
      <c r="Q67" s="144">
        <v>27029.842673666055</v>
      </c>
      <c r="R67" s="144">
        <v>27180.874027342263</v>
      </c>
      <c r="S67" s="144">
        <v>27347.754398226298</v>
      </c>
      <c r="T67" s="144">
        <v>27467.159967293126</v>
      </c>
      <c r="U67" s="144"/>
      <c r="V67" s="122"/>
      <c r="W67" s="122"/>
    </row>
    <row r="68" spans="1:24" outlineLevel="1">
      <c r="A68" s="122"/>
      <c r="B68" s="122"/>
      <c r="C68" s="130"/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2"/>
      <c r="L68" s="172"/>
      <c r="M68" s="172"/>
      <c r="N68" s="172"/>
      <c r="O68" s="144"/>
      <c r="P68" s="144"/>
      <c r="Q68" s="144"/>
      <c r="R68" s="144"/>
      <c r="S68" s="144"/>
      <c r="T68" s="144"/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2"/>
      <c r="L69" s="172"/>
      <c r="M69" s="172"/>
      <c r="N69" s="172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2"/>
      <c r="L70" s="172"/>
      <c r="M70" s="172"/>
      <c r="N70" s="172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2"/>
      <c r="L71" s="172"/>
      <c r="M71" s="172"/>
      <c r="N71" s="172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8" t="str">
        <f t="shared" ref="J73:S73" si="39">IF(J64=J$4,IF(COUNTA($C66:$C71)=COUNT(J66:J71),"Ok","Check"),"")</f>
        <v/>
      </c>
      <c r="K73" s="168" t="str">
        <f t="shared" si="39"/>
        <v/>
      </c>
      <c r="L73" s="168" t="str">
        <f t="shared" si="39"/>
        <v/>
      </c>
      <c r="M73" s="168" t="str">
        <f t="shared" si="39"/>
        <v/>
      </c>
      <c r="N73" s="168" t="str">
        <f t="shared" si="39"/>
        <v/>
      </c>
      <c r="O73" s="168" t="str">
        <f t="shared" si="39"/>
        <v>Ok</v>
      </c>
      <c r="P73" s="168" t="str">
        <f t="shared" si="39"/>
        <v>Ok</v>
      </c>
      <c r="Q73" s="168" t="str">
        <f t="shared" si="39"/>
        <v>Ok</v>
      </c>
      <c r="R73" s="168" t="str">
        <f t="shared" si="39"/>
        <v>Ok</v>
      </c>
      <c r="S73" s="168" t="str">
        <f t="shared" si="39"/>
        <v>Ok</v>
      </c>
      <c r="T73" s="168" t="str">
        <f>IF(T64=T$4,IF(COUNTA($C66:$C71)=COUNT(T66:T71),"Ok","Check"),"")</f>
        <v>Ok</v>
      </c>
      <c r="U73" s="168" t="str">
        <f>IF(U64=U$4,IF(COUNTA($C66:$C71)=COUNT(U66:U71),"Ok","Check"),"")</f>
        <v/>
      </c>
      <c r="V73" s="169"/>
      <c r="W73" s="122"/>
      <c r="X73" s="81" t="str">
        <f>IF(COUNTIF(J73:U73,"Check")=0,"Ok","Check")</f>
        <v>Ok</v>
      </c>
    </row>
    <row r="74" spans="1:24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40">IF(YEAR(J$4)&gt;=FPFirstYear,IF(YEAR(J$4)&lt;=FPLastYear,J$4,""),"")</f>
        <v/>
      </c>
      <c r="K75" s="141" t="str">
        <f t="shared" si="40"/>
        <v/>
      </c>
      <c r="L75" s="141" t="str">
        <f t="shared" si="40"/>
        <v/>
      </c>
      <c r="M75" s="141" t="str">
        <f t="shared" si="40"/>
        <v/>
      </c>
      <c r="N75" s="141" t="str">
        <f t="shared" si="40"/>
        <v/>
      </c>
      <c r="O75" s="141" t="str">
        <f t="shared" si="40"/>
        <v/>
      </c>
      <c r="P75" s="141">
        <f t="shared" si="40"/>
        <v>46174</v>
      </c>
      <c r="Q75" s="141">
        <f t="shared" si="40"/>
        <v>46539</v>
      </c>
      <c r="R75" s="141">
        <f t="shared" si="40"/>
        <v>46905</v>
      </c>
      <c r="S75" s="141">
        <f t="shared" si="40"/>
        <v>47270</v>
      </c>
      <c r="T75" s="141">
        <f t="shared" si="40"/>
        <v>47635</v>
      </c>
      <c r="U75" s="141" t="str">
        <f t="shared" si="40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70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3" t="str">
        <f t="shared" ref="J77:M77" si="41">IF(ISBLANK(I66),"",IF(ISBLANK(J66),"",LN(J66)-LN(I66)))</f>
        <v/>
      </c>
      <c r="K77" s="173" t="str">
        <f t="shared" si="41"/>
        <v/>
      </c>
      <c r="L77" s="173" t="str">
        <f t="shared" si="41"/>
        <v/>
      </c>
      <c r="M77" s="173" t="str">
        <f t="shared" si="41"/>
        <v/>
      </c>
      <c r="N77" s="173" t="str">
        <f>IF(ISBLANK(M66),"",IF(ISBLANK(N66),"",LN(N66)-LN(M66)))</f>
        <v/>
      </c>
      <c r="O77" s="173" t="str">
        <f t="shared" ref="O77:U77" si="42">IF(ISBLANK(N66),"",IF(ISBLANK(O66),"",LN(O66)-LN(N66)))</f>
        <v/>
      </c>
      <c r="P77" s="173">
        <f t="shared" si="42"/>
        <v>1.170769631360713E-2</v>
      </c>
      <c r="Q77" s="173">
        <f t="shared" si="42"/>
        <v>8.74344598606136E-3</v>
      </c>
      <c r="R77" s="173">
        <f t="shared" si="42"/>
        <v>4.7606411965102069E-3</v>
      </c>
      <c r="S77" s="173">
        <f t="shared" si="42"/>
        <v>-1.1615550716896905E-3</v>
      </c>
      <c r="T77" s="173">
        <f t="shared" si="42"/>
        <v>-8.0834509299343438E-3</v>
      </c>
      <c r="U77" s="173" t="str">
        <f t="shared" si="42"/>
        <v/>
      </c>
      <c r="V77" s="122"/>
      <c r="W77" s="122"/>
    </row>
    <row r="78" spans="1:24" outlineLevel="1">
      <c r="A78" s="122"/>
      <c r="B78" s="122"/>
      <c r="C78" s="170" t="str">
        <f t="shared" ref="C78:C82" si="43">C67</f>
        <v>Mains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3" t="str">
        <f t="shared" ref="J78:U78" si="44">IF(ISBLANK(I67),"",IF(ISBLANK(J67),"",LN(J67)-LN(I67)))</f>
        <v/>
      </c>
      <c r="K78" s="173" t="str">
        <f t="shared" si="44"/>
        <v/>
      </c>
      <c r="L78" s="173" t="str">
        <f t="shared" si="44"/>
        <v/>
      </c>
      <c r="M78" s="173" t="str">
        <f t="shared" si="44"/>
        <v/>
      </c>
      <c r="N78" s="173" t="str">
        <f t="shared" si="44"/>
        <v/>
      </c>
      <c r="O78" s="173" t="str">
        <f t="shared" si="44"/>
        <v/>
      </c>
      <c r="P78" s="173">
        <f t="shared" si="44"/>
        <v>5.3605073274347603E-3</v>
      </c>
      <c r="Q78" s="173">
        <f t="shared" si="44"/>
        <v>5.5596241996092033E-3</v>
      </c>
      <c r="R78" s="173">
        <f t="shared" si="44"/>
        <v>5.5720253716895485E-3</v>
      </c>
      <c r="S78" s="173">
        <f t="shared" si="44"/>
        <v>6.1208541903425839E-3</v>
      </c>
      <c r="T78" s="173">
        <f t="shared" si="44"/>
        <v>4.356688660960728E-3</v>
      </c>
      <c r="U78" s="173" t="str">
        <f t="shared" si="44"/>
        <v/>
      </c>
      <c r="V78" s="122"/>
      <c r="W78" s="122"/>
    </row>
    <row r="79" spans="1:24" outlineLevel="1">
      <c r="A79" s="122"/>
      <c r="B79" s="122"/>
      <c r="C79" s="170">
        <f t="shared" si="43"/>
        <v>0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3" t="str">
        <f t="shared" ref="J79:U79" si="45">IF(ISBLANK(I68),"",IF(ISBLANK(J68),"",LN(J68)-LN(I68)))</f>
        <v/>
      </c>
      <c r="K79" s="173" t="str">
        <f t="shared" si="45"/>
        <v/>
      </c>
      <c r="L79" s="173" t="str">
        <f t="shared" si="45"/>
        <v/>
      </c>
      <c r="M79" s="173" t="str">
        <f t="shared" si="45"/>
        <v/>
      </c>
      <c r="N79" s="173" t="str">
        <f t="shared" si="45"/>
        <v/>
      </c>
      <c r="O79" s="173" t="str">
        <f t="shared" si="45"/>
        <v/>
      </c>
      <c r="P79" s="173" t="str">
        <f t="shared" si="45"/>
        <v/>
      </c>
      <c r="Q79" s="173" t="str">
        <f t="shared" si="45"/>
        <v/>
      </c>
      <c r="R79" s="173" t="str">
        <f t="shared" si="45"/>
        <v/>
      </c>
      <c r="S79" s="173" t="str">
        <f t="shared" si="45"/>
        <v/>
      </c>
      <c r="T79" s="173" t="str">
        <f t="shared" si="45"/>
        <v/>
      </c>
      <c r="U79" s="173" t="str">
        <f t="shared" si="45"/>
        <v/>
      </c>
      <c r="V79" s="122"/>
      <c r="W79" s="122"/>
    </row>
    <row r="80" spans="1:24" outlineLevel="1">
      <c r="A80" s="122"/>
      <c r="B80" s="122"/>
      <c r="C80" s="170">
        <f t="shared" si="43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3" t="str">
        <f t="shared" ref="J80:U80" si="46">IF(ISBLANK(I69),"",IF(ISBLANK(J69),"",LN(J69)-LN(I69)))</f>
        <v/>
      </c>
      <c r="K80" s="173" t="str">
        <f t="shared" si="46"/>
        <v/>
      </c>
      <c r="L80" s="173" t="str">
        <f t="shared" si="46"/>
        <v/>
      </c>
      <c r="M80" s="173" t="str">
        <f t="shared" si="46"/>
        <v/>
      </c>
      <c r="N80" s="173" t="str">
        <f t="shared" si="46"/>
        <v/>
      </c>
      <c r="O80" s="173" t="str">
        <f t="shared" si="46"/>
        <v/>
      </c>
      <c r="P80" s="173" t="str">
        <f t="shared" si="46"/>
        <v/>
      </c>
      <c r="Q80" s="173" t="str">
        <f t="shared" si="46"/>
        <v/>
      </c>
      <c r="R80" s="173" t="str">
        <f t="shared" si="46"/>
        <v/>
      </c>
      <c r="S80" s="173" t="str">
        <f t="shared" si="46"/>
        <v/>
      </c>
      <c r="T80" s="173" t="str">
        <f t="shared" si="46"/>
        <v/>
      </c>
      <c r="U80" s="173" t="str">
        <f t="shared" si="46"/>
        <v/>
      </c>
      <c r="V80" s="122"/>
      <c r="W80" s="122"/>
    </row>
    <row r="81" spans="1:24" outlineLevel="1">
      <c r="A81" s="122"/>
      <c r="B81" s="122"/>
      <c r="C81" s="170">
        <f t="shared" si="43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3" t="str">
        <f t="shared" ref="J81:T81" si="47">IF(ISBLANK(I70),"",IF(ISBLANK(J70),"",LN(J70)-LN(I70)))</f>
        <v/>
      </c>
      <c r="K81" s="173" t="str">
        <f t="shared" si="47"/>
        <v/>
      </c>
      <c r="L81" s="173" t="str">
        <f t="shared" si="47"/>
        <v/>
      </c>
      <c r="M81" s="173" t="str">
        <f t="shared" si="47"/>
        <v/>
      </c>
      <c r="N81" s="173" t="str">
        <f t="shared" si="47"/>
        <v/>
      </c>
      <c r="O81" s="173" t="str">
        <f t="shared" si="47"/>
        <v/>
      </c>
      <c r="P81" s="173" t="str">
        <f t="shared" si="47"/>
        <v/>
      </c>
      <c r="Q81" s="173" t="str">
        <f t="shared" si="47"/>
        <v/>
      </c>
      <c r="R81" s="173" t="str">
        <f t="shared" si="47"/>
        <v/>
      </c>
      <c r="S81" s="173" t="str">
        <f t="shared" si="47"/>
        <v/>
      </c>
      <c r="T81" s="173" t="str">
        <f t="shared" si="47"/>
        <v/>
      </c>
      <c r="U81" s="173"/>
      <c r="V81" s="122"/>
      <c r="W81" s="122"/>
    </row>
    <row r="82" spans="1:24" outlineLevel="1">
      <c r="A82" s="122"/>
      <c r="B82" s="122"/>
      <c r="C82" s="170">
        <f t="shared" si="43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3" t="str">
        <f t="shared" ref="J82:T82" si="48">IF(ISBLANK(I71),"",IF(ISBLANK(J71),"",LN(J71)-LN(I71)))</f>
        <v/>
      </c>
      <c r="K82" s="173" t="str">
        <f t="shared" si="48"/>
        <v/>
      </c>
      <c r="L82" s="173" t="str">
        <f t="shared" si="48"/>
        <v/>
      </c>
      <c r="M82" s="173" t="str">
        <f t="shared" si="48"/>
        <v/>
      </c>
      <c r="N82" s="173" t="str">
        <f t="shared" si="48"/>
        <v/>
      </c>
      <c r="O82" s="173" t="str">
        <f t="shared" si="48"/>
        <v/>
      </c>
      <c r="P82" s="173" t="str">
        <f t="shared" si="48"/>
        <v/>
      </c>
      <c r="Q82" s="173" t="str">
        <f t="shared" si="48"/>
        <v/>
      </c>
      <c r="R82" s="173" t="str">
        <f t="shared" si="48"/>
        <v/>
      </c>
      <c r="S82" s="173" t="str">
        <f t="shared" si="48"/>
        <v/>
      </c>
      <c r="T82" s="173" t="str">
        <f t="shared" si="48"/>
        <v/>
      </c>
      <c r="U82" s="173"/>
      <c r="V82" s="122"/>
      <c r="W82" s="122"/>
    </row>
    <row r="83" spans="1:24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outlineLevel="1">
      <c r="A84" s="122"/>
      <c r="B84" s="122"/>
      <c r="C84" s="125" t="s">
        <v>182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207" t="s">
        <v>221</v>
      </c>
      <c r="K84" s="207" t="s">
        <v>222</v>
      </c>
      <c r="L84" s="207"/>
      <c r="M84" s="207"/>
      <c r="N84" s="129"/>
      <c r="O84" s="129"/>
      <c r="P84" s="122"/>
      <c r="Q84" s="122"/>
      <c r="R84" s="122"/>
      <c r="S84" s="122"/>
      <c r="T84" s="122"/>
      <c r="U84" s="122"/>
      <c r="V84" s="122"/>
      <c r="W84" s="122"/>
    </row>
    <row r="85" spans="1:24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outlineLevel="1">
      <c r="A86" s="122"/>
      <c r="B86" s="122"/>
      <c r="C86" s="170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4">
        <v>0.41</v>
      </c>
      <c r="K86" s="174">
        <v>0.46</v>
      </c>
      <c r="L86" s="174"/>
      <c r="M86" s="174"/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outlineLevel="1">
      <c r="A87" s="122"/>
      <c r="B87" s="122"/>
      <c r="C87" s="170" t="str">
        <f t="shared" ref="C87:C91" si="49">C67</f>
        <v>Mains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4">
        <v>0.46</v>
      </c>
      <c r="K87" s="174">
        <v>0.47</v>
      </c>
      <c r="L87" s="174"/>
      <c r="M87" s="174"/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outlineLevel="1">
      <c r="A88" s="122"/>
      <c r="B88" s="122"/>
      <c r="C88" s="170">
        <f t="shared" si="49"/>
        <v>0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4"/>
      <c r="K88" s="174"/>
      <c r="L88" s="174"/>
      <c r="M88" s="174"/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outlineLevel="1">
      <c r="A89" s="122"/>
      <c r="B89" s="122"/>
      <c r="C89" s="170">
        <f t="shared" si="49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4"/>
      <c r="K89" s="175"/>
      <c r="L89" s="175"/>
      <c r="M89" s="174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outlineLevel="1">
      <c r="A90" s="122"/>
      <c r="B90" s="122"/>
      <c r="C90" s="170">
        <f t="shared" si="49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5"/>
      <c r="K90" s="175"/>
      <c r="L90" s="175"/>
      <c r="M90" s="175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outlineLevel="1">
      <c r="A91" s="122"/>
      <c r="B91" s="122"/>
      <c r="C91" s="170">
        <f t="shared" si="49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5"/>
      <c r="K91" s="175"/>
      <c r="L91" s="175"/>
      <c r="M91" s="175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8" t="str">
        <f>IF(AND(ISBLANK(J84),COUNT(J86:J91)=0),"Ok",IF(COUNTA($C66:$C71)=COUNT(J86:J91),"Ok","Check"))</f>
        <v>Ok</v>
      </c>
      <c r="K93" s="168" t="str">
        <f t="shared" ref="K93:M93" si="50">IF(AND(ISBLANK(K84),COUNT(K86:K91)=0),"Ok",IF(COUNTA($C66:$C71)=COUNT(K86:K91),"Ok","Check"))</f>
        <v>Ok</v>
      </c>
      <c r="L93" s="168" t="str">
        <f t="shared" si="50"/>
        <v>Ok</v>
      </c>
      <c r="M93" s="168" t="str">
        <f t="shared" si="50"/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2"/>
      <c r="X93" s="81" t="str">
        <f>IF(COUNTIF(K93:T93,"Check")=0,"Ok","Check")</f>
        <v>Ok</v>
      </c>
    </row>
    <row r="94" spans="1:24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outlineLevel="1">
      <c r="A95" s="122"/>
      <c r="B95" s="122"/>
      <c r="C95" s="125" t="s">
        <v>151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2" t="str">
        <f t="shared" ref="J95:K95" si="51">J84</f>
        <v>SFA</v>
      </c>
      <c r="K95" s="192" t="str">
        <f t="shared" si="51"/>
        <v>GLS</v>
      </c>
      <c r="L95" s="192">
        <f>L84</f>
        <v>0</v>
      </c>
      <c r="M95" s="192">
        <f>M84</f>
        <v>0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3"/>
      <c r="K96" s="129"/>
      <c r="L96" s="129"/>
      <c r="M96" s="129"/>
      <c r="N96" s="129"/>
      <c r="O96" s="176"/>
      <c r="P96" s="176"/>
      <c r="Q96" s="176"/>
      <c r="R96" s="176"/>
      <c r="S96" s="176"/>
      <c r="T96" s="176"/>
      <c r="U96" s="176"/>
      <c r="V96" s="122"/>
      <c r="W96" s="122"/>
    </row>
    <row r="97" spans="1:34" outlineLevel="1">
      <c r="A97" s="122"/>
      <c r="B97" s="122"/>
      <c r="C97" s="170" t="str">
        <f t="shared" ref="C97:C102" si="52">C66</f>
        <v>Customer numbers (#)</v>
      </c>
      <c r="D97" s="123" t="s">
        <v>93</v>
      </c>
      <c r="E97" s="123" t="str">
        <f t="shared" ref="E97:E102" si="53">percent</f>
        <v>Per cent</v>
      </c>
      <c r="F97" s="123" t="s">
        <v>36</v>
      </c>
      <c r="G97" s="124"/>
      <c r="H97" s="124"/>
      <c r="I97" s="123"/>
      <c r="J97" s="194">
        <f t="shared" ref="J97:K102" si="54">J86/SUM(J$86:J$91)</f>
        <v>0.47126436781609193</v>
      </c>
      <c r="K97" s="194">
        <f t="shared" si="54"/>
        <v>0.49462365591397855</v>
      </c>
      <c r="L97" s="194"/>
      <c r="M97" s="194"/>
      <c r="N97" s="177"/>
      <c r="O97" s="177"/>
      <c r="P97" s="177"/>
      <c r="Q97" s="177"/>
      <c r="R97" s="177"/>
      <c r="S97" s="177"/>
      <c r="T97" s="177"/>
      <c r="U97" s="177"/>
      <c r="V97" s="122"/>
      <c r="W97" s="122"/>
    </row>
    <row r="98" spans="1:34" outlineLevel="1">
      <c r="A98" s="122"/>
      <c r="B98" s="122"/>
      <c r="C98" s="170" t="str">
        <f t="shared" si="52"/>
        <v>Mains Length (km)</v>
      </c>
      <c r="D98" s="123" t="s">
        <v>93</v>
      </c>
      <c r="E98" s="123" t="str">
        <f t="shared" si="53"/>
        <v>Per cent</v>
      </c>
      <c r="F98" s="123" t="s">
        <v>36</v>
      </c>
      <c r="G98" s="124"/>
      <c r="H98" s="124"/>
      <c r="I98" s="123"/>
      <c r="J98" s="194">
        <f t="shared" si="54"/>
        <v>0.52873563218390807</v>
      </c>
      <c r="K98" s="194">
        <f t="shared" si="54"/>
        <v>0.5053763440860215</v>
      </c>
      <c r="L98" s="194"/>
      <c r="M98" s="194"/>
      <c r="N98" s="177"/>
      <c r="O98" s="177"/>
      <c r="P98" s="177"/>
      <c r="Q98" s="177"/>
      <c r="R98" s="177"/>
      <c r="S98" s="177"/>
      <c r="T98" s="177"/>
      <c r="U98" s="177"/>
      <c r="V98" s="122"/>
      <c r="W98" s="122"/>
    </row>
    <row r="99" spans="1:34" outlineLevel="1">
      <c r="A99" s="122"/>
      <c r="B99" s="122"/>
      <c r="C99" s="170">
        <f t="shared" si="52"/>
        <v>0</v>
      </c>
      <c r="D99" s="123" t="s">
        <v>93</v>
      </c>
      <c r="E99" s="123" t="str">
        <f t="shared" si="53"/>
        <v>Per cent</v>
      </c>
      <c r="F99" s="123" t="s">
        <v>36</v>
      </c>
      <c r="G99" s="124"/>
      <c r="H99" s="124"/>
      <c r="I99" s="123"/>
      <c r="J99" s="194">
        <f t="shared" si="54"/>
        <v>0</v>
      </c>
      <c r="K99" s="194">
        <f t="shared" si="54"/>
        <v>0</v>
      </c>
      <c r="L99" s="194"/>
      <c r="M99" s="194"/>
      <c r="N99" s="177"/>
      <c r="O99" s="177"/>
      <c r="P99" s="177"/>
      <c r="Q99" s="177"/>
      <c r="R99" s="177"/>
      <c r="S99" s="177"/>
      <c r="T99" s="177"/>
      <c r="U99" s="177"/>
      <c r="V99" s="122"/>
      <c r="W99" s="122"/>
    </row>
    <row r="100" spans="1:34" outlineLevel="1">
      <c r="A100" s="122"/>
      <c r="B100" s="122"/>
      <c r="C100" s="170">
        <f t="shared" si="52"/>
        <v>0</v>
      </c>
      <c r="D100" s="123" t="s">
        <v>93</v>
      </c>
      <c r="E100" s="123" t="str">
        <f t="shared" si="53"/>
        <v>Per cent</v>
      </c>
      <c r="F100" s="123" t="s">
        <v>36</v>
      </c>
      <c r="G100" s="124"/>
      <c r="H100" s="124"/>
      <c r="I100" s="123"/>
      <c r="J100" s="194">
        <f t="shared" si="54"/>
        <v>0</v>
      </c>
      <c r="K100" s="194">
        <f t="shared" si="54"/>
        <v>0</v>
      </c>
      <c r="L100" s="194"/>
      <c r="M100" s="194"/>
      <c r="N100" s="177"/>
      <c r="O100" s="177"/>
      <c r="P100" s="177"/>
      <c r="Q100" s="177"/>
      <c r="R100" s="177"/>
      <c r="S100" s="177"/>
      <c r="T100" s="177"/>
      <c r="U100" s="177"/>
      <c r="V100" s="122"/>
      <c r="W100" s="122"/>
    </row>
    <row r="101" spans="1:34" outlineLevel="1">
      <c r="A101" s="122"/>
      <c r="B101" s="122"/>
      <c r="C101" s="170">
        <f t="shared" si="52"/>
        <v>0</v>
      </c>
      <c r="D101" s="123" t="s">
        <v>93</v>
      </c>
      <c r="E101" s="123" t="str">
        <f t="shared" si="53"/>
        <v>Per cent</v>
      </c>
      <c r="F101" s="123" t="s">
        <v>36</v>
      </c>
      <c r="G101" s="124"/>
      <c r="H101" s="124"/>
      <c r="I101" s="123"/>
      <c r="J101" s="194">
        <f t="shared" si="54"/>
        <v>0</v>
      </c>
      <c r="K101" s="194">
        <f t="shared" si="54"/>
        <v>0</v>
      </c>
      <c r="L101" s="194"/>
      <c r="M101" s="194"/>
      <c r="N101" s="177"/>
      <c r="O101" s="177"/>
      <c r="P101" s="177"/>
      <c r="Q101" s="177"/>
      <c r="R101" s="177"/>
      <c r="S101" s="177"/>
      <c r="T101" s="177"/>
      <c r="U101" s="177"/>
      <c r="V101" s="122"/>
      <c r="W101" s="122"/>
    </row>
    <row r="102" spans="1:34" outlineLevel="1">
      <c r="A102" s="122"/>
      <c r="B102" s="122"/>
      <c r="C102" s="170">
        <f t="shared" si="52"/>
        <v>0</v>
      </c>
      <c r="D102" s="123" t="s">
        <v>93</v>
      </c>
      <c r="E102" s="123" t="str">
        <f t="shared" si="53"/>
        <v>Per cent</v>
      </c>
      <c r="F102" s="123" t="s">
        <v>36</v>
      </c>
      <c r="G102" s="124"/>
      <c r="H102" s="124"/>
      <c r="I102" s="123"/>
      <c r="J102" s="194">
        <f t="shared" si="54"/>
        <v>0</v>
      </c>
      <c r="K102" s="194">
        <f t="shared" si="54"/>
        <v>0</v>
      </c>
      <c r="L102" s="194"/>
      <c r="M102" s="194"/>
      <c r="N102" s="177"/>
      <c r="O102" s="177"/>
      <c r="P102" s="177"/>
      <c r="Q102" s="177"/>
      <c r="R102" s="177"/>
      <c r="S102" s="177"/>
      <c r="T102" s="177"/>
      <c r="U102" s="177"/>
      <c r="V102" s="122"/>
      <c r="W102" s="122"/>
    </row>
    <row r="103" spans="1:34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78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outlineLevel="1">
      <c r="A104" s="122"/>
      <c r="B104" s="122"/>
      <c r="C104" s="125" t="s">
        <v>152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5">IF(YEAR(J$4)&gt;=FPFirstYear,IF(YEAR(J$4)&lt;=FPLastYear,J$4,""),"")</f>
        <v/>
      </c>
      <c r="K104" s="141" t="str">
        <f t="shared" si="55"/>
        <v/>
      </c>
      <c r="L104" s="141" t="str">
        <f t="shared" si="55"/>
        <v/>
      </c>
      <c r="M104" s="141" t="str">
        <f t="shared" si="55"/>
        <v/>
      </c>
      <c r="N104" s="141" t="str">
        <f t="shared" si="55"/>
        <v/>
      </c>
      <c r="O104" s="141" t="str">
        <f t="shared" si="55"/>
        <v/>
      </c>
      <c r="P104" s="141">
        <f t="shared" si="55"/>
        <v>46174</v>
      </c>
      <c r="Q104" s="141">
        <f t="shared" si="55"/>
        <v>46539</v>
      </c>
      <c r="R104" s="141">
        <f t="shared" si="55"/>
        <v>46905</v>
      </c>
      <c r="S104" s="141">
        <f t="shared" si="55"/>
        <v>47270</v>
      </c>
      <c r="T104" s="141">
        <f t="shared" si="55"/>
        <v>47635</v>
      </c>
      <c r="U104" s="141" t="str">
        <f t="shared" si="55"/>
        <v/>
      </c>
      <c r="V104" s="169"/>
      <c r="W104" s="122"/>
      <c r="X104" s="82"/>
    </row>
    <row r="105" spans="1:34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2"/>
      <c r="X105" s="82"/>
    </row>
    <row r="106" spans="1:34" outlineLevel="1">
      <c r="A106" s="122"/>
      <c r="B106" s="122"/>
      <c r="C106" s="170" t="str">
        <f t="array" ref="C106:C109">TRANSPOSE(J95:M95)</f>
        <v>SFA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3" t="str">
        <f t="shared" ref="J106:U106" si="56">IF(J$104=J$4,SUMPRODUCT(J$77:J$82,$J$97:$J$102),"")</f>
        <v/>
      </c>
      <c r="K106" s="173" t="str">
        <f t="shared" si="56"/>
        <v/>
      </c>
      <c r="L106" s="173" t="str">
        <f t="shared" si="56"/>
        <v/>
      </c>
      <c r="M106" s="173" t="str">
        <f t="shared" si="56"/>
        <v/>
      </c>
      <c r="N106" s="173" t="str">
        <f t="shared" si="56"/>
        <v/>
      </c>
      <c r="O106" s="173" t="str">
        <f t="shared" si="56"/>
        <v/>
      </c>
      <c r="P106" s="173">
        <f t="shared" si="56"/>
        <v>8.3517113324125432E-3</v>
      </c>
      <c r="Q106" s="173">
        <f t="shared" si="56"/>
        <v>7.0600459610406785E-3</v>
      </c>
      <c r="R106" s="173">
        <f t="shared" si="56"/>
        <v>5.1896489213176748E-3</v>
      </c>
      <c r="S106" s="173">
        <f t="shared" si="56"/>
        <v>2.6889141932928914E-3</v>
      </c>
      <c r="T106" s="173">
        <f t="shared" si="56"/>
        <v>-1.5059058588863744E-3</v>
      </c>
      <c r="U106" s="173" t="str">
        <f t="shared" si="56"/>
        <v/>
      </c>
      <c r="V106" s="169"/>
      <c r="W106" s="122"/>
      <c r="X106" s="82"/>
    </row>
    <row r="107" spans="1:34" outlineLevel="1">
      <c r="A107" s="122"/>
      <c r="B107" s="122"/>
      <c r="C107" s="170" t="str">
        <v>GLS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3" t="str">
        <f t="shared" ref="J107:U107" si="57">IF(J$104=J$4,SUMPRODUCT(J$77:J$82,$K$97:$K$102),"")</f>
        <v/>
      </c>
      <c r="K107" s="173" t="str">
        <f t="shared" si="57"/>
        <v/>
      </c>
      <c r="L107" s="173" t="str">
        <f t="shared" si="57"/>
        <v/>
      </c>
      <c r="M107" s="173" t="str">
        <f t="shared" si="57"/>
        <v/>
      </c>
      <c r="N107" s="173" t="str">
        <f t="shared" si="57"/>
        <v/>
      </c>
      <c r="O107" s="173" t="str">
        <f t="shared" si="57"/>
        <v/>
      </c>
      <c r="P107" s="173">
        <f t="shared" si="57"/>
        <v>8.499977148552277E-3</v>
      </c>
      <c r="Q107" s="173">
        <f t="shared" si="57"/>
        <v>7.1344177714027443E-3</v>
      </c>
      <c r="R107" s="173">
        <f t="shared" si="57"/>
        <v>5.1706955646115948E-3</v>
      </c>
      <c r="S107" s="173">
        <f t="shared" si="57"/>
        <v>2.5188022972943624E-3</v>
      </c>
      <c r="T107" s="173">
        <f t="shared" si="57"/>
        <v>-1.7964986635680179E-3</v>
      </c>
      <c r="U107" s="173" t="str">
        <f t="shared" si="57"/>
        <v/>
      </c>
      <c r="V107" s="169"/>
      <c r="W107" s="122"/>
      <c r="X107" s="82"/>
    </row>
    <row r="108" spans="1:34" outlineLevel="1">
      <c r="A108" s="122"/>
      <c r="B108" s="122"/>
      <c r="C108" s="170">
        <v>0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3" t="str">
        <f t="shared" ref="J108:U108" si="58">IF(J$104=J$4,SUMPRODUCT(J$77:J$82,$L$97:$L$102),"")</f>
        <v/>
      </c>
      <c r="K108" s="173" t="str">
        <f t="shared" si="58"/>
        <v/>
      </c>
      <c r="L108" s="173" t="str">
        <f t="shared" si="58"/>
        <v/>
      </c>
      <c r="M108" s="173" t="str">
        <f t="shared" si="58"/>
        <v/>
      </c>
      <c r="N108" s="173" t="str">
        <f t="shared" si="58"/>
        <v/>
      </c>
      <c r="O108" s="173" t="str">
        <f t="shared" si="58"/>
        <v/>
      </c>
      <c r="P108" s="173">
        <f t="shared" si="58"/>
        <v>0</v>
      </c>
      <c r="Q108" s="173">
        <f t="shared" si="58"/>
        <v>0</v>
      </c>
      <c r="R108" s="173">
        <f t="shared" si="58"/>
        <v>0</v>
      </c>
      <c r="S108" s="173">
        <f t="shared" si="58"/>
        <v>0</v>
      </c>
      <c r="T108" s="173">
        <f t="shared" si="58"/>
        <v>0</v>
      </c>
      <c r="U108" s="173" t="str">
        <f t="shared" si="58"/>
        <v/>
      </c>
      <c r="V108" s="169"/>
      <c r="W108" s="122"/>
      <c r="X108" s="82"/>
    </row>
    <row r="109" spans="1:34" outlineLevel="1">
      <c r="A109" s="122"/>
      <c r="B109" s="122"/>
      <c r="C109" s="170">
        <v>0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3" t="str">
        <f t="shared" ref="J109:U109" si="59">IF(J$104=J$4,SUMPRODUCT(J$77:J$82,$M$97:$M$102),"")</f>
        <v/>
      </c>
      <c r="K109" s="173" t="str">
        <f t="shared" si="59"/>
        <v/>
      </c>
      <c r="L109" s="173" t="str">
        <f t="shared" si="59"/>
        <v/>
      </c>
      <c r="M109" s="173" t="str">
        <f t="shared" si="59"/>
        <v/>
      </c>
      <c r="N109" s="173" t="str">
        <f t="shared" si="59"/>
        <v/>
      </c>
      <c r="O109" s="173" t="str">
        <f t="shared" si="59"/>
        <v/>
      </c>
      <c r="P109" s="173">
        <f t="shared" si="59"/>
        <v>0</v>
      </c>
      <c r="Q109" s="173">
        <f t="shared" si="59"/>
        <v>0</v>
      </c>
      <c r="R109" s="173">
        <f t="shared" si="59"/>
        <v>0</v>
      </c>
      <c r="S109" s="173">
        <f t="shared" si="59"/>
        <v>0</v>
      </c>
      <c r="T109" s="173">
        <f t="shared" si="59"/>
        <v>0</v>
      </c>
      <c r="U109" s="173" t="str">
        <f t="shared" si="59"/>
        <v/>
      </c>
      <c r="V109" s="169"/>
      <c r="W109" s="122"/>
      <c r="X109" s="82"/>
    </row>
    <row r="110" spans="1:34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2.75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60">IF(YEAR(J$4)&gt;=FPFirstYear,IF(YEAR(J$4)&lt;=FPLastYear,J$4,""),"")</f>
        <v/>
      </c>
      <c r="K113" s="141" t="str">
        <f t="shared" si="60"/>
        <v/>
      </c>
      <c r="L113" s="141" t="str">
        <f t="shared" si="60"/>
        <v/>
      </c>
      <c r="M113" s="141" t="str">
        <f t="shared" si="60"/>
        <v/>
      </c>
      <c r="N113" s="141" t="str">
        <f t="shared" si="60"/>
        <v/>
      </c>
      <c r="O113" s="141" t="str">
        <f t="shared" si="60"/>
        <v/>
      </c>
      <c r="P113" s="141">
        <f t="shared" si="60"/>
        <v>46174</v>
      </c>
      <c r="Q113" s="141">
        <f t="shared" si="60"/>
        <v>46539</v>
      </c>
      <c r="R113" s="141">
        <f t="shared" si="60"/>
        <v>46905</v>
      </c>
      <c r="S113" s="141">
        <f t="shared" si="60"/>
        <v>47270</v>
      </c>
      <c r="T113" s="141">
        <f t="shared" si="60"/>
        <v>47635</v>
      </c>
      <c r="U113" s="141" t="str">
        <f t="shared" si="60"/>
        <v/>
      </c>
      <c r="V113" s="122"/>
      <c r="W113" s="122"/>
    </row>
    <row r="114" spans="1:34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79"/>
      <c r="L115" s="179"/>
      <c r="M115" s="179"/>
      <c r="N115" s="179"/>
      <c r="O115" s="171"/>
      <c r="P115" s="171">
        <v>8.6239999999999997E-3</v>
      </c>
      <c r="Q115" s="171">
        <v>8.6239999999999997E-3</v>
      </c>
      <c r="R115" s="171">
        <v>8.6239999999999997E-3</v>
      </c>
      <c r="S115" s="171">
        <v>8.6239999999999997E-3</v>
      </c>
      <c r="T115" s="171">
        <v>8.6239999999999997E-3</v>
      </c>
      <c r="U115" s="171"/>
      <c r="V115" s="122"/>
      <c r="W115" s="122"/>
    </row>
    <row r="116" spans="1:34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0"/>
      <c r="Q116" s="180"/>
      <c r="R116" s="180"/>
      <c r="S116" s="180"/>
      <c r="T116" s="180"/>
      <c r="U116" s="180"/>
      <c r="V116" s="122"/>
      <c r="W116" s="122"/>
    </row>
    <row r="117" spans="1:34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8" t="str">
        <f t="shared" ref="J117:S117" si="61">IF(J113=J$4,IF(ISBLANK(J115),"Check","Ok"),"")</f>
        <v/>
      </c>
      <c r="K117" s="168" t="str">
        <f t="shared" si="61"/>
        <v/>
      </c>
      <c r="L117" s="168" t="str">
        <f t="shared" si="61"/>
        <v/>
      </c>
      <c r="M117" s="168" t="str">
        <f t="shared" si="61"/>
        <v/>
      </c>
      <c r="N117" s="168" t="str">
        <f t="shared" si="61"/>
        <v/>
      </c>
      <c r="O117" s="168" t="str">
        <f t="shared" si="61"/>
        <v/>
      </c>
      <c r="P117" s="168" t="str">
        <f t="shared" si="61"/>
        <v>Ok</v>
      </c>
      <c r="Q117" s="168" t="str">
        <f t="shared" si="61"/>
        <v>Ok</v>
      </c>
      <c r="R117" s="168" t="str">
        <f t="shared" si="61"/>
        <v>Ok</v>
      </c>
      <c r="S117" s="168" t="str">
        <f t="shared" si="61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2"/>
      <c r="X117" s="81" t="str">
        <f>IF(COUNTIF(J117:T117,"Check")=0,"Ok","Check")</f>
        <v>Ok</v>
      </c>
    </row>
    <row r="118" spans="1:34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2.75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X1 X104:X109">
    <cfRule type="cellIs" dxfId="165" priority="122" operator="equal">
      <formula>"Check"</formula>
    </cfRule>
    <cfRule type="cellIs" dxfId="164" priority="123" operator="equal">
      <formula>"Ok"</formula>
    </cfRule>
  </conditionalFormatting>
  <conditionalFormatting sqref="T1:U1">
    <cfRule type="cellIs" dxfId="163" priority="86" operator="equal">
      <formula>"Check"</formula>
    </cfRule>
    <cfRule type="cellIs" dxfId="162" priority="87" operator="equal">
      <formula>"Ok"</formula>
    </cfRule>
  </conditionalFormatting>
  <conditionalFormatting sqref="X60">
    <cfRule type="cellIs" dxfId="161" priority="74" operator="equal">
      <formula>"Check"</formula>
    </cfRule>
    <cfRule type="cellIs" dxfId="160" priority="75" operator="equal">
      <formula>"Ok"</formula>
    </cfRule>
  </conditionalFormatting>
  <conditionalFormatting sqref="J60:U60">
    <cfRule type="cellIs" dxfId="159" priority="66" operator="equal">
      <formula>"Check"</formula>
    </cfRule>
    <cfRule type="cellIs" dxfId="158" priority="67" operator="equal">
      <formula>"Ok"</formula>
    </cfRule>
  </conditionalFormatting>
  <conditionalFormatting sqref="J36:U36">
    <cfRule type="expression" dxfId="157" priority="57">
      <formula>J$36=J$4</formula>
    </cfRule>
  </conditionalFormatting>
  <conditionalFormatting sqref="J38:O38 T38 J41:O41 U41 J39:T40 J42:U45">
    <cfRule type="expression" dxfId="156" priority="55">
      <formula>J$36=J$4</formula>
    </cfRule>
  </conditionalFormatting>
  <conditionalFormatting sqref="J51:T58">
    <cfRule type="expression" dxfId="155" priority="54">
      <formula>J$49=J$4</formula>
    </cfRule>
  </conditionalFormatting>
  <conditionalFormatting sqref="X117">
    <cfRule type="cellIs" dxfId="154" priority="48" operator="equal">
      <formula>"Check"</formula>
    </cfRule>
    <cfRule type="cellIs" dxfId="153" priority="49" operator="equal">
      <formula>"Ok"</formula>
    </cfRule>
  </conditionalFormatting>
  <conditionalFormatting sqref="J117:U117">
    <cfRule type="cellIs" dxfId="152" priority="46" operator="equal">
      <formula>"Check"</formula>
    </cfRule>
    <cfRule type="cellIs" dxfId="151" priority="47" operator="equal">
      <formula>"Ok"</formula>
    </cfRule>
  </conditionalFormatting>
  <conditionalFormatting sqref="X47">
    <cfRule type="cellIs" dxfId="150" priority="44" operator="equal">
      <formula>"Check"</formula>
    </cfRule>
    <cfRule type="cellIs" dxfId="149" priority="45" operator="equal">
      <formula>"Ok"</formula>
    </cfRule>
  </conditionalFormatting>
  <conditionalFormatting sqref="J47:U47">
    <cfRule type="cellIs" dxfId="148" priority="42" operator="equal">
      <formula>"Check"</formula>
    </cfRule>
    <cfRule type="cellIs" dxfId="147" priority="43" operator="equal">
      <formula>"Ok"</formula>
    </cfRule>
  </conditionalFormatting>
  <conditionalFormatting sqref="X73">
    <cfRule type="cellIs" dxfId="146" priority="40" operator="equal">
      <formula>"Check"</formula>
    </cfRule>
    <cfRule type="cellIs" dxfId="145" priority="41" operator="equal">
      <formula>"Ok"</formula>
    </cfRule>
  </conditionalFormatting>
  <conditionalFormatting sqref="J73:U73">
    <cfRule type="cellIs" dxfId="144" priority="38" operator="equal">
      <formula>"Check"</formula>
    </cfRule>
    <cfRule type="cellIs" dxfId="143" priority="39" operator="equal">
      <formula>"Ok"</formula>
    </cfRule>
  </conditionalFormatting>
  <conditionalFormatting sqref="J64:U64">
    <cfRule type="expression" dxfId="142" priority="32">
      <formula>J$64=J$4</formula>
    </cfRule>
  </conditionalFormatting>
  <conditionalFormatting sqref="J66:U71">
    <cfRule type="expression" dxfId="141" priority="30">
      <formula>J$64=J$4</formula>
    </cfRule>
  </conditionalFormatting>
  <conditionalFormatting sqref="J49:U49">
    <cfRule type="expression" dxfId="140" priority="27">
      <formula>J$36=J$4</formula>
    </cfRule>
  </conditionalFormatting>
  <conditionalFormatting sqref="J75:U75">
    <cfRule type="expression" dxfId="139" priority="26">
      <formula>J$36=J$4</formula>
    </cfRule>
  </conditionalFormatting>
  <conditionalFormatting sqref="J113:U113">
    <cfRule type="expression" dxfId="138" priority="25">
      <formula>J$36=J$4</formula>
    </cfRule>
  </conditionalFormatting>
  <conditionalFormatting sqref="J26:U32">
    <cfRule type="cellIs" dxfId="137" priority="23" operator="equal">
      <formula>0</formula>
    </cfRule>
  </conditionalFormatting>
  <conditionalFormatting sqref="J16:U22">
    <cfRule type="cellIs" dxfId="136" priority="22" operator="equal">
      <formula>0</formula>
    </cfRule>
  </conditionalFormatting>
  <conditionalFormatting sqref="J105:U105">
    <cfRule type="cellIs" dxfId="135" priority="15" operator="equal">
      <formula>"Check"</formula>
    </cfRule>
    <cfRule type="cellIs" dxfId="134" priority="16" operator="equal">
      <formula>"Ok"</formula>
    </cfRule>
  </conditionalFormatting>
  <conditionalFormatting sqref="U51:U58">
    <cfRule type="expression" dxfId="133" priority="11">
      <formula>U$49=U$4</formula>
    </cfRule>
  </conditionalFormatting>
  <conditionalFormatting sqref="P38:T38">
    <cfRule type="expression" dxfId="132" priority="10">
      <formula>P$36=P$4</formula>
    </cfRule>
  </conditionalFormatting>
  <conditionalFormatting sqref="L86:M88 K89:M91">
    <cfRule type="expression" dxfId="131" priority="174">
      <formula>K$95=K$4</formula>
    </cfRule>
  </conditionalFormatting>
  <conditionalFormatting sqref="X93">
    <cfRule type="cellIs" dxfId="130" priority="4" operator="equal">
      <formula>"Check"</formula>
    </cfRule>
    <cfRule type="cellIs" dxfId="129" priority="5" operator="equal">
      <formula>"Ok"</formula>
    </cfRule>
  </conditionalFormatting>
  <conditionalFormatting sqref="J93:U93">
    <cfRule type="cellIs" dxfId="128" priority="2" operator="equal">
      <formula>"Check"</formula>
    </cfRule>
    <cfRule type="cellIs" dxfId="127" priority="3" operator="equal">
      <formula>"Ok"</formula>
    </cfRule>
  </conditionalFormatting>
  <conditionalFormatting sqref="J104:U104">
    <cfRule type="expression" dxfId="126" priority="177">
      <formula>J$104=J$4</formula>
    </cfRule>
  </conditionalFormatting>
  <conditionalFormatting sqref="J115:U115">
    <cfRule type="expression" dxfId="125" priority="178">
      <formula>J$113=J$4</formula>
    </cfRule>
  </conditionalFormatting>
  <conditionalFormatting sqref="P41:T41">
    <cfRule type="expression" dxfId="124" priority="1">
      <formula>P$36=P$4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C29" sqref="C29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189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5"/>
      <c r="O3" s="215"/>
      <c r="P3" s="215"/>
      <c r="Q3" s="215"/>
      <c r="R3" s="215"/>
      <c r="S3" s="215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1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2.75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46174</v>
      </c>
      <c r="P10" s="141">
        <f t="shared" si="0"/>
        <v>46539</v>
      </c>
      <c r="Q10" s="141">
        <f t="shared" si="0"/>
        <v>46905</v>
      </c>
      <c r="R10" s="141">
        <f t="shared" si="0"/>
        <v>47270</v>
      </c>
      <c r="S10" s="141">
        <f t="shared" si="0"/>
        <v>47635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outlineLevel="1">
      <c r="A12" s="122"/>
      <c r="B12" s="122"/>
      <c r="C12" s="130" t="s">
        <v>210</v>
      </c>
      <c r="D12" s="123" t="s">
        <v>64</v>
      </c>
      <c r="E12" s="123" t="str">
        <f t="shared" ref="E12:E20" si="1">units</f>
        <v>$millions</v>
      </c>
      <c r="F12" s="142">
        <f t="shared" ref="F12:F20" si="2">DATE(PPLastYear,MONTH(month),1)</f>
        <v>45809</v>
      </c>
      <c r="G12" s="124"/>
      <c r="H12" s="124"/>
      <c r="I12" s="123"/>
      <c r="J12" s="161"/>
      <c r="K12" s="161"/>
      <c r="L12" s="161"/>
      <c r="M12" s="161"/>
      <c r="N12" s="161"/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182"/>
      <c r="U12" s="122"/>
      <c r="V12" s="122"/>
      <c r="W12" s="81" t="str">
        <f>IF(ISBLANK(C12),IF(COUNT(J12:T12)=0,"Ok","Check"),IF(COUNT(J12:T12)=COUNT(J$10:T$10),"Ok","Check"))</f>
        <v>Ok</v>
      </c>
    </row>
    <row r="13" spans="1:30" outlineLevel="1">
      <c r="A13" s="122"/>
      <c r="B13" s="122"/>
      <c r="C13" s="130" t="s">
        <v>211</v>
      </c>
      <c r="D13" s="123" t="s">
        <v>64</v>
      </c>
      <c r="E13" s="123" t="str">
        <f t="shared" si="1"/>
        <v>$millions</v>
      </c>
      <c r="F13" s="142">
        <f t="shared" si="2"/>
        <v>45809</v>
      </c>
      <c r="G13" s="124"/>
      <c r="H13" s="124"/>
      <c r="I13" s="123"/>
      <c r="J13" s="161"/>
      <c r="K13" s="161"/>
      <c r="L13" s="161"/>
      <c r="M13" s="161"/>
      <c r="N13" s="161"/>
      <c r="O13" s="213">
        <v>0.67907280076902476</v>
      </c>
      <c r="P13" s="213">
        <v>2.179952639821777</v>
      </c>
      <c r="Q13" s="213">
        <v>3.6785348366970632</v>
      </c>
      <c r="R13" s="213">
        <v>3.8525183947618555</v>
      </c>
      <c r="S13" s="213">
        <v>4.2677999499808354</v>
      </c>
      <c r="T13" s="182"/>
      <c r="U13" s="122"/>
      <c r="V13" s="122"/>
      <c r="W13" s="81" t="str">
        <f>IF(ISBLANK(C13),IF(COUNT(J13:T13)=0,"Ok","Check"),IF(COUNT(J13:T13)=COUNT(J$10:T$10),"Ok","Check"))</f>
        <v>Ok</v>
      </c>
    </row>
    <row r="14" spans="1:30" outlineLevel="1">
      <c r="A14" s="122"/>
      <c r="B14" s="122"/>
      <c r="C14" s="130" t="s">
        <v>224</v>
      </c>
      <c r="D14" s="123" t="s">
        <v>64</v>
      </c>
      <c r="E14" s="123" t="str">
        <f t="shared" si="1"/>
        <v>$millions</v>
      </c>
      <c r="F14" s="142">
        <f t="shared" si="2"/>
        <v>45809</v>
      </c>
      <c r="G14" s="124"/>
      <c r="H14" s="124"/>
      <c r="I14" s="123"/>
      <c r="J14" s="161"/>
      <c r="K14" s="161"/>
      <c r="L14" s="161"/>
      <c r="M14" s="161"/>
      <c r="N14" s="161"/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182"/>
      <c r="U14" s="122"/>
      <c r="V14" s="122"/>
      <c r="W14" s="81" t="str">
        <f>IF(ISBLANK(C14),IF(COUNT(J14:T14)=0,"Ok","Check"),IF(COUNT(J14:T14)=COUNT(J$10:T$10),"Ok","Check"))</f>
        <v>Ok</v>
      </c>
    </row>
    <row r="15" spans="1:30" outlineLevel="1">
      <c r="A15" s="122"/>
      <c r="B15" s="122"/>
      <c r="C15" s="130" t="s">
        <v>212</v>
      </c>
      <c r="D15" s="123" t="s">
        <v>64</v>
      </c>
      <c r="E15" s="123" t="str">
        <f t="shared" si="1"/>
        <v>$millions</v>
      </c>
      <c r="F15" s="142">
        <f t="shared" si="2"/>
        <v>45809</v>
      </c>
      <c r="G15" s="124"/>
      <c r="H15" s="124"/>
      <c r="I15" s="123"/>
      <c r="J15" s="161"/>
      <c r="K15" s="161"/>
      <c r="L15" s="161"/>
      <c r="M15" s="161"/>
      <c r="N15" s="161"/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182"/>
      <c r="U15" s="122"/>
      <c r="V15" s="122"/>
      <c r="W15" s="81" t="str">
        <f>IF(ISBLANK(C15),IF(COUNT(J15:T15)=0,"Ok","Check"),IF(COUNT(J15:T15)=COUNT(J$10:T$10),"Ok","Check"))</f>
        <v>Ok</v>
      </c>
    </row>
    <row r="16" spans="1:30" outlineLevel="1">
      <c r="A16" s="122"/>
      <c r="B16" s="122"/>
      <c r="C16" s="130" t="s">
        <v>213</v>
      </c>
      <c r="D16" s="123" t="s">
        <v>64</v>
      </c>
      <c r="E16" s="123" t="str">
        <f t="shared" si="1"/>
        <v>$millions</v>
      </c>
      <c r="F16" s="142">
        <f t="shared" si="2"/>
        <v>45809</v>
      </c>
      <c r="G16" s="124"/>
      <c r="H16" s="124"/>
      <c r="I16" s="123"/>
      <c r="J16" s="161"/>
      <c r="K16" s="161"/>
      <c r="L16" s="161"/>
      <c r="M16" s="161"/>
      <c r="N16" s="161"/>
      <c r="O16" s="183">
        <v>7.0736990414752547</v>
      </c>
      <c r="P16" s="183">
        <v>0.91409563630791757</v>
      </c>
      <c r="Q16" s="183">
        <v>1.8448547556981127</v>
      </c>
      <c r="R16" s="183">
        <v>1.8028255690497197</v>
      </c>
      <c r="S16" s="183">
        <v>5.345288439590095</v>
      </c>
      <c r="T16" s="182"/>
      <c r="U16" s="122"/>
      <c r="V16" s="122"/>
      <c r="W16" s="81" t="str">
        <f t="shared" ref="W16:W20" si="3">IF(ISBLANK(C16),IF(COUNT(J16:T16)=0,"Ok","Check"),IF(COUNT(J16:T16)=COUNT(J$10:T$10),"Ok","Check"))</f>
        <v>Ok</v>
      </c>
    </row>
    <row r="17" spans="1:30" outlineLevel="1">
      <c r="A17" s="122"/>
      <c r="B17" s="122"/>
      <c r="C17" s="130" t="s">
        <v>215</v>
      </c>
      <c r="D17" s="123" t="s">
        <v>64</v>
      </c>
      <c r="E17" s="123" t="str">
        <f t="shared" si="1"/>
        <v>$millions</v>
      </c>
      <c r="F17" s="142">
        <f t="shared" si="2"/>
        <v>45809</v>
      </c>
      <c r="G17" s="124"/>
      <c r="H17" s="124"/>
      <c r="I17" s="123"/>
      <c r="J17" s="161"/>
      <c r="K17" s="161"/>
      <c r="L17" s="161"/>
      <c r="M17" s="161"/>
      <c r="N17" s="161"/>
      <c r="O17" s="182">
        <v>4.8272960849805635</v>
      </c>
      <c r="P17" s="182">
        <v>4.8272960849805635</v>
      </c>
      <c r="Q17" s="182">
        <v>4.8272960849805635</v>
      </c>
      <c r="R17" s="182">
        <v>4.8272960849805635</v>
      </c>
      <c r="S17" s="182">
        <v>4.8272960849805635</v>
      </c>
      <c r="T17" s="182"/>
      <c r="U17" s="122"/>
      <c r="V17" s="122"/>
      <c r="W17" s="81" t="str">
        <f t="shared" si="3"/>
        <v>Ok</v>
      </c>
    </row>
    <row r="18" spans="1:30" outlineLevel="1">
      <c r="A18" s="122"/>
      <c r="B18" s="122"/>
      <c r="C18" s="130"/>
      <c r="D18" s="123" t="s">
        <v>64</v>
      </c>
      <c r="E18" s="123" t="str">
        <f t="shared" si="1"/>
        <v>$millions</v>
      </c>
      <c r="F18" s="142">
        <f t="shared" si="2"/>
        <v>45809</v>
      </c>
      <c r="G18" s="124"/>
      <c r="H18" s="124"/>
      <c r="I18" s="123"/>
      <c r="J18" s="161"/>
      <c r="K18" s="161"/>
      <c r="L18" s="161"/>
      <c r="M18" s="161"/>
      <c r="N18" s="161"/>
      <c r="O18" s="182"/>
      <c r="P18" s="182"/>
      <c r="Q18" s="182"/>
      <c r="R18" s="182"/>
      <c r="S18" s="182"/>
      <c r="T18" s="182"/>
      <c r="U18" s="122"/>
      <c r="V18" s="122"/>
      <c r="W18" s="81" t="str">
        <f t="shared" si="3"/>
        <v>Ok</v>
      </c>
    </row>
    <row r="19" spans="1:30" outlineLevel="1">
      <c r="A19" s="122"/>
      <c r="B19" s="122"/>
      <c r="C19" s="130"/>
      <c r="D19" s="123" t="s">
        <v>64</v>
      </c>
      <c r="E19" s="123" t="str">
        <f t="shared" si="1"/>
        <v>$millions</v>
      </c>
      <c r="F19" s="142">
        <f t="shared" si="2"/>
        <v>45809</v>
      </c>
      <c r="G19" s="124"/>
      <c r="H19" s="124"/>
      <c r="I19" s="123"/>
      <c r="J19" s="161"/>
      <c r="K19" s="161"/>
      <c r="L19" s="161"/>
      <c r="M19" s="161"/>
      <c r="N19" s="161"/>
      <c r="O19" s="182"/>
      <c r="P19" s="182"/>
      <c r="Q19" s="182"/>
      <c r="R19" s="182"/>
      <c r="S19" s="182"/>
      <c r="T19" s="182"/>
      <c r="U19" s="122"/>
      <c r="V19" s="122"/>
      <c r="W19" s="81" t="str">
        <f t="shared" si="3"/>
        <v>Ok</v>
      </c>
    </row>
    <row r="20" spans="1:30" outlineLevel="1">
      <c r="A20" s="122"/>
      <c r="B20" s="122"/>
      <c r="C20" s="130"/>
      <c r="D20" s="123" t="s">
        <v>64</v>
      </c>
      <c r="E20" s="123" t="str">
        <f t="shared" si="1"/>
        <v>$millions</v>
      </c>
      <c r="F20" s="142">
        <f t="shared" si="2"/>
        <v>45809</v>
      </c>
      <c r="G20" s="124"/>
      <c r="H20" s="124"/>
      <c r="I20" s="123"/>
      <c r="J20" s="161"/>
      <c r="K20" s="161"/>
      <c r="L20" s="161"/>
      <c r="M20" s="161"/>
      <c r="N20" s="161"/>
      <c r="O20" s="182"/>
      <c r="P20" s="182"/>
      <c r="Q20" s="182"/>
      <c r="R20" s="182"/>
      <c r="S20" s="182"/>
      <c r="T20" s="182"/>
      <c r="U20" s="122"/>
      <c r="V20" s="122"/>
      <c r="W20" s="81" t="str">
        <f t="shared" si="3"/>
        <v>Ok</v>
      </c>
    </row>
    <row r="21" spans="1:30" outlineLevel="1">
      <c r="A21" s="122"/>
      <c r="B21" s="122"/>
      <c r="C21" s="122"/>
      <c r="D21" s="123"/>
      <c r="E21" s="123"/>
      <c r="F21" s="123"/>
      <c r="G21" s="124"/>
      <c r="H21" s="124"/>
      <c r="I21" s="123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30" outlineLevel="1">
      <c r="A22" s="122"/>
      <c r="B22" s="122"/>
      <c r="C22" s="122" t="s">
        <v>40</v>
      </c>
      <c r="D22" s="123" t="s">
        <v>93</v>
      </c>
      <c r="E22" s="123" t="s">
        <v>28</v>
      </c>
      <c r="F22" s="123" t="s">
        <v>36</v>
      </c>
      <c r="G22" s="123"/>
      <c r="H22" s="123"/>
      <c r="I22" s="123"/>
      <c r="J22" s="168" t="str">
        <f t="shared" ref="J22:S22" si="4">IF(J10=J4,IF(COUNTA($C12:$C20)=COUNT(J12:J20),"Ok","Check"),"")</f>
        <v/>
      </c>
      <c r="K22" s="168" t="str">
        <f t="shared" si="4"/>
        <v/>
      </c>
      <c r="L22" s="168" t="str">
        <f t="shared" si="4"/>
        <v/>
      </c>
      <c r="M22" s="168" t="str">
        <f t="shared" si="4"/>
        <v/>
      </c>
      <c r="N22" s="168" t="str">
        <f t="shared" si="4"/>
        <v/>
      </c>
      <c r="O22" s="168" t="str">
        <f t="shared" si="4"/>
        <v>Ok</v>
      </c>
      <c r="P22" s="168" t="str">
        <f t="shared" si="4"/>
        <v>Ok</v>
      </c>
      <c r="Q22" s="168" t="str">
        <f t="shared" si="4"/>
        <v>Ok</v>
      </c>
      <c r="R22" s="168" t="str">
        <f t="shared" si="4"/>
        <v>Ok</v>
      </c>
      <c r="S22" s="168" t="str">
        <f t="shared" si="4"/>
        <v>Ok</v>
      </c>
      <c r="T22" s="168" t="str">
        <f t="shared" ref="T22" si="5">IF(T10=T4,IF(COUNTA($C12:$C20)=COUNT(T12:T20),"Ok","Check"),"")</f>
        <v/>
      </c>
      <c r="U22" s="169"/>
      <c r="V22" s="122"/>
      <c r="W22" s="81" t="str">
        <f>IF(COUNTIF(J22:T22,"Check")=0,"Ok","Check")</f>
        <v>Ok</v>
      </c>
    </row>
    <row r="23" spans="1:30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customFormat="1" ht="12.75">
      <c r="A24" s="118"/>
      <c r="B24" s="38" t="s">
        <v>106</v>
      </c>
      <c r="C24" s="118"/>
      <c r="D24" s="118"/>
      <c r="E24" s="118"/>
      <c r="F24" s="119"/>
      <c r="G24" s="119"/>
      <c r="H24" s="119"/>
      <c r="I24" s="119"/>
      <c r="J24" s="120"/>
      <c r="K24" s="121"/>
      <c r="L24" s="120"/>
      <c r="M24" s="121"/>
      <c r="N24" s="120"/>
      <c r="O24" s="120"/>
      <c r="P24" s="120"/>
      <c r="Q24" s="120"/>
      <c r="R24" s="120"/>
      <c r="S24" s="120"/>
      <c r="T24" s="120"/>
      <c r="U24" s="120"/>
      <c r="V24" s="121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outlineLevel="1">
      <c r="A26" s="122"/>
      <c r="B26" s="122"/>
      <c r="C26" s="125" t="s">
        <v>102</v>
      </c>
      <c r="D26" s="124" t="s">
        <v>7</v>
      </c>
      <c r="E26" s="124" t="s">
        <v>8</v>
      </c>
      <c r="F26" s="124" t="s">
        <v>22</v>
      </c>
      <c r="G26" s="124"/>
      <c r="H26" s="124"/>
      <c r="I26" s="123"/>
      <c r="J26" s="141" t="str">
        <f t="shared" ref="J26:T26" si="6">IF(YEAR(J$4)&gt;=FPFirstYear,IF(YEAR(J$4)&lt;=FPLastYear,J$4,""),"")</f>
        <v/>
      </c>
      <c r="K26" s="141" t="str">
        <f t="shared" si="6"/>
        <v/>
      </c>
      <c r="L26" s="141" t="str">
        <f t="shared" si="6"/>
        <v/>
      </c>
      <c r="M26" s="141" t="str">
        <f t="shared" si="6"/>
        <v/>
      </c>
      <c r="N26" s="141" t="str">
        <f t="shared" si="6"/>
        <v/>
      </c>
      <c r="O26" s="141">
        <f t="shared" si="6"/>
        <v>46174</v>
      </c>
      <c r="P26" s="141">
        <f t="shared" si="6"/>
        <v>46539</v>
      </c>
      <c r="Q26" s="141">
        <f t="shared" si="6"/>
        <v>46905</v>
      </c>
      <c r="R26" s="141">
        <f t="shared" si="6"/>
        <v>47270</v>
      </c>
      <c r="S26" s="141">
        <f t="shared" si="6"/>
        <v>47635</v>
      </c>
      <c r="T26" s="141" t="str">
        <f t="shared" si="6"/>
        <v/>
      </c>
      <c r="U26" s="122"/>
      <c r="V26" s="122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outlineLevel="1">
      <c r="A28" s="122"/>
      <c r="B28" s="122"/>
      <c r="C28" s="184" t="s">
        <v>214</v>
      </c>
      <c r="D28" s="123" t="s">
        <v>64</v>
      </c>
      <c r="E28" s="123" t="str">
        <f>units</f>
        <v>$millions</v>
      </c>
      <c r="F28" s="142">
        <f>DATE(PPLastYear,MONTH(month),1)</f>
        <v>45809</v>
      </c>
      <c r="G28" s="124"/>
      <c r="H28" s="124"/>
      <c r="I28" s="123"/>
      <c r="J28" s="161"/>
      <c r="K28" s="161"/>
      <c r="L28" s="161"/>
      <c r="M28" s="161"/>
      <c r="N28" s="182"/>
      <c r="O28" s="213">
        <v>34.571270876192969</v>
      </c>
      <c r="P28" s="213">
        <v>31.233184715658254</v>
      </c>
      <c r="Q28" s="213">
        <v>26.991001424629204</v>
      </c>
      <c r="R28" s="213">
        <v>24.91670448729705</v>
      </c>
      <c r="S28" s="213">
        <v>23.956463588254024</v>
      </c>
      <c r="T28" s="182"/>
      <c r="U28" s="122"/>
      <c r="V28" s="122"/>
      <c r="W28" s="81" t="str">
        <f>IF(ISBLANK(C28),IF(COUNT(J28:T28)=0,"Ok","Check"),IF(COUNT(J28:T28)=COUNT(J$10:T$10),"Ok","Check"))</f>
        <v>Ok</v>
      </c>
    </row>
    <row r="29" spans="1:30" outlineLevel="1">
      <c r="A29" s="122"/>
      <c r="B29" s="122"/>
      <c r="C29" s="214" t="s">
        <v>215</v>
      </c>
      <c r="D29" s="123" t="s">
        <v>64</v>
      </c>
      <c r="E29" s="123" t="str">
        <f>units</f>
        <v>$millions</v>
      </c>
      <c r="F29" s="142">
        <f>DATE(PPLastYear,MONTH(month),1)</f>
        <v>45809</v>
      </c>
      <c r="G29" s="124"/>
      <c r="H29" s="124"/>
      <c r="I29" s="123"/>
      <c r="J29" s="161"/>
      <c r="K29" s="161"/>
      <c r="L29" s="161"/>
      <c r="M29" s="161"/>
      <c r="N29" s="182"/>
      <c r="O29" s="213">
        <v>0</v>
      </c>
      <c r="P29" s="213">
        <v>0</v>
      </c>
      <c r="Q29" s="213">
        <v>0</v>
      </c>
      <c r="R29" s="213">
        <v>0</v>
      </c>
      <c r="S29" s="213">
        <v>0</v>
      </c>
      <c r="T29" s="182"/>
      <c r="U29" s="122"/>
      <c r="V29" s="122"/>
      <c r="W29" s="81" t="str">
        <f>IF(ISBLANK(C29),IF(COUNT(J29:T29)=0,"Ok","Check"),IF(COUNT(J29:T29)=COUNT(J$10:T$10),"Ok","Check"))</f>
        <v>Ok</v>
      </c>
    </row>
    <row r="30" spans="1:30" outlineLevel="1">
      <c r="A30" s="122"/>
      <c r="B30" s="122"/>
      <c r="C30" s="184" t="s">
        <v>216</v>
      </c>
      <c r="D30" s="123" t="s">
        <v>64</v>
      </c>
      <c r="E30" s="123" t="str">
        <f>units</f>
        <v>$millions</v>
      </c>
      <c r="F30" s="142">
        <f>DATE(PPLastYear,MONTH(month),1)</f>
        <v>45809</v>
      </c>
      <c r="G30" s="124"/>
      <c r="H30" s="124"/>
      <c r="I30" s="123"/>
      <c r="J30" s="161"/>
      <c r="K30" s="161"/>
      <c r="L30" s="161"/>
      <c r="M30" s="161"/>
      <c r="N30" s="182"/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182"/>
      <c r="U30" s="122"/>
      <c r="V30" s="122"/>
      <c r="W30" s="81" t="str">
        <f>IF(ISBLANK(C30),IF(COUNT(J30:T30)=0,"Ok","Check"),IF(COUNT(J30:T30)=COUNT(J$10:T$10),"Ok","Check"))</f>
        <v>Ok</v>
      </c>
    </row>
    <row r="31" spans="1:30" outlineLevel="1">
      <c r="A31" s="122"/>
      <c r="B31" s="122"/>
      <c r="C31" s="185" t="s">
        <v>210</v>
      </c>
      <c r="D31" s="123" t="s">
        <v>64</v>
      </c>
      <c r="E31" s="123" t="str">
        <f>units</f>
        <v>$millions</v>
      </c>
      <c r="F31" s="142">
        <f>DATE(PPLastYear,MONTH(month),1)</f>
        <v>45809</v>
      </c>
      <c r="G31" s="124"/>
      <c r="H31" s="124"/>
      <c r="I31" s="123"/>
      <c r="J31" s="161"/>
      <c r="K31" s="161"/>
      <c r="L31" s="161"/>
      <c r="M31" s="161"/>
      <c r="N31" s="182"/>
      <c r="O31" s="213">
        <v>0.53251149999999992</v>
      </c>
      <c r="P31" s="213">
        <v>0.53251149999999992</v>
      </c>
      <c r="Q31" s="213">
        <v>0.53251149999999992</v>
      </c>
      <c r="R31" s="213">
        <v>0.53251149999999992</v>
      </c>
      <c r="S31" s="213">
        <v>0.53251149999999992</v>
      </c>
      <c r="T31" s="182"/>
      <c r="U31" s="122"/>
      <c r="V31" s="122"/>
      <c r="W31" s="81" t="str">
        <f>IF(ISBLANK(C31),IF(COUNT(J31:T31)=0,"Ok","Check"),IF(COUNT(J31:T31)=COUNT(J$10:T$10),"Ok","Check"))</f>
        <v>Ok</v>
      </c>
    </row>
    <row r="32" spans="1:30" outlineLevel="1">
      <c r="A32" s="122"/>
      <c r="B32" s="122"/>
      <c r="C32" s="130"/>
      <c r="D32" s="123" t="s">
        <v>64</v>
      </c>
      <c r="E32" s="123" t="str">
        <f>units</f>
        <v>$millions</v>
      </c>
      <c r="F32" s="142">
        <f>DATE(PPLastYear,MONTH(month),1)</f>
        <v>45809</v>
      </c>
      <c r="G32" s="124"/>
      <c r="H32" s="124"/>
      <c r="I32" s="123"/>
      <c r="J32" s="161"/>
      <c r="K32" s="161"/>
      <c r="L32" s="161"/>
      <c r="M32" s="161"/>
      <c r="N32" s="182"/>
      <c r="O32" s="213"/>
      <c r="P32" s="213"/>
      <c r="Q32" s="213"/>
      <c r="R32" s="213"/>
      <c r="S32" s="213"/>
      <c r="T32" s="182"/>
      <c r="U32" s="122"/>
      <c r="V32" s="122"/>
      <c r="W32" s="81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22"/>
      <c r="D33" s="123"/>
      <c r="E33" s="123"/>
      <c r="F33" s="123"/>
      <c r="G33" s="124"/>
      <c r="H33" s="124"/>
      <c r="I33" s="123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30" outlineLevel="1">
      <c r="A34" s="122"/>
      <c r="B34" s="122"/>
      <c r="C34" s="122" t="s">
        <v>40</v>
      </c>
      <c r="D34" s="123" t="s">
        <v>93</v>
      </c>
      <c r="E34" s="123" t="s">
        <v>28</v>
      </c>
      <c r="F34" s="123" t="s">
        <v>36</v>
      </c>
      <c r="G34" s="123"/>
      <c r="H34" s="123"/>
      <c r="I34" s="123"/>
      <c r="J34" s="168" t="str">
        <f t="shared" ref="J34:T34" si="7">IF(J26=J4,IF(COUNTA($C28:$C32)=COUNT(J28:J32),"Ok","Check"),"")</f>
        <v/>
      </c>
      <c r="K34" s="168" t="str">
        <f t="shared" si="7"/>
        <v/>
      </c>
      <c r="L34" s="168" t="str">
        <f t="shared" si="7"/>
        <v/>
      </c>
      <c r="M34" s="168" t="str">
        <f t="shared" si="7"/>
        <v/>
      </c>
      <c r="N34" s="168" t="str">
        <f t="shared" si="7"/>
        <v/>
      </c>
      <c r="O34" s="168" t="str">
        <f t="shared" si="7"/>
        <v>Ok</v>
      </c>
      <c r="P34" s="168" t="str">
        <f t="shared" si="7"/>
        <v>Ok</v>
      </c>
      <c r="Q34" s="168" t="str">
        <f t="shared" si="7"/>
        <v>Ok</v>
      </c>
      <c r="R34" s="168" t="str">
        <f t="shared" si="7"/>
        <v>Ok</v>
      </c>
      <c r="S34" s="168" t="str">
        <f t="shared" si="7"/>
        <v>Ok</v>
      </c>
      <c r="T34" s="168" t="str">
        <f t="shared" si="7"/>
        <v/>
      </c>
      <c r="U34" s="169"/>
      <c r="V34" s="122"/>
      <c r="W34" s="81" t="str">
        <f>IF(COUNTIF(J34:T34,"Check")=0,"Ok","Check")</f>
        <v>Ok</v>
      </c>
    </row>
    <row r="35" spans="1:30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customFormat="1" ht="12.75">
      <c r="A36" s="118"/>
      <c r="B36" s="38" t="s">
        <v>44</v>
      </c>
      <c r="C36" s="118"/>
      <c r="D36" s="118"/>
      <c r="E36" s="118"/>
      <c r="F36" s="119"/>
      <c r="G36" s="119"/>
      <c r="H36" s="119"/>
      <c r="I36" s="119"/>
      <c r="J36" s="120"/>
      <c r="K36" s="121"/>
      <c r="L36" s="120"/>
      <c r="M36" s="121"/>
      <c r="N36" s="120"/>
      <c r="O36" s="120"/>
      <c r="P36" s="120"/>
      <c r="Q36" s="120"/>
      <c r="R36" s="120"/>
      <c r="S36" s="120"/>
      <c r="T36" s="120"/>
      <c r="U36" s="120"/>
      <c r="V36" s="121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outlineLevel="1">
      <c r="A38" s="122"/>
      <c r="B38" s="122"/>
      <c r="C38" s="125" t="s">
        <v>32</v>
      </c>
      <c r="D38" s="124" t="s">
        <v>7</v>
      </c>
      <c r="E38" s="124" t="s">
        <v>8</v>
      </c>
      <c r="F38" s="124" t="s">
        <v>22</v>
      </c>
      <c r="G38" s="124"/>
      <c r="H38" s="124"/>
      <c r="I38" s="123"/>
      <c r="J38" s="141" t="str">
        <f t="shared" ref="J38:T38" si="8">IF(YEAR(J$4)&gt;=FPFirstYear,IF(YEAR(J$4)&lt;=FPLastYear,J$4,""),"")</f>
        <v/>
      </c>
      <c r="K38" s="141" t="str">
        <f t="shared" si="8"/>
        <v/>
      </c>
      <c r="L38" s="141" t="str">
        <f t="shared" si="8"/>
        <v/>
      </c>
      <c r="M38" s="141" t="str">
        <f t="shared" si="8"/>
        <v/>
      </c>
      <c r="N38" s="141" t="str">
        <f t="shared" si="8"/>
        <v/>
      </c>
      <c r="O38" s="141">
        <f t="shared" si="8"/>
        <v>46174</v>
      </c>
      <c r="P38" s="141">
        <f t="shared" si="8"/>
        <v>46539</v>
      </c>
      <c r="Q38" s="141">
        <f t="shared" si="8"/>
        <v>46905</v>
      </c>
      <c r="R38" s="141">
        <f t="shared" si="8"/>
        <v>47270</v>
      </c>
      <c r="S38" s="141">
        <f t="shared" si="8"/>
        <v>47635</v>
      </c>
      <c r="T38" s="141" t="str">
        <f t="shared" si="8"/>
        <v/>
      </c>
      <c r="U38" s="122"/>
      <c r="V38" s="122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8" t="s">
        <v>39</v>
      </c>
      <c r="D40" s="123" t="s">
        <v>67</v>
      </c>
      <c r="E40" s="123" t="s">
        <v>15</v>
      </c>
      <c r="F40" s="142">
        <f>DATE(PPLastYear,MONTH(month),1)</f>
        <v>45809</v>
      </c>
      <c r="G40" s="124"/>
      <c r="H40" s="124"/>
      <c r="I40" s="124"/>
      <c r="J40" s="182"/>
      <c r="K40" s="182"/>
      <c r="L40" s="182"/>
      <c r="M40" s="182"/>
      <c r="N40" s="182"/>
      <c r="O40" s="213">
        <v>1.9488605124672345</v>
      </c>
      <c r="P40" s="213">
        <v>1.9359220494575213</v>
      </c>
      <c r="Q40" s="213">
        <v>1.9143402950811004</v>
      </c>
      <c r="R40" s="213">
        <v>1.8773288780141313</v>
      </c>
      <c r="S40" s="213">
        <v>1.8259169557755526</v>
      </c>
      <c r="T40" s="182"/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outlineLevel="1">
      <c r="A42" s="122"/>
      <c r="B42" s="122"/>
      <c r="C42" s="122" t="s">
        <v>40</v>
      </c>
      <c r="D42" s="123" t="s">
        <v>93</v>
      </c>
      <c r="E42" s="123" t="s">
        <v>28</v>
      </c>
      <c r="F42" s="123" t="s">
        <v>36</v>
      </c>
      <c r="G42" s="123"/>
      <c r="H42" s="123"/>
      <c r="I42" s="123"/>
      <c r="J42" s="168" t="str">
        <f t="shared" ref="J42:T42" si="9">IF(J38=J4,IF(ISBLANK(J40),"Check","Ok"),"")</f>
        <v/>
      </c>
      <c r="K42" s="168" t="str">
        <f t="shared" si="9"/>
        <v/>
      </c>
      <c r="L42" s="168" t="str">
        <f t="shared" si="9"/>
        <v/>
      </c>
      <c r="M42" s="168" t="str">
        <f t="shared" si="9"/>
        <v/>
      </c>
      <c r="N42" s="168" t="str">
        <f t="shared" si="9"/>
        <v/>
      </c>
      <c r="O42" s="168" t="str">
        <f t="shared" si="9"/>
        <v>Ok</v>
      </c>
      <c r="P42" s="168" t="str">
        <f t="shared" si="9"/>
        <v>Ok</v>
      </c>
      <c r="Q42" s="168" t="str">
        <f t="shared" si="9"/>
        <v>Ok</v>
      </c>
      <c r="R42" s="168" t="str">
        <f t="shared" si="9"/>
        <v>Ok</v>
      </c>
      <c r="S42" s="168" t="str">
        <f t="shared" si="9"/>
        <v>Ok</v>
      </c>
      <c r="T42" s="168" t="str">
        <f t="shared" si="9"/>
        <v/>
      </c>
      <c r="U42" s="169"/>
      <c r="V42" s="122"/>
      <c r="W42" s="81" t="str">
        <f>IF(COUNTIF(J42:T42,"Check")=0,"Ok","Check")</f>
        <v>Ok</v>
      </c>
    </row>
    <row r="43" spans="1:30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customFormat="1" ht="12.75">
      <c r="A44" s="118"/>
      <c r="B44" s="38" t="s">
        <v>21</v>
      </c>
      <c r="C44" s="118"/>
      <c r="D44" s="118"/>
      <c r="E44" s="118"/>
      <c r="F44" s="119"/>
      <c r="G44" s="119"/>
      <c r="H44" s="119"/>
      <c r="I44" s="119"/>
      <c r="J44" s="120"/>
      <c r="K44" s="121"/>
      <c r="L44" s="120"/>
      <c r="M44" s="121"/>
      <c r="N44" s="120"/>
      <c r="O44" s="120"/>
      <c r="P44" s="120"/>
      <c r="Q44" s="120"/>
      <c r="R44" s="120"/>
      <c r="S44" s="120"/>
      <c r="T44" s="120"/>
      <c r="U44" s="120"/>
      <c r="V44" s="121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S1">
    <cfRule type="cellIs" dxfId="123" priority="39" operator="equal">
      <formula>"Check"</formula>
    </cfRule>
    <cfRule type="cellIs" dxfId="122" priority="40" operator="equal">
      <formula>"Ok"</formula>
    </cfRule>
  </conditionalFormatting>
  <conditionalFormatting sqref="V1">
    <cfRule type="cellIs" dxfId="121" priority="41" operator="equal">
      <formula>"Check"</formula>
    </cfRule>
    <cfRule type="cellIs" dxfId="120" priority="42" operator="equal">
      <formula>"Ok"</formula>
    </cfRule>
  </conditionalFormatting>
  <conditionalFormatting sqref="J10:T10">
    <cfRule type="expression" dxfId="119" priority="37">
      <formula>J$10=J$4</formula>
    </cfRule>
  </conditionalFormatting>
  <conditionalFormatting sqref="J17:T20 J12:N16 T12:T16">
    <cfRule type="expression" dxfId="118" priority="36">
      <formula>J$10=J$4</formula>
    </cfRule>
  </conditionalFormatting>
  <conditionalFormatting sqref="W22">
    <cfRule type="cellIs" dxfId="117" priority="32" operator="equal">
      <formula>"Check"</formula>
    </cfRule>
    <cfRule type="cellIs" dxfId="116" priority="33" operator="equal">
      <formula>"Ok"</formula>
    </cfRule>
  </conditionalFormatting>
  <conditionalFormatting sqref="J22:T22">
    <cfRule type="cellIs" dxfId="115" priority="30" operator="equal">
      <formula>"Check"</formula>
    </cfRule>
    <cfRule type="cellIs" dxfId="114" priority="31" operator="equal">
      <formula>"Ok"</formula>
    </cfRule>
  </conditionalFormatting>
  <conditionalFormatting sqref="W34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34:T34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J28:M32 O31:O32">
    <cfRule type="expression" dxfId="109" priority="25">
      <formula>J$26=J$4</formula>
    </cfRule>
  </conditionalFormatting>
  <conditionalFormatting sqref="W42">
    <cfRule type="cellIs" dxfId="108" priority="23" operator="equal">
      <formula>"Check"</formula>
    </cfRule>
    <cfRule type="cellIs" dxfId="107" priority="24" operator="equal">
      <formula>"Ok"</formula>
    </cfRule>
  </conditionalFormatting>
  <conditionalFormatting sqref="J42:T42">
    <cfRule type="cellIs" dxfId="106" priority="21" operator="equal">
      <formula>"Check"</formula>
    </cfRule>
    <cfRule type="cellIs" dxfId="105" priority="22" operator="equal">
      <formula>"Ok"</formula>
    </cfRule>
  </conditionalFormatting>
  <conditionalFormatting sqref="P31:T32 O28:T30">
    <cfRule type="expression" dxfId="104" priority="20">
      <formula>O$10=O$4</formula>
    </cfRule>
  </conditionalFormatting>
  <conditionalFormatting sqref="N28:N32">
    <cfRule type="expression" dxfId="103" priority="19">
      <formula>N$10=N$4</formula>
    </cfRule>
  </conditionalFormatting>
  <conditionalFormatting sqref="J40:T40">
    <cfRule type="expression" dxfId="102" priority="16">
      <formula>J$38=J$4</formula>
    </cfRule>
  </conditionalFormatting>
  <conditionalFormatting sqref="J26:T26">
    <cfRule type="expression" dxfId="101" priority="15">
      <formula>J$10=J$4</formula>
    </cfRule>
  </conditionalFormatting>
  <conditionalFormatting sqref="J38:T38">
    <cfRule type="expression" dxfId="100" priority="14">
      <formula>J$10=J$4</formula>
    </cfRule>
  </conditionalFormatting>
  <conditionalFormatting sqref="O12:S16">
    <cfRule type="expression" dxfId="99" priority="13">
      <formula>O$10=O$4</formula>
    </cfRule>
  </conditionalFormatting>
  <conditionalFormatting sqref="W12:W20">
    <cfRule type="cellIs" dxfId="98" priority="11" operator="equal">
      <formula>"Check"</formula>
    </cfRule>
    <cfRule type="cellIs" dxfId="97" priority="12" operator="equal">
      <formula>"Ok"</formula>
    </cfRule>
  </conditionalFormatting>
  <conditionalFormatting sqref="W28">
    <cfRule type="cellIs" dxfId="96" priority="9" operator="equal">
      <formula>"Check"</formula>
    </cfRule>
    <cfRule type="cellIs" dxfId="95" priority="10" operator="equal">
      <formula>"Ok"</formula>
    </cfRule>
  </conditionalFormatting>
  <conditionalFormatting sqref="W29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W30">
    <cfRule type="cellIs" dxfId="92" priority="5" operator="equal">
      <formula>"Check"</formula>
    </cfRule>
    <cfRule type="cellIs" dxfId="91" priority="6" operator="equal">
      <formula>"Ok"</formula>
    </cfRule>
  </conditionalFormatting>
  <conditionalFormatting sqref="W31">
    <cfRule type="cellIs" dxfId="90" priority="3" operator="equal">
      <formula>"Check"</formula>
    </cfRule>
    <cfRule type="cellIs" dxfId="89" priority="4" operator="equal">
      <formula>"Ok"</formula>
    </cfRule>
  </conditionalFormatting>
  <conditionalFormatting sqref="W32">
    <cfRule type="cellIs" dxfId="88" priority="1" operator="equal">
      <formula>"Check"</formula>
    </cfRule>
    <cfRule type="cellIs" dxfId="87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A85" zoomScale="115" zoomScaleNormal="115" workbookViewId="0">
      <selection activeCell="F105" sqref="F105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89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5"/>
      <c r="O3" s="215"/>
      <c r="P3" s="215"/>
      <c r="Q3" s="215"/>
      <c r="R3" s="215"/>
      <c r="S3" s="215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234.51829587280849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245.63987845161421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194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222.59951234345303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194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277.6391875703049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195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226.21971960316213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195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282.15452272014539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75.381300109999998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78.956114394535774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196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35.936916369965012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196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44.822633076323214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197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35.519783606302127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197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44.302360590579262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245.63987845161421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4.5153351498404959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250.1552136014547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-78.435841908791815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New IFRS treatment - SaaS implementation costs in base year</v>
      </c>
      <c r="D37" s="65" t="s">
        <v>87</v>
      </c>
      <c r="E37" s="16" t="str">
        <f>'Input|Reported opex'!E63</f>
        <v>$millions</v>
      </c>
      <c r="F37" s="98">
        <f>'Input|Reported opex'!F63</f>
        <v>45809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2.4687311063408548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New IFRS treatment - SaaS implementation costs in base year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2.4687311063408548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Incremental ICT project opex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2.1389406012600096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Incremental ICT project opex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2.1389406012600096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176.32704340026376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160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4.212922120241205E-3</v>
      </c>
      <c r="P61" s="72">
        <f ca="1">IF(P58=P4,AVERAGE(OFFSET('Input|Rate of change'!Q106,0,0,COUNTA('Input|Rate of change'!$J$95:$M$95),1)),0)</f>
        <v>3.5486159331108557E-3</v>
      </c>
      <c r="Q61" s="72">
        <f ca="1">IF(Q58=Q4,AVERAGE(OFFSET('Input|Rate of change'!R106,0,0,COUNTA('Input|Rate of change'!$J$95:$M$95),1)),0)</f>
        <v>2.5900861214823174E-3</v>
      </c>
      <c r="R61" s="72">
        <f ca="1">IF(R58=R4,AVERAGE(OFFSET('Input|Rate of change'!S106,0,0,COUNTA('Input|Rate of change'!$J$95:$M$95),1)),0)</f>
        <v>1.3019291226468136E-3</v>
      </c>
      <c r="S61" s="72">
        <f ca="1">IF(S58=S4,AVERAGE(OFFSET('Input|Rate of change'!T106,0,0,COUNTA('Input|Rate of change'!$J$95:$M$95),1)),0)</f>
        <v>-8.2560113061359809E-4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163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4.2129221202411582E-3</v>
      </c>
      <c r="P62" s="72">
        <f t="array" aca="1" ref="P62" ca="1">IF(P$58=P$4,PRODUCT(1+$J61:P61)-1,0)</f>
        <v>7.7764880959128035E-3</v>
      </c>
      <c r="Q62" s="72">
        <f t="array" aca="1" ref="Q62" ca="1">IF(Q$58=Q$4,PRODUCT(1+$J61:Q61)-1,0)</f>
        <v>1.0386715991286266E-2</v>
      </c>
      <c r="R62" s="72">
        <f t="array" aca="1" ref="R62" ca="1">IF(R$58=R$4,PRODUCT(1+$J61:R61)-1,0)</f>
        <v>1.1702167881970871E-2</v>
      </c>
      <c r="S62" s="72">
        <f t="array" aca="1" ref="S62" ca="1">IF(S$58=S$4,PRODUCT(1+$J61:S61)-1,0)</f>
        <v>1.0866905428323248E-2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161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1.0021588574448719E-2</v>
      </c>
      <c r="P64" s="72">
        <f>SUMPRODUCT('Input|Rate of change'!Q38:Q45,'Input|Rate of change'!Q51:Q58)</f>
        <v>5.9628098664990586E-3</v>
      </c>
      <c r="Q64" s="72">
        <f>SUMPRODUCT('Input|Rate of change'!R38:R45,'Input|Rate of change'!R51:R58)</f>
        <v>4.9131495823351483E-3</v>
      </c>
      <c r="R64" s="72">
        <f>SUMPRODUCT('Input|Rate of change'!S38:S45,'Input|Rate of change'!S51:S58)</f>
        <v>6.3141281747539149E-3</v>
      </c>
      <c r="S64" s="72">
        <f>SUMPRODUCT('Input|Rate of change'!T38:T45,'Input|Rate of change'!T51:T58)</f>
        <v>7.5423036336660209E-3</v>
      </c>
      <c r="T64" s="72">
        <f>SUMPRODUCT('Input|Rate of change'!U38:U45,'Input|Rate of change'!U51:U58)</f>
        <v>0</v>
      </c>
    </row>
    <row r="65" spans="1:31" outlineLevel="1">
      <c r="C65" s="15" t="s">
        <v>164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1.0021588574448792E-2</v>
      </c>
      <c r="P65" s="72">
        <f t="array" ref="P65">IF(P$58=P$4,PRODUCT(1+$J64:P64)-1,0)</f>
        <v>1.6044155268177596E-2</v>
      </c>
      <c r="Q65" s="72">
        <f t="array" ref="Q65">IF(Q$58=Q$4,PRODUCT(1+$J64:Q64)-1,0)</f>
        <v>2.1036132185267453E-2</v>
      </c>
      <c r="R65" s="72">
        <f t="array" ref="R65">IF(R$58=R$4,PRODUCT(1+$J64:R64)-1,0)</f>
        <v>2.7483085194940138E-2</v>
      </c>
      <c r="S65" s="72">
        <f t="array" ref="S65">IF(S$58=S$4,PRODUCT(1+$J64:S64)-1,0)</f>
        <v>3.5232674601936242E-2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162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8.6239999999999997E-3</v>
      </c>
      <c r="P67" s="72">
        <f>'Input|Rate of change'!Q115</f>
        <v>8.6239999999999997E-3</v>
      </c>
      <c r="Q67" s="72">
        <f>'Input|Rate of change'!R115</f>
        <v>8.6239999999999997E-3</v>
      </c>
      <c r="R67" s="72">
        <f>'Input|Rate of change'!S115</f>
        <v>8.6239999999999997E-3</v>
      </c>
      <c r="S67" s="72">
        <f>'Input|Rate of change'!T115</f>
        <v>8.6239999999999997E-3</v>
      </c>
      <c r="T67" s="72">
        <f>'Input|Rate of change'!U115</f>
        <v>0</v>
      </c>
    </row>
    <row r="68" spans="1:31" outlineLevel="1">
      <c r="C68" s="15" t="s">
        <v>165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8.623999999999965E-3</v>
      </c>
      <c r="P68" s="72">
        <f t="array" ref="P68">IF(P$58=P$4,PRODUCT(1+$J67:P67)-1,0)</f>
        <v>1.7322373375999955E-2</v>
      </c>
      <c r="Q68" s="72">
        <f t="array" ref="Q68">IF(Q$58=Q$4,PRODUCT(1+$J67:Q67)-1,0)</f>
        <v>2.609576152399451E-2</v>
      </c>
      <c r="R68" s="72">
        <f t="array" ref="R68">IF(R$58=R$4,PRODUCT(1+$J67:R67)-1,0)</f>
        <v>3.4944811371377504E-2</v>
      </c>
      <c r="S68" s="72">
        <f t="array" ref="S68">IF(S$58=S$4,PRODUCT(1+$J67:S67)-1,0)</f>
        <v>4.387017542464422E-2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5.529608339879255E-3</v>
      </c>
      <c r="P70" s="88">
        <f t="shared" ca="1" si="6"/>
        <v>8.2637650416894637E-4</v>
      </c>
      <c r="Q70" s="88">
        <f t="shared" ca="1" si="6"/>
        <v>-1.1728564648905149E-3</v>
      </c>
      <c r="R70" s="88">
        <f t="shared" ca="1" si="6"/>
        <v>-1.0654739273776581E-3</v>
      </c>
      <c r="S70" s="88">
        <f t="shared" ca="1" si="6"/>
        <v>-1.9713955726590182E-3</v>
      </c>
      <c r="T70" s="88">
        <f t="shared" ref="T70" ca="1" si="7">(1+T61)*(1+T64)*(1-T67)-1</f>
        <v>0</v>
      </c>
    </row>
    <row r="71" spans="1:31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5.529608339879255E-3</v>
      </c>
      <c r="P71" s="72">
        <f t="array" aca="1" ref="P71" ca="1">IF(P$58=P$4,PRODUCT(1+$J70:P70)-1,"")</f>
        <v>6.3605543824576394E-3</v>
      </c>
      <c r="Q71" s="72">
        <f t="array" aca="1" ref="Q71" ca="1">IF(Q$58=Q$4,PRODUCT(1+$J70:Q70)-1,"")</f>
        <v>5.1802379002394705E-3</v>
      </c>
      <c r="R71" s="72">
        <f t="array" aca="1" ref="R71" ca="1">IF(R$58=R$4,PRODUCT(1+$J70:R70)-1,"")</f>
        <v>4.1092445644415054E-3</v>
      </c>
      <c r="S71" s="72">
        <f t="array" aca="1" ref="S71" ca="1">IF(S$58=S$4,PRODUCT(1+$J70:S70)-1,"")</f>
        <v>2.129748045241131E-3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Support for customers experiencing vulnerability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ICT services for new recurrent projects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0.67907280076902476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2.179952639821777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3.6785348366970632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3.8525183947618555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4.2677999499808354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Emissions reduction – Climate change reporting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Emissions measurement – Picarro leak detection services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Pipeline Integrity Management Program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7.0736990414752547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0.91409563630791757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1.8448547556981127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1.8028255690497197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5.345288439590095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License fees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12.580067927224842</v>
      </c>
      <c r="P87" s="80">
        <f t="shared" si="10"/>
        <v>7.9213443611102576</v>
      </c>
      <c r="Q87" s="80">
        <f t="shared" si="10"/>
        <v>10.35068567737574</v>
      </c>
      <c r="R87" s="80">
        <f t="shared" si="10"/>
        <v>10.482640048792138</v>
      </c>
      <c r="S87" s="80">
        <f t="shared" si="10"/>
        <v>14.440384474551493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UAG costs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34.571270876192969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31.233184715658254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26.991001424629204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24.91670448729705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23.956463588254024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 t="str">
        <f>'Input|Step changes'!C29</f>
        <v>License fees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 t="str">
        <f>'Input|Step changes'!C30</f>
        <v>Safeguard mechanism costs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 t="str">
        <f>'Input|Step changes'!C31</f>
        <v>Support for customers experiencing vulnerability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35.103782376192967</v>
      </c>
      <c r="P99" s="80">
        <f t="shared" si="14"/>
        <v>31.765696215658252</v>
      </c>
      <c r="Q99" s="80">
        <f t="shared" si="14"/>
        <v>27.523512924629202</v>
      </c>
      <c r="R99" s="80">
        <f t="shared" si="14"/>
        <v>25.449215987297048</v>
      </c>
      <c r="S99" s="80">
        <f t="shared" si="14"/>
        <v>24.488975088254023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189.88213081722094</v>
      </c>
      <c r="P105" s="90">
        <f t="shared" ca="1" si="16"/>
        <v>185.36992551001936</v>
      </c>
      <c r="Q105" s="90">
        <f t="shared" ca="1" si="16"/>
        <v>187.5911451106987</v>
      </c>
      <c r="R105" s="90">
        <f t="shared" ca="1" si="16"/>
        <v>187.53425439371247</v>
      </c>
      <c r="S105" s="90">
        <f t="shared" ca="1" si="16"/>
        <v>191.14296005082014</v>
      </c>
      <c r="T105" s="90" t="str">
        <f t="shared" si="16"/>
        <v/>
      </c>
    </row>
    <row r="106" spans="1:39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224.98591319341392</v>
      </c>
      <c r="P106" s="90">
        <f t="shared" ca="1" si="17"/>
        <v>217.13562172567759</v>
      </c>
      <c r="Q106" s="90">
        <f t="shared" ca="1" si="17"/>
        <v>215.11465803532792</v>
      </c>
      <c r="R106" s="90">
        <f t="shared" ca="1" si="17"/>
        <v>212.98347038100951</v>
      </c>
      <c r="S106" s="90">
        <f t="shared" ca="1" si="17"/>
        <v>215.63193513907416</v>
      </c>
      <c r="T106" s="90" t="str">
        <f t="shared" si="17"/>
        <v/>
      </c>
    </row>
    <row r="107" spans="1:39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226.93477370588116</v>
      </c>
      <c r="P107" s="90">
        <f ca="1">IF(YEAR(P$4)&gt;=FPFirstYear,IF(YEAR(P$4)&lt;=FPLastYear,P106+'Input|Step changes'!P40,""),"")</f>
        <v>219.07154377513513</v>
      </c>
      <c r="Q107" s="90">
        <f ca="1">IF(YEAR(Q$4)&gt;=FPFirstYear,IF(YEAR(Q$4)&lt;=FPLastYear,Q106+'Input|Step changes'!Q40,""),"")</f>
        <v>217.02899833040902</v>
      </c>
      <c r="R107" s="90">
        <f ca="1">IF(YEAR(R$4)&gt;=FPFirstYear,IF(YEAR(R$4)&lt;=FPLastYear,R106+'Input|Step changes'!R40,""),"")</f>
        <v>214.86079925902365</v>
      </c>
      <c r="S107" s="90">
        <f ca="1">IF(YEAR(S$4)&gt;=FPFirstYear,IF(YEAR(S$4)&lt;=FPLastYear,S106+'Input|Step changes'!S40,""),"")</f>
        <v>217.4578520948497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93:T98 J77:T85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C1" sqref="C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89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5"/>
      <c r="O3" s="215"/>
      <c r="P3" s="215"/>
      <c r="Q3" s="215"/>
      <c r="R3" s="215"/>
      <c r="S3" s="215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189.88213081722094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185.36992551001936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187.5911451106987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187.53425439371247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191.14296005082014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UAG costs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34.571270876192969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31.233184715658254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26.991001424629204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24.91670448729705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23.956463588254024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 t="str">
        <f>'Input|Step changes'!C29</f>
        <v>License fees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 t="str">
        <f>'Input|Step changes'!C30</f>
        <v>Safeguard mechanism costs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 t="str">
        <f>'Input|Step changes'!C31</f>
        <v>Support for customers experiencing vulnerability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I1" sqref="I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89" t="s">
        <v>24</v>
      </c>
      <c r="V1" s="29" t="str">
        <f>'Check|List'!$S$1</f>
        <v>Ok</v>
      </c>
    </row>
    <row r="2" spans="1:30" s="27" customFormat="1" ht="12.75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172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173</v>
      </c>
      <c r="D8" s="16" t="s">
        <v>176</v>
      </c>
      <c r="E8" s="16"/>
      <c r="F8" s="16"/>
      <c r="G8" s="39" t="s">
        <v>173</v>
      </c>
    </row>
    <row r="9" spans="1:30">
      <c r="C9" s="15" t="s">
        <v>174</v>
      </c>
      <c r="D9" s="16" t="s">
        <v>176</v>
      </c>
      <c r="E9" s="16"/>
      <c r="F9" s="16"/>
      <c r="G9" s="39" t="s">
        <v>174</v>
      </c>
    </row>
    <row r="10" spans="1:30">
      <c r="C10" s="15" t="s">
        <v>175</v>
      </c>
      <c r="D10" s="16" t="s">
        <v>64</v>
      </c>
      <c r="E10" s="16"/>
      <c r="F10" s="16"/>
      <c r="G10" s="39" t="s">
        <v>175</v>
      </c>
      <c r="T10" s="17"/>
    </row>
    <row r="11" spans="1:30">
      <c r="C11" s="15" t="s">
        <v>177</v>
      </c>
      <c r="D11" s="16" t="s">
        <v>176</v>
      </c>
      <c r="E11" s="16"/>
      <c r="F11" s="16"/>
      <c r="G11" s="39" t="s">
        <v>177</v>
      </c>
    </row>
    <row r="12" spans="1:30">
      <c r="C12" s="15" t="s">
        <v>178</v>
      </c>
      <c r="D12" s="16" t="s">
        <v>64</v>
      </c>
      <c r="E12" s="16"/>
      <c r="F12" s="16"/>
      <c r="G12" s="39" t="s">
        <v>178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>
      <c r="C72" s="15" t="s">
        <v>156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157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C11" sqref="C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8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89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190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90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90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190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90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190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90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2024-11-21T23:08:04Z</dcterms:created>
  <dcterms:modified xsi:type="dcterms:W3CDTF">2024-11-21T23:08:10Z</dcterms:modified>
</cp:coreProperties>
</file>