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/>
  <xr:revisionPtr revIDLastSave="0" documentId="13_ncr:1_{59F673B2-94E3-457B-A503-201E1E7642D0}" xr6:coauthVersionLast="47" xr6:coauthVersionMax="47" xr10:uidLastSave="{00000000-0000-0000-0000-000000000000}"/>
  <bookViews>
    <workbookView xWindow="28680" yWindow="-120" windowWidth="29040" windowHeight="15840" xr2:uid="{8487BD21-00F4-4193-B06F-40B8E96C0748}"/>
  </bookViews>
  <sheets>
    <sheet name="Inputs" sheetId="5" r:id="rId1"/>
    <sheet name="CPI Inputs" sheetId="11" r:id="rId2"/>
    <sheet name="CPA1" sheetId="1" r:id="rId3"/>
    <sheet name="RFM Input" sheetId="3" r:id="rId4"/>
    <sheet name="PTRM Input" sheetId="7" r:id="rId5"/>
    <sheet name="Tables" sheetId="9" state="veryHidden" r:id="rId6"/>
  </sheets>
  <definedNames>
    <definedName name="FY_month">#REF!</definedName>
    <definedName name="L_CPA_Stream">#REF!</definedName>
    <definedName name="L_CPA_Type">#REF!</definedName>
    <definedName name="L_KL4">#REF!</definedName>
    <definedName name="L_L4">#REF!</definedName>
    <definedName name="L_TermAUD">#REF!</definedName>
    <definedName name="Months_quarter">#REF!</definedName>
    <definedName name="Months_year">#REF!</definedName>
    <definedName name="WorkBookTitle">#REF!</definedName>
    <definedName name="zer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7" l="1"/>
  <c r="P64" i="7"/>
  <c r="E88" i="7"/>
  <c r="P88" i="7"/>
  <c r="P112" i="7"/>
  <c r="P137" i="7"/>
  <c r="E65" i="7"/>
  <c r="P65" i="7"/>
  <c r="E89" i="7"/>
  <c r="P89" i="7"/>
  <c r="P113" i="7"/>
  <c r="P138" i="7"/>
  <c r="E66" i="7"/>
  <c r="P66" i="7"/>
  <c r="E90" i="7"/>
  <c r="P90" i="7"/>
  <c r="P114" i="7"/>
  <c r="P139" i="7"/>
  <c r="E67" i="7"/>
  <c r="P67" i="7"/>
  <c r="E91" i="7"/>
  <c r="P91" i="7"/>
  <c r="P115" i="7"/>
  <c r="P140" i="7"/>
  <c r="E68" i="7"/>
  <c r="P68" i="7"/>
  <c r="E92" i="7"/>
  <c r="P92" i="7"/>
  <c r="P116" i="7"/>
  <c r="P141" i="7"/>
  <c r="E69" i="7"/>
  <c r="P69" i="7"/>
  <c r="E93" i="7"/>
  <c r="P93" i="7"/>
  <c r="P117" i="7"/>
  <c r="P142" i="7"/>
  <c r="E70" i="7"/>
  <c r="P70" i="7"/>
  <c r="E94" i="7"/>
  <c r="P94" i="7"/>
  <c r="P118" i="7"/>
  <c r="P143" i="7"/>
  <c r="E71" i="7"/>
  <c r="P71" i="7"/>
  <c r="E95" i="7"/>
  <c r="P95" i="7"/>
  <c r="P119" i="7"/>
  <c r="P144" i="7"/>
  <c r="E72" i="7"/>
  <c r="P72" i="7"/>
  <c r="E96" i="7"/>
  <c r="P96" i="7"/>
  <c r="P120" i="7"/>
  <c r="P145" i="7"/>
  <c r="E73" i="7"/>
  <c r="P73" i="7"/>
  <c r="E97" i="7"/>
  <c r="P97" i="7"/>
  <c r="P121" i="7"/>
  <c r="P146" i="7"/>
  <c r="E74" i="7"/>
  <c r="P74" i="7"/>
  <c r="E98" i="7"/>
  <c r="P98" i="7"/>
  <c r="P122" i="7"/>
  <c r="P147" i="7"/>
  <c r="E75" i="7"/>
  <c r="P75" i="7"/>
  <c r="E99" i="7"/>
  <c r="P99" i="7"/>
  <c r="P123" i="7"/>
  <c r="P148" i="7"/>
  <c r="E76" i="7"/>
  <c r="P76" i="7"/>
  <c r="E100" i="7"/>
  <c r="P100" i="7"/>
  <c r="P124" i="7"/>
  <c r="P149" i="7"/>
  <c r="E77" i="7"/>
  <c r="P77" i="7"/>
  <c r="E101" i="7"/>
  <c r="P101" i="7"/>
  <c r="P125" i="7"/>
  <c r="P150" i="7"/>
  <c r="E78" i="7"/>
  <c r="P78" i="7"/>
  <c r="E102" i="7"/>
  <c r="P102" i="7"/>
  <c r="P126" i="7"/>
  <c r="P151" i="7"/>
  <c r="E79" i="7"/>
  <c r="P79" i="7"/>
  <c r="E103" i="7"/>
  <c r="P103" i="7"/>
  <c r="P127" i="7"/>
  <c r="P152" i="7"/>
  <c r="E80" i="7"/>
  <c r="P80" i="7"/>
  <c r="E104" i="7"/>
  <c r="P104" i="7"/>
  <c r="P128" i="7"/>
  <c r="P153" i="7"/>
  <c r="E81" i="7"/>
  <c r="P81" i="7"/>
  <c r="E105" i="7"/>
  <c r="P105" i="7"/>
  <c r="P129" i="7"/>
  <c r="P154" i="7"/>
  <c r="E82" i="7"/>
  <c r="P82" i="7"/>
  <c r="E106" i="7"/>
  <c r="P106" i="7"/>
  <c r="P130" i="7"/>
  <c r="P155" i="7"/>
  <c r="E83" i="7"/>
  <c r="P83" i="7"/>
  <c r="E107" i="7"/>
  <c r="P107" i="7"/>
  <c r="P131" i="7"/>
  <c r="P156" i="7"/>
  <c r="E84" i="7"/>
  <c r="P84" i="7"/>
  <c r="E108" i="7"/>
  <c r="P108" i="7"/>
  <c r="P132" i="7"/>
  <c r="P157" i="7"/>
  <c r="P158" i="7"/>
  <c r="Q64" i="7"/>
  <c r="Q88" i="7"/>
  <c r="Q112" i="7"/>
  <c r="Q137" i="7"/>
  <c r="Q65" i="7"/>
  <c r="Q89" i="7"/>
  <c r="Q113" i="7"/>
  <c r="Q138" i="7"/>
  <c r="Q66" i="7"/>
  <c r="Q90" i="7"/>
  <c r="Q114" i="7"/>
  <c r="Q139" i="7"/>
  <c r="Q67" i="7"/>
  <c r="Q91" i="7"/>
  <c r="Q115" i="7"/>
  <c r="Q140" i="7"/>
  <c r="Q68" i="7"/>
  <c r="Q92" i="7"/>
  <c r="Q116" i="7"/>
  <c r="Q141" i="7"/>
  <c r="Q69" i="7"/>
  <c r="Q93" i="7"/>
  <c r="Q117" i="7"/>
  <c r="Q142" i="7"/>
  <c r="Q70" i="7"/>
  <c r="Q94" i="7"/>
  <c r="Q118" i="7"/>
  <c r="Q143" i="7"/>
  <c r="Q71" i="7"/>
  <c r="Q95" i="7"/>
  <c r="Q119" i="7"/>
  <c r="Q144" i="7"/>
  <c r="Q72" i="7"/>
  <c r="Q96" i="7"/>
  <c r="Q120" i="7"/>
  <c r="Q145" i="7"/>
  <c r="Q73" i="7"/>
  <c r="Q97" i="7"/>
  <c r="Q121" i="7"/>
  <c r="Q146" i="7"/>
  <c r="Q74" i="7"/>
  <c r="Q98" i="7"/>
  <c r="Q122" i="7"/>
  <c r="Q147" i="7"/>
  <c r="Q75" i="7"/>
  <c r="Q99" i="7"/>
  <c r="Q123" i="7"/>
  <c r="Q148" i="7"/>
  <c r="Q76" i="7"/>
  <c r="Q100" i="7"/>
  <c r="Q124" i="7"/>
  <c r="Q149" i="7"/>
  <c r="Q77" i="7"/>
  <c r="Q101" i="7"/>
  <c r="Q125" i="7"/>
  <c r="Q150" i="7"/>
  <c r="Q78" i="7"/>
  <c r="Q102" i="7"/>
  <c r="Q126" i="7"/>
  <c r="Q151" i="7"/>
  <c r="Q79" i="7"/>
  <c r="Q103" i="7"/>
  <c r="Q127" i="7"/>
  <c r="Q152" i="7"/>
  <c r="Q80" i="7"/>
  <c r="Q104" i="7"/>
  <c r="Q128" i="7"/>
  <c r="Q153" i="7"/>
  <c r="Q81" i="7"/>
  <c r="Q105" i="7"/>
  <c r="Q129" i="7"/>
  <c r="Q154" i="7"/>
  <c r="Q82" i="7"/>
  <c r="Q106" i="7"/>
  <c r="Q130" i="7"/>
  <c r="Q155" i="7"/>
  <c r="Q83" i="7"/>
  <c r="Q107" i="7"/>
  <c r="Q131" i="7"/>
  <c r="Q156" i="7"/>
  <c r="Q84" i="7"/>
  <c r="Q108" i="7"/>
  <c r="Q132" i="7"/>
  <c r="Q157" i="7"/>
  <c r="Q158" i="7"/>
  <c r="R64" i="7"/>
  <c r="R88" i="7"/>
  <c r="R112" i="7"/>
  <c r="R137" i="7"/>
  <c r="R65" i="7"/>
  <c r="R89" i="7"/>
  <c r="R113" i="7"/>
  <c r="R138" i="7"/>
  <c r="R66" i="7"/>
  <c r="R90" i="7"/>
  <c r="R114" i="7"/>
  <c r="R139" i="7"/>
  <c r="R67" i="7"/>
  <c r="R91" i="7"/>
  <c r="R115" i="7"/>
  <c r="R140" i="7"/>
  <c r="R68" i="7"/>
  <c r="R92" i="7"/>
  <c r="R116" i="7"/>
  <c r="R141" i="7"/>
  <c r="R69" i="7"/>
  <c r="R93" i="7"/>
  <c r="R117" i="7"/>
  <c r="R142" i="7"/>
  <c r="R70" i="7"/>
  <c r="R94" i="7"/>
  <c r="R118" i="7"/>
  <c r="R143" i="7"/>
  <c r="R71" i="7"/>
  <c r="R95" i="7"/>
  <c r="R119" i="7"/>
  <c r="R144" i="7"/>
  <c r="R72" i="7"/>
  <c r="R96" i="7"/>
  <c r="R120" i="7"/>
  <c r="R145" i="7"/>
  <c r="R73" i="7"/>
  <c r="R97" i="7"/>
  <c r="R121" i="7"/>
  <c r="R146" i="7"/>
  <c r="R74" i="7"/>
  <c r="R98" i="7"/>
  <c r="R122" i="7"/>
  <c r="R147" i="7"/>
  <c r="R75" i="7"/>
  <c r="R99" i="7"/>
  <c r="R123" i="7"/>
  <c r="R148" i="7"/>
  <c r="R76" i="7"/>
  <c r="R100" i="7"/>
  <c r="R124" i="7"/>
  <c r="R149" i="7"/>
  <c r="R77" i="7"/>
  <c r="R101" i="7"/>
  <c r="R125" i="7"/>
  <c r="R150" i="7"/>
  <c r="R78" i="7"/>
  <c r="R102" i="7"/>
  <c r="R126" i="7"/>
  <c r="R151" i="7"/>
  <c r="R79" i="7"/>
  <c r="R103" i="7"/>
  <c r="R127" i="7"/>
  <c r="R152" i="7"/>
  <c r="R80" i="7"/>
  <c r="R104" i="7"/>
  <c r="R128" i="7"/>
  <c r="R153" i="7"/>
  <c r="R81" i="7"/>
  <c r="R105" i="7"/>
  <c r="R129" i="7"/>
  <c r="R154" i="7"/>
  <c r="R82" i="7"/>
  <c r="R106" i="7"/>
  <c r="R130" i="7"/>
  <c r="R155" i="7"/>
  <c r="R83" i="7"/>
  <c r="R107" i="7"/>
  <c r="R131" i="7"/>
  <c r="R156" i="7"/>
  <c r="R84" i="7"/>
  <c r="R108" i="7"/>
  <c r="R132" i="7"/>
  <c r="R157" i="7"/>
  <c r="R158" i="7"/>
  <c r="S64" i="7"/>
  <c r="S88" i="7"/>
  <c r="S112" i="7"/>
  <c r="S65" i="7"/>
  <c r="S89" i="7"/>
  <c r="S113" i="7"/>
  <c r="S66" i="7"/>
  <c r="S90" i="7"/>
  <c r="S114" i="7"/>
  <c r="S67" i="7"/>
  <c r="S91" i="7"/>
  <c r="S115" i="7"/>
  <c r="S68" i="7"/>
  <c r="S92" i="7"/>
  <c r="S116" i="7"/>
  <c r="S69" i="7"/>
  <c r="S93" i="7"/>
  <c r="S117" i="7"/>
  <c r="S70" i="7"/>
  <c r="S94" i="7"/>
  <c r="S118" i="7"/>
  <c r="S71" i="7"/>
  <c r="S95" i="7"/>
  <c r="S119" i="7"/>
  <c r="S72" i="7"/>
  <c r="S96" i="7"/>
  <c r="S120" i="7"/>
  <c r="S73" i="7"/>
  <c r="S97" i="7"/>
  <c r="S121" i="7"/>
  <c r="S74" i="7"/>
  <c r="S98" i="7"/>
  <c r="S122" i="7"/>
  <c r="S75" i="7"/>
  <c r="S99" i="7"/>
  <c r="S123" i="7"/>
  <c r="S76" i="7"/>
  <c r="S100" i="7"/>
  <c r="S124" i="7"/>
  <c r="S77" i="7"/>
  <c r="S101" i="7"/>
  <c r="S125" i="7"/>
  <c r="S78" i="7"/>
  <c r="S102" i="7"/>
  <c r="S126" i="7"/>
  <c r="S79" i="7"/>
  <c r="S103" i="7"/>
  <c r="S127" i="7"/>
  <c r="S80" i="7"/>
  <c r="S104" i="7"/>
  <c r="S128" i="7"/>
  <c r="S81" i="7"/>
  <c r="S105" i="7"/>
  <c r="S129" i="7"/>
  <c r="S82" i="7"/>
  <c r="S106" i="7"/>
  <c r="S130" i="7"/>
  <c r="S83" i="7"/>
  <c r="S107" i="7"/>
  <c r="S131" i="7"/>
  <c r="S84" i="7"/>
  <c r="S108" i="7"/>
  <c r="S132" i="7"/>
  <c r="T64" i="7"/>
  <c r="T88" i="7"/>
  <c r="T112" i="7"/>
  <c r="T65" i="7"/>
  <c r="T89" i="7"/>
  <c r="T113" i="7"/>
  <c r="T66" i="7"/>
  <c r="T90" i="7"/>
  <c r="T114" i="7"/>
  <c r="T67" i="7"/>
  <c r="T91" i="7"/>
  <c r="T115" i="7"/>
  <c r="T68" i="7"/>
  <c r="T92" i="7"/>
  <c r="T116" i="7"/>
  <c r="T69" i="7"/>
  <c r="T93" i="7"/>
  <c r="T117" i="7"/>
  <c r="T70" i="7"/>
  <c r="T94" i="7"/>
  <c r="T118" i="7"/>
  <c r="T71" i="7"/>
  <c r="T95" i="7"/>
  <c r="T119" i="7"/>
  <c r="T72" i="7"/>
  <c r="T96" i="7"/>
  <c r="T120" i="7"/>
  <c r="T73" i="7"/>
  <c r="T97" i="7"/>
  <c r="T121" i="7"/>
  <c r="T74" i="7"/>
  <c r="T98" i="7"/>
  <c r="T122" i="7"/>
  <c r="T75" i="7"/>
  <c r="T99" i="7"/>
  <c r="T123" i="7"/>
  <c r="T76" i="7"/>
  <c r="T100" i="7"/>
  <c r="T124" i="7"/>
  <c r="T77" i="7"/>
  <c r="T101" i="7"/>
  <c r="T125" i="7"/>
  <c r="T78" i="7"/>
  <c r="T102" i="7"/>
  <c r="T126" i="7"/>
  <c r="T79" i="7"/>
  <c r="T103" i="7"/>
  <c r="T127" i="7"/>
  <c r="T80" i="7"/>
  <c r="T104" i="7"/>
  <c r="T128" i="7"/>
  <c r="T81" i="7"/>
  <c r="T105" i="7"/>
  <c r="T129" i="7"/>
  <c r="T82" i="7"/>
  <c r="T106" i="7"/>
  <c r="T130" i="7"/>
  <c r="T83" i="7"/>
  <c r="T107" i="7"/>
  <c r="T131" i="7"/>
  <c r="T84" i="7"/>
  <c r="T108" i="7"/>
  <c r="T132" i="7"/>
  <c r="E158" i="7"/>
  <c r="P165" i="7"/>
  <c r="Q167" i="7"/>
  <c r="Q168" i="7"/>
  <c r="Q169" i="7"/>
  <c r="Q170" i="7"/>
  <c r="Q171" i="7"/>
  <c r="Q172" i="7"/>
  <c r="Q173" i="7"/>
  <c r="Q174" i="7"/>
  <c r="R167" i="7"/>
  <c r="R168" i="7"/>
  <c r="R169" i="7"/>
  <c r="R170" i="7"/>
  <c r="R171" i="7"/>
  <c r="R172" i="7"/>
  <c r="R173" i="7"/>
  <c r="R174" i="7"/>
  <c r="P167" i="7"/>
  <c r="P168" i="7"/>
  <c r="P169" i="7"/>
  <c r="P170" i="7"/>
  <c r="P171" i="7"/>
  <c r="P172" i="7"/>
  <c r="P173" i="7"/>
  <c r="P174" i="7"/>
  <c r="Q108" i="1"/>
  <c r="R108" i="1"/>
  <c r="P108" i="1"/>
  <c r="E22" i="5"/>
  <c r="V12" i="11"/>
  <c r="W14" i="11"/>
  <c r="V14" i="11"/>
  <c r="V55" i="11"/>
  <c r="W53" i="11"/>
  <c r="X53" i="11"/>
  <c r="Y53" i="11"/>
  <c r="Z53" i="11"/>
  <c r="V53" i="11"/>
  <c r="W55" i="11"/>
  <c r="X55" i="11"/>
  <c r="Y55" i="11"/>
  <c r="Z55" i="11"/>
  <c r="U2" i="7"/>
  <c r="V2" i="7"/>
  <c r="W2" i="7"/>
  <c r="X2" i="7"/>
  <c r="Y2" i="7"/>
  <c r="U5" i="7"/>
  <c r="V5" i="7"/>
  <c r="W5" i="7"/>
  <c r="X5" i="7"/>
  <c r="Y5" i="7"/>
  <c r="U6" i="7"/>
  <c r="V6" i="7"/>
  <c r="W6" i="7"/>
  <c r="X6" i="7"/>
  <c r="Y6" i="7"/>
  <c r="T59" i="7"/>
  <c r="S59" i="7"/>
  <c r="R59" i="7"/>
  <c r="Q59" i="7"/>
  <c r="P59" i="7"/>
  <c r="T58" i="7"/>
  <c r="S58" i="7"/>
  <c r="R58" i="7"/>
  <c r="Q58" i="7"/>
  <c r="P58" i="7"/>
  <c r="T57" i="7"/>
  <c r="S57" i="7"/>
  <c r="R57" i="7"/>
  <c r="Q57" i="7"/>
  <c r="P57" i="7"/>
  <c r="T56" i="7"/>
  <c r="S56" i="7"/>
  <c r="R56" i="7"/>
  <c r="Q56" i="7"/>
  <c r="P56" i="7"/>
  <c r="T55" i="7"/>
  <c r="S55" i="7"/>
  <c r="R55" i="7"/>
  <c r="Q55" i="7"/>
  <c r="P55" i="7"/>
  <c r="T54" i="7"/>
  <c r="S54" i="7"/>
  <c r="R54" i="7"/>
  <c r="Q54" i="7"/>
  <c r="P54" i="7"/>
  <c r="T53" i="7"/>
  <c r="S53" i="7"/>
  <c r="R53" i="7"/>
  <c r="Q53" i="7"/>
  <c r="P53" i="7"/>
  <c r="T52" i="7"/>
  <c r="S52" i="7"/>
  <c r="R52" i="7"/>
  <c r="Q52" i="7"/>
  <c r="P52" i="7"/>
  <c r="T51" i="7"/>
  <c r="S51" i="7"/>
  <c r="R51" i="7"/>
  <c r="Q51" i="7"/>
  <c r="P51" i="7"/>
  <c r="T50" i="7"/>
  <c r="S50" i="7"/>
  <c r="R50" i="7"/>
  <c r="Q50" i="7"/>
  <c r="P50" i="7"/>
  <c r="T49" i="7"/>
  <c r="S49" i="7"/>
  <c r="R49" i="7"/>
  <c r="Q49" i="7"/>
  <c r="P49" i="7"/>
  <c r="T48" i="7"/>
  <c r="S48" i="7"/>
  <c r="R48" i="7"/>
  <c r="Q48" i="7"/>
  <c r="P48" i="7"/>
  <c r="T47" i="7"/>
  <c r="S47" i="7"/>
  <c r="R47" i="7"/>
  <c r="Q47" i="7"/>
  <c r="P47" i="7"/>
  <c r="T46" i="7"/>
  <c r="S46" i="7"/>
  <c r="R46" i="7"/>
  <c r="Q46" i="7"/>
  <c r="P46" i="7"/>
  <c r="T45" i="7"/>
  <c r="S45" i="7"/>
  <c r="R45" i="7"/>
  <c r="Q45" i="7"/>
  <c r="P45" i="7"/>
  <c r="T44" i="7"/>
  <c r="S44" i="7"/>
  <c r="R44" i="7"/>
  <c r="Q44" i="7"/>
  <c r="P44" i="7"/>
  <c r="T43" i="7"/>
  <c r="S43" i="7"/>
  <c r="R43" i="7"/>
  <c r="Q43" i="7"/>
  <c r="P43" i="7"/>
  <c r="T42" i="7"/>
  <c r="S42" i="7"/>
  <c r="R42" i="7"/>
  <c r="Q42" i="7"/>
  <c r="P42" i="7"/>
  <c r="T41" i="7"/>
  <c r="S41" i="7"/>
  <c r="R41" i="7"/>
  <c r="Q41" i="7"/>
  <c r="P41" i="7"/>
  <c r="T40" i="7"/>
  <c r="S40" i="7"/>
  <c r="R40" i="7"/>
  <c r="Q40" i="7"/>
  <c r="P40" i="7"/>
  <c r="T39" i="7"/>
  <c r="S39" i="7"/>
  <c r="R39" i="7"/>
  <c r="Q39" i="7"/>
  <c r="P39" i="7"/>
  <c r="T34" i="7"/>
  <c r="S34" i="7"/>
  <c r="T33" i="7"/>
  <c r="T156" i="7" s="1"/>
  <c r="S33" i="7"/>
  <c r="T32" i="7"/>
  <c r="T155" i="7" s="1"/>
  <c r="S32" i="7"/>
  <c r="S155" i="7" s="1"/>
  <c r="T31" i="7"/>
  <c r="T154" i="7" s="1"/>
  <c r="S31" i="7"/>
  <c r="S154" i="7" s="1"/>
  <c r="T30" i="7"/>
  <c r="T153" i="7" s="1"/>
  <c r="S30" i="7"/>
  <c r="S153" i="7" s="1"/>
  <c r="T29" i="7"/>
  <c r="T152" i="7" s="1"/>
  <c r="S29" i="7"/>
  <c r="S152" i="7" s="1"/>
  <c r="T28" i="7"/>
  <c r="T151" i="7" s="1"/>
  <c r="S28" i="7"/>
  <c r="T27" i="7"/>
  <c r="T150" i="7" s="1"/>
  <c r="S27" i="7"/>
  <c r="S150" i="7" s="1"/>
  <c r="T26" i="7"/>
  <c r="S26" i="7"/>
  <c r="T25" i="7"/>
  <c r="T148" i="7" s="1"/>
  <c r="S25" i="7"/>
  <c r="T24" i="7"/>
  <c r="T147" i="7" s="1"/>
  <c r="S24" i="7"/>
  <c r="S147" i="7" s="1"/>
  <c r="T23" i="7"/>
  <c r="T146" i="7" s="1"/>
  <c r="S23" i="7"/>
  <c r="S146" i="7" s="1"/>
  <c r="T22" i="7"/>
  <c r="T145" i="7" s="1"/>
  <c r="S22" i="7"/>
  <c r="S145" i="7" s="1"/>
  <c r="T21" i="7"/>
  <c r="T144" i="7" s="1"/>
  <c r="S21" i="7"/>
  <c r="S144" i="7" s="1"/>
  <c r="T20" i="7"/>
  <c r="T143" i="7" s="1"/>
  <c r="S20" i="7"/>
  <c r="T19" i="7"/>
  <c r="T142" i="7" s="1"/>
  <c r="S19" i="7"/>
  <c r="S142" i="7" s="1"/>
  <c r="T18" i="7"/>
  <c r="S18" i="7"/>
  <c r="T17" i="7"/>
  <c r="T140" i="7" s="1"/>
  <c r="S17" i="7"/>
  <c r="T16" i="7"/>
  <c r="T139" i="7" s="1"/>
  <c r="S16" i="7"/>
  <c r="S139" i="7" s="1"/>
  <c r="T15" i="7"/>
  <c r="T138" i="7" s="1"/>
  <c r="S15" i="7"/>
  <c r="S138" i="7" s="1"/>
  <c r="T14" i="7"/>
  <c r="T137" i="7" s="1"/>
  <c r="S14" i="7"/>
  <c r="S137" i="7" s="1"/>
  <c r="Q86" i="1"/>
  <c r="Q14" i="7"/>
  <c r="R86" i="1"/>
  <c r="R14" i="3"/>
  <c r="Q87" i="1"/>
  <c r="Q15" i="3"/>
  <c r="R87" i="1"/>
  <c r="R15" i="7"/>
  <c r="Q88" i="1"/>
  <c r="Q16" i="7"/>
  <c r="R88" i="1"/>
  <c r="R16" i="3"/>
  <c r="Q89" i="1"/>
  <c r="Q17" i="7"/>
  <c r="R89" i="1"/>
  <c r="R17" i="7"/>
  <c r="Q90" i="1"/>
  <c r="Q18" i="7"/>
  <c r="R90" i="1"/>
  <c r="R18" i="3"/>
  <c r="Q91" i="1"/>
  <c r="Q19" i="3"/>
  <c r="R91" i="1"/>
  <c r="R19" i="3"/>
  <c r="Q92" i="1"/>
  <c r="Q20" i="7"/>
  <c r="R92" i="1"/>
  <c r="R20" i="7"/>
  <c r="Q93" i="1"/>
  <c r="Q21" i="7"/>
  <c r="R93" i="1"/>
  <c r="R21" i="7"/>
  <c r="Q94" i="1"/>
  <c r="Q22" i="7"/>
  <c r="R94" i="1"/>
  <c r="R22" i="3"/>
  <c r="Q95" i="1"/>
  <c r="Q23" i="3"/>
  <c r="R95" i="1"/>
  <c r="R23" i="3"/>
  <c r="Q96" i="1"/>
  <c r="Q24" i="7"/>
  <c r="R96" i="1"/>
  <c r="R24" i="3"/>
  <c r="Q97" i="1"/>
  <c r="Q25" i="7"/>
  <c r="R97" i="1"/>
  <c r="R25" i="3"/>
  <c r="Q98" i="1"/>
  <c r="Q26" i="7"/>
  <c r="R98" i="1"/>
  <c r="R26" i="3"/>
  <c r="Q99" i="1"/>
  <c r="Q27" i="3"/>
  <c r="R99" i="1"/>
  <c r="R27" i="7"/>
  <c r="Q100" i="1"/>
  <c r="Q28" i="7"/>
  <c r="R100" i="1"/>
  <c r="R28" i="7"/>
  <c r="Q101" i="1"/>
  <c r="Q29" i="3"/>
  <c r="R101" i="1"/>
  <c r="R29" i="7"/>
  <c r="Q102" i="1"/>
  <c r="Q30" i="7"/>
  <c r="R102" i="1"/>
  <c r="R30" i="3"/>
  <c r="Q103" i="1"/>
  <c r="Q31" i="3"/>
  <c r="R103" i="1"/>
  <c r="R31" i="3"/>
  <c r="Q104" i="1"/>
  <c r="Q32" i="7"/>
  <c r="R104" i="1"/>
  <c r="R32" i="7"/>
  <c r="Q105" i="1"/>
  <c r="Q33" i="7"/>
  <c r="R105" i="1"/>
  <c r="R33" i="7"/>
  <c r="Q106" i="1"/>
  <c r="Q34" i="7"/>
  <c r="R106" i="1"/>
  <c r="R34" i="3"/>
  <c r="P87" i="1"/>
  <c r="P15" i="7"/>
  <c r="P88" i="1"/>
  <c r="P16" i="3"/>
  <c r="P89" i="1"/>
  <c r="P17" i="7"/>
  <c r="P90" i="1"/>
  <c r="P18" i="7"/>
  <c r="P91" i="1"/>
  <c r="P19" i="7"/>
  <c r="P92" i="1"/>
  <c r="P20" i="3"/>
  <c r="P93" i="1"/>
  <c r="P21" i="7"/>
  <c r="P94" i="1"/>
  <c r="P22" i="3"/>
  <c r="P95" i="1"/>
  <c r="P23" i="7"/>
  <c r="P96" i="1"/>
  <c r="P24" i="3"/>
  <c r="P97" i="1"/>
  <c r="P25" i="7"/>
  <c r="P98" i="1"/>
  <c r="P26" i="7"/>
  <c r="P99" i="1"/>
  <c r="P27" i="7"/>
  <c r="P100" i="1"/>
  <c r="P28" i="7"/>
  <c r="P101" i="1"/>
  <c r="P29" i="7"/>
  <c r="P102" i="1"/>
  <c r="P30" i="7"/>
  <c r="P103" i="1"/>
  <c r="P31" i="7"/>
  <c r="P104" i="1"/>
  <c r="P32" i="3"/>
  <c r="P105" i="1"/>
  <c r="P33" i="7"/>
  <c r="P106" i="1"/>
  <c r="P34" i="7"/>
  <c r="P86" i="1"/>
  <c r="P14" i="7"/>
  <c r="P24" i="7"/>
  <c r="R15" i="3"/>
  <c r="Q18" i="3"/>
  <c r="R21" i="3"/>
  <c r="Q30" i="3"/>
  <c r="Q19" i="7"/>
  <c r="R24" i="7"/>
  <c r="P16" i="7"/>
  <c r="Q25" i="3"/>
  <c r="P14" i="3"/>
  <c r="P34" i="3"/>
  <c r="Q24" i="3"/>
  <c r="R16" i="7"/>
  <c r="P33" i="3"/>
  <c r="P30" i="3"/>
  <c r="R27" i="3"/>
  <c r="P28" i="3"/>
  <c r="P23" i="3"/>
  <c r="R33" i="3"/>
  <c r="P22" i="7"/>
  <c r="R26" i="7"/>
  <c r="Q31" i="7"/>
  <c r="P18" i="3"/>
  <c r="R14" i="7"/>
  <c r="R18" i="7"/>
  <c r="P26" i="3"/>
  <c r="Q14" i="3"/>
  <c r="Q20" i="3"/>
  <c r="Q26" i="3"/>
  <c r="Q32" i="3"/>
  <c r="Q15" i="7"/>
  <c r="P20" i="7"/>
  <c r="R22" i="7"/>
  <c r="Q27" i="7"/>
  <c r="P32" i="7"/>
  <c r="R34" i="7"/>
  <c r="Q29" i="7"/>
  <c r="P25" i="3"/>
  <c r="R20" i="3"/>
  <c r="R32" i="3"/>
  <c r="Q21" i="3"/>
  <c r="Q33" i="3"/>
  <c r="Q16" i="3"/>
  <c r="Q34" i="3"/>
  <c r="Q23" i="7"/>
  <c r="R30" i="7"/>
  <c r="R25" i="7"/>
  <c r="Q22" i="3"/>
  <c r="Q28" i="3"/>
  <c r="P21" i="3"/>
  <c r="R28" i="3"/>
  <c r="R23" i="7"/>
  <c r="Q17" i="3"/>
  <c r="P31" i="3"/>
  <c r="P19" i="3"/>
  <c r="R17" i="3"/>
  <c r="R29" i="3"/>
  <c r="P29" i="3"/>
  <c r="P17" i="3"/>
  <c r="R19" i="7"/>
  <c r="R31" i="7"/>
  <c r="P27" i="3"/>
  <c r="P15" i="3"/>
  <c r="P35" i="3"/>
  <c r="R35" i="3"/>
  <c r="Q35" i="3"/>
  <c r="Q44" i="3"/>
  <c r="R43" i="3"/>
  <c r="R40" i="3"/>
  <c r="R39" i="3"/>
  <c r="R45" i="3"/>
  <c r="R41" i="3"/>
  <c r="Q43" i="3"/>
  <c r="Q40" i="3"/>
  <c r="Q42" i="3"/>
  <c r="Q39" i="3"/>
  <c r="P39" i="3"/>
  <c r="P41" i="3"/>
  <c r="P40" i="3"/>
  <c r="P45" i="3"/>
  <c r="P42" i="3"/>
  <c r="R42" i="3"/>
  <c r="R44" i="3"/>
  <c r="Q45" i="3"/>
  <c r="Q41" i="3"/>
  <c r="P44" i="3"/>
  <c r="P43" i="3"/>
  <c r="Q46" i="3"/>
  <c r="P46" i="3"/>
  <c r="R46" i="3"/>
  <c r="E39" i="7"/>
  <c r="T6" i="7"/>
  <c r="S6" i="7"/>
  <c r="R6" i="7"/>
  <c r="Q6" i="7"/>
  <c r="P6" i="7"/>
  <c r="T5" i="7"/>
  <c r="S5" i="7"/>
  <c r="R5" i="7"/>
  <c r="Q5" i="7"/>
  <c r="P5" i="7"/>
  <c r="P4" i="7"/>
  <c r="P3" i="7"/>
  <c r="T2" i="7"/>
  <c r="S2" i="7"/>
  <c r="R2" i="7"/>
  <c r="Q2" i="7"/>
  <c r="P2" i="7"/>
  <c r="Y6" i="3"/>
  <c r="X6" i="3"/>
  <c r="W6" i="3"/>
  <c r="V6" i="3"/>
  <c r="U6" i="3"/>
  <c r="T6" i="3"/>
  <c r="S6" i="3"/>
  <c r="R6" i="3"/>
  <c r="Q6" i="3"/>
  <c r="P6" i="3"/>
  <c r="Y5" i="3"/>
  <c r="X5" i="3"/>
  <c r="W5" i="3"/>
  <c r="V5" i="3"/>
  <c r="U5" i="3"/>
  <c r="T5" i="3"/>
  <c r="S5" i="3"/>
  <c r="R5" i="3"/>
  <c r="Q5" i="3"/>
  <c r="P5" i="3"/>
  <c r="P4" i="3"/>
  <c r="P3" i="3"/>
  <c r="Y2" i="3"/>
  <c r="X2" i="3"/>
  <c r="W2" i="3"/>
  <c r="V2" i="3"/>
  <c r="U2" i="3"/>
  <c r="T2" i="3"/>
  <c r="S2" i="3"/>
  <c r="R2" i="3"/>
  <c r="Q2" i="3"/>
  <c r="P2" i="3"/>
  <c r="A8" i="7"/>
  <c r="A8" i="3"/>
  <c r="B10" i="3"/>
  <c r="A8" i="1"/>
  <c r="A7" i="11"/>
  <c r="B10" i="5"/>
  <c r="B13" i="5"/>
  <c r="A8" i="5"/>
  <c r="P48" i="3"/>
  <c r="R48" i="3"/>
  <c r="Q48" i="3"/>
  <c r="B24" i="5"/>
  <c r="E127" i="7"/>
  <c r="E115" i="7"/>
  <c r="E117" i="7"/>
  <c r="E126" i="7"/>
  <c r="E114" i="7"/>
  <c r="E132" i="7"/>
  <c r="E118" i="7"/>
  <c r="E116" i="7"/>
  <c r="E125" i="7"/>
  <c r="E113" i="7"/>
  <c r="E129" i="7"/>
  <c r="E124" i="7"/>
  <c r="E112" i="7"/>
  <c r="E128" i="7"/>
  <c r="E123" i="7"/>
  <c r="E122" i="7"/>
  <c r="E120" i="7"/>
  <c r="E121" i="7"/>
  <c r="E119" i="7"/>
  <c r="E130" i="7"/>
  <c r="E131" i="7"/>
  <c r="E150" i="7"/>
  <c r="E142" i="7"/>
  <c r="E48" i="7"/>
  <c r="E56" i="7"/>
  <c r="E59" i="7"/>
  <c r="E151" i="7"/>
  <c r="E157" i="7"/>
  <c r="E149" i="7"/>
  <c r="E141" i="7"/>
  <c r="E41" i="7"/>
  <c r="E49" i="7"/>
  <c r="E57" i="7"/>
  <c r="E51" i="7"/>
  <c r="E46" i="7"/>
  <c r="E156" i="7"/>
  <c r="E148" i="7"/>
  <c r="E140" i="7"/>
  <c r="E42" i="7"/>
  <c r="E50" i="7"/>
  <c r="E58" i="7"/>
  <c r="E60" i="7"/>
  <c r="E143" i="7"/>
  <c r="E47" i="7"/>
  <c r="E155" i="7"/>
  <c r="E147" i="7"/>
  <c r="E139" i="7"/>
  <c r="E43" i="7"/>
  <c r="E55" i="7"/>
  <c r="E154" i="7"/>
  <c r="E146" i="7"/>
  <c r="E138" i="7"/>
  <c r="E44" i="7"/>
  <c r="E52" i="7"/>
  <c r="E40" i="7"/>
  <c r="E152" i="7"/>
  <c r="E144" i="7"/>
  <c r="E54" i="7"/>
  <c r="E153" i="7"/>
  <c r="E145" i="7"/>
  <c r="E137" i="7"/>
  <c r="E45" i="7"/>
  <c r="E53" i="7"/>
  <c r="B10" i="1"/>
  <c r="B34" i="1"/>
  <c r="B9" i="11"/>
  <c r="B14" i="11"/>
  <c r="B19" i="11"/>
  <c r="P35" i="7"/>
  <c r="Q35" i="7"/>
  <c r="R60" i="7"/>
  <c r="Q60" i="7"/>
  <c r="P60" i="7"/>
  <c r="R35" i="7"/>
  <c r="B10" i="7"/>
  <c r="B135" i="7"/>
  <c r="B37" i="3"/>
  <c r="C12" i="3"/>
  <c r="V11" i="11"/>
  <c r="V16" i="11"/>
  <c r="P40" i="11"/>
  <c r="P39" i="11"/>
  <c r="P38" i="11"/>
  <c r="P37" i="11"/>
  <c r="P36" i="11"/>
  <c r="P35" i="11"/>
  <c r="Q17" i="11"/>
  <c r="Q40" i="11"/>
  <c r="R17" i="11"/>
  <c r="R37" i="11"/>
  <c r="S17" i="11"/>
  <c r="S37" i="11"/>
  <c r="T17" i="11"/>
  <c r="T35" i="11"/>
  <c r="R16" i="11"/>
  <c r="S16" i="11"/>
  <c r="T16" i="11"/>
  <c r="U16" i="11"/>
  <c r="Q16" i="11"/>
  <c r="U12" i="11"/>
  <c r="R3" i="11"/>
  <c r="Q3" i="11"/>
  <c r="P3" i="11"/>
  <c r="R2" i="11"/>
  <c r="Q2" i="11"/>
  <c r="P2" i="11"/>
  <c r="T2" i="11"/>
  <c r="U2" i="11"/>
  <c r="V2" i="11"/>
  <c r="W2" i="11"/>
  <c r="X2" i="11"/>
  <c r="Y2" i="11"/>
  <c r="Z2" i="11"/>
  <c r="AA2" i="11"/>
  <c r="AB2" i="11"/>
  <c r="T3" i="11"/>
  <c r="U3" i="11"/>
  <c r="V3" i="11"/>
  <c r="W3" i="11"/>
  <c r="X3" i="11"/>
  <c r="Y3" i="11"/>
  <c r="Z3" i="11"/>
  <c r="AA3" i="11"/>
  <c r="AB3" i="11"/>
  <c r="Q4" i="1"/>
  <c r="Q3" i="1"/>
  <c r="R3" i="1"/>
  <c r="P41" i="11"/>
  <c r="U17" i="11"/>
  <c r="U36" i="11"/>
  <c r="T40" i="11"/>
  <c r="B80" i="1"/>
  <c r="B84" i="1"/>
  <c r="C12" i="7"/>
  <c r="R3" i="7"/>
  <c r="R3" i="3"/>
  <c r="S3" i="1"/>
  <c r="Q3" i="3"/>
  <c r="Q3" i="7"/>
  <c r="R4" i="1"/>
  <c r="Q4" i="7"/>
  <c r="Q4" i="3"/>
  <c r="U37" i="11"/>
  <c r="S40" i="11"/>
  <c r="R39" i="11"/>
  <c r="R21" i="11"/>
  <c r="S21" i="11"/>
  <c r="T21" i="11"/>
  <c r="U21" i="11"/>
  <c r="Q22" i="11"/>
  <c r="P22" i="11"/>
  <c r="R38" i="11"/>
  <c r="Q39" i="11"/>
  <c r="P21" i="11"/>
  <c r="Q20" i="11"/>
  <c r="R20" i="11"/>
  <c r="S20" i="11"/>
  <c r="T20" i="11"/>
  <c r="U20" i="11"/>
  <c r="S39" i="11"/>
  <c r="R36" i="11"/>
  <c r="S41" i="11"/>
  <c r="S36" i="11"/>
  <c r="Q35" i="11"/>
  <c r="T25" i="11"/>
  <c r="S25" i="11"/>
  <c r="R25" i="11"/>
  <c r="Q25" i="11"/>
  <c r="P25" i="11"/>
  <c r="U24" i="11"/>
  <c r="Q36" i="11"/>
  <c r="U39" i="11"/>
  <c r="R41" i="11"/>
  <c r="B34" i="11"/>
  <c r="B49" i="11"/>
  <c r="S24" i="11"/>
  <c r="R24" i="11"/>
  <c r="Q24" i="11"/>
  <c r="P24" i="11"/>
  <c r="T23" i="11"/>
  <c r="U23" i="11"/>
  <c r="Q41" i="11"/>
  <c r="S35" i="11"/>
  <c r="S22" i="11"/>
  <c r="T22" i="11"/>
  <c r="U22" i="11"/>
  <c r="R23" i="11"/>
  <c r="Q23" i="11"/>
  <c r="P23" i="11"/>
  <c r="Q37" i="11"/>
  <c r="B161" i="7"/>
  <c r="C187" i="7"/>
  <c r="U41" i="11"/>
  <c r="U40" i="11"/>
  <c r="U38" i="11"/>
  <c r="U35" i="11"/>
  <c r="W12" i="11"/>
  <c r="V17" i="11"/>
  <c r="S38" i="11"/>
  <c r="T36" i="11"/>
  <c r="Q38" i="11"/>
  <c r="R40" i="11"/>
  <c r="T39" i="11"/>
  <c r="T37" i="11"/>
  <c r="W11" i="11"/>
  <c r="R35" i="11"/>
  <c r="T38" i="11"/>
  <c r="T41" i="11"/>
  <c r="V21" i="11"/>
  <c r="V24" i="11"/>
  <c r="C163" i="7"/>
  <c r="R4" i="7"/>
  <c r="R4" i="3"/>
  <c r="S4" i="1"/>
  <c r="T3" i="1"/>
  <c r="S3" i="7"/>
  <c r="S3" i="3"/>
  <c r="V23" i="11"/>
  <c r="V20" i="11"/>
  <c r="V25" i="11"/>
  <c r="U26" i="11"/>
  <c r="T26" i="11"/>
  <c r="S26" i="11"/>
  <c r="R26" i="11"/>
  <c r="Q26" i="11"/>
  <c r="P26" i="11"/>
  <c r="V22" i="11"/>
  <c r="C37" i="7"/>
  <c r="C62" i="7"/>
  <c r="C86" i="7"/>
  <c r="Q42" i="11"/>
  <c r="P42" i="11"/>
  <c r="U42" i="11"/>
  <c r="V42" i="11"/>
  <c r="T42" i="11"/>
  <c r="S42" i="11"/>
  <c r="R42" i="11"/>
  <c r="X11" i="11"/>
  <c r="W16" i="11"/>
  <c r="V37" i="11"/>
  <c r="V36" i="11"/>
  <c r="V40" i="11"/>
  <c r="V41" i="11"/>
  <c r="V35" i="11"/>
  <c r="V38" i="11"/>
  <c r="V39" i="11"/>
  <c r="X12" i="11"/>
  <c r="W17" i="11"/>
  <c r="C110" i="7"/>
  <c r="U3" i="1"/>
  <c r="U3" i="7"/>
  <c r="T3" i="7"/>
  <c r="T3" i="3"/>
  <c r="T4" i="1"/>
  <c r="S4" i="7"/>
  <c r="S4" i="3"/>
  <c r="W23" i="11"/>
  <c r="W25" i="11"/>
  <c r="W43" i="11"/>
  <c r="W41" i="11"/>
  <c r="W26" i="11"/>
  <c r="V27" i="11"/>
  <c r="U27" i="11"/>
  <c r="T27" i="11"/>
  <c r="S27" i="11"/>
  <c r="R27" i="11"/>
  <c r="Q27" i="11"/>
  <c r="P27" i="11"/>
  <c r="W22" i="11"/>
  <c r="W24" i="11"/>
  <c r="W21" i="11"/>
  <c r="W20" i="11"/>
  <c r="Y12" i="11"/>
  <c r="X17" i="11"/>
  <c r="X38" i="11"/>
  <c r="W35" i="11"/>
  <c r="W37" i="11"/>
  <c r="W38" i="11"/>
  <c r="W36" i="11"/>
  <c r="W40" i="11"/>
  <c r="Q43" i="11"/>
  <c r="R43" i="11"/>
  <c r="S43" i="11"/>
  <c r="T43" i="11"/>
  <c r="P43" i="11"/>
  <c r="Y11" i="11"/>
  <c r="U43" i="11"/>
  <c r="V43" i="11"/>
  <c r="X16" i="11"/>
  <c r="W42" i="11"/>
  <c r="W39" i="11"/>
  <c r="X42" i="11"/>
  <c r="X44" i="11"/>
  <c r="X40" i="11"/>
  <c r="X26" i="11"/>
  <c r="X36" i="11"/>
  <c r="V3" i="1"/>
  <c r="V3" i="7"/>
  <c r="U3" i="3"/>
  <c r="U4" i="1"/>
  <c r="U4" i="7"/>
  <c r="T4" i="3"/>
  <c r="T4" i="7"/>
  <c r="X20" i="11"/>
  <c r="X21" i="11"/>
  <c r="X24" i="11"/>
  <c r="X35" i="11"/>
  <c r="W28" i="11"/>
  <c r="V28" i="11"/>
  <c r="U28" i="11"/>
  <c r="T28" i="11"/>
  <c r="S28" i="11"/>
  <c r="R28" i="11"/>
  <c r="Q28" i="11"/>
  <c r="P28" i="11"/>
  <c r="X27" i="11"/>
  <c r="X22" i="11"/>
  <c r="X25" i="11"/>
  <c r="X23" i="11"/>
  <c r="X39" i="11"/>
  <c r="X43" i="11"/>
  <c r="X37" i="11"/>
  <c r="X41" i="11"/>
  <c r="Z12" i="11"/>
  <c r="Y17" i="11"/>
  <c r="Y36" i="11"/>
  <c r="S44" i="11"/>
  <c r="R44" i="11"/>
  <c r="Q44" i="11"/>
  <c r="P44" i="11"/>
  <c r="U44" i="11"/>
  <c r="V44" i="11"/>
  <c r="Z11" i="11"/>
  <c r="Y16" i="11"/>
  <c r="T44" i="11"/>
  <c r="W44" i="11"/>
  <c r="Y42" i="11"/>
  <c r="Y23" i="11"/>
  <c r="Y26" i="11"/>
  <c r="Y25" i="11"/>
  <c r="Y20" i="11"/>
  <c r="Y35" i="11"/>
  <c r="Y41" i="11"/>
  <c r="Y24" i="11"/>
  <c r="Y40" i="11"/>
  <c r="Y43" i="11"/>
  <c r="Y21" i="11"/>
  <c r="Y22" i="11"/>
  <c r="Y39" i="11"/>
  <c r="Y38" i="11"/>
  <c r="V4" i="1"/>
  <c r="V4" i="7"/>
  <c r="U4" i="3"/>
  <c r="W3" i="1"/>
  <c r="W3" i="7"/>
  <c r="V3" i="3"/>
  <c r="Y27" i="11"/>
  <c r="Y28" i="11"/>
  <c r="X29" i="11"/>
  <c r="W29" i="11"/>
  <c r="V29" i="11"/>
  <c r="U29" i="11"/>
  <c r="T29" i="11"/>
  <c r="S29" i="11"/>
  <c r="R29" i="11"/>
  <c r="Q29" i="11"/>
  <c r="P29" i="11"/>
  <c r="Y37" i="11"/>
  <c r="Z17" i="11"/>
  <c r="Z23" i="11"/>
  <c r="AA12" i="11"/>
  <c r="R45" i="11"/>
  <c r="Q45" i="11"/>
  <c r="P45" i="11"/>
  <c r="AA11" i="11"/>
  <c r="Z16" i="11"/>
  <c r="U45" i="11"/>
  <c r="V45" i="11"/>
  <c r="S45" i="11"/>
  <c r="T45" i="11"/>
  <c r="W45" i="11"/>
  <c r="X45" i="11"/>
  <c r="Y45" i="11"/>
  <c r="Y44" i="11"/>
  <c r="Z39" i="11"/>
  <c r="Z25" i="11"/>
  <c r="Z44" i="11"/>
  <c r="Z22" i="11"/>
  <c r="Z27" i="11"/>
  <c r="Z40" i="11"/>
  <c r="Z43" i="11"/>
  <c r="Z38" i="11"/>
  <c r="Z20" i="11"/>
  <c r="Z46" i="11"/>
  <c r="Z41" i="11"/>
  <c r="Z37" i="11"/>
  <c r="X3" i="1"/>
  <c r="X3" i="7"/>
  <c r="W3" i="3"/>
  <c r="W4" i="1"/>
  <c r="W4" i="7"/>
  <c r="V4" i="3"/>
  <c r="Z29" i="11"/>
  <c r="Y30" i="11"/>
  <c r="X30" i="11"/>
  <c r="W30" i="11"/>
  <c r="V30" i="11"/>
  <c r="U30" i="11"/>
  <c r="T30" i="11"/>
  <c r="S30" i="11"/>
  <c r="R30" i="11"/>
  <c r="Q30" i="11"/>
  <c r="P30" i="11"/>
  <c r="Z26" i="11"/>
  <c r="Z24" i="11"/>
  <c r="Z21" i="11"/>
  <c r="Z36" i="11"/>
  <c r="Z42" i="11"/>
  <c r="Z35" i="11"/>
  <c r="Z28" i="11"/>
  <c r="P46" i="11"/>
  <c r="T46" i="11"/>
  <c r="AB11" i="11"/>
  <c r="AA16" i="11"/>
  <c r="S46" i="11"/>
  <c r="U46" i="11"/>
  <c r="V46" i="11"/>
  <c r="Q46" i="11"/>
  <c r="R46" i="11"/>
  <c r="W46" i="11"/>
  <c r="X46" i="11"/>
  <c r="Y46" i="11"/>
  <c r="AB12" i="11"/>
  <c r="AB17" i="11"/>
  <c r="AA17" i="11"/>
  <c r="AA27" i="11"/>
  <c r="Z45" i="11"/>
  <c r="AA22" i="11"/>
  <c r="AB22" i="11"/>
  <c r="AA20" i="11"/>
  <c r="AB20" i="11"/>
  <c r="AA26" i="11"/>
  <c r="AB26" i="11"/>
  <c r="AA28" i="11"/>
  <c r="AB28" i="11"/>
  <c r="AA40" i="11"/>
  <c r="X4" i="1"/>
  <c r="X4" i="7"/>
  <c r="W4" i="3"/>
  <c r="Y3" i="1"/>
  <c r="Y3" i="7"/>
  <c r="X3" i="3"/>
  <c r="AA21" i="11"/>
  <c r="AB21" i="11"/>
  <c r="AB27" i="11"/>
  <c r="AA30" i="11"/>
  <c r="AB30" i="11"/>
  <c r="Z31" i="11"/>
  <c r="Y31" i="11"/>
  <c r="X31" i="11"/>
  <c r="W31" i="11"/>
  <c r="V31" i="11"/>
  <c r="U31" i="11"/>
  <c r="T31" i="11"/>
  <c r="S31" i="11"/>
  <c r="R31" i="11"/>
  <c r="Q31" i="11"/>
  <c r="P31" i="11"/>
  <c r="AA24" i="11"/>
  <c r="AB24" i="11"/>
  <c r="AB31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AA23" i="11"/>
  <c r="AB23" i="11"/>
  <c r="AA25" i="11"/>
  <c r="AB25" i="11"/>
  <c r="AA29" i="11"/>
  <c r="AB29" i="11"/>
  <c r="AA39" i="11"/>
  <c r="Q47" i="11"/>
  <c r="R47" i="11"/>
  <c r="AB38" i="11"/>
  <c r="AB35" i="11"/>
  <c r="AB45" i="11"/>
  <c r="AB16" i="11"/>
  <c r="AB44" i="11"/>
  <c r="S47" i="11"/>
  <c r="AB40" i="11"/>
  <c r="P47" i="11"/>
  <c r="AB41" i="11"/>
  <c r="AB39" i="11"/>
  <c r="AB46" i="11"/>
  <c r="U47" i="11"/>
  <c r="AB37" i="11"/>
  <c r="V47" i="11"/>
  <c r="AB36" i="11"/>
  <c r="AB43" i="11"/>
  <c r="T47" i="11"/>
  <c r="AB42" i="11"/>
  <c r="W47" i="11"/>
  <c r="X47" i="11"/>
  <c r="Y47" i="11"/>
  <c r="Z47" i="11"/>
  <c r="AA38" i="11"/>
  <c r="AA41" i="11"/>
  <c r="AA37" i="11"/>
  <c r="AA36" i="11"/>
  <c r="AA46" i="11"/>
  <c r="AA42" i="11"/>
  <c r="AA47" i="11"/>
  <c r="AB47" i="11"/>
  <c r="AA44" i="11"/>
  <c r="AA35" i="11"/>
  <c r="AA45" i="11"/>
  <c r="AA43" i="11"/>
  <c r="Y3" i="3"/>
  <c r="Y4" i="1"/>
  <c r="Y4" i="7"/>
  <c r="X4" i="3"/>
  <c r="Y4" i="3"/>
  <c r="C176" i="7"/>
  <c r="T141" i="7" l="1"/>
  <c r="T158" i="7" s="1"/>
  <c r="T149" i="7"/>
  <c r="T157" i="7"/>
  <c r="T35" i="7"/>
  <c r="T60" i="7"/>
  <c r="S143" i="7"/>
  <c r="S60" i="7"/>
  <c r="S151" i="7"/>
  <c r="S140" i="7"/>
  <c r="S148" i="7"/>
  <c r="S156" i="7"/>
  <c r="S141" i="7"/>
  <c r="S158" i="7" s="1"/>
  <c r="S149" i="7"/>
  <c r="S157" i="7"/>
  <c r="S35" i="7"/>
  <c r="T182" i="7" l="1"/>
  <c r="T183" i="7"/>
  <c r="T180" i="7"/>
  <c r="T181" i="7"/>
  <c r="T184" i="7"/>
  <c r="T178" i="7"/>
  <c r="T179" i="7"/>
  <c r="T185" i="7" s="1"/>
  <c r="T190" i="7"/>
  <c r="T194" i="7"/>
  <c r="S181" i="7"/>
  <c r="T192" i="7"/>
  <c r="T193" i="7"/>
  <c r="T191" i="7"/>
  <c r="T189" i="7"/>
  <c r="S178" i="7"/>
  <c r="S185" i="7" s="1"/>
  <c r="S179" i="7"/>
  <c r="S183" i="7"/>
  <c r="T195" i="7"/>
  <c r="S182" i="7"/>
  <c r="S180" i="7"/>
  <c r="S184" i="7"/>
  <c r="T196" i="7" l="1"/>
  <c r="U196" i="7" s="1"/>
</calcChain>
</file>

<file path=xl/sharedStrings.xml><?xml version="1.0" encoding="utf-8"?>
<sst xmlns="http://schemas.openxmlformats.org/spreadsheetml/2006/main" count="866" uniqueCount="117">
  <si>
    <t>NWTD Construction Model</t>
  </si>
  <si>
    <t>CPA1</t>
  </si>
  <si>
    <t>Inputs</t>
  </si>
  <si>
    <t>Expected final asset split</t>
  </si>
  <si>
    <t>Latest Update</t>
  </si>
  <si>
    <t>Protection and control - short life (15)</t>
  </si>
  <si>
    <t>Other - medium life (40)</t>
  </si>
  <si>
    <t>Substation assets - medium life (45)</t>
  </si>
  <si>
    <t>Substation assets - long life (60)</t>
  </si>
  <si>
    <t>Transmission line assets - long life (60)</t>
  </si>
  <si>
    <t>Land Acquisition and Easements</t>
  </si>
  <si>
    <t>Total</t>
  </si>
  <si>
    <t>Inflation Setup</t>
  </si>
  <si>
    <t>Year</t>
  </si>
  <si>
    <t>Month</t>
  </si>
  <si>
    <t>First year of forecast regulatory control period (YYYY-YY)</t>
  </si>
  <si>
    <t>2024-25</t>
  </si>
  <si>
    <t>Base year for real inputs</t>
  </si>
  <si>
    <t>2023-24</t>
  </si>
  <si>
    <t>June</t>
  </si>
  <si>
    <t>Base year for outputs</t>
  </si>
  <si>
    <t>\\ END OF WORKSHEET //</t>
  </si>
  <si>
    <t>Period</t>
  </si>
  <si>
    <t>Start</t>
  </si>
  <si>
    <t>End</t>
  </si>
  <si>
    <t>Financial Year</t>
  </si>
  <si>
    <t>2018 - 19</t>
  </si>
  <si>
    <t>2019 - 20</t>
  </si>
  <si>
    <t>2020 - 21</t>
  </si>
  <si>
    <t>2021 - 22</t>
  </si>
  <si>
    <t>2022 - 23</t>
  </si>
  <si>
    <t>2023 - 24</t>
  </si>
  <si>
    <t>2024 - 25</t>
  </si>
  <si>
    <t>2025 - 26</t>
  </si>
  <si>
    <t>2026 - 27</t>
  </si>
  <si>
    <t>2027 - 28</t>
  </si>
  <si>
    <t>2028 - 29</t>
  </si>
  <si>
    <t>2029 - 30</t>
  </si>
  <si>
    <t>2030 - 31</t>
  </si>
  <si>
    <t>Days</t>
  </si>
  <si>
    <t>CPI Inputs</t>
  </si>
  <si>
    <t>Actual All groups CPI ;  Australia ; A2325846C</t>
  </si>
  <si>
    <t>December Index</t>
  </si>
  <si>
    <t>June Index</t>
  </si>
  <si>
    <t>Percentage Change from Previous Period</t>
  </si>
  <si>
    <t>December</t>
  </si>
  <si>
    <t>Index Real From June</t>
  </si>
  <si>
    <t>Index Real From December</t>
  </si>
  <si>
    <t>CPA Cost Inputs</t>
  </si>
  <si>
    <t>Actuals</t>
  </si>
  <si>
    <t>Community and Stakeholder</t>
  </si>
  <si>
    <t>[Nominal]$</t>
  </si>
  <si>
    <t>Labour</t>
  </si>
  <si>
    <t>Indirect</t>
  </si>
  <si>
    <t>Direct</t>
  </si>
  <si>
    <t>Land &amp; Property</t>
  </si>
  <si>
    <t>Planning &amp; Environment</t>
  </si>
  <si>
    <t>Procurement and Contracts</t>
  </si>
  <si>
    <t>Project Development</t>
  </si>
  <si>
    <t>Project Management</t>
  </si>
  <si>
    <t>Regulatory Approvals and other support</t>
  </si>
  <si>
    <t>Forecast</t>
  </si>
  <si>
    <t>2023-24[$]</t>
  </si>
  <si>
    <t>Roll Forward Model Inputs</t>
  </si>
  <si>
    <t>Totals</t>
  </si>
  <si>
    <t>RFM Inputs</t>
  </si>
  <si>
    <t>Capex Model Inputs</t>
  </si>
  <si>
    <t>Capex Allocations</t>
  </si>
  <si>
    <t>Check</t>
  </si>
  <si>
    <t>2018-19[$]</t>
  </si>
  <si>
    <t>Nominal</t>
  </si>
  <si>
    <t>Dollars</t>
  </si>
  <si>
    <t>Header</t>
  </si>
  <si>
    <t>2018-19</t>
  </si>
  <si>
    <t>2019-20</t>
  </si>
  <si>
    <t>2019-20[$]</t>
  </si>
  <si>
    <t>2020-21</t>
  </si>
  <si>
    <t>2020-21[$]</t>
  </si>
  <si>
    <t>2021-22</t>
  </si>
  <si>
    <t>2021-22[$]</t>
  </si>
  <si>
    <t>2022-23</t>
  </si>
  <si>
    <t>2022-23[$]</t>
  </si>
  <si>
    <t>2024-25[$]</t>
  </si>
  <si>
    <t>2025-26</t>
  </si>
  <si>
    <t>2025-26[$]</t>
  </si>
  <si>
    <t>2026-27</t>
  </si>
  <si>
    <t>2026-27[$]</t>
  </si>
  <si>
    <t>2027-28</t>
  </si>
  <si>
    <t>2027-28[$]</t>
  </si>
  <si>
    <t>2028-29</t>
  </si>
  <si>
    <t>2028-29[$]</t>
  </si>
  <si>
    <t>2029-30</t>
  </si>
  <si>
    <t>2029-30[$]</t>
  </si>
  <si>
    <t>2030-31</t>
  </si>
  <si>
    <t>2030-31[$]</t>
  </si>
  <si>
    <t>Call-ups</t>
  </si>
  <si>
    <t>Nominal figures</t>
  </si>
  <si>
    <t>Real 2023-24$</t>
  </si>
  <si>
    <t>Nominal escalation</t>
  </si>
  <si>
    <t>Real escalation</t>
  </si>
  <si>
    <t>CPA 1</t>
  </si>
  <si>
    <t>Capex Inputs Revenue Determination 24-29 As Incurred</t>
  </si>
  <si>
    <t>Capex Inputs Revenue Determination 19-24 As Incurred</t>
  </si>
  <si>
    <t>Capex Inputs Revenue Determination 24-29 As Comissioned</t>
  </si>
  <si>
    <t>Discount Rate 2023-24$ to 2018-19$</t>
  </si>
  <si>
    <t>Grant Funding</t>
  </si>
  <si>
    <t>Grant Funding Recived</t>
  </si>
  <si>
    <t>Grant Funding Allocation</t>
  </si>
  <si>
    <t>WPI Index Real</t>
  </si>
  <si>
    <t>WPI escalation</t>
  </si>
  <si>
    <t>KPMG Forecast</t>
  </si>
  <si>
    <t>BIS Oxford</t>
  </si>
  <si>
    <t>WPI Average</t>
  </si>
  <si>
    <t>WPI Weighting</t>
  </si>
  <si>
    <t>WPI Index</t>
  </si>
  <si>
    <t>Transmission line assets - medium life (45)</t>
  </si>
  <si>
    <t>2024.09.18 - Final 3.1 - CPA 1 Annual Inputs.xlsx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</si>
</sst>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_-"/>
    <numFmt numFmtId="165" formatCode="d\-mmm\-yyyy_-"/>
    <numFmt numFmtId="166" formatCode="@_-"/>
    <numFmt numFmtId="167" formatCode="[Blue]#,##0.00_-;[Blue]\(#,##0.00\);\-_-"/>
    <numFmt numFmtId="168" formatCode="0.0"/>
    <numFmt numFmtId="169" formatCode="#,##0.00_-;\(#,##0.00\);\-_-"/>
    <numFmt numFmtId="170" formatCode="#,##0.00_-;[Blue]\(#,##0.00\);\-_-"/>
  </numFmts>
  <fonts count="15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0" tint="-0.249977111117893"/>
      <name val="Arial"/>
      <family val="2"/>
    </font>
    <font>
      <sz val="10"/>
      <color theme="1"/>
      <name val="Arial"/>
      <family val="2"/>
    </font>
    <font>
      <b/>
      <sz val="11"/>
      <color theme="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8"/>
      <name val="Arial"/>
      <family val="2"/>
    </font>
    <font>
      <sz val="11"/>
      <color rgb="FF3F3F76"/>
      <name val="Aptos Narrow"/>
      <family val="2"/>
      <scheme val="minor"/>
    </font>
    <font>
      <sz val="11"/>
      <name val="Aptos Narrow"/>
      <family val="2"/>
      <scheme val="minor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3F3F7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1073B"/>
        <bgColor indexed="64"/>
      </patternFill>
    </fill>
    <fill>
      <patternFill patternType="solid">
        <fgColor rgb="FFDA3289"/>
        <bgColor indexed="64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AE9F8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DA3289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/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6" fillId="4" borderId="4" applyNumberFormat="0" applyAlignment="0" applyProtection="0"/>
    <xf numFmtId="0" fontId="8" fillId="5" borderId="5" applyNumberFormat="0" applyAlignment="0" applyProtection="0"/>
    <xf numFmtId="0" fontId="10" fillId="6" borderId="5" applyNumberFormat="0" applyAlignment="0" applyProtection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164" fontId="3" fillId="2" borderId="0" xfId="0" applyNumberFormat="1" applyFont="1" applyFill="1"/>
    <xf numFmtId="165" fontId="3" fillId="2" borderId="0" xfId="0" applyNumberFormat="1" applyFont="1" applyFill="1"/>
    <xf numFmtId="166" fontId="3" fillId="2" borderId="0" xfId="0" applyNumberFormat="1" applyFont="1" applyFill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0" fontId="1" fillId="3" borderId="2" xfId="0" applyFont="1" applyFill="1" applyBorder="1"/>
    <xf numFmtId="0" fontId="0" fillId="3" borderId="2" xfId="0" applyFill="1" applyBorder="1"/>
    <xf numFmtId="0" fontId="2" fillId="0" borderId="0" xfId="0" applyFont="1"/>
    <xf numFmtId="0" fontId="4" fillId="0" borderId="0" xfId="0" applyFont="1" applyAlignment="1">
      <alignment horizontal="center"/>
    </xf>
    <xf numFmtId="167" fontId="0" fillId="0" borderId="3" xfId="0" applyNumberFormat="1" applyBorder="1"/>
    <xf numFmtId="9" fontId="0" fillId="0" borderId="0" xfId="1" applyFont="1"/>
    <xf numFmtId="167" fontId="0" fillId="0" borderId="0" xfId="0" applyNumberFormat="1"/>
    <xf numFmtId="167" fontId="7" fillId="4" borderId="4" xfId="2" applyNumberFormat="1" applyFont="1"/>
    <xf numFmtId="2" fontId="0" fillId="0" borderId="0" xfId="0" applyNumberFormat="1"/>
    <xf numFmtId="9" fontId="0" fillId="0" borderId="0" xfId="0" applyNumberFormat="1"/>
    <xf numFmtId="4" fontId="0" fillId="0" borderId="0" xfId="0" applyNumberFormat="1"/>
    <xf numFmtId="9" fontId="0" fillId="0" borderId="3" xfId="1" applyFont="1" applyBorder="1"/>
    <xf numFmtId="0" fontId="10" fillId="8" borderId="3" xfId="4" applyFill="1" applyBorder="1"/>
    <xf numFmtId="168" fontId="10" fillId="8" borderId="3" xfId="4" applyNumberFormat="1" applyFill="1" applyBorder="1"/>
    <xf numFmtId="169" fontId="0" fillId="0" borderId="3" xfId="0" applyNumberFormat="1" applyBorder="1"/>
    <xf numFmtId="169" fontId="0" fillId="8" borderId="3" xfId="0" applyNumberFormat="1" applyFill="1" applyBorder="1"/>
    <xf numFmtId="10" fontId="11" fillId="0" borderId="3" xfId="3" applyNumberFormat="1" applyFont="1" applyFill="1" applyBorder="1"/>
    <xf numFmtId="10" fontId="11" fillId="8" borderId="3" xfId="3" applyNumberFormat="1" applyFont="1" applyFill="1" applyBorder="1"/>
    <xf numFmtId="169" fontId="0" fillId="9" borderId="3" xfId="0" applyNumberFormat="1" applyFill="1" applyBorder="1"/>
    <xf numFmtId="170" fontId="0" fillId="8" borderId="3" xfId="0" applyNumberFormat="1" applyFill="1" applyBorder="1"/>
    <xf numFmtId="0" fontId="12" fillId="0" borderId="0" xfId="0" applyFont="1"/>
    <xf numFmtId="0" fontId="0" fillId="0" borderId="0" xfId="0" applyAlignment="1">
      <alignment horizontal="right"/>
    </xf>
    <xf numFmtId="0" fontId="0" fillId="0" borderId="10" xfId="0" applyBorder="1"/>
    <xf numFmtId="0" fontId="4" fillId="0" borderId="10" xfId="0" applyFont="1" applyBorder="1" applyAlignment="1">
      <alignment horizontal="center"/>
    </xf>
    <xf numFmtId="9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10" fontId="14" fillId="8" borderId="8" xfId="4" applyNumberFormat="1" applyFont="1" applyFill="1" applyBorder="1"/>
    <xf numFmtId="10" fontId="14" fillId="8" borderId="9" xfId="4" applyNumberFormat="1" applyFont="1" applyFill="1" applyBorder="1"/>
    <xf numFmtId="9" fontId="14" fillId="8" borderId="3" xfId="4" applyNumberFormat="1" applyFont="1" applyFill="1" applyBorder="1" applyAlignment="1">
      <alignment horizontal="center"/>
    </xf>
    <xf numFmtId="0" fontId="14" fillId="8" borderId="3" xfId="4" applyFont="1" applyFill="1" applyBorder="1" applyAlignment="1">
      <alignment horizontal="center"/>
    </xf>
    <xf numFmtId="10" fontId="10" fillId="8" borderId="3" xfId="1" applyNumberFormat="1" applyFont="1" applyFill="1" applyBorder="1"/>
    <xf numFmtId="10" fontId="10" fillId="7" borderId="3" xfId="1" applyNumberFormat="1" applyFont="1" applyFill="1" applyBorder="1"/>
    <xf numFmtId="9" fontId="10" fillId="7" borderId="3" xfId="1" applyFont="1" applyFill="1" applyBorder="1"/>
    <xf numFmtId="43" fontId="0" fillId="0" borderId="0" xfId="5" applyFont="1"/>
    <xf numFmtId="169" fontId="0" fillId="10" borderId="3" xfId="0" applyNumberFormat="1" applyFill="1" applyBorder="1"/>
    <xf numFmtId="167" fontId="0" fillId="0" borderId="12" xfId="0" applyNumberFormat="1" applyBorder="1"/>
    <xf numFmtId="167" fontId="0" fillId="0" borderId="11" xfId="0" applyNumberFormat="1" applyBorder="1"/>
    <xf numFmtId="0" fontId="6" fillId="4" borderId="4" xfId="2"/>
    <xf numFmtId="0" fontId="14" fillId="8" borderId="6" xfId="4" applyFont="1" applyFill="1" applyBorder="1" applyAlignment="1">
      <alignment horizontal="left"/>
    </xf>
    <xf numFmtId="0" fontId="14" fillId="8" borderId="7" xfId="4" applyFont="1" applyFill="1" applyBorder="1" applyAlignment="1">
      <alignment horizontal="left"/>
    </xf>
  </cellXfs>
  <cellStyles count="6">
    <cellStyle name="Calculation" xfId="3" builtinId="22"/>
    <cellStyle name="Check Cell" xfId="2" builtinId="23"/>
    <cellStyle name="Comma" xfId="5" builtinId="3"/>
    <cellStyle name="Input" xfId="4" builtinId="20"/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7D92-2BD4-435C-90B4-BFDBAF708347}">
  <sheetPr codeName="Sheet1">
    <tabColor rgb="FFDA3289"/>
  </sheetPr>
  <dimension ref="A1:AB30"/>
  <sheetViews>
    <sheetView showGridLines="0" tabSelected="1" workbookViewId="0">
      <selection activeCell="F26" sqref="F26"/>
    </sheetView>
  </sheetViews>
  <sheetFormatPr defaultColWidth="0" defaultRowHeight="12.75" zeroHeight="1" x14ac:dyDescent="0.2"/>
  <cols>
    <col min="1" max="3" width="4.5703125" customWidth="1"/>
    <col min="4" max="4" width="49.7109375" bestFit="1" customWidth="1"/>
    <col min="5" max="5" width="21.5703125" customWidth="1"/>
    <col min="6" max="6" width="20.85546875" customWidth="1"/>
    <col min="7" max="8" width="8.7109375" customWidth="1"/>
    <col min="9" max="28" width="0" hidden="1" customWidth="1"/>
    <col min="29" max="16384" width="8.7109375" hidden="1"/>
  </cols>
  <sheetData>
    <row r="1" spans="1:28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3.5" thickBo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x14ac:dyDescent="0.2"/>
    <row r="8" spans="1:28" x14ac:dyDescent="0.2">
      <c r="A8" s="11">
        <f>MAX($A$7:A7)+1</f>
        <v>1</v>
      </c>
      <c r="B8" s="11" t="s">
        <v>2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 x14ac:dyDescent="0.2"/>
    <row r="10" spans="1:28" x14ac:dyDescent="0.2">
      <c r="B10" s="13">
        <f>MAX($A$7:B9)+0.1</f>
        <v>1.1000000000000001</v>
      </c>
      <c r="C10" s="13" t="s">
        <v>3</v>
      </c>
    </row>
    <row r="11" spans="1:28" x14ac:dyDescent="0.2">
      <c r="D11" t="s">
        <v>4</v>
      </c>
      <c r="E11" s="51" t="s">
        <v>116</v>
      </c>
      <c r="F11" s="52"/>
    </row>
    <row r="12" spans="1:28" x14ac:dyDescent="0.2"/>
    <row r="13" spans="1:28" x14ac:dyDescent="0.2">
      <c r="B13" s="13">
        <f>MAX($A$7:B12)+0.1</f>
        <v>1.2000000000000002</v>
      </c>
      <c r="C13" s="13" t="s">
        <v>3</v>
      </c>
    </row>
    <row r="14" spans="1:28" x14ac:dyDescent="0.2"/>
    <row r="15" spans="1:28" x14ac:dyDescent="0.2">
      <c r="D15" t="s">
        <v>5</v>
      </c>
      <c r="E15" s="39">
        <v>1.093576965669989E-2</v>
      </c>
    </row>
    <row r="16" spans="1:28" x14ac:dyDescent="0.2">
      <c r="D16" t="s">
        <v>6</v>
      </c>
      <c r="E16" s="39">
        <v>2.768549280177187E-4</v>
      </c>
    </row>
    <row r="17" spans="1:28" x14ac:dyDescent="0.2">
      <c r="D17" t="s">
        <v>7</v>
      </c>
      <c r="E17" s="39">
        <v>0.16405494152872171</v>
      </c>
    </row>
    <row r="18" spans="1:28" x14ac:dyDescent="0.2">
      <c r="D18" t="s">
        <v>8</v>
      </c>
      <c r="E18" s="39">
        <v>3.0020363011699077E-2</v>
      </c>
    </row>
    <row r="19" spans="1:28" x14ac:dyDescent="0.2">
      <c r="D19" t="s">
        <v>9</v>
      </c>
      <c r="E19" s="39">
        <v>0.67674662741870228</v>
      </c>
    </row>
    <row r="20" spans="1:28" x14ac:dyDescent="0.2">
      <c r="D20" t="s">
        <v>115</v>
      </c>
      <c r="E20" s="40">
        <v>1.8989806689824827E-2</v>
      </c>
    </row>
    <row r="21" spans="1:28" x14ac:dyDescent="0.2">
      <c r="D21" t="s">
        <v>10</v>
      </c>
      <c r="E21" s="40">
        <v>9.8975636766334432E-2</v>
      </c>
    </row>
    <row r="22" spans="1:28" x14ac:dyDescent="0.2">
      <c r="D22" t="s">
        <v>11</v>
      </c>
      <c r="E22" s="22">
        <f>SUM(E15:E21)</f>
        <v>1</v>
      </c>
    </row>
    <row r="23" spans="1:28" x14ac:dyDescent="0.2">
      <c r="E23" s="16"/>
    </row>
    <row r="24" spans="1:28" x14ac:dyDescent="0.2">
      <c r="B24" s="13">
        <f>MAX($A$7:B23)+0.1</f>
        <v>1.3000000000000003</v>
      </c>
      <c r="C24" s="13" t="s">
        <v>12</v>
      </c>
      <c r="E24" s="35" t="s">
        <v>13</v>
      </c>
      <c r="F24" s="36" t="s">
        <v>14</v>
      </c>
    </row>
    <row r="25" spans="1:28" x14ac:dyDescent="0.2">
      <c r="B25" s="13"/>
      <c r="C25" s="13"/>
      <c r="D25" t="s">
        <v>15</v>
      </c>
      <c r="E25" s="41" t="s">
        <v>16</v>
      </c>
      <c r="F25" s="37"/>
    </row>
    <row r="26" spans="1:28" x14ac:dyDescent="0.2">
      <c r="B26" s="13"/>
      <c r="C26" s="13"/>
      <c r="D26" t="s">
        <v>17</v>
      </c>
      <c r="E26" s="41" t="s">
        <v>18</v>
      </c>
      <c r="F26" s="42" t="s">
        <v>19</v>
      </c>
    </row>
    <row r="27" spans="1:28" x14ac:dyDescent="0.2">
      <c r="B27" s="13"/>
      <c r="C27" s="13"/>
      <c r="D27" t="s">
        <v>20</v>
      </c>
      <c r="E27" s="41" t="s">
        <v>18</v>
      </c>
      <c r="F27" s="42" t="s">
        <v>19</v>
      </c>
    </row>
    <row r="28" spans="1:28" x14ac:dyDescent="0.2">
      <c r="B28" s="13"/>
      <c r="C28" s="13"/>
      <c r="E28" s="16"/>
    </row>
    <row r="29" spans="1:28" x14ac:dyDescent="0.2">
      <c r="A29" s="11" t="s">
        <v>21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x14ac:dyDescent="0.2"/>
  </sheetData>
  <mergeCells count="1">
    <mergeCell ref="E11:F1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D123519-6E30-4D8B-8AF6-B3AD11D59A4F}">
          <x14:formula1>
            <xm:f>Tables!$D$3:$D$12</xm:f>
          </x14:formula1>
          <xm:sqref>E26</xm:sqref>
        </x14:dataValidation>
        <x14:dataValidation type="list" allowBlank="1" showInputMessage="1" showErrorMessage="1" xr:uid="{D0351228-51A6-4DA2-90C0-ABD9E3CEDC10}">
          <x14:formula1>
            <xm:f>Tables!$B$3:$B$4</xm:f>
          </x14:formula1>
          <xm:sqref>F26</xm:sqref>
        </x14:dataValidation>
        <x14:dataValidation type="list" allowBlank="1" showInputMessage="1" showErrorMessage="1" xr:uid="{FB3C0DDC-7A12-4F99-8C04-7B64FEC8EEA6}">
          <x14:formula1>
            <xm:f>Tables!$D$3:$D$15</xm:f>
          </x14:formula1>
          <xm:sqref>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F7413-C500-4D1A-88FD-9CEB5D37F41A}">
  <sheetPr codeName="Sheet5">
    <tabColor rgb="FFDA3289"/>
  </sheetPr>
  <dimension ref="A1:JD58"/>
  <sheetViews>
    <sheetView topLeftCell="A21" zoomScale="85" zoomScaleNormal="85" workbookViewId="0">
      <selection activeCell="W41" sqref="W41"/>
    </sheetView>
  </sheetViews>
  <sheetFormatPr defaultColWidth="0" defaultRowHeight="12.75" x14ac:dyDescent="0.2"/>
  <cols>
    <col min="1" max="2" width="4.5703125" customWidth="1"/>
    <col min="3" max="3" width="23" customWidth="1"/>
    <col min="4" max="4" width="14.42578125" bestFit="1" customWidth="1"/>
    <col min="5" max="5" width="10.42578125" customWidth="1"/>
    <col min="6" max="7" width="17.85546875" hidden="1" customWidth="1"/>
    <col min="8" max="8" width="0.85546875" hidden="1" customWidth="1"/>
    <col min="9" max="9" width="8.7109375" hidden="1" customWidth="1"/>
    <col min="10" max="10" width="0.85546875" hidden="1" customWidth="1"/>
    <col min="11" max="12" width="8.7109375" hidden="1" customWidth="1"/>
    <col min="13" max="13" width="0.85546875" hidden="1" customWidth="1"/>
    <col min="14" max="14" width="8.7109375" hidden="1" customWidth="1"/>
    <col min="15" max="15" width="2.140625" customWidth="1"/>
    <col min="16" max="28" width="12.5703125" customWidth="1"/>
    <col min="29" max="34" width="12.28515625" customWidth="1"/>
    <col min="35" max="138" width="12.28515625" hidden="1" customWidth="1"/>
    <col min="139" max="264" width="0" hidden="1" customWidth="1"/>
    <col min="265" max="16384" width="8.7109375" hidden="1"/>
  </cols>
  <sheetData>
    <row r="1" spans="1:264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</row>
    <row r="2" spans="1:264" x14ac:dyDescent="0.2">
      <c r="A2" s="2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 t="s">
        <v>23</v>
      </c>
      <c r="P2" s="5">
        <f t="shared" ref="P2:Q2" si="0">DATE(YEAR(Q2)-1,MONTH(Q2),DAY(Q2))</f>
        <v>43282</v>
      </c>
      <c r="Q2" s="5">
        <f t="shared" si="0"/>
        <v>43647</v>
      </c>
      <c r="R2" s="5">
        <f>DATE(YEAR(S2)-1,MONTH(S2),DAY(S2))</f>
        <v>44013</v>
      </c>
      <c r="S2" s="5">
        <v>44378</v>
      </c>
      <c r="T2" s="5">
        <f>DATE(YEAR(S2)+1,MONTH(S2),DAY(S2))</f>
        <v>44743</v>
      </c>
      <c r="U2" s="5">
        <f t="shared" ref="U2:AB3" si="1">DATE(YEAR(T2)+1,MONTH(T2),DAY(T2))</f>
        <v>45108</v>
      </c>
      <c r="V2" s="5">
        <f t="shared" si="1"/>
        <v>45474</v>
      </c>
      <c r="W2" s="5">
        <f t="shared" si="1"/>
        <v>45839</v>
      </c>
      <c r="X2" s="5">
        <f t="shared" si="1"/>
        <v>46204</v>
      </c>
      <c r="Y2" s="5">
        <f t="shared" si="1"/>
        <v>46569</v>
      </c>
      <c r="Z2" s="5">
        <f t="shared" si="1"/>
        <v>46935</v>
      </c>
      <c r="AA2" s="5">
        <f t="shared" si="1"/>
        <v>47300</v>
      </c>
      <c r="AB2" s="5">
        <f t="shared" si="1"/>
        <v>47665</v>
      </c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</row>
    <row r="3" spans="1:26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 t="s">
        <v>24</v>
      </c>
      <c r="P3" s="5">
        <f t="shared" ref="P3:Q3" si="2">DATE(YEAR(Q3)-1,MONTH(Q3),DAY(Q3))</f>
        <v>43646</v>
      </c>
      <c r="Q3" s="5">
        <f t="shared" si="2"/>
        <v>44012</v>
      </c>
      <c r="R3" s="5">
        <f>DATE(YEAR(S3)-1,MONTH(S3),DAY(S3))</f>
        <v>44377</v>
      </c>
      <c r="S3" s="5">
        <v>44742</v>
      </c>
      <c r="T3" s="5">
        <f>DATE(YEAR(S3)+1,MONTH(S3),DAY(S3))</f>
        <v>45107</v>
      </c>
      <c r="U3" s="5">
        <f t="shared" si="1"/>
        <v>45473</v>
      </c>
      <c r="V3" s="5">
        <f t="shared" si="1"/>
        <v>45838</v>
      </c>
      <c r="W3" s="5">
        <f t="shared" si="1"/>
        <v>46203</v>
      </c>
      <c r="X3" s="5">
        <f t="shared" si="1"/>
        <v>46568</v>
      </c>
      <c r="Y3" s="5">
        <f t="shared" si="1"/>
        <v>46934</v>
      </c>
      <c r="Z3" s="5">
        <f t="shared" si="1"/>
        <v>47299</v>
      </c>
      <c r="AA3" s="5">
        <f t="shared" si="1"/>
        <v>47664</v>
      </c>
      <c r="AB3" s="5">
        <f t="shared" si="1"/>
        <v>48029</v>
      </c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</row>
    <row r="4" spans="1:26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 t="s">
        <v>25</v>
      </c>
      <c r="P4" s="6" t="s">
        <v>26</v>
      </c>
      <c r="Q4" s="6" t="s">
        <v>27</v>
      </c>
      <c r="R4" s="6" t="s">
        <v>28</v>
      </c>
      <c r="S4" s="6" t="s">
        <v>29</v>
      </c>
      <c r="T4" s="6" t="s">
        <v>30</v>
      </c>
      <c r="U4" s="6" t="s">
        <v>31</v>
      </c>
      <c r="V4" s="6" t="s">
        <v>32</v>
      </c>
      <c r="W4" s="6" t="s">
        <v>33</v>
      </c>
      <c r="X4" s="6" t="s">
        <v>34</v>
      </c>
      <c r="Y4" s="6" t="s">
        <v>35</v>
      </c>
      <c r="Z4" s="6" t="s">
        <v>36</v>
      </c>
      <c r="AA4" s="6" t="s">
        <v>37</v>
      </c>
      <c r="AB4" s="6" t="s">
        <v>38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</row>
    <row r="5" spans="1:264" ht="13.5" thickBo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39</v>
      </c>
      <c r="P5" s="9">
        <v>365</v>
      </c>
      <c r="Q5" s="9">
        <v>365</v>
      </c>
      <c r="R5" s="9">
        <v>365</v>
      </c>
      <c r="S5" s="9">
        <v>365</v>
      </c>
      <c r="T5" s="9">
        <v>365</v>
      </c>
      <c r="U5" s="9">
        <v>366</v>
      </c>
      <c r="V5" s="9">
        <v>365</v>
      </c>
      <c r="W5" s="9">
        <v>365</v>
      </c>
      <c r="X5" s="9">
        <v>365</v>
      </c>
      <c r="Y5" s="9">
        <v>366</v>
      </c>
      <c r="Z5" s="9">
        <v>365</v>
      </c>
      <c r="AA5" s="9">
        <v>365</v>
      </c>
      <c r="AB5" s="9">
        <v>365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</row>
    <row r="7" spans="1:264" x14ac:dyDescent="0.2">
      <c r="A7" s="11">
        <f>MAX($A$6:A6)+1</f>
        <v>1</v>
      </c>
      <c r="B7" s="11" t="s">
        <v>40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</row>
    <row r="9" spans="1:264" x14ac:dyDescent="0.2">
      <c r="B9" s="13">
        <f>MAX($A$6:B8)+0.1</f>
        <v>1.1000000000000001</v>
      </c>
      <c r="C9" s="13" t="s">
        <v>41</v>
      </c>
    </row>
    <row r="11" spans="1:264" ht="15" x14ac:dyDescent="0.25">
      <c r="D11" t="s">
        <v>42</v>
      </c>
      <c r="P11" s="23">
        <v>114.1</v>
      </c>
      <c r="Q11" s="23">
        <v>116.2</v>
      </c>
      <c r="R11" s="23">
        <v>117.2</v>
      </c>
      <c r="S11" s="23">
        <v>121.3</v>
      </c>
      <c r="T11" s="23">
        <v>130.80000000000001</v>
      </c>
      <c r="U11" s="24">
        <v>136.1</v>
      </c>
      <c r="V11" s="24">
        <f>U11*(1.038)</f>
        <v>141.27179999999998</v>
      </c>
      <c r="W11" s="24">
        <f>V11*(1.028)</f>
        <v>145.2274104</v>
      </c>
      <c r="X11" s="24">
        <f t="shared" ref="X11:AB12" si="3">W11*(1.025)</f>
        <v>148.85809565999998</v>
      </c>
      <c r="Y11" s="24">
        <f t="shared" si="3"/>
        <v>152.57954805149996</v>
      </c>
      <c r="Z11" s="24">
        <f t="shared" si="3"/>
        <v>156.39403675278743</v>
      </c>
      <c r="AA11" s="24">
        <f t="shared" si="3"/>
        <v>160.3038876716071</v>
      </c>
      <c r="AB11" s="24">
        <f t="shared" si="3"/>
        <v>164.31148486339725</v>
      </c>
    </row>
    <row r="12" spans="1:264" ht="15" x14ac:dyDescent="0.25">
      <c r="D12" t="s">
        <v>43</v>
      </c>
      <c r="P12" s="23">
        <v>114.8</v>
      </c>
      <c r="Q12" s="23">
        <v>114.4</v>
      </c>
      <c r="R12" s="23">
        <v>118.8</v>
      </c>
      <c r="S12" s="23">
        <v>126.1</v>
      </c>
      <c r="T12" s="23">
        <v>133.69999999999999</v>
      </c>
      <c r="U12" s="24">
        <f>T12*(1.038)</f>
        <v>138.78059999999999</v>
      </c>
      <c r="V12" s="24">
        <f>U12*(1.032)</f>
        <v>143.22157920000001</v>
      </c>
      <c r="W12" s="24">
        <f>V12*(1.026)</f>
        <v>146.94534025920001</v>
      </c>
      <c r="X12" s="24">
        <f t="shared" si="3"/>
        <v>150.61897376567998</v>
      </c>
      <c r="Y12" s="24">
        <f t="shared" si="3"/>
        <v>154.38444810982196</v>
      </c>
      <c r="Z12" s="24">
        <f t="shared" si="3"/>
        <v>158.24405931256749</v>
      </c>
      <c r="AA12" s="24">
        <f t="shared" si="3"/>
        <v>162.20016079538166</v>
      </c>
      <c r="AB12" s="24">
        <f t="shared" si="3"/>
        <v>166.2551648152662</v>
      </c>
    </row>
    <row r="14" spans="1:264" x14ac:dyDescent="0.2">
      <c r="B14" s="13">
        <f>MAX($A$6:B13)+0.1</f>
        <v>1.2000000000000002</v>
      </c>
      <c r="C14" s="13" t="s">
        <v>44</v>
      </c>
      <c r="V14" s="46">
        <f>1*(1+(V16/2))</f>
        <v>1.0190000000000001</v>
      </c>
      <c r="W14" s="46">
        <f>V14*(1+W16)</f>
        <v>1.0475320000000001</v>
      </c>
    </row>
    <row r="16" spans="1:264" ht="15" x14ac:dyDescent="0.25">
      <c r="D16" t="s">
        <v>45</v>
      </c>
      <c r="P16" s="28">
        <v>1.7841213202497874E-2</v>
      </c>
      <c r="Q16" s="27">
        <f t="shared" ref="Q16:AB16" si="4">(Q11/P11)-1</f>
        <v>1.8404907975460238E-2</v>
      </c>
      <c r="R16" s="27">
        <f t="shared" si="4"/>
        <v>8.6058519793459354E-3</v>
      </c>
      <c r="S16" s="27">
        <f t="shared" si="4"/>
        <v>3.4982935153583528E-2</v>
      </c>
      <c r="T16" s="27">
        <f t="shared" si="4"/>
        <v>7.8318219291014124E-2</v>
      </c>
      <c r="U16" s="27">
        <f t="shared" si="4"/>
        <v>4.0519877675840865E-2</v>
      </c>
      <c r="V16" s="27">
        <f t="shared" si="4"/>
        <v>3.8000000000000034E-2</v>
      </c>
      <c r="W16" s="27">
        <f t="shared" si="4"/>
        <v>2.8000000000000025E-2</v>
      </c>
      <c r="X16" s="27">
        <f t="shared" si="4"/>
        <v>2.4999999999999911E-2</v>
      </c>
      <c r="Y16" s="27">
        <f t="shared" si="4"/>
        <v>2.4999999999999911E-2</v>
      </c>
      <c r="Z16" s="27">
        <f t="shared" si="4"/>
        <v>2.4999999999999911E-2</v>
      </c>
      <c r="AA16" s="27">
        <f t="shared" si="4"/>
        <v>2.4999999999999911E-2</v>
      </c>
      <c r="AB16" s="27">
        <f t="shared" si="4"/>
        <v>2.4999999999999911E-2</v>
      </c>
    </row>
    <row r="17" spans="2:28" ht="15" x14ac:dyDescent="0.25">
      <c r="D17" t="s">
        <v>19</v>
      </c>
      <c r="P17" s="28">
        <v>1.5929203539823078E-2</v>
      </c>
      <c r="Q17" s="27">
        <f t="shared" ref="Q17:AB17" si="5">(Q12/P12)-1</f>
        <v>-3.4843205574912606E-3</v>
      </c>
      <c r="R17" s="27">
        <f t="shared" si="5"/>
        <v>3.8461538461538325E-2</v>
      </c>
      <c r="S17" s="27">
        <f t="shared" si="5"/>
        <v>6.1447811447811418E-2</v>
      </c>
      <c r="T17" s="27">
        <f t="shared" si="5"/>
        <v>6.0269627279936566E-2</v>
      </c>
      <c r="U17" s="27">
        <f t="shared" si="5"/>
        <v>3.8000000000000034E-2</v>
      </c>
      <c r="V17" s="27">
        <f t="shared" si="5"/>
        <v>3.2000000000000028E-2</v>
      </c>
      <c r="W17" s="27">
        <f t="shared" si="5"/>
        <v>2.6000000000000023E-2</v>
      </c>
      <c r="X17" s="27">
        <f t="shared" si="5"/>
        <v>2.4999999999999911E-2</v>
      </c>
      <c r="Y17" s="27">
        <f t="shared" si="5"/>
        <v>2.4999999999999911E-2</v>
      </c>
      <c r="Z17" s="27">
        <f t="shared" si="5"/>
        <v>2.4999999999999911E-2</v>
      </c>
      <c r="AA17" s="27">
        <f t="shared" si="5"/>
        <v>2.4999999999999911E-2</v>
      </c>
      <c r="AB17" s="27">
        <f t="shared" si="5"/>
        <v>2.4999999999999911E-2</v>
      </c>
    </row>
    <row r="19" spans="2:28" x14ac:dyDescent="0.2">
      <c r="B19" s="13">
        <f>MAX($A$6:B18)+0.1</f>
        <v>1.3000000000000003</v>
      </c>
      <c r="C19" s="13" t="s">
        <v>46</v>
      </c>
    </row>
    <row r="20" spans="2:28" x14ac:dyDescent="0.2">
      <c r="D20" s="32" t="s">
        <v>26</v>
      </c>
      <c r="P20" s="26">
        <v>1</v>
      </c>
      <c r="Q20" s="25">
        <f t="shared" ref="Q20" si="6">P20*(1+Q$17)</f>
        <v>0.99651567944250874</v>
      </c>
      <c r="R20" s="25">
        <f t="shared" ref="R20" si="7">Q20*(1+R$17)</f>
        <v>1.0348432055749128</v>
      </c>
      <c r="S20" s="25">
        <f t="shared" ref="S20" si="8">R20*(1+S$17)</f>
        <v>1.0984320557491287</v>
      </c>
      <c r="T20" s="25">
        <f t="shared" ref="T20" si="9">S20*(1+T$17)</f>
        <v>1.1646341463414631</v>
      </c>
      <c r="U20" s="25">
        <f t="shared" ref="U20" si="10">T20*(1+U$17)</f>
        <v>1.2088902439024387</v>
      </c>
      <c r="V20" s="25">
        <f t="shared" ref="V20" si="11">U20*(1+V$17)</f>
        <v>1.2475747317073167</v>
      </c>
      <c r="W20" s="25">
        <f t="shared" ref="W20" si="12">V20*(1+W$17)</f>
        <v>1.280011674731707</v>
      </c>
      <c r="X20" s="25">
        <f t="shared" ref="X20" si="13">W20*(1+X$17)</f>
        <v>1.3120119665999994</v>
      </c>
      <c r="Y20" s="25">
        <f t="shared" ref="Y20" si="14">X20*(1+Y$17)</f>
        <v>1.3448122657649992</v>
      </c>
      <c r="Z20" s="25">
        <f t="shared" ref="Z20" si="15">Y20*(1+Z$17)</f>
        <v>1.3784325724091242</v>
      </c>
      <c r="AA20" s="25">
        <f t="shared" ref="AA20" si="16">Z20*(1+AA$17)</f>
        <v>1.4128933867193523</v>
      </c>
      <c r="AB20" s="25">
        <f t="shared" ref="AB20" si="17">AA20*(1+AB$17)</f>
        <v>1.4482157213873359</v>
      </c>
    </row>
    <row r="21" spans="2:28" x14ac:dyDescent="0.2">
      <c r="D21" s="32" t="s">
        <v>27</v>
      </c>
      <c r="P21" s="25">
        <f t="shared" ref="P21:P32" si="18">Q21/(1+Q$17)</f>
        <v>1.0034965034965035</v>
      </c>
      <c r="Q21" s="26">
        <v>1</v>
      </c>
      <c r="R21" s="25">
        <f t="shared" ref="R21:AB21" si="19">Q21*(1+R$17)</f>
        <v>1.0384615384615383</v>
      </c>
      <c r="S21" s="25">
        <f t="shared" si="19"/>
        <v>1.1022727272727271</v>
      </c>
      <c r="T21" s="25">
        <f t="shared" si="19"/>
        <v>1.1687062937062935</v>
      </c>
      <c r="U21" s="25">
        <f t="shared" si="19"/>
        <v>1.2131171328671326</v>
      </c>
      <c r="V21" s="25">
        <f t="shared" si="19"/>
        <v>1.2519368811188809</v>
      </c>
      <c r="W21" s="25">
        <f t="shared" si="19"/>
        <v>1.2844872400279719</v>
      </c>
      <c r="X21" s="25">
        <f t="shared" si="19"/>
        <v>1.3165994210286711</v>
      </c>
      <c r="Y21" s="25">
        <f t="shared" si="19"/>
        <v>1.3495144065543878</v>
      </c>
      <c r="Z21" s="25">
        <f t="shared" si="19"/>
        <v>1.3832522667182474</v>
      </c>
      <c r="AA21" s="25">
        <f t="shared" si="19"/>
        <v>1.4178335733862035</v>
      </c>
      <c r="AB21" s="25">
        <f t="shared" si="19"/>
        <v>1.4532794127208586</v>
      </c>
    </row>
    <row r="22" spans="2:28" x14ac:dyDescent="0.2">
      <c r="D22" s="32" t="s">
        <v>28</v>
      </c>
      <c r="P22" s="25">
        <f t="shared" si="18"/>
        <v>0.96632996632996648</v>
      </c>
      <c r="Q22" s="25">
        <f t="shared" ref="Q22:Q32" si="20">R22/(1+R$17)</f>
        <v>0.96296296296296313</v>
      </c>
      <c r="R22" s="26">
        <v>1</v>
      </c>
      <c r="S22" s="25">
        <f t="shared" ref="S22:AB22" si="21">R22*(1+S$17)</f>
        <v>1.0614478114478114</v>
      </c>
      <c r="T22" s="25">
        <f t="shared" si="21"/>
        <v>1.1254208754208754</v>
      </c>
      <c r="U22" s="25">
        <f t="shared" si="21"/>
        <v>1.1681868686868688</v>
      </c>
      <c r="V22" s="25">
        <f t="shared" si="21"/>
        <v>1.2055688484848486</v>
      </c>
      <c r="W22" s="25">
        <f t="shared" si="21"/>
        <v>1.2369136385454547</v>
      </c>
      <c r="X22" s="25">
        <f t="shared" si="21"/>
        <v>1.2678364795090908</v>
      </c>
      <c r="Y22" s="25">
        <f t="shared" si="21"/>
        <v>1.299532391496818</v>
      </c>
      <c r="Z22" s="25">
        <f t="shared" si="21"/>
        <v>1.3320207012842382</v>
      </c>
      <c r="AA22" s="25">
        <f t="shared" si="21"/>
        <v>1.3653212188163442</v>
      </c>
      <c r="AB22" s="25">
        <f t="shared" si="21"/>
        <v>1.3994542492867525</v>
      </c>
    </row>
    <row r="23" spans="2:28" x14ac:dyDescent="0.2">
      <c r="D23" s="32" t="s">
        <v>29</v>
      </c>
      <c r="P23" s="25">
        <f t="shared" si="18"/>
        <v>0.91038858049167337</v>
      </c>
      <c r="Q23" s="25">
        <f t="shared" si="20"/>
        <v>0.90721649484536093</v>
      </c>
      <c r="R23" s="25">
        <f t="shared" ref="R23:R32" si="22">S23/(1+S$17)</f>
        <v>0.94210943695479776</v>
      </c>
      <c r="S23" s="26">
        <v>1</v>
      </c>
      <c r="T23" s="25">
        <f t="shared" ref="T23:AB23" si="23">S23*(1+T$17)</f>
        <v>1.0602696272799366</v>
      </c>
      <c r="U23" s="25">
        <f t="shared" si="23"/>
        <v>1.1005598731165742</v>
      </c>
      <c r="V23" s="25">
        <f t="shared" si="23"/>
        <v>1.1357777890563046</v>
      </c>
      <c r="W23" s="25">
        <f t="shared" si="23"/>
        <v>1.1653080115717684</v>
      </c>
      <c r="X23" s="25">
        <f t="shared" si="23"/>
        <v>1.1944407118610625</v>
      </c>
      <c r="Y23" s="25">
        <f t="shared" si="23"/>
        <v>1.2243017296575889</v>
      </c>
      <c r="Z23" s="25">
        <f t="shared" si="23"/>
        <v>1.2549092728990285</v>
      </c>
      <c r="AA23" s="25">
        <f t="shared" si="23"/>
        <v>1.2862820047215042</v>
      </c>
      <c r="AB23" s="25">
        <f t="shared" si="23"/>
        <v>1.3184390548395417</v>
      </c>
    </row>
    <row r="24" spans="2:28" x14ac:dyDescent="0.2">
      <c r="D24" s="32" t="s">
        <v>30</v>
      </c>
      <c r="P24" s="25">
        <f t="shared" si="18"/>
        <v>0.85863874345549751</v>
      </c>
      <c r="Q24" s="25">
        <f t="shared" si="20"/>
        <v>0.85564697083021701</v>
      </c>
      <c r="R24" s="25">
        <f t="shared" si="22"/>
        <v>0.88855646970830215</v>
      </c>
      <c r="S24" s="25">
        <f t="shared" ref="S24:S32" si="24">T24/(1+T$17)</f>
        <v>0.94315632011967088</v>
      </c>
      <c r="T24" s="26">
        <v>1</v>
      </c>
      <c r="U24" s="25">
        <f t="shared" ref="U24:AB24" si="25">T24*(1+U$17)</f>
        <v>1.038</v>
      </c>
      <c r="V24" s="25">
        <f t="shared" si="25"/>
        <v>1.0712160000000002</v>
      </c>
      <c r="W24" s="25">
        <f t="shared" si="25"/>
        <v>1.0990676160000001</v>
      </c>
      <c r="X24" s="25">
        <f t="shared" si="25"/>
        <v>1.1265443064</v>
      </c>
      <c r="Y24" s="25">
        <f t="shared" si="25"/>
        <v>1.1547079140599998</v>
      </c>
      <c r="Z24" s="25">
        <f t="shared" si="25"/>
        <v>1.1835756119114997</v>
      </c>
      <c r="AA24" s="25">
        <f t="shared" si="25"/>
        <v>1.213165002209287</v>
      </c>
      <c r="AB24" s="25">
        <f t="shared" si="25"/>
        <v>1.243494127264519</v>
      </c>
    </row>
    <row r="25" spans="2:28" x14ac:dyDescent="0.2">
      <c r="D25" s="32" t="s">
        <v>31</v>
      </c>
      <c r="P25" s="25">
        <f t="shared" ref="P25" si="26">Q25/(1+Q$17)</f>
        <v>0.82720495515943882</v>
      </c>
      <c r="Q25" s="25">
        <f t="shared" ref="Q25" si="27">R25/(1+R$17)</f>
        <v>0.82432270792891815</v>
      </c>
      <c r="R25" s="25">
        <f t="shared" ref="R25" si="28">S25/(1+S$17)</f>
        <v>0.85602742746464566</v>
      </c>
      <c r="S25" s="25">
        <f t="shared" ref="S25:T25" si="29">T25/(1+T$17)</f>
        <v>0.90862843942164828</v>
      </c>
      <c r="T25" s="25">
        <f t="shared" si="29"/>
        <v>0.96339113680154143</v>
      </c>
      <c r="U25" s="26">
        <v>1</v>
      </c>
      <c r="V25" s="25">
        <f t="shared" ref="V25:AB25" si="30">U25*(1+V$17)</f>
        <v>1.032</v>
      </c>
      <c r="W25" s="25">
        <f t="shared" si="30"/>
        <v>1.058832</v>
      </c>
      <c r="X25" s="25">
        <f t="shared" si="30"/>
        <v>1.0853028</v>
      </c>
      <c r="Y25" s="25">
        <f t="shared" si="30"/>
        <v>1.1124353699999998</v>
      </c>
      <c r="Z25" s="25">
        <f t="shared" si="30"/>
        <v>1.1402462542499998</v>
      </c>
      <c r="AA25" s="25">
        <f t="shared" si="30"/>
        <v>1.1687524106062497</v>
      </c>
      <c r="AB25" s="25">
        <f t="shared" si="30"/>
        <v>1.1979712208714057</v>
      </c>
    </row>
    <row r="26" spans="2:28" x14ac:dyDescent="0.2">
      <c r="D26" s="32" t="s">
        <v>32</v>
      </c>
      <c r="P26" s="25">
        <f t="shared" si="18"/>
        <v>0.8015551891079834</v>
      </c>
      <c r="Q26" s="25">
        <f t="shared" si="20"/>
        <v>0.79876231388461061</v>
      </c>
      <c r="R26" s="25">
        <f t="shared" si="22"/>
        <v>0.82948394134171088</v>
      </c>
      <c r="S26" s="25">
        <f t="shared" si="24"/>
        <v>0.8804539141682638</v>
      </c>
      <c r="T26" s="25">
        <f t="shared" ref="T26:T32" si="31">U26/(1+U$17)</f>
        <v>0.9335185434123463</v>
      </c>
      <c r="U26" s="25">
        <f t="shared" ref="U26:U32" si="32">V26/(1+V$17)</f>
        <v>0.96899224806201545</v>
      </c>
      <c r="V26" s="26">
        <v>1</v>
      </c>
      <c r="W26" s="25">
        <f t="shared" ref="W26:AB26" si="33">V26*(1+W$17)</f>
        <v>1.026</v>
      </c>
      <c r="X26" s="25">
        <f t="shared" si="33"/>
        <v>1.05165</v>
      </c>
      <c r="Y26" s="25">
        <f t="shared" si="33"/>
        <v>1.0779412499999999</v>
      </c>
      <c r="Z26" s="25">
        <f t="shared" si="33"/>
        <v>1.1048897812499998</v>
      </c>
      <c r="AA26" s="25">
        <f t="shared" si="33"/>
        <v>1.1325120257812498</v>
      </c>
      <c r="AB26" s="25">
        <f t="shared" si="33"/>
        <v>1.160824826425781</v>
      </c>
    </row>
    <row r="27" spans="2:28" x14ac:dyDescent="0.2">
      <c r="D27" s="32" t="s">
        <v>33</v>
      </c>
      <c r="P27" s="25">
        <f t="shared" si="18"/>
        <v>0.78124287437425255</v>
      </c>
      <c r="Q27" s="25">
        <f t="shared" si="20"/>
        <v>0.77852077376667683</v>
      </c>
      <c r="R27" s="25">
        <f t="shared" si="22"/>
        <v>0.8084638804500105</v>
      </c>
      <c r="S27" s="25">
        <f t="shared" si="24"/>
        <v>0.85814221653826872</v>
      </c>
      <c r="T27" s="25">
        <f t="shared" si="31"/>
        <v>0.90986212808220879</v>
      </c>
      <c r="U27" s="25">
        <f t="shared" si="32"/>
        <v>0.94443688894933275</v>
      </c>
      <c r="V27" s="25">
        <f t="shared" ref="V27:V32" si="34">W27/(1+W$17)</f>
        <v>0.97465886939571145</v>
      </c>
      <c r="W27" s="26">
        <v>1</v>
      </c>
      <c r="X27" s="25">
        <f>W27*(1+X$17)</f>
        <v>1.0249999999999999</v>
      </c>
      <c r="Y27" s="25">
        <f>X27*(1+Y$17)</f>
        <v>1.0506249999999999</v>
      </c>
      <c r="Z27" s="25">
        <f>Y27*(1+Z$17)</f>
        <v>1.0768906249999999</v>
      </c>
      <c r="AA27" s="25">
        <f>Z27*(1+AA$17)</f>
        <v>1.1038128906249998</v>
      </c>
      <c r="AB27" s="25">
        <f>AA27*(1+AB$17)</f>
        <v>1.1314082128906247</v>
      </c>
    </row>
    <row r="28" spans="2:28" x14ac:dyDescent="0.2">
      <c r="D28" s="32" t="s">
        <v>34</v>
      </c>
      <c r="P28" s="25">
        <f t="shared" si="18"/>
        <v>0.76218817012122231</v>
      </c>
      <c r="Q28" s="25">
        <f t="shared" si="20"/>
        <v>0.75953246221139226</v>
      </c>
      <c r="R28" s="25">
        <f t="shared" si="22"/>
        <v>0.7887452492195226</v>
      </c>
      <c r="S28" s="25">
        <f t="shared" si="24"/>
        <v>0.83721191857392085</v>
      </c>
      <c r="T28" s="25">
        <f t="shared" si="31"/>
        <v>0.88767036886069162</v>
      </c>
      <c r="U28" s="25">
        <f t="shared" si="32"/>
        <v>0.9214018428773979</v>
      </c>
      <c r="V28" s="25">
        <f t="shared" si="34"/>
        <v>0.95088670184947466</v>
      </c>
      <c r="W28" s="25">
        <f>X28/(1+X$17)</f>
        <v>0.97560975609756106</v>
      </c>
      <c r="X28" s="26">
        <v>1</v>
      </c>
      <c r="Y28" s="25">
        <f>X28*(1+Y$17)</f>
        <v>1.0249999999999999</v>
      </c>
      <c r="Z28" s="25">
        <f>Y28*(1+Z$17)</f>
        <v>1.0506249999999999</v>
      </c>
      <c r="AA28" s="25">
        <f>Z28*(1+AA$17)</f>
        <v>1.0768906249999999</v>
      </c>
      <c r="AB28" s="25">
        <f>AA28*(1+AB$17)</f>
        <v>1.1038128906249998</v>
      </c>
    </row>
    <row r="29" spans="2:28" x14ac:dyDescent="0.2">
      <c r="D29" s="32" t="s">
        <v>35</v>
      </c>
      <c r="P29" s="25">
        <f t="shared" si="18"/>
        <v>0.74359821475241206</v>
      </c>
      <c r="Q29" s="25">
        <f t="shared" si="20"/>
        <v>0.74100728020623641</v>
      </c>
      <c r="R29" s="25">
        <f t="shared" si="22"/>
        <v>0.76950756021416844</v>
      </c>
      <c r="S29" s="25">
        <f t="shared" si="24"/>
        <v>0.81679211568187404</v>
      </c>
      <c r="T29" s="25">
        <f t="shared" si="31"/>
        <v>0.86601987205921138</v>
      </c>
      <c r="U29" s="25">
        <f t="shared" si="32"/>
        <v>0.89892862719746147</v>
      </c>
      <c r="V29" s="25">
        <f t="shared" si="34"/>
        <v>0.92769434326778022</v>
      </c>
      <c r="W29" s="25">
        <f>X29/(1+X$17)</f>
        <v>0.95181439619274255</v>
      </c>
      <c r="X29" s="25">
        <f>Y29/(1+Y$17)</f>
        <v>0.97560975609756106</v>
      </c>
      <c r="Y29" s="26">
        <v>1</v>
      </c>
      <c r="Z29" s="25">
        <f>Y29*(1+Z$17)</f>
        <v>1.0249999999999999</v>
      </c>
      <c r="AA29" s="25">
        <f>Z29*(1+AA$17)</f>
        <v>1.0506249999999999</v>
      </c>
      <c r="AB29" s="25">
        <f>AA29*(1+AB$17)</f>
        <v>1.0768906249999999</v>
      </c>
    </row>
    <row r="30" spans="2:28" x14ac:dyDescent="0.2">
      <c r="D30" s="32" t="s">
        <v>36</v>
      </c>
      <c r="P30" s="25">
        <f t="shared" si="18"/>
        <v>0.72546167292918251</v>
      </c>
      <c r="Q30" s="25">
        <f t="shared" si="20"/>
        <v>0.7229339319085234</v>
      </c>
      <c r="R30" s="25">
        <f t="shared" si="22"/>
        <v>0.7507390831357742</v>
      </c>
      <c r="S30" s="25">
        <f t="shared" si="24"/>
        <v>0.79687035676280404</v>
      </c>
      <c r="T30" s="25">
        <f t="shared" si="31"/>
        <v>0.84489743615532831</v>
      </c>
      <c r="U30" s="25">
        <f t="shared" si="32"/>
        <v>0.87700353872923076</v>
      </c>
      <c r="V30" s="25">
        <f t="shared" si="34"/>
        <v>0.9050676519685662</v>
      </c>
      <c r="W30" s="25">
        <f>X30/(1+X$17)</f>
        <v>0.92859941091974896</v>
      </c>
      <c r="X30" s="25">
        <f>Y30/(1+Y$17)</f>
        <v>0.95181439619274255</v>
      </c>
      <c r="Y30" s="25">
        <f>Z30/(1+Z$17)</f>
        <v>0.97560975609756106</v>
      </c>
      <c r="Z30" s="26">
        <v>1</v>
      </c>
      <c r="AA30" s="25">
        <f>Z30*(1+AA$17)</f>
        <v>1.0249999999999999</v>
      </c>
      <c r="AB30" s="25">
        <f>AA30*(1+AB$17)</f>
        <v>1.0506249999999999</v>
      </c>
    </row>
    <row r="31" spans="2:28" x14ac:dyDescent="0.2">
      <c r="D31" s="32" t="s">
        <v>37</v>
      </c>
      <c r="P31" s="25">
        <f t="shared" si="18"/>
        <v>0.70776748578456827</v>
      </c>
      <c r="Q31" s="25">
        <f t="shared" si="20"/>
        <v>0.70530139698392524</v>
      </c>
      <c r="R31" s="25">
        <f t="shared" si="22"/>
        <v>0.73242837379099923</v>
      </c>
      <c r="S31" s="25">
        <f t="shared" si="24"/>
        <v>0.77743449440273571</v>
      </c>
      <c r="T31" s="25">
        <f t="shared" si="31"/>
        <v>0.82429018161495449</v>
      </c>
      <c r="U31" s="25">
        <f t="shared" si="32"/>
        <v>0.85561320851632283</v>
      </c>
      <c r="V31" s="25">
        <f t="shared" si="34"/>
        <v>0.8829928311888452</v>
      </c>
      <c r="W31" s="25">
        <f>X31/(1+X$17)</f>
        <v>0.90595064479975518</v>
      </c>
      <c r="X31" s="25">
        <f>Y31/(1+Y$17)</f>
        <v>0.92859941091974896</v>
      </c>
      <c r="Y31" s="25">
        <f>Z31/(1+Z$17)</f>
        <v>0.95181439619274255</v>
      </c>
      <c r="Z31" s="25">
        <f>AA31/(1+AA$17)</f>
        <v>0.97560975609756106</v>
      </c>
      <c r="AA31" s="26">
        <v>1</v>
      </c>
      <c r="AB31" s="25">
        <f>AA31*(1+AB$17)</f>
        <v>1.0249999999999999</v>
      </c>
    </row>
    <row r="32" spans="2:28" x14ac:dyDescent="0.2">
      <c r="D32" s="32" t="s">
        <v>38</v>
      </c>
      <c r="P32" s="25">
        <f t="shared" si="18"/>
        <v>0.69050486418006685</v>
      </c>
      <c r="Q32" s="25">
        <f t="shared" si="20"/>
        <v>0.68809892388675653</v>
      </c>
      <c r="R32" s="25">
        <f t="shared" si="22"/>
        <v>0.71456426711317012</v>
      </c>
      <c r="S32" s="25">
        <f t="shared" si="24"/>
        <v>0.75847267746608371</v>
      </c>
      <c r="T32" s="25">
        <f t="shared" si="31"/>
        <v>0.80418554303898016</v>
      </c>
      <c r="U32" s="25">
        <f t="shared" si="32"/>
        <v>0.83474459367446141</v>
      </c>
      <c r="V32" s="25">
        <f t="shared" si="34"/>
        <v>0.8614564206720442</v>
      </c>
      <c r="W32" s="25">
        <f>X32/(1+X$17)</f>
        <v>0.88385428760951734</v>
      </c>
      <c r="X32" s="25">
        <f>Y32/(1+Y$17)</f>
        <v>0.90595064479975518</v>
      </c>
      <c r="Y32" s="25">
        <f>Z32/(1+Z$17)</f>
        <v>0.92859941091974896</v>
      </c>
      <c r="Z32" s="25">
        <f>AA32/(1+AA$17)</f>
        <v>0.95181439619274255</v>
      </c>
      <c r="AA32" s="25">
        <f>AB32/(1+AB$17)</f>
        <v>0.97560975609756106</v>
      </c>
      <c r="AB32" s="26">
        <v>1</v>
      </c>
    </row>
    <row r="33" spans="2:28" x14ac:dyDescent="0.2"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2:28" x14ac:dyDescent="0.2">
      <c r="B34" s="13">
        <f>MAX($A$6:B33)+0.1</f>
        <v>1.4000000000000004</v>
      </c>
      <c r="C34" s="13" t="s">
        <v>47</v>
      </c>
    </row>
    <row r="35" spans="2:28" x14ac:dyDescent="0.2">
      <c r="D35" s="32" t="s">
        <v>26</v>
      </c>
      <c r="P35" s="29">
        <f>1*(1+(P$17/2))</f>
        <v>1.0079646017699115</v>
      </c>
      <c r="Q35" s="25">
        <f>1*(Q$11/$P$11)*(1+(Q$17/2))</f>
        <v>1.0166306833971057</v>
      </c>
      <c r="R35" s="25">
        <f t="shared" ref="R35:AB35" si="35">1*(R$11/$P$11)*(1+(R$17/2))</f>
        <v>1.0469224027506236</v>
      </c>
      <c r="S35" s="25">
        <f t="shared" si="35"/>
        <v>1.0957652038940382</v>
      </c>
      <c r="T35" s="25">
        <f t="shared" si="35"/>
        <v>1.1809082701499374</v>
      </c>
      <c r="U35" s="25">
        <f t="shared" si="35"/>
        <v>1.2154767747589836</v>
      </c>
      <c r="V35" s="25">
        <f t="shared" si="35"/>
        <v>1.2579504715162138</v>
      </c>
      <c r="W35" s="25">
        <f t="shared" si="35"/>
        <v>1.2893546602559156</v>
      </c>
      <c r="X35" s="25">
        <f t="shared" si="35"/>
        <v>1.32093621258326</v>
      </c>
      <c r="Y35" s="25">
        <f t="shared" si="35"/>
        <v>1.3539596178978412</v>
      </c>
      <c r="Z35" s="25">
        <f t="shared" si="35"/>
        <v>1.3878086083452874</v>
      </c>
      <c r="AA35" s="25">
        <f t="shared" si="35"/>
        <v>1.4225038235539194</v>
      </c>
      <c r="AB35" s="25">
        <f t="shared" si="35"/>
        <v>1.458066419142767</v>
      </c>
    </row>
    <row r="36" spans="2:28" x14ac:dyDescent="0.2">
      <c r="D36" s="32" t="s">
        <v>27</v>
      </c>
      <c r="P36" s="25">
        <f>1*(P$11/$Q$11)*(1+(P$17/2))</f>
        <v>0.98974837402708171</v>
      </c>
      <c r="Q36" s="29">
        <f>1*(1+(Q$17/2))</f>
        <v>0.99825783972125437</v>
      </c>
      <c r="R36" s="25">
        <f t="shared" ref="R36:AB36" si="36">1*(R$11/$Q$11)*(1+(R$17/2))</f>
        <v>1.0280021183635641</v>
      </c>
      <c r="S36" s="25">
        <f t="shared" si="36"/>
        <v>1.0759622182814954</v>
      </c>
      <c r="T36" s="25">
        <f t="shared" si="36"/>
        <v>1.1595665544243359</v>
      </c>
      <c r="U36" s="25">
        <f t="shared" si="36"/>
        <v>1.1935103270223755</v>
      </c>
      <c r="V36" s="25">
        <f t="shared" si="36"/>
        <v>1.2352164268502581</v>
      </c>
      <c r="W36" s="25">
        <f t="shared" si="36"/>
        <v>1.2660530700103267</v>
      </c>
      <c r="X36" s="25">
        <f t="shared" si="36"/>
        <v>1.2970638713919962</v>
      </c>
      <c r="Y36" s="25">
        <f t="shared" si="36"/>
        <v>1.3294904681767961</v>
      </c>
      <c r="Z36" s="25">
        <f t="shared" si="36"/>
        <v>1.3627277298812155</v>
      </c>
      <c r="AA36" s="25">
        <f t="shared" si="36"/>
        <v>1.3967959231282459</v>
      </c>
      <c r="AB36" s="25">
        <f t="shared" si="36"/>
        <v>1.4317158212064518</v>
      </c>
    </row>
    <row r="37" spans="2:28" x14ac:dyDescent="0.2">
      <c r="D37" s="32" t="s">
        <v>28</v>
      </c>
      <c r="P37" s="25">
        <f>1*(P$11/$R$11)*(1+(P$17/2))</f>
        <v>0.98130342203026355</v>
      </c>
      <c r="Q37" s="25">
        <f>1*(Q$11/$R$11)*(1+(Q$17/2))</f>
        <v>0.98974028136185799</v>
      </c>
      <c r="R37" s="29">
        <f>1*(1+(R$17/2))</f>
        <v>1.0192307692307692</v>
      </c>
      <c r="S37" s="25">
        <f t="shared" ref="S37:AB37" si="37">1*(S$11/$R$11)*(1+(S$17/2))</f>
        <v>1.0667816532790935</v>
      </c>
      <c r="T37" s="25">
        <f t="shared" si="37"/>
        <v>1.1496726418439236</v>
      </c>
      <c r="U37" s="25">
        <f t="shared" si="37"/>
        <v>1.1833267918088739</v>
      </c>
      <c r="V37" s="25">
        <f t="shared" si="37"/>
        <v>1.2246770375426621</v>
      </c>
      <c r="W37" s="25">
        <f t="shared" si="37"/>
        <v>1.255250569412969</v>
      </c>
      <c r="X37" s="25">
        <f t="shared" si="37"/>
        <v>1.2859967735132249</v>
      </c>
      <c r="Y37" s="25">
        <f t="shared" si="37"/>
        <v>1.3181466928510555</v>
      </c>
      <c r="Z37" s="25">
        <f t="shared" si="37"/>
        <v>1.3511003601723317</v>
      </c>
      <c r="AA37" s="25">
        <f t="shared" si="37"/>
        <v>1.3848778691766397</v>
      </c>
      <c r="AB37" s="25">
        <f t="shared" si="37"/>
        <v>1.4194998159060555</v>
      </c>
    </row>
    <row r="38" spans="2:28" x14ac:dyDescent="0.2">
      <c r="D38" s="32" t="s">
        <v>29</v>
      </c>
      <c r="P38" s="25">
        <f>1*(P$11/$S$11)*(1+(P$17/2))</f>
        <v>0.94813488097235699</v>
      </c>
      <c r="Q38" s="25">
        <f>1*(Q$11/$S$11)*(1+(Q$17/2))</f>
        <v>0.95628657028532371</v>
      </c>
      <c r="R38" s="25">
        <f>1*(R$11/$S$11)*(1+(R$17/2))</f>
        <v>0.98478026507704997</v>
      </c>
      <c r="S38" s="29">
        <f>1*(1+(S$17/2))</f>
        <v>1.0307239057239057</v>
      </c>
      <c r="T38" s="25">
        <f t="shared" ref="T38:AB38" si="38">1*(T$11/$S$11)*(1+(T$17/2))</f>
        <v>1.1108131378739312</v>
      </c>
      <c r="U38" s="25">
        <f t="shared" si="38"/>
        <v>1.1433297609233308</v>
      </c>
      <c r="V38" s="25">
        <f t="shared" si="38"/>
        <v>1.1832823478977741</v>
      </c>
      <c r="W38" s="25">
        <f t="shared" si="38"/>
        <v>1.2128224792679307</v>
      </c>
      <c r="X38" s="25">
        <f t="shared" si="38"/>
        <v>1.2425294464612529</v>
      </c>
      <c r="Y38" s="25">
        <f t="shared" si="38"/>
        <v>1.2735926826227839</v>
      </c>
      <c r="Z38" s="25">
        <f t="shared" si="38"/>
        <v>1.3054324996883533</v>
      </c>
      <c r="AA38" s="25">
        <f t="shared" si="38"/>
        <v>1.3380683121805621</v>
      </c>
      <c r="AB38" s="25">
        <f t="shared" si="38"/>
        <v>1.3715200199850759</v>
      </c>
    </row>
    <row r="39" spans="2:28" x14ac:dyDescent="0.2">
      <c r="D39" s="32" t="s">
        <v>30</v>
      </c>
      <c r="P39" s="25">
        <f>1*(P$11/$T$11)*(1+(P$17/2))</f>
        <v>0.87927187356228509</v>
      </c>
      <c r="Q39" s="25">
        <f>1*(Q$11/$T$11)*(1+(Q$17/2))</f>
        <v>0.88683150592973814</v>
      </c>
      <c r="R39" s="25">
        <f>1*(R$11/$T$11)*(1+(R$17/2))</f>
        <v>0.91325570454010807</v>
      </c>
      <c r="S39" s="25">
        <f>1*(S$11/$T$11)*(1+(S$17/2))</f>
        <v>0.95586245997178698</v>
      </c>
      <c r="T39" s="29">
        <f>1*(1+(T$17/2))</f>
        <v>1.0301348136399682</v>
      </c>
      <c r="U39" s="25">
        <f t="shared" ref="U39:AB39" si="39">1*(U$11/$T$11)*(1+(U$17/2))</f>
        <v>1.0602897553516819</v>
      </c>
      <c r="V39" s="25">
        <f t="shared" si="39"/>
        <v>1.0973405871559632</v>
      </c>
      <c r="W39" s="25">
        <f t="shared" si="39"/>
        <v>1.1247352196880731</v>
      </c>
      <c r="X39" s="25">
        <f t="shared" si="39"/>
        <v>1.1522845707626141</v>
      </c>
      <c r="Y39" s="25">
        <f t="shared" si="39"/>
        <v>1.1810916850316795</v>
      </c>
      <c r="Z39" s="25">
        <f t="shared" si="39"/>
        <v>1.2106189771574714</v>
      </c>
      <c r="AA39" s="25">
        <f t="shared" si="39"/>
        <v>1.2408844515864081</v>
      </c>
      <c r="AB39" s="25">
        <f t="shared" si="39"/>
        <v>1.2719065628760682</v>
      </c>
    </row>
    <row r="40" spans="2:28" x14ac:dyDescent="0.2">
      <c r="D40" s="32" t="s">
        <v>31</v>
      </c>
      <c r="P40" s="25">
        <f>1*(P$11/$U$11)*(1+(P$17/2))</f>
        <v>0.84503130831702356</v>
      </c>
      <c r="Q40" s="25">
        <f>1*(Q$11/$U$11)*(1+(Q$17/2))</f>
        <v>0.85229655382520031</v>
      </c>
      <c r="R40" s="25">
        <f>1*(R$11/$U$11)*(1+(R$17/2))</f>
        <v>0.87769174249703263</v>
      </c>
      <c r="S40" s="25">
        <f>1*(S$11/$U$11)*(1+(S$17/2))</f>
        <v>0.91863930759963097</v>
      </c>
      <c r="T40" s="25">
        <f>1*(T$11/$U$11)*(1+(T$17/2))</f>
        <v>0.99001935065472335</v>
      </c>
      <c r="U40" s="29">
        <f>1*(1+(U$17/2))</f>
        <v>1.0190000000000001</v>
      </c>
      <c r="V40" s="25">
        <f t="shared" ref="V40:AB40" si="40">1*(V$11/$U$11)*(1+(V$17/2))</f>
        <v>1.054608</v>
      </c>
      <c r="W40" s="25">
        <f t="shared" si="40"/>
        <v>1.080935832</v>
      </c>
      <c r="X40" s="25">
        <f t="shared" si="40"/>
        <v>1.1074123574999999</v>
      </c>
      <c r="Y40" s="25">
        <f t="shared" si="40"/>
        <v>1.1350976664374997</v>
      </c>
      <c r="Z40" s="25">
        <f t="shared" si="40"/>
        <v>1.1634751080984371</v>
      </c>
      <c r="AA40" s="25">
        <f t="shared" si="40"/>
        <v>1.1925619858008978</v>
      </c>
      <c r="AB40" s="25">
        <f t="shared" si="40"/>
        <v>1.2223760354459201</v>
      </c>
    </row>
    <row r="41" spans="2:28" x14ac:dyDescent="0.2">
      <c r="D41" s="32" t="s">
        <v>32</v>
      </c>
      <c r="P41" s="25">
        <f t="shared" ref="P41:U41" si="41">1*(P$11/$V$11)*(1+(P$17/2))</f>
        <v>0.81409567275243122</v>
      </c>
      <c r="Q41" s="25">
        <f t="shared" si="41"/>
        <v>0.82109494588169596</v>
      </c>
      <c r="R41" s="25">
        <f t="shared" si="41"/>
        <v>0.84556044556554211</v>
      </c>
      <c r="S41" s="25">
        <f t="shared" si="41"/>
        <v>0.88500896685898933</v>
      </c>
      <c r="T41" s="25">
        <f t="shared" si="41"/>
        <v>0.95377586768277789</v>
      </c>
      <c r="U41" s="25">
        <f t="shared" si="41"/>
        <v>0.98169556840077099</v>
      </c>
      <c r="V41" s="29">
        <f>1*(1+(V$17/2))</f>
        <v>1.016</v>
      </c>
      <c r="W41" s="25">
        <f t="shared" ref="W41:AB41" si="42">1*(W$11/$V$11)*(1+(W$17/2))</f>
        <v>1.041364</v>
      </c>
      <c r="X41" s="25">
        <f t="shared" si="42"/>
        <v>1.0668712499999997</v>
      </c>
      <c r="Y41" s="25">
        <f t="shared" si="42"/>
        <v>1.0935430312499999</v>
      </c>
      <c r="Z41" s="25">
        <f t="shared" si="42"/>
        <v>1.1208816070312497</v>
      </c>
      <c r="AA41" s="25">
        <f t="shared" si="42"/>
        <v>1.1489036472070306</v>
      </c>
      <c r="AB41" s="25">
        <f t="shared" si="42"/>
        <v>1.1776262383872063</v>
      </c>
    </row>
    <row r="42" spans="2:28" x14ac:dyDescent="0.2">
      <c r="D42" s="32" t="s">
        <v>33</v>
      </c>
      <c r="P42" s="25">
        <f t="shared" ref="P42:V42" si="43">1*(P$11/$W$11)*(1+(P$17/2))</f>
        <v>0.79192186065411585</v>
      </c>
      <c r="Q42" s="25">
        <f t="shared" si="43"/>
        <v>0.79873049210281699</v>
      </c>
      <c r="R42" s="25">
        <f t="shared" si="43"/>
        <v>0.8225296163088931</v>
      </c>
      <c r="S42" s="25">
        <f t="shared" si="43"/>
        <v>0.86090366425971709</v>
      </c>
      <c r="T42" s="25">
        <f t="shared" si="43"/>
        <v>0.92779753665639864</v>
      </c>
      <c r="U42" s="25">
        <f t="shared" si="43"/>
        <v>0.95495677859997152</v>
      </c>
      <c r="V42" s="25">
        <f t="shared" si="43"/>
        <v>0.98832684824902717</v>
      </c>
      <c r="W42" s="29">
        <f>1*(1+(W$17/2))</f>
        <v>1.0129999999999999</v>
      </c>
      <c r="X42" s="25">
        <f>1*(X$11/$W$11)*(1+(X$17/2))</f>
        <v>1.0378124999999998</v>
      </c>
      <c r="Y42" s="25">
        <f>1*(Y$11/$W$11)*(1+(Y$17/2))</f>
        <v>1.0637578124999996</v>
      </c>
      <c r="Z42" s="25">
        <f>1*(Z$11/$W$11)*(1+(Z$17/2))</f>
        <v>1.0903517578124995</v>
      </c>
      <c r="AA42" s="25">
        <f>1*(AA$11/$W$11)*(1+(AA$17/2))</f>
        <v>1.1176105517578117</v>
      </c>
      <c r="AB42" s="25">
        <f>1*(AB$11/$W$11)*(1+(AB$17/2))</f>
        <v>1.1455508155517569</v>
      </c>
    </row>
    <row r="43" spans="2:28" x14ac:dyDescent="0.2">
      <c r="D43" s="32" t="s">
        <v>34</v>
      </c>
      <c r="P43" s="25">
        <f t="shared" ref="P43:W43" si="44">1*(P$11/$X$11)*(1+(P$17/2))</f>
        <v>0.77260669332108878</v>
      </c>
      <c r="Q43" s="25">
        <f t="shared" si="44"/>
        <v>0.77924926058811417</v>
      </c>
      <c r="R43" s="25">
        <f t="shared" si="44"/>
        <v>0.80246791835013975</v>
      </c>
      <c r="S43" s="25">
        <f t="shared" si="44"/>
        <v>0.83990601391191944</v>
      </c>
      <c r="T43" s="25">
        <f t="shared" si="44"/>
        <v>0.90516832844526718</v>
      </c>
      <c r="U43" s="25">
        <f t="shared" si="44"/>
        <v>0.93166514985363102</v>
      </c>
      <c r="V43" s="25">
        <f t="shared" si="44"/>
        <v>0.96422131536490463</v>
      </c>
      <c r="W43" s="25">
        <f t="shared" si="44"/>
        <v>0.98829268292682926</v>
      </c>
      <c r="X43" s="29">
        <f>1*(1+(X$17/2))</f>
        <v>1.0125</v>
      </c>
      <c r="Y43" s="25">
        <f>1*(Y$11/$X$11)*(1+(Y$17/2))</f>
        <v>1.0378124999999998</v>
      </c>
      <c r="Z43" s="25">
        <f>1*(Z$11/$X$11)*(1+(Z$17/2))</f>
        <v>1.0637578124999996</v>
      </c>
      <c r="AA43" s="25">
        <f>1*(AA$11/$X$11)*(1+(AA$17/2))</f>
        <v>1.0903517578124997</v>
      </c>
      <c r="AB43" s="25">
        <f>1*(AB$11/$X$11)*(1+(AB$17/2))</f>
        <v>1.1176105517578117</v>
      </c>
    </row>
    <row r="44" spans="2:28" x14ac:dyDescent="0.2">
      <c r="D44" s="32" t="s">
        <v>35</v>
      </c>
      <c r="P44" s="25">
        <f t="shared" ref="P44:X44" si="45">1*(P$11/$Y$11)*(1+(P$17/2))</f>
        <v>0.75376262763033064</v>
      </c>
      <c r="Q44" s="25">
        <f t="shared" si="45"/>
        <v>0.76024318106157507</v>
      </c>
      <c r="R44" s="25">
        <f t="shared" si="45"/>
        <v>0.78289553009769741</v>
      </c>
      <c r="S44" s="25">
        <f t="shared" si="45"/>
        <v>0.81942050137748235</v>
      </c>
      <c r="T44" s="25">
        <f t="shared" si="45"/>
        <v>0.88309105214172412</v>
      </c>
      <c r="U44" s="25">
        <f t="shared" si="45"/>
        <v>0.90894160961329862</v>
      </c>
      <c r="V44" s="25">
        <f t="shared" si="45"/>
        <v>0.94070372230722421</v>
      </c>
      <c r="W44" s="25">
        <f t="shared" si="45"/>
        <v>0.96418798334324818</v>
      </c>
      <c r="X44" s="25">
        <f t="shared" si="45"/>
        <v>0.98780487804878059</v>
      </c>
      <c r="Y44" s="29">
        <f>1*(1+(Y$17/2))</f>
        <v>1.0125</v>
      </c>
      <c r="Z44" s="25">
        <f>1*(Z$11/$Y$11)*(1+(Z$17/2))</f>
        <v>1.0378124999999998</v>
      </c>
      <c r="AA44" s="25">
        <f>1*(AA$11/$Y$11)*(1+(AA$17/2))</f>
        <v>1.0637578124999996</v>
      </c>
      <c r="AB44" s="25">
        <f>1*(AB$11/$Y$11)*(1+(AB$17/2))</f>
        <v>1.0903517578124997</v>
      </c>
    </row>
    <row r="45" spans="2:28" x14ac:dyDescent="0.2">
      <c r="D45" s="32" t="s">
        <v>36</v>
      </c>
      <c r="P45" s="25">
        <f t="shared" ref="P45:Y45" si="46">1*(P$11/$Z$11)*(1+(P$17/2))</f>
        <v>0.73537817329788369</v>
      </c>
      <c r="Q45" s="25">
        <f t="shared" si="46"/>
        <v>0.74170066445031724</v>
      </c>
      <c r="R45" s="25">
        <f t="shared" si="46"/>
        <v>0.7638005171684854</v>
      </c>
      <c r="S45" s="25">
        <f t="shared" si="46"/>
        <v>0.79943463549022675</v>
      </c>
      <c r="T45" s="25">
        <f t="shared" si="46"/>
        <v>0.86155224599192615</v>
      </c>
      <c r="U45" s="25">
        <f t="shared" si="46"/>
        <v>0.88677230206175495</v>
      </c>
      <c r="V45" s="25">
        <f t="shared" si="46"/>
        <v>0.91775972908021897</v>
      </c>
      <c r="W45" s="25">
        <f t="shared" si="46"/>
        <v>0.94067120326170572</v>
      </c>
      <c r="X45" s="25">
        <f t="shared" si="46"/>
        <v>0.96371207614515186</v>
      </c>
      <c r="Y45" s="25">
        <f t="shared" si="46"/>
        <v>0.9878048780487807</v>
      </c>
      <c r="Z45" s="29">
        <f>1*(1+(Z$17/2))</f>
        <v>1.0125</v>
      </c>
      <c r="AA45" s="25">
        <f>1*(AA$11/$Z$11)*(1+(AA$17/2))</f>
        <v>1.0378124999999998</v>
      </c>
      <c r="AB45" s="25">
        <f>1*(AB$11/$Z$11)*(1+(AB$17/2))</f>
        <v>1.0637578124999996</v>
      </c>
    </row>
    <row r="46" spans="2:28" x14ac:dyDescent="0.2">
      <c r="D46" s="32" t="s">
        <v>37</v>
      </c>
      <c r="P46" s="25">
        <f t="shared" ref="P46:Z46" si="47">1*(P$11/$AA$11)*(1+(P$17/2))</f>
        <v>0.71744212029061827</v>
      </c>
      <c r="Q46" s="25">
        <f t="shared" si="47"/>
        <v>0.72361040434177293</v>
      </c>
      <c r="R46" s="25">
        <f t="shared" si="47"/>
        <v>0.74517123626193693</v>
      </c>
      <c r="S46" s="25">
        <f t="shared" si="47"/>
        <v>0.77993622974656285</v>
      </c>
      <c r="T46" s="25">
        <f t="shared" si="47"/>
        <v>0.84053877657748899</v>
      </c>
      <c r="U46" s="25">
        <f t="shared" si="47"/>
        <v>0.86514370932854145</v>
      </c>
      <c r="V46" s="25">
        <f t="shared" si="47"/>
        <v>0.89537534544411612</v>
      </c>
      <c r="W46" s="25">
        <f t="shared" si="47"/>
        <v>0.91772800318215197</v>
      </c>
      <c r="X46" s="25">
        <f t="shared" si="47"/>
        <v>0.94020690355624592</v>
      </c>
      <c r="Y46" s="25">
        <f t="shared" si="47"/>
        <v>0.96371207614515186</v>
      </c>
      <c r="Z46" s="25">
        <f t="shared" si="47"/>
        <v>0.98780487804878059</v>
      </c>
      <c r="AA46" s="29">
        <f>1*(1+(AA$17/2))</f>
        <v>1.0125</v>
      </c>
      <c r="AB46" s="25">
        <f>1*(AB$11/$AA$11)*(1+(AB$17/2))</f>
        <v>1.0378124999999998</v>
      </c>
    </row>
    <row r="47" spans="2:28" x14ac:dyDescent="0.2">
      <c r="D47" s="32" t="s">
        <v>38</v>
      </c>
      <c r="P47" s="25">
        <f t="shared" ref="P47:AA47" si="48">1*(P$11/$AB$11)*(1+(P$17/2))</f>
        <v>0.69994353199084725</v>
      </c>
      <c r="Q47" s="25">
        <f t="shared" si="48"/>
        <v>0.70596137008953463</v>
      </c>
      <c r="R47" s="25">
        <f t="shared" si="48"/>
        <v>0.72699632806042647</v>
      </c>
      <c r="S47" s="25">
        <f t="shared" si="48"/>
        <v>0.76091339487469556</v>
      </c>
      <c r="T47" s="25">
        <f t="shared" si="48"/>
        <v>0.82003783080730641</v>
      </c>
      <c r="U47" s="25">
        <f t="shared" si="48"/>
        <v>0.84404264324735756</v>
      </c>
      <c r="V47" s="25">
        <f t="shared" si="48"/>
        <v>0.87353692238450353</v>
      </c>
      <c r="W47" s="25">
        <f t="shared" si="48"/>
        <v>0.89534439334844107</v>
      </c>
      <c r="X47" s="25">
        <f t="shared" si="48"/>
        <v>0.91727502785975223</v>
      </c>
      <c r="Y47" s="25">
        <f t="shared" si="48"/>
        <v>0.94020690355624592</v>
      </c>
      <c r="Z47" s="25">
        <f t="shared" si="48"/>
        <v>0.96371207614515186</v>
      </c>
      <c r="AA47" s="25">
        <f t="shared" si="48"/>
        <v>0.98780487804878059</v>
      </c>
      <c r="AB47" s="29">
        <f>1*(1+(AB$17/2))</f>
        <v>1.0125</v>
      </c>
    </row>
    <row r="49" spans="1:264" x14ac:dyDescent="0.2">
      <c r="B49" s="13">
        <f>MAX($A$6:B48)+0.1</f>
        <v>1.5000000000000004</v>
      </c>
      <c r="C49" s="13" t="s">
        <v>108</v>
      </c>
    </row>
    <row r="50" spans="1:264" x14ac:dyDescent="0.2">
      <c r="B50" s="13"/>
      <c r="C50" s="13"/>
    </row>
    <row r="51" spans="1:264" ht="15" x14ac:dyDescent="0.25">
      <c r="D51" s="32" t="s">
        <v>110</v>
      </c>
      <c r="P51" s="44"/>
      <c r="Q51" s="44"/>
      <c r="R51" s="44"/>
      <c r="S51" s="44"/>
      <c r="T51" s="44"/>
      <c r="U51" s="44"/>
      <c r="V51" s="43">
        <v>-4.706036335877517E-4</v>
      </c>
      <c r="W51" s="43">
        <v>5.8769456760539018E-3</v>
      </c>
      <c r="X51" s="43">
        <v>1.0216848401524148E-2</v>
      </c>
      <c r="Y51" s="43">
        <v>1.2226131480756575E-2</v>
      </c>
      <c r="Z51" s="43">
        <v>1.2909037766689835E-2</v>
      </c>
      <c r="AA51" s="45"/>
      <c r="AB51" s="45"/>
    </row>
    <row r="52" spans="1:264" ht="15" x14ac:dyDescent="0.25">
      <c r="D52" s="32" t="s">
        <v>111</v>
      </c>
      <c r="P52" s="44"/>
      <c r="Q52" s="44"/>
      <c r="R52" s="44"/>
      <c r="S52" s="44"/>
      <c r="T52" s="44"/>
      <c r="U52" s="44"/>
      <c r="V52" s="43">
        <v>1.0999999999999999E-2</v>
      </c>
      <c r="W52" s="43">
        <v>1.0999999999999999E-2</v>
      </c>
      <c r="X52" s="43">
        <v>8.0000000000000002E-3</v>
      </c>
      <c r="Y52" s="43">
        <v>6.0000000000000001E-3</v>
      </c>
      <c r="Z52" s="43">
        <v>8.0000000000000002E-3</v>
      </c>
      <c r="AA52" s="45"/>
      <c r="AB52" s="45"/>
    </row>
    <row r="53" spans="1:264" ht="15" x14ac:dyDescent="0.25">
      <c r="D53" s="32" t="s">
        <v>112</v>
      </c>
      <c r="P53" s="44"/>
      <c r="Q53" s="44"/>
      <c r="R53" s="44"/>
      <c r="S53" s="44"/>
      <c r="T53" s="44"/>
      <c r="U53" s="44"/>
      <c r="V53" s="43">
        <f>AVERAGE(V51:V52)</f>
        <v>5.2646981832061238E-3</v>
      </c>
      <c r="W53" s="43">
        <f t="shared" ref="W53:Z53" si="49">AVERAGE(W51:W52)</f>
        <v>8.4384728380269506E-3</v>
      </c>
      <c r="X53" s="43">
        <f t="shared" si="49"/>
        <v>9.108424200762074E-3</v>
      </c>
      <c r="Y53" s="43">
        <f t="shared" si="49"/>
        <v>9.1130657403782865E-3</v>
      </c>
      <c r="Z53" s="43">
        <f t="shared" si="49"/>
        <v>1.0454518883344917E-2</v>
      </c>
      <c r="AA53" s="45"/>
      <c r="AB53" s="45"/>
    </row>
    <row r="54" spans="1:264" ht="15" x14ac:dyDescent="0.25">
      <c r="D54" s="32" t="s">
        <v>113</v>
      </c>
      <c r="P54" s="44"/>
      <c r="Q54" s="44"/>
      <c r="R54" s="44"/>
      <c r="S54" s="44"/>
      <c r="T54" s="44"/>
      <c r="U54" s="44"/>
      <c r="V54" s="43">
        <v>0.59199999999999997</v>
      </c>
      <c r="W54" s="43">
        <v>0.59199999999999997</v>
      </c>
      <c r="X54" s="43">
        <v>0.59199999999999997</v>
      </c>
      <c r="Y54" s="43">
        <v>0.59199999999999997</v>
      </c>
      <c r="Z54" s="43">
        <v>0.59199999999999997</v>
      </c>
      <c r="AA54" s="45"/>
      <c r="AB54" s="45"/>
    </row>
    <row r="55" spans="1:264" x14ac:dyDescent="0.2">
      <c r="D55" s="32" t="s">
        <v>114</v>
      </c>
      <c r="P55" s="25">
        <v>1</v>
      </c>
      <c r="Q55" s="25">
        <v>1</v>
      </c>
      <c r="R55" s="25">
        <v>1</v>
      </c>
      <c r="S55" s="25">
        <v>1</v>
      </c>
      <c r="T55" s="25">
        <v>1</v>
      </c>
      <c r="U55" s="25">
        <v>1</v>
      </c>
      <c r="V55" s="25">
        <f>U55*(1+(V53*V54))</f>
        <v>1.003116701324458</v>
      </c>
      <c r="W55" s="25">
        <f t="shared" ref="W55:Z55" si="50">V55*(1+(W53*W54))</f>
        <v>1.0081278469626564</v>
      </c>
      <c r="X55" s="25">
        <f t="shared" si="50"/>
        <v>1.0135638609612687</v>
      </c>
      <c r="Y55" s="25">
        <f t="shared" si="50"/>
        <v>1.0190319720266996</v>
      </c>
      <c r="Z55" s="25">
        <f t="shared" si="50"/>
        <v>1.0253388375113166</v>
      </c>
      <c r="AA55" s="47"/>
      <c r="AB55" s="47"/>
    </row>
    <row r="58" spans="1:264" x14ac:dyDescent="0.2">
      <c r="A58" s="11" t="s">
        <v>21</v>
      </c>
      <c r="B58" s="1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  <c r="IV58" s="12"/>
      <c r="IW58" s="12"/>
      <c r="IX58" s="12"/>
      <c r="IY58" s="12"/>
      <c r="IZ58" s="12"/>
      <c r="JA58" s="12"/>
      <c r="JB58" s="12"/>
      <c r="JC58" s="12"/>
      <c r="JD58" s="12"/>
    </row>
  </sheetData>
  <pageMargins left="0.7" right="0.7" top="0.75" bottom="0.75" header="0.3" footer="0.3"/>
  <pageSetup paperSize="9" orientation="portrait" r:id="rId1"/>
  <ignoredErrors>
    <ignoredError sqref="Q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6C750-4B13-46FE-A84E-A459E31C7FDB}">
  <sheetPr codeName="Sheet2">
    <tabColor rgb="FFDA3289"/>
  </sheetPr>
  <dimension ref="A1:JA110"/>
  <sheetViews>
    <sheetView showGridLines="0" topLeftCell="A66" zoomScale="70" zoomScaleNormal="70" workbookViewId="0">
      <selection activeCell="P82" sqref="P82"/>
    </sheetView>
  </sheetViews>
  <sheetFormatPr defaultRowHeight="12.75" x14ac:dyDescent="0.2"/>
  <cols>
    <col min="1" max="3" width="4.5703125" customWidth="1"/>
    <col min="4" max="4" width="35.28515625" customWidth="1"/>
    <col min="5" max="5" width="10.42578125" customWidth="1"/>
    <col min="6" max="7" width="17.85546875" customWidth="1"/>
    <col min="8" max="8" width="0.85546875" customWidth="1"/>
    <col min="10" max="10" width="0.85546875" customWidth="1"/>
    <col min="13" max="13" width="0.85546875" customWidth="1"/>
    <col min="15" max="15" width="0.85546875" customWidth="1"/>
    <col min="16" max="18" width="12.5703125" customWidth="1"/>
    <col min="19" max="20" width="13.42578125" bestFit="1" customWidth="1"/>
    <col min="21" max="25" width="12.5703125" customWidth="1"/>
    <col min="26" max="135" width="12.28515625" customWidth="1"/>
  </cols>
  <sheetData>
    <row r="1" spans="1:26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 t="s">
        <v>22</v>
      </c>
      <c r="P2" s="4">
        <v>1</v>
      </c>
      <c r="Q2" s="4">
        <v>2</v>
      </c>
      <c r="R2" s="4">
        <v>3</v>
      </c>
      <c r="S2" s="4">
        <v>4</v>
      </c>
      <c r="T2" s="4">
        <v>5</v>
      </c>
      <c r="U2" s="4">
        <v>6</v>
      </c>
      <c r="V2" s="4">
        <v>7</v>
      </c>
      <c r="W2" s="4">
        <v>8</v>
      </c>
      <c r="X2" s="4">
        <v>9</v>
      </c>
      <c r="Y2" s="4">
        <v>10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</row>
    <row r="3" spans="1:26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 t="s">
        <v>23</v>
      </c>
      <c r="P3" s="5">
        <v>44378</v>
      </c>
      <c r="Q3" s="5">
        <f>DATE(YEAR(P3)+1,MONTH(P3),DAY(P3))</f>
        <v>44743</v>
      </c>
      <c r="R3" s="5">
        <f t="shared" ref="R3:Y3" si="0">DATE(YEAR(Q3)+1,MONTH(Q3),DAY(Q3))</f>
        <v>45108</v>
      </c>
      <c r="S3" s="5">
        <f t="shared" si="0"/>
        <v>45474</v>
      </c>
      <c r="T3" s="5">
        <f t="shared" si="0"/>
        <v>45839</v>
      </c>
      <c r="U3" s="5">
        <f t="shared" si="0"/>
        <v>46204</v>
      </c>
      <c r="V3" s="5">
        <f t="shared" si="0"/>
        <v>46569</v>
      </c>
      <c r="W3" s="5">
        <f t="shared" si="0"/>
        <v>46935</v>
      </c>
      <c r="X3" s="5">
        <f t="shared" si="0"/>
        <v>47300</v>
      </c>
      <c r="Y3" s="5">
        <f t="shared" si="0"/>
        <v>47665</v>
      </c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</row>
    <row r="4" spans="1:26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 t="s">
        <v>24</v>
      </c>
      <c r="P4" s="5">
        <v>44742</v>
      </c>
      <c r="Q4" s="5">
        <f>DATE(YEAR(P4)+1,MONTH(P4),DAY(P4))</f>
        <v>45107</v>
      </c>
      <c r="R4" s="5">
        <f t="shared" ref="R4:Y4" si="1">DATE(YEAR(Q4)+1,MONTH(Q4),DAY(Q4))</f>
        <v>45473</v>
      </c>
      <c r="S4" s="5">
        <f t="shared" si="1"/>
        <v>45838</v>
      </c>
      <c r="T4" s="5">
        <f t="shared" si="1"/>
        <v>46203</v>
      </c>
      <c r="U4" s="5">
        <f t="shared" si="1"/>
        <v>46568</v>
      </c>
      <c r="V4" s="5">
        <f t="shared" si="1"/>
        <v>46934</v>
      </c>
      <c r="W4" s="5">
        <f t="shared" si="1"/>
        <v>47299</v>
      </c>
      <c r="X4" s="5">
        <f t="shared" si="1"/>
        <v>47664</v>
      </c>
      <c r="Y4" s="5">
        <f t="shared" si="1"/>
        <v>48029</v>
      </c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</row>
    <row r="5" spans="1:26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 t="s">
        <v>25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</row>
    <row r="6" spans="1:261" ht="13.5" thickBo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 t="s">
        <v>39</v>
      </c>
      <c r="P6" s="9">
        <v>365</v>
      </c>
      <c r="Q6" s="9">
        <v>365</v>
      </c>
      <c r="R6" s="9">
        <v>366</v>
      </c>
      <c r="S6" s="9">
        <v>365</v>
      </c>
      <c r="T6" s="9">
        <v>365</v>
      </c>
      <c r="U6" s="9">
        <v>365</v>
      </c>
      <c r="V6" s="9">
        <v>366</v>
      </c>
      <c r="W6" s="9">
        <v>365</v>
      </c>
      <c r="X6" s="9">
        <v>365</v>
      </c>
      <c r="Y6" s="9">
        <v>365</v>
      </c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</row>
    <row r="8" spans="1:261" x14ac:dyDescent="0.2">
      <c r="A8" s="11">
        <f>MAX($A$7:A7)+1</f>
        <v>1</v>
      </c>
      <c r="B8" s="11" t="s">
        <v>48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</row>
    <row r="10" spans="1:261" x14ac:dyDescent="0.2">
      <c r="B10" s="13">
        <f>MAX($A$7:B9)+0.1</f>
        <v>1.1000000000000001</v>
      </c>
      <c r="C10" s="13" t="s">
        <v>49</v>
      </c>
    </row>
    <row r="12" spans="1:261" x14ac:dyDescent="0.2">
      <c r="D12" t="s">
        <v>50</v>
      </c>
      <c r="E12" s="14" t="s">
        <v>51</v>
      </c>
      <c r="F12" t="s">
        <v>52</v>
      </c>
      <c r="P12" s="26">
        <v>814355.51000000013</v>
      </c>
      <c r="Q12" s="26">
        <v>679631.71999999962</v>
      </c>
      <c r="R12" s="26">
        <v>720254.58999999939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</row>
    <row r="13" spans="1:261" x14ac:dyDescent="0.2">
      <c r="D13" t="s">
        <v>50</v>
      </c>
      <c r="E13" s="14" t="s">
        <v>51</v>
      </c>
      <c r="F13" t="s">
        <v>53</v>
      </c>
      <c r="P13" s="26">
        <v>966774.72999999975</v>
      </c>
      <c r="Q13" s="26">
        <v>671709.10999999987</v>
      </c>
      <c r="R13" s="26">
        <v>222341.8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</row>
    <row r="14" spans="1:261" x14ac:dyDescent="0.2">
      <c r="D14" t="s">
        <v>50</v>
      </c>
      <c r="E14" s="14" t="s">
        <v>51</v>
      </c>
      <c r="F14" t="s">
        <v>54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</row>
    <row r="15" spans="1:261" x14ac:dyDescent="0.2">
      <c r="D15" t="s">
        <v>55</v>
      </c>
      <c r="E15" s="14" t="s">
        <v>51</v>
      </c>
      <c r="F15" t="s">
        <v>52</v>
      </c>
      <c r="P15" s="26">
        <v>359745.45000000007</v>
      </c>
      <c r="Q15" s="26">
        <v>753670.80999999994</v>
      </c>
      <c r="R15" s="26">
        <v>1157205.9999999981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</row>
    <row r="16" spans="1:261" x14ac:dyDescent="0.2">
      <c r="D16" t="s">
        <v>55</v>
      </c>
      <c r="E16" s="14" t="s">
        <v>51</v>
      </c>
      <c r="F16" t="s">
        <v>53</v>
      </c>
      <c r="P16" s="26">
        <v>1716709.7400000007</v>
      </c>
      <c r="Q16" s="26">
        <v>1494865.4699999997</v>
      </c>
      <c r="R16" s="26">
        <v>1150608.4100000001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</row>
    <row r="17" spans="4:25" x14ac:dyDescent="0.2">
      <c r="D17" t="s">
        <v>55</v>
      </c>
      <c r="E17" s="14" t="s">
        <v>51</v>
      </c>
      <c r="F17" t="s">
        <v>54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</row>
    <row r="18" spans="4:25" x14ac:dyDescent="0.2">
      <c r="D18" t="s">
        <v>56</v>
      </c>
      <c r="E18" s="14" t="s">
        <v>51</v>
      </c>
      <c r="F18" t="s">
        <v>52</v>
      </c>
      <c r="P18" s="26">
        <v>224990.55000000002</v>
      </c>
      <c r="Q18" s="26">
        <v>412097.5300000002</v>
      </c>
      <c r="R18" s="26">
        <v>386655.30000000034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</row>
    <row r="19" spans="4:25" x14ac:dyDescent="0.2">
      <c r="D19" t="s">
        <v>56</v>
      </c>
      <c r="E19" s="14" t="s">
        <v>51</v>
      </c>
      <c r="F19" t="s">
        <v>53</v>
      </c>
      <c r="P19" s="26">
        <v>3496264.9599999995</v>
      </c>
      <c r="Q19" s="26">
        <v>4557695.24</v>
      </c>
      <c r="R19" s="26">
        <v>1761271.34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</row>
    <row r="20" spans="4:25" x14ac:dyDescent="0.2">
      <c r="D20" t="s">
        <v>56</v>
      </c>
      <c r="E20" s="14" t="s">
        <v>51</v>
      </c>
      <c r="F20" t="s">
        <v>54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</row>
    <row r="21" spans="4:25" x14ac:dyDescent="0.2">
      <c r="D21" t="s">
        <v>57</v>
      </c>
      <c r="E21" s="14" t="s">
        <v>51</v>
      </c>
      <c r="F21" t="s">
        <v>52</v>
      </c>
      <c r="P21" s="26">
        <v>795537.29</v>
      </c>
      <c r="Q21" s="26">
        <v>1155655.4099999995</v>
      </c>
      <c r="R21" s="26">
        <v>1046146.8800000002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</row>
    <row r="22" spans="4:25" x14ac:dyDescent="0.2">
      <c r="D22" t="s">
        <v>57</v>
      </c>
      <c r="E22" s="14" t="s">
        <v>51</v>
      </c>
      <c r="F22" t="s">
        <v>53</v>
      </c>
      <c r="P22" s="26">
        <v>437923.51</v>
      </c>
      <c r="Q22" s="26">
        <v>1571580.48</v>
      </c>
      <c r="R22" s="26">
        <v>1892020.0299999998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</row>
    <row r="23" spans="4:25" x14ac:dyDescent="0.2">
      <c r="D23" t="s">
        <v>57</v>
      </c>
      <c r="E23" s="14" t="s">
        <v>51</v>
      </c>
      <c r="F23" t="s">
        <v>54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</row>
    <row r="24" spans="4:25" x14ac:dyDescent="0.2">
      <c r="D24" t="s">
        <v>58</v>
      </c>
      <c r="E24" s="14" t="s">
        <v>51</v>
      </c>
      <c r="F24" t="s">
        <v>52</v>
      </c>
      <c r="P24" s="26">
        <v>984581.5400000005</v>
      </c>
      <c r="Q24" s="26">
        <v>753643.67999999982</v>
      </c>
      <c r="R24" s="26">
        <v>620231.84999999986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</row>
    <row r="25" spans="4:25" x14ac:dyDescent="0.2">
      <c r="D25" t="s">
        <v>58</v>
      </c>
      <c r="E25" s="14" t="s">
        <v>51</v>
      </c>
      <c r="F25" t="s">
        <v>53</v>
      </c>
      <c r="P25" s="26">
        <v>3078757.4000000004</v>
      </c>
      <c r="Q25" s="26">
        <v>2529465.4400000004</v>
      </c>
      <c r="R25" s="26">
        <v>929236.0900000002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</row>
    <row r="26" spans="4:25" x14ac:dyDescent="0.2">
      <c r="D26" t="s">
        <v>58</v>
      </c>
      <c r="E26" s="14" t="s">
        <v>51</v>
      </c>
      <c r="F26" t="s">
        <v>54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</row>
    <row r="27" spans="4:25" x14ac:dyDescent="0.2">
      <c r="D27" t="s">
        <v>59</v>
      </c>
      <c r="E27" s="14" t="s">
        <v>51</v>
      </c>
      <c r="F27" t="s">
        <v>52</v>
      </c>
      <c r="P27" s="26">
        <v>2188010.7599999998</v>
      </c>
      <c r="Q27" s="26">
        <v>2599881.9099999997</v>
      </c>
      <c r="R27" s="26">
        <v>1648302.6499999994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</row>
    <row r="28" spans="4:25" x14ac:dyDescent="0.2">
      <c r="D28" t="s">
        <v>59</v>
      </c>
      <c r="E28" s="14" t="s">
        <v>51</v>
      </c>
      <c r="F28" t="s">
        <v>53</v>
      </c>
      <c r="P28" s="26">
        <v>1118727.19</v>
      </c>
      <c r="Q28" s="26">
        <v>2015295.3300000003</v>
      </c>
      <c r="R28" s="26">
        <v>2417411.5200000005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</row>
    <row r="29" spans="4:25" x14ac:dyDescent="0.2">
      <c r="D29" t="s">
        <v>59</v>
      </c>
      <c r="E29" s="14" t="s">
        <v>51</v>
      </c>
      <c r="F29" t="s">
        <v>54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</row>
    <row r="30" spans="4:25" x14ac:dyDescent="0.2">
      <c r="D30" t="s">
        <v>60</v>
      </c>
      <c r="E30" s="14" t="s">
        <v>51</v>
      </c>
      <c r="F30" t="s">
        <v>52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</row>
    <row r="31" spans="4:25" x14ac:dyDescent="0.2">
      <c r="D31" t="s">
        <v>60</v>
      </c>
      <c r="E31" s="14" t="s">
        <v>51</v>
      </c>
      <c r="F31" t="s">
        <v>53</v>
      </c>
      <c r="P31" s="26">
        <v>0</v>
      </c>
      <c r="Q31" s="26">
        <v>0</v>
      </c>
      <c r="R31" s="26">
        <v>295782.05000000005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</row>
    <row r="32" spans="4:25" x14ac:dyDescent="0.2">
      <c r="D32" t="s">
        <v>60</v>
      </c>
      <c r="E32" s="14" t="s">
        <v>51</v>
      </c>
      <c r="F32" t="s">
        <v>54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</row>
    <row r="34" spans="2:25" x14ac:dyDescent="0.2">
      <c r="B34" s="13">
        <f>MAX($A$7:B33)+0.1</f>
        <v>1.2000000000000002</v>
      </c>
      <c r="C34" s="13" t="s">
        <v>61</v>
      </c>
    </row>
    <row r="36" spans="2:25" x14ac:dyDescent="0.2">
      <c r="D36" t="s">
        <v>50</v>
      </c>
      <c r="E36" s="14" t="s">
        <v>51</v>
      </c>
      <c r="F36" t="s">
        <v>52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</row>
    <row r="37" spans="2:25" x14ac:dyDescent="0.2">
      <c r="D37" t="s">
        <v>50</v>
      </c>
      <c r="E37" s="14" t="s">
        <v>51</v>
      </c>
      <c r="F37" t="s">
        <v>53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</row>
    <row r="38" spans="2:25" x14ac:dyDescent="0.2">
      <c r="D38" t="s">
        <v>50</v>
      </c>
      <c r="E38" s="14" t="s">
        <v>51</v>
      </c>
      <c r="F38" t="s">
        <v>54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</row>
    <row r="39" spans="2:25" x14ac:dyDescent="0.2">
      <c r="D39" t="s">
        <v>55</v>
      </c>
      <c r="E39" s="14" t="s">
        <v>51</v>
      </c>
      <c r="F39" t="s">
        <v>52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</row>
    <row r="40" spans="2:25" x14ac:dyDescent="0.2">
      <c r="D40" t="s">
        <v>55</v>
      </c>
      <c r="E40" s="14" t="s">
        <v>51</v>
      </c>
      <c r="F40" t="s">
        <v>53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</row>
    <row r="41" spans="2:25" x14ac:dyDescent="0.2">
      <c r="D41" t="s">
        <v>55</v>
      </c>
      <c r="E41" s="14" t="s">
        <v>51</v>
      </c>
      <c r="F41" t="s">
        <v>54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</row>
    <row r="42" spans="2:25" x14ac:dyDescent="0.2">
      <c r="D42" t="s">
        <v>56</v>
      </c>
      <c r="E42" s="14" t="s">
        <v>51</v>
      </c>
      <c r="F42" t="s">
        <v>52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</row>
    <row r="43" spans="2:25" x14ac:dyDescent="0.2">
      <c r="D43" t="s">
        <v>56</v>
      </c>
      <c r="E43" s="14" t="s">
        <v>51</v>
      </c>
      <c r="F43" t="s">
        <v>53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</row>
    <row r="44" spans="2:25" x14ac:dyDescent="0.2">
      <c r="D44" t="s">
        <v>56</v>
      </c>
      <c r="E44" s="14" t="s">
        <v>51</v>
      </c>
      <c r="F44" t="s">
        <v>54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</row>
    <row r="45" spans="2:25" x14ac:dyDescent="0.2">
      <c r="D45" t="s">
        <v>57</v>
      </c>
      <c r="E45" s="14" t="s">
        <v>51</v>
      </c>
      <c r="F45" t="s">
        <v>52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</row>
    <row r="46" spans="2:25" x14ac:dyDescent="0.2">
      <c r="D46" t="s">
        <v>57</v>
      </c>
      <c r="E46" s="14" t="s">
        <v>51</v>
      </c>
      <c r="F46" t="s">
        <v>53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</row>
    <row r="47" spans="2:25" x14ac:dyDescent="0.2">
      <c r="D47" t="s">
        <v>57</v>
      </c>
      <c r="E47" s="14" t="s">
        <v>51</v>
      </c>
      <c r="F47" t="s">
        <v>54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</row>
    <row r="48" spans="2:25" x14ac:dyDescent="0.2">
      <c r="D48" t="s">
        <v>58</v>
      </c>
      <c r="E48" s="14" t="s">
        <v>51</v>
      </c>
      <c r="F48" t="s">
        <v>52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</row>
    <row r="49" spans="4:25" x14ac:dyDescent="0.2">
      <c r="D49" t="s">
        <v>58</v>
      </c>
      <c r="E49" s="14" t="s">
        <v>51</v>
      </c>
      <c r="F49" t="s">
        <v>53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</row>
    <row r="50" spans="4:25" x14ac:dyDescent="0.2">
      <c r="D50" t="s">
        <v>58</v>
      </c>
      <c r="E50" s="14" t="s">
        <v>51</v>
      </c>
      <c r="F50" t="s">
        <v>54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</row>
    <row r="51" spans="4:25" x14ac:dyDescent="0.2">
      <c r="D51" t="s">
        <v>59</v>
      </c>
      <c r="E51" s="14" t="s">
        <v>51</v>
      </c>
      <c r="F51" t="s">
        <v>52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</row>
    <row r="52" spans="4:25" x14ac:dyDescent="0.2">
      <c r="D52" t="s">
        <v>59</v>
      </c>
      <c r="E52" s="14" t="s">
        <v>51</v>
      </c>
      <c r="F52" t="s">
        <v>53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</row>
    <row r="53" spans="4:25" x14ac:dyDescent="0.2">
      <c r="D53" t="s">
        <v>59</v>
      </c>
      <c r="E53" s="14" t="s">
        <v>51</v>
      </c>
      <c r="F53" t="s">
        <v>54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</row>
    <row r="54" spans="4:25" x14ac:dyDescent="0.2">
      <c r="D54" t="s">
        <v>60</v>
      </c>
      <c r="E54" s="14" t="s">
        <v>51</v>
      </c>
      <c r="F54" t="s">
        <v>52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</row>
    <row r="55" spans="4:25" x14ac:dyDescent="0.2">
      <c r="D55" t="s">
        <v>60</v>
      </c>
      <c r="E55" s="14" t="s">
        <v>51</v>
      </c>
      <c r="F55" t="s">
        <v>53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</row>
    <row r="56" spans="4:25" x14ac:dyDescent="0.2">
      <c r="D56" t="s">
        <v>60</v>
      </c>
      <c r="E56" s="14" t="s">
        <v>51</v>
      </c>
      <c r="F56" t="s">
        <v>54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</row>
    <row r="58" spans="4:25" x14ac:dyDescent="0.2">
      <c r="D58" t="s">
        <v>50</v>
      </c>
      <c r="E58" s="14" t="s">
        <v>62</v>
      </c>
      <c r="F58" t="s">
        <v>52</v>
      </c>
      <c r="P58" s="30">
        <v>0</v>
      </c>
      <c r="Q58" s="30">
        <v>0</v>
      </c>
      <c r="R58" s="30">
        <v>0</v>
      </c>
      <c r="S58" s="30">
        <v>760037.39797124988</v>
      </c>
      <c r="T58" s="30">
        <v>475917.69432666659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</row>
    <row r="59" spans="4:25" x14ac:dyDescent="0.2">
      <c r="D59" t="s">
        <v>50</v>
      </c>
      <c r="E59" s="14" t="s">
        <v>62</v>
      </c>
      <c r="F59" t="s">
        <v>53</v>
      </c>
      <c r="P59" s="30">
        <v>0</v>
      </c>
      <c r="Q59" s="30">
        <v>0</v>
      </c>
      <c r="R59" s="30">
        <v>0</v>
      </c>
      <c r="S59" s="30">
        <v>634658.39999999991</v>
      </c>
      <c r="T59" s="30">
        <v>423105.60000000003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</row>
    <row r="60" spans="4:25" x14ac:dyDescent="0.2">
      <c r="D60" t="s">
        <v>50</v>
      </c>
      <c r="E60" s="14" t="s">
        <v>62</v>
      </c>
      <c r="F60" t="s">
        <v>54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</row>
    <row r="61" spans="4:25" x14ac:dyDescent="0.2">
      <c r="D61" t="s">
        <v>55</v>
      </c>
      <c r="E61" s="14" t="s">
        <v>62</v>
      </c>
      <c r="F61" t="s">
        <v>52</v>
      </c>
      <c r="P61" s="30">
        <v>0</v>
      </c>
      <c r="Q61" s="30">
        <v>0</v>
      </c>
      <c r="R61" s="30">
        <v>0</v>
      </c>
      <c r="S61" s="30">
        <v>1307753.3112080004</v>
      </c>
      <c r="T61" s="30">
        <v>748662.41775333334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</row>
    <row r="62" spans="4:25" x14ac:dyDescent="0.2">
      <c r="D62" t="s">
        <v>55</v>
      </c>
      <c r="E62" s="14" t="s">
        <v>62</v>
      </c>
      <c r="F62" t="s">
        <v>53</v>
      </c>
      <c r="P62" s="30">
        <v>0</v>
      </c>
      <c r="Q62" s="30">
        <v>0</v>
      </c>
      <c r="R62" s="30">
        <v>0</v>
      </c>
      <c r="S62" s="30">
        <v>4593280.9579999996</v>
      </c>
      <c r="T62" s="30">
        <v>2892961.4719999996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</row>
    <row r="63" spans="4:25" x14ac:dyDescent="0.2">
      <c r="D63" t="s">
        <v>55</v>
      </c>
      <c r="E63" s="14" t="s">
        <v>62</v>
      </c>
      <c r="F63" t="s">
        <v>54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</row>
    <row r="64" spans="4:25" x14ac:dyDescent="0.2">
      <c r="D64" t="s">
        <v>56</v>
      </c>
      <c r="E64" s="14" t="s">
        <v>62</v>
      </c>
      <c r="F64" t="s">
        <v>52</v>
      </c>
      <c r="P64" s="30">
        <v>0</v>
      </c>
      <c r="Q64" s="30">
        <v>0</v>
      </c>
      <c r="R64" s="30">
        <v>0</v>
      </c>
      <c r="S64" s="30">
        <v>642084.90950000007</v>
      </c>
      <c r="T64" s="30">
        <v>396964.84866666666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</row>
    <row r="65" spans="2:25" x14ac:dyDescent="0.2">
      <c r="D65" t="s">
        <v>56</v>
      </c>
      <c r="E65" s="14" t="s">
        <v>62</v>
      </c>
      <c r="F65" t="s">
        <v>53</v>
      </c>
      <c r="P65" s="30">
        <v>0</v>
      </c>
      <c r="Q65" s="30">
        <v>0</v>
      </c>
      <c r="R65" s="30">
        <v>0</v>
      </c>
      <c r="S65" s="30">
        <v>2225085.0525052142</v>
      </c>
      <c r="T65" s="30">
        <v>333501.05749478634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</row>
    <row r="66" spans="2:25" x14ac:dyDescent="0.2">
      <c r="D66" t="s">
        <v>56</v>
      </c>
      <c r="E66" s="14" t="s">
        <v>62</v>
      </c>
      <c r="F66" t="s">
        <v>54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</row>
    <row r="67" spans="2:25" x14ac:dyDescent="0.2">
      <c r="D67" t="s">
        <v>57</v>
      </c>
      <c r="E67" s="14" t="s">
        <v>62</v>
      </c>
      <c r="F67" t="s">
        <v>52</v>
      </c>
      <c r="P67" s="30">
        <v>0</v>
      </c>
      <c r="Q67" s="30">
        <v>0</v>
      </c>
      <c r="R67" s="30">
        <v>0</v>
      </c>
      <c r="S67" s="30">
        <v>1561090.2933103335</v>
      </c>
      <c r="T67" s="30">
        <v>862617.26240374986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</row>
    <row r="68" spans="2:25" x14ac:dyDescent="0.2">
      <c r="D68" t="s">
        <v>57</v>
      </c>
      <c r="E68" s="14" t="s">
        <v>62</v>
      </c>
      <c r="F68" t="s">
        <v>53</v>
      </c>
      <c r="P68" s="30">
        <v>0</v>
      </c>
      <c r="Q68" s="30">
        <v>0</v>
      </c>
      <c r="R68" s="30">
        <v>0</v>
      </c>
      <c r="S68" s="30">
        <v>2136144.1</v>
      </c>
      <c r="T68" s="30">
        <v>94598.400000000009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</row>
    <row r="69" spans="2:25" x14ac:dyDescent="0.2">
      <c r="D69" t="s">
        <v>57</v>
      </c>
      <c r="E69" s="14" t="s">
        <v>62</v>
      </c>
      <c r="F69" t="s">
        <v>54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</row>
    <row r="70" spans="2:25" x14ac:dyDescent="0.2">
      <c r="D70" t="s">
        <v>58</v>
      </c>
      <c r="E70" s="14" t="s">
        <v>62</v>
      </c>
      <c r="F70" t="s">
        <v>52</v>
      </c>
      <c r="P70" s="30">
        <v>0</v>
      </c>
      <c r="Q70" s="30">
        <v>0</v>
      </c>
      <c r="R70" s="30">
        <v>0</v>
      </c>
      <c r="S70" s="30">
        <v>1277647.6497773749</v>
      </c>
      <c r="T70" s="30">
        <v>937412.6997995167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</row>
    <row r="71" spans="2:25" x14ac:dyDescent="0.2">
      <c r="D71" t="s">
        <v>58</v>
      </c>
      <c r="E71" s="14" t="s">
        <v>62</v>
      </c>
      <c r="F71" t="s">
        <v>53</v>
      </c>
      <c r="P71" s="30">
        <v>0</v>
      </c>
      <c r="Q71" s="30">
        <v>0</v>
      </c>
      <c r="R71" s="30">
        <v>0</v>
      </c>
      <c r="S71" s="30">
        <v>1499928.3980000003</v>
      </c>
      <c r="T71" s="30">
        <v>167830.932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</row>
    <row r="72" spans="2:25" x14ac:dyDescent="0.2">
      <c r="D72" t="s">
        <v>58</v>
      </c>
      <c r="E72" s="14" t="s">
        <v>62</v>
      </c>
      <c r="F72" t="s">
        <v>54</v>
      </c>
      <c r="P72" s="30">
        <v>0</v>
      </c>
      <c r="Q72" s="30">
        <v>0</v>
      </c>
      <c r="R72" s="30">
        <v>0</v>
      </c>
      <c r="S72" s="30">
        <v>41273166.967442118</v>
      </c>
      <c r="T72" s="30">
        <v>37850752.668848574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</row>
    <row r="73" spans="2:25" x14ac:dyDescent="0.2">
      <c r="D73" t="s">
        <v>59</v>
      </c>
      <c r="E73" s="14" t="s">
        <v>62</v>
      </c>
      <c r="F73" t="s">
        <v>52</v>
      </c>
      <c r="P73" s="30">
        <v>0</v>
      </c>
      <c r="Q73" s="30">
        <v>0</v>
      </c>
      <c r="R73" s="30">
        <v>0</v>
      </c>
      <c r="S73" s="30">
        <v>3615387.7039499995</v>
      </c>
      <c r="T73" s="30">
        <v>2681866.1370564825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</row>
    <row r="74" spans="2:25" x14ac:dyDescent="0.2">
      <c r="D74" t="s">
        <v>59</v>
      </c>
      <c r="E74" s="14" t="s">
        <v>62</v>
      </c>
      <c r="F74" t="s">
        <v>53</v>
      </c>
      <c r="P74" s="30">
        <v>0</v>
      </c>
      <c r="Q74" s="30">
        <v>0</v>
      </c>
      <c r="R74" s="30">
        <v>0</v>
      </c>
      <c r="S74" s="30">
        <v>2622091.1893333332</v>
      </c>
      <c r="T74" s="30">
        <v>1295495.2443333333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</row>
    <row r="75" spans="2:25" x14ac:dyDescent="0.2">
      <c r="D75" t="s">
        <v>59</v>
      </c>
      <c r="E75" s="14" t="s">
        <v>62</v>
      </c>
      <c r="F75" t="s">
        <v>54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</row>
    <row r="76" spans="2:25" x14ac:dyDescent="0.2">
      <c r="D76" t="s">
        <v>60</v>
      </c>
      <c r="E76" s="14" t="s">
        <v>62</v>
      </c>
      <c r="F76" t="s">
        <v>52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</row>
    <row r="77" spans="2:25" x14ac:dyDescent="0.2">
      <c r="D77" t="s">
        <v>60</v>
      </c>
      <c r="E77" s="14" t="s">
        <v>62</v>
      </c>
      <c r="F77" t="s">
        <v>53</v>
      </c>
      <c r="P77" s="30">
        <v>0</v>
      </c>
      <c r="Q77" s="30">
        <v>0</v>
      </c>
      <c r="R77" s="30">
        <v>0</v>
      </c>
      <c r="S77" s="30">
        <v>588417.94999999995</v>
      </c>
      <c r="T77" s="30">
        <v>40000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</row>
    <row r="78" spans="2:25" x14ac:dyDescent="0.2">
      <c r="D78" t="s">
        <v>60</v>
      </c>
      <c r="E78" s="14" t="s">
        <v>62</v>
      </c>
      <c r="F78" t="s">
        <v>54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</row>
    <row r="79" spans="2:25" x14ac:dyDescent="0.2">
      <c r="E79" s="14"/>
    </row>
    <row r="80" spans="2:25" x14ac:dyDescent="0.2">
      <c r="B80" s="13">
        <f>MAX($A$7:B79)+0.1</f>
        <v>1.3000000000000003</v>
      </c>
      <c r="C80" s="13" t="s">
        <v>105</v>
      </c>
      <c r="E80" s="14"/>
    </row>
    <row r="81" spans="2:25" x14ac:dyDescent="0.2">
      <c r="E81" s="14"/>
    </row>
    <row r="82" spans="2:25" x14ac:dyDescent="0.2">
      <c r="D82" t="s">
        <v>106</v>
      </c>
      <c r="E82" s="14" t="s">
        <v>51</v>
      </c>
      <c r="F82" t="s">
        <v>105</v>
      </c>
      <c r="P82" s="30">
        <v>-3942838</v>
      </c>
      <c r="Q82" s="30">
        <v>-1119000</v>
      </c>
      <c r="R82" s="30">
        <v>-9511500</v>
      </c>
      <c r="S82" s="30">
        <v>0</v>
      </c>
      <c r="T82" s="30">
        <v>0</v>
      </c>
      <c r="U82" s="30"/>
      <c r="V82" s="30"/>
      <c r="W82" s="30"/>
      <c r="X82" s="30"/>
      <c r="Y82" s="30"/>
    </row>
    <row r="83" spans="2:25" x14ac:dyDescent="0.2">
      <c r="E83" s="14"/>
    </row>
    <row r="84" spans="2:25" x14ac:dyDescent="0.2">
      <c r="B84" s="13">
        <f>MAX($A$7:B83)+0.1</f>
        <v>1.4000000000000004</v>
      </c>
      <c r="C84" s="13" t="s">
        <v>107</v>
      </c>
      <c r="E84" s="14"/>
    </row>
    <row r="85" spans="2:25" x14ac:dyDescent="0.2">
      <c r="E85" s="14"/>
    </row>
    <row r="86" spans="2:25" x14ac:dyDescent="0.2">
      <c r="D86" t="s">
        <v>50</v>
      </c>
      <c r="E86" s="14" t="s">
        <v>51</v>
      </c>
      <c r="F86" t="s">
        <v>52</v>
      </c>
      <c r="P86" s="25">
        <f>P$82*(SUM(P12,P36)/SUM(P$12:P$56))</f>
        <v>-198417.79281970617</v>
      </c>
      <c r="Q86" s="25">
        <f t="shared" ref="Q86:R86" si="2">Q$82*(SUM(Q12,Q36)/SUM(Q$12:Q$56))</f>
        <v>-39619.707348039941</v>
      </c>
      <c r="R86" s="25">
        <f t="shared" si="2"/>
        <v>-480836.40458490088</v>
      </c>
      <c r="S86" s="25"/>
      <c r="T86" s="25"/>
      <c r="U86" s="25"/>
      <c r="V86" s="25"/>
      <c r="W86" s="25"/>
      <c r="X86" s="25"/>
      <c r="Y86" s="25"/>
    </row>
    <row r="87" spans="2:25" x14ac:dyDescent="0.2">
      <c r="D87" t="s">
        <v>50</v>
      </c>
      <c r="E87" s="14" t="s">
        <v>51</v>
      </c>
      <c r="F87" t="s">
        <v>53</v>
      </c>
      <c r="P87" s="25">
        <f t="shared" ref="P87:R106" si="3">P$82*(SUM(P13,P37)/SUM(P$12:P$56))</f>
        <v>-235554.74939988714</v>
      </c>
      <c r="Q87" s="25">
        <f t="shared" si="3"/>
        <v>-39157.852080848104</v>
      </c>
      <c r="R87" s="25">
        <f t="shared" si="3"/>
        <v>-148433.66940700123</v>
      </c>
      <c r="S87" s="25"/>
      <c r="T87" s="25"/>
      <c r="U87" s="25"/>
      <c r="V87" s="25"/>
      <c r="W87" s="25"/>
      <c r="X87" s="25"/>
      <c r="Y87" s="25"/>
    </row>
    <row r="88" spans="2:25" x14ac:dyDescent="0.2">
      <c r="D88" t="s">
        <v>50</v>
      </c>
      <c r="E88" s="14" t="s">
        <v>51</v>
      </c>
      <c r="F88" t="s">
        <v>54</v>
      </c>
      <c r="P88" s="25">
        <f t="shared" si="3"/>
        <v>0</v>
      </c>
      <c r="Q88" s="25">
        <f t="shared" si="3"/>
        <v>0</v>
      </c>
      <c r="R88" s="25">
        <f t="shared" si="3"/>
        <v>0</v>
      </c>
      <c r="S88" s="25"/>
      <c r="T88" s="25"/>
      <c r="U88" s="25"/>
      <c r="V88" s="25"/>
      <c r="W88" s="25"/>
      <c r="X88" s="25"/>
      <c r="Y88" s="25"/>
    </row>
    <row r="89" spans="2:25" x14ac:dyDescent="0.2">
      <c r="D89" t="s">
        <v>55</v>
      </c>
      <c r="E89" s="14" t="s">
        <v>51</v>
      </c>
      <c r="F89" t="s">
        <v>52</v>
      </c>
      <c r="P89" s="25">
        <f t="shared" si="3"/>
        <v>-87652.011055874071</v>
      </c>
      <c r="Q89" s="25">
        <f t="shared" si="3"/>
        <v>-43935.878874164722</v>
      </c>
      <c r="R89" s="25">
        <f t="shared" si="3"/>
        <v>-772541.7930402559</v>
      </c>
      <c r="S89" s="25"/>
      <c r="T89" s="25"/>
      <c r="U89" s="25"/>
      <c r="V89" s="25"/>
      <c r="W89" s="25"/>
      <c r="X89" s="25"/>
      <c r="Y89" s="25"/>
    </row>
    <row r="90" spans="2:25" x14ac:dyDescent="0.2">
      <c r="D90" t="s">
        <v>55</v>
      </c>
      <c r="E90" s="14" t="s">
        <v>51</v>
      </c>
      <c r="F90" t="s">
        <v>53</v>
      </c>
      <c r="P90" s="25">
        <f t="shared" si="3"/>
        <v>-418276.48163501924</v>
      </c>
      <c r="Q90" s="25">
        <f t="shared" si="3"/>
        <v>-87144.450006085957</v>
      </c>
      <c r="R90" s="25">
        <f t="shared" si="3"/>
        <v>-768137.2928835483</v>
      </c>
      <c r="S90" s="25"/>
      <c r="T90" s="25"/>
      <c r="U90" s="25"/>
      <c r="V90" s="25"/>
      <c r="W90" s="25"/>
      <c r="X90" s="25"/>
      <c r="Y90" s="25"/>
    </row>
    <row r="91" spans="2:25" x14ac:dyDescent="0.2">
      <c r="D91" t="s">
        <v>55</v>
      </c>
      <c r="E91" s="14" t="s">
        <v>51</v>
      </c>
      <c r="F91" t="s">
        <v>54</v>
      </c>
      <c r="P91" s="25">
        <f t="shared" si="3"/>
        <v>0</v>
      </c>
      <c r="Q91" s="25">
        <f t="shared" si="3"/>
        <v>0</v>
      </c>
      <c r="R91" s="25">
        <f t="shared" si="3"/>
        <v>0</v>
      </c>
      <c r="S91" s="25"/>
      <c r="T91" s="25"/>
      <c r="U91" s="25"/>
      <c r="V91" s="25"/>
      <c r="W91" s="25"/>
      <c r="X91" s="25"/>
      <c r="Y91" s="25"/>
    </row>
    <row r="92" spans="2:25" x14ac:dyDescent="0.2">
      <c r="D92" t="s">
        <v>56</v>
      </c>
      <c r="E92" s="14" t="s">
        <v>51</v>
      </c>
      <c r="F92" t="s">
        <v>52</v>
      </c>
      <c r="P92" s="25">
        <f t="shared" si="3"/>
        <v>-54818.967622987817</v>
      </c>
      <c r="Q92" s="25">
        <f t="shared" si="3"/>
        <v>-24023.57491120357</v>
      </c>
      <c r="R92" s="25">
        <f t="shared" si="3"/>
        <v>-258128.09365879439</v>
      </c>
      <c r="S92" s="25"/>
      <c r="T92" s="25"/>
      <c r="U92" s="25"/>
      <c r="V92" s="25"/>
      <c r="W92" s="25"/>
      <c r="X92" s="25"/>
      <c r="Y92" s="25"/>
    </row>
    <row r="93" spans="2:25" x14ac:dyDescent="0.2">
      <c r="D93" t="s">
        <v>56</v>
      </c>
      <c r="E93" s="14" t="s">
        <v>51</v>
      </c>
      <c r="F93" t="s">
        <v>53</v>
      </c>
      <c r="P93" s="25">
        <f t="shared" si="3"/>
        <v>-851865.27009079617</v>
      </c>
      <c r="Q93" s="25">
        <f t="shared" si="3"/>
        <v>-265694.70829047647</v>
      </c>
      <c r="R93" s="25">
        <f t="shared" si="3"/>
        <v>-1175811.1511986773</v>
      </c>
      <c r="S93" s="25"/>
      <c r="T93" s="25"/>
      <c r="U93" s="25"/>
      <c r="V93" s="25"/>
      <c r="W93" s="25"/>
      <c r="X93" s="25"/>
      <c r="Y93" s="25"/>
    </row>
    <row r="94" spans="2:25" x14ac:dyDescent="0.2">
      <c r="D94" t="s">
        <v>56</v>
      </c>
      <c r="E94" s="14" t="s">
        <v>51</v>
      </c>
      <c r="F94" t="s">
        <v>54</v>
      </c>
      <c r="P94" s="25">
        <f t="shared" si="3"/>
        <v>0</v>
      </c>
      <c r="Q94" s="25">
        <f t="shared" si="3"/>
        <v>0</v>
      </c>
      <c r="R94" s="25">
        <f t="shared" si="3"/>
        <v>0</v>
      </c>
      <c r="S94" s="25"/>
      <c r="T94" s="25"/>
      <c r="U94" s="25"/>
      <c r="V94" s="25"/>
      <c r="W94" s="25"/>
      <c r="X94" s="25"/>
      <c r="Y94" s="25"/>
    </row>
    <row r="95" spans="2:25" x14ac:dyDescent="0.2">
      <c r="D95" t="s">
        <v>57</v>
      </c>
      <c r="E95" s="14" t="s">
        <v>51</v>
      </c>
      <c r="F95" t="s">
        <v>52</v>
      </c>
      <c r="P95" s="25">
        <f t="shared" si="3"/>
        <v>-193832.73183424582</v>
      </c>
      <c r="Q95" s="25">
        <f t="shared" si="3"/>
        <v>-67369.911956697833</v>
      </c>
      <c r="R95" s="25">
        <f t="shared" si="3"/>
        <v>-698399.58180191857</v>
      </c>
      <c r="S95" s="25"/>
      <c r="T95" s="25"/>
      <c r="U95" s="25"/>
      <c r="V95" s="25"/>
      <c r="W95" s="25"/>
      <c r="X95" s="25"/>
      <c r="Y95" s="25"/>
    </row>
    <row r="96" spans="2:25" x14ac:dyDescent="0.2">
      <c r="D96" t="s">
        <v>57</v>
      </c>
      <c r="E96" s="14" t="s">
        <v>51</v>
      </c>
      <c r="F96" t="s">
        <v>53</v>
      </c>
      <c r="P96" s="25">
        <f t="shared" si="3"/>
        <v>-106700.10236445567</v>
      </c>
      <c r="Q96" s="25">
        <f t="shared" si="3"/>
        <v>-91616.616557408735</v>
      </c>
      <c r="R96" s="25">
        <f t="shared" si="3"/>
        <v>-1263097.9673837512</v>
      </c>
      <c r="S96" s="25"/>
      <c r="T96" s="25"/>
      <c r="U96" s="25"/>
      <c r="V96" s="25"/>
      <c r="W96" s="25"/>
      <c r="X96" s="25"/>
      <c r="Y96" s="25"/>
    </row>
    <row r="97" spans="1:261" x14ac:dyDescent="0.2">
      <c r="D97" t="s">
        <v>57</v>
      </c>
      <c r="E97" s="14" t="s">
        <v>51</v>
      </c>
      <c r="F97" t="s">
        <v>54</v>
      </c>
      <c r="P97" s="25">
        <f t="shared" si="3"/>
        <v>0</v>
      </c>
      <c r="Q97" s="25">
        <f t="shared" si="3"/>
        <v>0</v>
      </c>
      <c r="R97" s="25">
        <f t="shared" si="3"/>
        <v>0</v>
      </c>
      <c r="S97" s="25"/>
      <c r="T97" s="25"/>
      <c r="U97" s="25"/>
      <c r="V97" s="25"/>
      <c r="W97" s="25"/>
      <c r="X97" s="25"/>
      <c r="Y97" s="25"/>
    </row>
    <row r="98" spans="1:261" x14ac:dyDescent="0.2">
      <c r="D98" t="s">
        <v>58</v>
      </c>
      <c r="E98" s="14" t="s">
        <v>51</v>
      </c>
      <c r="F98" t="s">
        <v>52</v>
      </c>
      <c r="P98" s="25">
        <f t="shared" si="3"/>
        <v>-239893.3802484216</v>
      </c>
      <c r="Q98" s="25">
        <f t="shared" si="3"/>
        <v>-43934.29730781234</v>
      </c>
      <c r="R98" s="25">
        <f t="shared" si="3"/>
        <v>-414061.99544391898</v>
      </c>
      <c r="S98" s="25"/>
      <c r="T98" s="25"/>
      <c r="U98" s="25"/>
      <c r="V98" s="25"/>
      <c r="W98" s="25"/>
      <c r="X98" s="25"/>
      <c r="Y98" s="25"/>
    </row>
    <row r="99" spans="1:261" x14ac:dyDescent="0.2">
      <c r="D99" t="s">
        <v>58</v>
      </c>
      <c r="E99" s="14" t="s">
        <v>51</v>
      </c>
      <c r="F99" t="s">
        <v>53</v>
      </c>
      <c r="P99" s="25">
        <f t="shared" si="3"/>
        <v>-750139.51576914755</v>
      </c>
      <c r="Q99" s="25">
        <f t="shared" si="3"/>
        <v>-147457.33245025872</v>
      </c>
      <c r="R99" s="25">
        <f t="shared" si="3"/>
        <v>-620350.84084105853</v>
      </c>
      <c r="S99" s="25"/>
      <c r="T99" s="25"/>
      <c r="U99" s="25"/>
      <c r="V99" s="25"/>
      <c r="W99" s="25"/>
      <c r="X99" s="25"/>
      <c r="Y99" s="25"/>
    </row>
    <row r="100" spans="1:261" x14ac:dyDescent="0.2">
      <c r="D100" t="s">
        <v>58</v>
      </c>
      <c r="E100" s="14" t="s">
        <v>51</v>
      </c>
      <c r="F100" t="s">
        <v>54</v>
      </c>
      <c r="P100" s="25">
        <f t="shared" si="3"/>
        <v>0</v>
      </c>
      <c r="Q100" s="25">
        <f t="shared" si="3"/>
        <v>0</v>
      </c>
      <c r="R100" s="25">
        <f t="shared" si="3"/>
        <v>0</v>
      </c>
      <c r="S100" s="25"/>
      <c r="T100" s="25"/>
      <c r="U100" s="25"/>
      <c r="V100" s="25"/>
      <c r="W100" s="25"/>
      <c r="X100" s="25"/>
      <c r="Y100" s="25"/>
    </row>
    <row r="101" spans="1:261" x14ac:dyDescent="0.2">
      <c r="D101" t="s">
        <v>59</v>
      </c>
      <c r="E101" s="14" t="s">
        <v>51</v>
      </c>
      <c r="F101" t="s">
        <v>52</v>
      </c>
      <c r="P101" s="25">
        <f t="shared" si="3"/>
        <v>-533109.0172951218</v>
      </c>
      <c r="Q101" s="25">
        <f t="shared" si="3"/>
        <v>-151562.32027201905</v>
      </c>
      <c r="R101" s="25">
        <f t="shared" si="3"/>
        <v>-1100394.125768452</v>
      </c>
      <c r="S101" s="25"/>
      <c r="T101" s="25"/>
      <c r="U101" s="25"/>
      <c r="V101" s="25"/>
      <c r="W101" s="25"/>
      <c r="X101" s="25"/>
      <c r="Y101" s="25"/>
    </row>
    <row r="102" spans="1:261" x14ac:dyDescent="0.2">
      <c r="D102" t="s">
        <v>59</v>
      </c>
      <c r="E102" s="14" t="s">
        <v>51</v>
      </c>
      <c r="F102" t="s">
        <v>53</v>
      </c>
      <c r="P102" s="25">
        <f t="shared" si="3"/>
        <v>-272577.97986433713</v>
      </c>
      <c r="Q102" s="25">
        <f t="shared" si="3"/>
        <v>-117483.34994498438</v>
      </c>
      <c r="R102" s="25">
        <f t="shared" si="3"/>
        <v>-1613845.2705715094</v>
      </c>
      <c r="S102" s="25"/>
      <c r="T102" s="25"/>
      <c r="U102" s="25"/>
      <c r="V102" s="25"/>
      <c r="W102" s="25"/>
      <c r="X102" s="25"/>
      <c r="Y102" s="25"/>
    </row>
    <row r="103" spans="1:261" x14ac:dyDescent="0.2">
      <c r="D103" t="s">
        <v>59</v>
      </c>
      <c r="E103" s="14" t="s">
        <v>51</v>
      </c>
      <c r="F103" t="s">
        <v>54</v>
      </c>
      <c r="P103" s="25">
        <f t="shared" si="3"/>
        <v>0</v>
      </c>
      <c r="Q103" s="25">
        <f t="shared" si="3"/>
        <v>0</v>
      </c>
      <c r="R103" s="25">
        <f t="shared" si="3"/>
        <v>0</v>
      </c>
      <c r="S103" s="25"/>
      <c r="T103" s="25"/>
      <c r="U103" s="25"/>
      <c r="V103" s="25"/>
      <c r="W103" s="25"/>
      <c r="X103" s="25"/>
      <c r="Y103" s="25"/>
    </row>
    <row r="104" spans="1:261" x14ac:dyDescent="0.2">
      <c r="D104" t="s">
        <v>60</v>
      </c>
      <c r="E104" s="14" t="s">
        <v>51</v>
      </c>
      <c r="F104" t="s">
        <v>52</v>
      </c>
      <c r="P104" s="25">
        <f t="shared" si="3"/>
        <v>0</v>
      </c>
      <c r="Q104" s="25">
        <f t="shared" si="3"/>
        <v>0</v>
      </c>
      <c r="R104" s="25">
        <f t="shared" si="3"/>
        <v>0</v>
      </c>
      <c r="S104" s="25"/>
      <c r="T104" s="25"/>
      <c r="U104" s="25"/>
      <c r="V104" s="25"/>
      <c r="W104" s="25"/>
      <c r="X104" s="25"/>
      <c r="Y104" s="25"/>
    </row>
    <row r="105" spans="1:261" x14ac:dyDescent="0.2">
      <c r="D105" t="s">
        <v>60</v>
      </c>
      <c r="E105" s="14" t="s">
        <v>51</v>
      </c>
      <c r="F105" t="s">
        <v>53</v>
      </c>
      <c r="P105" s="25">
        <f t="shared" si="3"/>
        <v>0</v>
      </c>
      <c r="Q105" s="25">
        <f t="shared" si="3"/>
        <v>0</v>
      </c>
      <c r="R105" s="25">
        <f t="shared" si="3"/>
        <v>-197461.81341621376</v>
      </c>
      <c r="S105" s="25"/>
      <c r="T105" s="25"/>
      <c r="U105" s="25"/>
      <c r="V105" s="25"/>
      <c r="W105" s="25"/>
      <c r="X105" s="25"/>
      <c r="Y105" s="25"/>
    </row>
    <row r="106" spans="1:261" x14ac:dyDescent="0.2">
      <c r="D106" t="s">
        <v>60</v>
      </c>
      <c r="E106" s="14" t="s">
        <v>51</v>
      </c>
      <c r="F106" t="s">
        <v>54</v>
      </c>
      <c r="P106" s="25">
        <f t="shared" si="3"/>
        <v>0</v>
      </c>
      <c r="Q106" s="25">
        <f t="shared" si="3"/>
        <v>0</v>
      </c>
      <c r="R106" s="25">
        <f t="shared" si="3"/>
        <v>0</v>
      </c>
      <c r="S106" s="25"/>
      <c r="T106" s="25"/>
      <c r="U106" s="25"/>
      <c r="V106" s="25"/>
      <c r="W106" s="25"/>
      <c r="X106" s="25"/>
      <c r="Y106" s="25"/>
    </row>
    <row r="107" spans="1:261" ht="13.5" thickBot="1" x14ac:dyDescent="0.25"/>
    <row r="108" spans="1:261" ht="14.25" thickTop="1" thickBot="1" x14ac:dyDescent="0.25">
      <c r="D108" t="s">
        <v>68</v>
      </c>
      <c r="P108" s="18" t="b">
        <f>SUM(P86:P106)=P82</f>
        <v>1</v>
      </c>
      <c r="Q108" s="18" t="b">
        <f t="shared" ref="Q108:R108" si="4">SUM(Q86:Q106)=Q82</f>
        <v>1</v>
      </c>
      <c r="R108" s="18" t="b">
        <f t="shared" si="4"/>
        <v>1</v>
      </c>
    </row>
    <row r="109" spans="1:261" ht="13.5" thickTop="1" x14ac:dyDescent="0.2"/>
    <row r="110" spans="1:261" x14ac:dyDescent="0.2">
      <c r="A110" s="11" t="s">
        <v>21</v>
      </c>
      <c r="B110" s="11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/>
      <c r="HB110" s="12"/>
      <c r="HC110" s="12"/>
      <c r="HD110" s="12"/>
      <c r="HE110" s="12"/>
      <c r="HF110" s="12"/>
      <c r="HG110" s="12"/>
      <c r="HH110" s="12"/>
      <c r="HI110" s="12"/>
      <c r="HJ110" s="12"/>
      <c r="HK110" s="12"/>
      <c r="HL110" s="12"/>
      <c r="HM110" s="12"/>
      <c r="HN110" s="12"/>
      <c r="HO110" s="12"/>
      <c r="HP110" s="12"/>
      <c r="HQ110" s="12"/>
      <c r="HR110" s="12"/>
      <c r="HS110" s="12"/>
      <c r="HT110" s="12"/>
      <c r="HU110" s="12"/>
      <c r="HV110" s="12"/>
      <c r="HW110" s="12"/>
      <c r="HX110" s="12"/>
      <c r="HY110" s="12"/>
      <c r="HZ110" s="12"/>
      <c r="IA110" s="12"/>
      <c r="IB110" s="12"/>
      <c r="IC110" s="12"/>
      <c r="ID110" s="12"/>
      <c r="IE110" s="12"/>
      <c r="IF110" s="12"/>
      <c r="IG110" s="12"/>
      <c r="IH110" s="12"/>
      <c r="II110" s="12"/>
      <c r="IJ110" s="12"/>
      <c r="IK110" s="12"/>
      <c r="IL110" s="12"/>
      <c r="IM110" s="12"/>
      <c r="IN110" s="12"/>
      <c r="IO110" s="12"/>
      <c r="IP110" s="12"/>
      <c r="IQ110" s="12"/>
      <c r="IR110" s="12"/>
      <c r="IS110" s="12"/>
      <c r="IT110" s="12"/>
      <c r="IU110" s="12"/>
      <c r="IV110" s="12"/>
      <c r="IW110" s="12"/>
      <c r="IX110" s="12"/>
      <c r="IY110" s="12"/>
      <c r="IZ110" s="12"/>
      <c r="JA110" s="1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94DC-73E5-4D03-801E-6133970AA1EB}">
  <sheetPr codeName="Sheet3">
    <tabColor rgb="FFDA3289"/>
  </sheetPr>
  <dimension ref="A1:JA50"/>
  <sheetViews>
    <sheetView topLeftCell="A18" workbookViewId="0">
      <selection activeCell="D63" sqref="D63"/>
    </sheetView>
  </sheetViews>
  <sheetFormatPr defaultRowHeight="12.75" x14ac:dyDescent="0.2"/>
  <cols>
    <col min="1" max="3" width="4.5703125" customWidth="1"/>
    <col min="4" max="4" width="36.28515625" customWidth="1"/>
    <col min="5" max="5" width="10.42578125" customWidth="1"/>
    <col min="6" max="7" width="17.85546875" customWidth="1"/>
    <col min="8" max="8" width="0.85546875" hidden="1" customWidth="1"/>
    <col min="9" max="9" width="0" hidden="1" customWidth="1"/>
    <col min="10" max="10" width="0.85546875" hidden="1" customWidth="1"/>
    <col min="11" max="12" width="0" hidden="1" customWidth="1"/>
    <col min="13" max="13" width="0.85546875" hidden="1" customWidth="1"/>
    <col min="14" max="14" width="0" hidden="1" customWidth="1"/>
    <col min="15" max="15" width="0.85546875" customWidth="1"/>
    <col min="16" max="18" width="12.5703125" customWidth="1"/>
    <col min="19" max="19" width="13.42578125" bestFit="1" customWidth="1"/>
    <col min="20" max="25" width="12.5703125" customWidth="1"/>
    <col min="26" max="135" width="12.28515625" customWidth="1"/>
  </cols>
  <sheetData>
    <row r="1" spans="1:26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 t="s">
        <v>22</v>
      </c>
      <c r="P2" s="4">
        <f>'CPA1'!P2</f>
        <v>1</v>
      </c>
      <c r="Q2" s="4">
        <f>'CPA1'!Q2</f>
        <v>2</v>
      </c>
      <c r="R2" s="4">
        <f>'CPA1'!R2</f>
        <v>3</v>
      </c>
      <c r="S2" s="4">
        <f>'CPA1'!S2</f>
        <v>4</v>
      </c>
      <c r="T2" s="4">
        <f>'CPA1'!T2</f>
        <v>5</v>
      </c>
      <c r="U2" s="4">
        <f>'CPA1'!U2</f>
        <v>6</v>
      </c>
      <c r="V2" s="4">
        <f>'CPA1'!V2</f>
        <v>7</v>
      </c>
      <c r="W2" s="4">
        <f>'CPA1'!W2</f>
        <v>8</v>
      </c>
      <c r="X2" s="4">
        <f>'CPA1'!X2</f>
        <v>9</v>
      </c>
      <c r="Y2" s="4">
        <f>'CPA1'!Y2</f>
        <v>10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</row>
    <row r="3" spans="1:26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 t="s">
        <v>23</v>
      </c>
      <c r="P3" s="5">
        <f>'CPA1'!P3</f>
        <v>44378</v>
      </c>
      <c r="Q3" s="5">
        <f>'CPA1'!Q3</f>
        <v>44743</v>
      </c>
      <c r="R3" s="5">
        <f>'CPA1'!R3</f>
        <v>45108</v>
      </c>
      <c r="S3" s="5">
        <f>'CPA1'!S3</f>
        <v>45474</v>
      </c>
      <c r="T3" s="5">
        <f>'CPA1'!T3</f>
        <v>45839</v>
      </c>
      <c r="U3" s="5">
        <f>'CPA1'!U3</f>
        <v>46204</v>
      </c>
      <c r="V3" s="5">
        <f>'CPA1'!V3</f>
        <v>46569</v>
      </c>
      <c r="W3" s="5">
        <f>'CPA1'!W3</f>
        <v>46935</v>
      </c>
      <c r="X3" s="5">
        <f>'CPA1'!X3</f>
        <v>47300</v>
      </c>
      <c r="Y3" s="5">
        <f>'CPA1'!Y3</f>
        <v>47665</v>
      </c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</row>
    <row r="4" spans="1:26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 t="s">
        <v>24</v>
      </c>
      <c r="P4" s="5">
        <f>'CPA1'!P4</f>
        <v>44742</v>
      </c>
      <c r="Q4" s="5">
        <f>'CPA1'!Q4</f>
        <v>45107</v>
      </c>
      <c r="R4" s="5">
        <f>'CPA1'!R4</f>
        <v>45473</v>
      </c>
      <c r="S4" s="5">
        <f>'CPA1'!S4</f>
        <v>45838</v>
      </c>
      <c r="T4" s="5">
        <f>'CPA1'!T4</f>
        <v>46203</v>
      </c>
      <c r="U4" s="5">
        <f>'CPA1'!U4</f>
        <v>46568</v>
      </c>
      <c r="V4" s="5">
        <f>'CPA1'!V4</f>
        <v>46934</v>
      </c>
      <c r="W4" s="5">
        <f>'CPA1'!W4</f>
        <v>47299</v>
      </c>
      <c r="X4" s="5">
        <f>'CPA1'!X4</f>
        <v>47664</v>
      </c>
      <c r="Y4" s="5">
        <f>'CPA1'!Y4</f>
        <v>48029</v>
      </c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</row>
    <row r="5" spans="1:26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 t="s">
        <v>25</v>
      </c>
      <c r="P5" s="6" t="str">
        <f>'CPA1'!P5</f>
        <v>2021 - 22</v>
      </c>
      <c r="Q5" s="6" t="str">
        <f>'CPA1'!Q5</f>
        <v>2022 - 23</v>
      </c>
      <c r="R5" s="6" t="str">
        <f>'CPA1'!R5</f>
        <v>2023 - 24</v>
      </c>
      <c r="S5" s="6" t="str">
        <f>'CPA1'!S5</f>
        <v>2024 - 25</v>
      </c>
      <c r="T5" s="6" t="str">
        <f>'CPA1'!T5</f>
        <v>2025 - 26</v>
      </c>
      <c r="U5" s="6" t="str">
        <f>'CPA1'!U5</f>
        <v>2026 - 27</v>
      </c>
      <c r="V5" s="6" t="str">
        <f>'CPA1'!V5</f>
        <v>2027 - 28</v>
      </c>
      <c r="W5" s="6" t="str">
        <f>'CPA1'!W5</f>
        <v>2028 - 29</v>
      </c>
      <c r="X5" s="6" t="str">
        <f>'CPA1'!X5</f>
        <v>2029 - 30</v>
      </c>
      <c r="Y5" s="6" t="str">
        <f>'CPA1'!Y5</f>
        <v>2030 - 31</v>
      </c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</row>
    <row r="6" spans="1:261" ht="13.5" thickBo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 t="s">
        <v>39</v>
      </c>
      <c r="P6" s="9">
        <f>'CPA1'!P6</f>
        <v>365</v>
      </c>
      <c r="Q6" s="9">
        <f>'CPA1'!Q6</f>
        <v>365</v>
      </c>
      <c r="R6" s="9">
        <f>'CPA1'!R6</f>
        <v>366</v>
      </c>
      <c r="S6" s="9">
        <f>'CPA1'!S6</f>
        <v>365</v>
      </c>
      <c r="T6" s="9">
        <f>'CPA1'!T6</f>
        <v>365</v>
      </c>
      <c r="U6" s="9">
        <f>'CPA1'!U6</f>
        <v>365</v>
      </c>
      <c r="V6" s="9">
        <f>'CPA1'!V6</f>
        <v>366</v>
      </c>
      <c r="W6" s="9">
        <f>'CPA1'!W6</f>
        <v>365</v>
      </c>
      <c r="X6" s="9">
        <f>'CPA1'!X6</f>
        <v>365</v>
      </c>
      <c r="Y6" s="9">
        <f>'CPA1'!Y6</f>
        <v>365</v>
      </c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</row>
    <row r="8" spans="1:261" x14ac:dyDescent="0.2">
      <c r="A8" s="11">
        <f>MAX($A$7:A7)+1</f>
        <v>1</v>
      </c>
      <c r="B8" s="11" t="s">
        <v>63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</row>
    <row r="10" spans="1:261" x14ac:dyDescent="0.2">
      <c r="B10" s="13">
        <f>MAX($A$7:B9)+0.1</f>
        <v>1.1000000000000001</v>
      </c>
      <c r="C10" s="13" t="s">
        <v>95</v>
      </c>
    </row>
    <row r="12" spans="1:261" x14ac:dyDescent="0.2">
      <c r="C12" s="13">
        <f>MAX($A$7:C11)+0.01</f>
        <v>1.1100000000000001</v>
      </c>
      <c r="D12" s="31" t="s">
        <v>96</v>
      </c>
    </row>
    <row r="13" spans="1:261" x14ac:dyDescent="0.2">
      <c r="C13" s="13"/>
      <c r="D13" s="31"/>
    </row>
    <row r="14" spans="1:261" x14ac:dyDescent="0.2">
      <c r="D14" t="s">
        <v>50</v>
      </c>
      <c r="E14" s="14" t="s">
        <v>51</v>
      </c>
      <c r="F14" t="s">
        <v>52</v>
      </c>
      <c r="P14" s="15">
        <f>SUMIFS('CPA1'!P$12:P$106,'CPA1'!$D$12:$D$106,'RFM Input'!$D14,'CPA1'!$F$12:$F$106,'RFM Input'!$F14,'CPA1'!$E$12:$E$106,'RFM Input'!$E14)/1000000</f>
        <v>0.615937717180294</v>
      </c>
      <c r="Q14" s="15">
        <f>SUMIFS('CPA1'!Q$12:Q$106,'CPA1'!$D$12:$D$106,'RFM Input'!$D14,'CPA1'!$F$12:$F$106,'RFM Input'!$F14,'CPA1'!$E$12:$E$106,'RFM Input'!$E14)/1000000</f>
        <v>0.64001201265195962</v>
      </c>
      <c r="R14" s="15">
        <f>SUMIFS('CPA1'!R$12:R$106,'CPA1'!$D$12:$D$106,'RFM Input'!$D14,'CPA1'!$F$12:$F$106,'RFM Input'!$F14,'CPA1'!$E$12:$E$106,'RFM Input'!$E14)/1000000</f>
        <v>0.23941818541509849</v>
      </c>
    </row>
    <row r="15" spans="1:261" x14ac:dyDescent="0.2">
      <c r="D15" t="s">
        <v>50</v>
      </c>
      <c r="E15" s="14" t="s">
        <v>51</v>
      </c>
      <c r="F15" t="s">
        <v>53</v>
      </c>
      <c r="P15" s="15">
        <f>SUMIFS('CPA1'!P$12:P$106,'CPA1'!$D$12:$D$106,'RFM Input'!$D15,'CPA1'!$F$12:$F$106,'RFM Input'!$F15,'CPA1'!$E$12:$E$106,'RFM Input'!$E15)/1000000</f>
        <v>0.73121998060011262</v>
      </c>
      <c r="Q15" s="15">
        <f>SUMIFS('CPA1'!Q$12:Q$106,'CPA1'!$D$12:$D$106,'RFM Input'!$D15,'CPA1'!$F$12:$F$106,'RFM Input'!$F15,'CPA1'!$E$12:$E$106,'RFM Input'!$E15)/1000000</f>
        <v>0.63255125791915179</v>
      </c>
      <c r="R15" s="15">
        <f>SUMIFS('CPA1'!R$12:R$106,'CPA1'!$D$12:$D$106,'RFM Input'!$D15,'CPA1'!$F$12:$F$106,'RFM Input'!$F15,'CPA1'!$E$12:$E$106,'RFM Input'!$E15)/1000000</f>
        <v>7.3908130592998764E-2</v>
      </c>
    </row>
    <row r="16" spans="1:261" x14ac:dyDescent="0.2">
      <c r="D16" t="s">
        <v>50</v>
      </c>
      <c r="E16" s="14" t="s">
        <v>51</v>
      </c>
      <c r="F16" t="s">
        <v>54</v>
      </c>
      <c r="P16" s="15">
        <f>SUMIFS('CPA1'!P$12:P$106,'CPA1'!$D$12:$D$106,'RFM Input'!$D16,'CPA1'!$F$12:$F$106,'RFM Input'!$F16,'CPA1'!$E$12:$E$106,'RFM Input'!$E16)/1000000</f>
        <v>0</v>
      </c>
      <c r="Q16" s="15">
        <f>SUMIFS('CPA1'!Q$12:Q$106,'CPA1'!$D$12:$D$106,'RFM Input'!$D16,'CPA1'!$F$12:$F$106,'RFM Input'!$F16,'CPA1'!$E$12:$E$106,'RFM Input'!$E16)/1000000</f>
        <v>0</v>
      </c>
      <c r="R16" s="15">
        <f>SUMIFS('CPA1'!R$12:R$106,'CPA1'!$D$12:$D$106,'RFM Input'!$D16,'CPA1'!$F$12:$F$106,'RFM Input'!$F16,'CPA1'!$E$12:$E$106,'RFM Input'!$E16)/1000000</f>
        <v>0</v>
      </c>
    </row>
    <row r="17" spans="4:22" x14ac:dyDescent="0.2">
      <c r="D17" t="s">
        <v>55</v>
      </c>
      <c r="E17" s="14" t="s">
        <v>51</v>
      </c>
      <c r="F17" t="s">
        <v>52</v>
      </c>
      <c r="P17" s="15">
        <f>SUMIFS('CPA1'!P$12:P$106,'CPA1'!$D$12:$D$106,'RFM Input'!$D17,'CPA1'!$F$12:$F$106,'RFM Input'!$F17,'CPA1'!$E$12:$E$106,'RFM Input'!$E17)/1000000</f>
        <v>0.27209343894412602</v>
      </c>
      <c r="Q17" s="15">
        <f>SUMIFS('CPA1'!Q$12:Q$106,'CPA1'!$D$12:$D$106,'RFM Input'!$D17,'CPA1'!$F$12:$F$106,'RFM Input'!$F17,'CPA1'!$E$12:$E$106,'RFM Input'!$E17)/1000000</f>
        <v>0.70973493112583519</v>
      </c>
      <c r="R17" s="15">
        <f>SUMIFS('CPA1'!R$12:R$106,'CPA1'!$D$12:$D$106,'RFM Input'!$D17,'CPA1'!$F$12:$F$106,'RFM Input'!$F17,'CPA1'!$E$12:$E$106,'RFM Input'!$E17)/1000000</f>
        <v>0.38466420695974224</v>
      </c>
    </row>
    <row r="18" spans="4:22" x14ac:dyDescent="0.2">
      <c r="D18" t="s">
        <v>55</v>
      </c>
      <c r="E18" s="14" t="s">
        <v>51</v>
      </c>
      <c r="F18" t="s">
        <v>53</v>
      </c>
      <c r="P18" s="15">
        <f>SUMIFS('CPA1'!P$12:P$106,'CPA1'!$D$12:$D$106,'RFM Input'!$D18,'CPA1'!$F$12:$F$106,'RFM Input'!$F18,'CPA1'!$E$12:$E$106,'RFM Input'!$E18)/1000000</f>
        <v>1.2984332583649816</v>
      </c>
      <c r="Q18" s="15">
        <f>SUMIFS('CPA1'!Q$12:Q$106,'CPA1'!$D$12:$D$106,'RFM Input'!$D18,'CPA1'!$F$12:$F$106,'RFM Input'!$F18,'CPA1'!$E$12:$E$106,'RFM Input'!$E18)/1000000</f>
        <v>1.4077210199939139</v>
      </c>
      <c r="R18" s="15">
        <f>SUMIFS('CPA1'!R$12:R$106,'CPA1'!$D$12:$D$106,'RFM Input'!$D18,'CPA1'!$F$12:$F$106,'RFM Input'!$F18,'CPA1'!$E$12:$E$106,'RFM Input'!$E18)/1000000</f>
        <v>0.38247111711645182</v>
      </c>
    </row>
    <row r="19" spans="4:22" x14ac:dyDescent="0.2">
      <c r="D19" t="s">
        <v>55</v>
      </c>
      <c r="E19" s="14" t="s">
        <v>51</v>
      </c>
      <c r="F19" t="s">
        <v>54</v>
      </c>
      <c r="P19" s="15">
        <f>SUMIFS('CPA1'!P$12:P$106,'CPA1'!$D$12:$D$106,'RFM Input'!$D19,'CPA1'!$F$12:$F$106,'RFM Input'!$F19,'CPA1'!$E$12:$E$106,'RFM Input'!$E19)/1000000</f>
        <v>0</v>
      </c>
      <c r="Q19" s="15">
        <f>SUMIFS('CPA1'!Q$12:Q$106,'CPA1'!$D$12:$D$106,'RFM Input'!$D19,'CPA1'!$F$12:$F$106,'RFM Input'!$F19,'CPA1'!$E$12:$E$106,'RFM Input'!$E19)/1000000</f>
        <v>0</v>
      </c>
      <c r="R19" s="15">
        <f>SUMIFS('CPA1'!R$12:R$106,'CPA1'!$D$12:$D$106,'RFM Input'!$D19,'CPA1'!$F$12:$F$106,'RFM Input'!$F19,'CPA1'!$E$12:$E$106,'RFM Input'!$E19)/1000000</f>
        <v>0</v>
      </c>
    </row>
    <row r="20" spans="4:22" x14ac:dyDescent="0.2">
      <c r="D20" t="s">
        <v>56</v>
      </c>
      <c r="E20" s="14" t="s">
        <v>51</v>
      </c>
      <c r="F20" t="s">
        <v>52</v>
      </c>
      <c r="P20" s="15">
        <f>SUMIFS('CPA1'!P$12:P$106,'CPA1'!$D$12:$D$106,'RFM Input'!$D20,'CPA1'!$F$12:$F$106,'RFM Input'!$F20,'CPA1'!$E$12:$E$106,'RFM Input'!$E20)/1000000</f>
        <v>0.17017158237701221</v>
      </c>
      <c r="Q20" s="15">
        <f>SUMIFS('CPA1'!Q$12:Q$106,'CPA1'!$D$12:$D$106,'RFM Input'!$D20,'CPA1'!$F$12:$F$106,'RFM Input'!$F20,'CPA1'!$E$12:$E$106,'RFM Input'!$E20)/1000000</f>
        <v>0.38807395508879661</v>
      </c>
      <c r="R20" s="15">
        <f>SUMIFS('CPA1'!R$12:R$106,'CPA1'!$D$12:$D$106,'RFM Input'!$D20,'CPA1'!$F$12:$F$106,'RFM Input'!$F20,'CPA1'!$E$12:$E$106,'RFM Input'!$E20)/1000000</f>
        <v>0.12852720634120596</v>
      </c>
    </row>
    <row r="21" spans="4:22" x14ac:dyDescent="0.2">
      <c r="D21" t="s">
        <v>56</v>
      </c>
      <c r="E21" s="14" t="s">
        <v>51</v>
      </c>
      <c r="F21" t="s">
        <v>53</v>
      </c>
      <c r="P21" s="15">
        <f>SUMIFS('CPA1'!P$12:P$106,'CPA1'!$D$12:$D$106,'RFM Input'!$D21,'CPA1'!$F$12:$F$106,'RFM Input'!$F21,'CPA1'!$E$12:$E$106,'RFM Input'!$E21)/1000000</f>
        <v>2.6443996899092035</v>
      </c>
      <c r="Q21" s="15">
        <f>SUMIFS('CPA1'!Q$12:Q$106,'CPA1'!$D$12:$D$106,'RFM Input'!$D21,'CPA1'!$F$12:$F$106,'RFM Input'!$F21,'CPA1'!$E$12:$E$106,'RFM Input'!$E21)/1000000</f>
        <v>4.2920005317095242</v>
      </c>
      <c r="R21" s="15">
        <f>SUMIFS('CPA1'!R$12:R$106,'CPA1'!$D$12:$D$106,'RFM Input'!$D21,'CPA1'!$F$12:$F$106,'RFM Input'!$F21,'CPA1'!$E$12:$E$106,'RFM Input'!$E21)/1000000</f>
        <v>0.58546018880132278</v>
      </c>
    </row>
    <row r="22" spans="4:22" x14ac:dyDescent="0.2">
      <c r="D22" t="s">
        <v>56</v>
      </c>
      <c r="E22" s="14" t="s">
        <v>51</v>
      </c>
      <c r="F22" t="s">
        <v>54</v>
      </c>
      <c r="P22" s="15">
        <f>SUMIFS('CPA1'!P$12:P$106,'CPA1'!$D$12:$D$106,'RFM Input'!$D22,'CPA1'!$F$12:$F$106,'RFM Input'!$F22,'CPA1'!$E$12:$E$106,'RFM Input'!$E22)/1000000</f>
        <v>0</v>
      </c>
      <c r="Q22" s="15">
        <f>SUMIFS('CPA1'!Q$12:Q$106,'CPA1'!$D$12:$D$106,'RFM Input'!$D22,'CPA1'!$F$12:$F$106,'RFM Input'!$F22,'CPA1'!$E$12:$E$106,'RFM Input'!$E22)/1000000</f>
        <v>0</v>
      </c>
      <c r="R22" s="15">
        <f>SUMIFS('CPA1'!R$12:R$106,'CPA1'!$D$12:$D$106,'RFM Input'!$D22,'CPA1'!$F$12:$F$106,'RFM Input'!$F22,'CPA1'!$E$12:$E$106,'RFM Input'!$E22)/1000000</f>
        <v>0</v>
      </c>
    </row>
    <row r="23" spans="4:22" x14ac:dyDescent="0.2">
      <c r="D23" t="s">
        <v>57</v>
      </c>
      <c r="E23" s="14" t="s">
        <v>51</v>
      </c>
      <c r="F23" t="s">
        <v>52</v>
      </c>
      <c r="P23" s="15">
        <f>SUMIFS('CPA1'!P$12:P$106,'CPA1'!$D$12:$D$106,'RFM Input'!$D23,'CPA1'!$F$12:$F$106,'RFM Input'!$F23,'CPA1'!$E$12:$E$106,'RFM Input'!$E23)/1000000</f>
        <v>0.60170455816575419</v>
      </c>
      <c r="Q23" s="15">
        <f>SUMIFS('CPA1'!Q$12:Q$106,'CPA1'!$D$12:$D$106,'RFM Input'!$D23,'CPA1'!$F$12:$F$106,'RFM Input'!$F23,'CPA1'!$E$12:$E$106,'RFM Input'!$E23)/1000000</f>
        <v>1.0882854980433014</v>
      </c>
      <c r="R23" s="15">
        <f>SUMIFS('CPA1'!R$12:R$106,'CPA1'!$D$12:$D$106,'RFM Input'!$D23,'CPA1'!$F$12:$F$106,'RFM Input'!$F23,'CPA1'!$E$12:$E$106,'RFM Input'!$E23)/1000000</f>
        <v>0.34774729819808164</v>
      </c>
    </row>
    <row r="24" spans="4:22" x14ac:dyDescent="0.2">
      <c r="D24" t="s">
        <v>57</v>
      </c>
      <c r="E24" s="14" t="s">
        <v>51</v>
      </c>
      <c r="F24" t="s">
        <v>53</v>
      </c>
      <c r="P24" s="15">
        <f>SUMIFS('CPA1'!P$12:P$106,'CPA1'!$D$12:$D$106,'RFM Input'!$D24,'CPA1'!$F$12:$F$106,'RFM Input'!$F24,'CPA1'!$E$12:$E$106,'RFM Input'!$E24)/1000000</f>
        <v>0.33122340763554431</v>
      </c>
      <c r="Q24" s="15">
        <f>SUMIFS('CPA1'!Q$12:Q$106,'CPA1'!$D$12:$D$106,'RFM Input'!$D24,'CPA1'!$F$12:$F$106,'RFM Input'!$F24,'CPA1'!$E$12:$E$106,'RFM Input'!$E24)/1000000</f>
        <v>1.4799638634425911</v>
      </c>
      <c r="R24" s="15">
        <f>SUMIFS('CPA1'!R$12:R$106,'CPA1'!$D$12:$D$106,'RFM Input'!$D24,'CPA1'!$F$12:$F$106,'RFM Input'!$F24,'CPA1'!$E$12:$E$106,'RFM Input'!$E24)/1000000</f>
        <v>0.62892206261624861</v>
      </c>
    </row>
    <row r="25" spans="4:22" x14ac:dyDescent="0.2">
      <c r="D25" t="s">
        <v>57</v>
      </c>
      <c r="E25" s="14" t="s">
        <v>51</v>
      </c>
      <c r="F25" t="s">
        <v>54</v>
      </c>
      <c r="P25" s="15">
        <f>SUMIFS('CPA1'!P$12:P$106,'CPA1'!$D$12:$D$106,'RFM Input'!$D25,'CPA1'!$F$12:$F$106,'RFM Input'!$F25,'CPA1'!$E$12:$E$106,'RFM Input'!$E25)/1000000</f>
        <v>0</v>
      </c>
      <c r="Q25" s="15">
        <f>SUMIFS('CPA1'!Q$12:Q$106,'CPA1'!$D$12:$D$106,'RFM Input'!$D25,'CPA1'!$F$12:$F$106,'RFM Input'!$F25,'CPA1'!$E$12:$E$106,'RFM Input'!$E25)/1000000</f>
        <v>0</v>
      </c>
      <c r="R25" s="15">
        <f>SUMIFS('CPA1'!R$12:R$106,'CPA1'!$D$12:$D$106,'RFM Input'!$D25,'CPA1'!$F$12:$F$106,'RFM Input'!$F25,'CPA1'!$E$12:$E$106,'RFM Input'!$E25)/1000000</f>
        <v>0</v>
      </c>
    </row>
    <row r="26" spans="4:22" x14ac:dyDescent="0.2">
      <c r="D26" t="s">
        <v>58</v>
      </c>
      <c r="E26" s="14" t="s">
        <v>51</v>
      </c>
      <c r="F26" t="s">
        <v>52</v>
      </c>
      <c r="P26" s="15">
        <f>SUMIFS('CPA1'!P$12:P$106,'CPA1'!$D$12:$D$106,'RFM Input'!$D26,'CPA1'!$F$12:$F$106,'RFM Input'!$F26,'CPA1'!$E$12:$E$106,'RFM Input'!$E26)/1000000</f>
        <v>0.74468815975157898</v>
      </c>
      <c r="Q26" s="15">
        <f>SUMIFS('CPA1'!Q$12:Q$106,'CPA1'!$D$12:$D$106,'RFM Input'!$D26,'CPA1'!$F$12:$F$106,'RFM Input'!$F26,'CPA1'!$E$12:$E$106,'RFM Input'!$E26)/1000000</f>
        <v>0.70970938269218742</v>
      </c>
      <c r="R26" s="15">
        <f>SUMIFS('CPA1'!R$12:R$106,'CPA1'!$D$12:$D$106,'RFM Input'!$D26,'CPA1'!$F$12:$F$106,'RFM Input'!$F26,'CPA1'!$E$12:$E$106,'RFM Input'!$E26)/1000000</f>
        <v>0.20616985455608089</v>
      </c>
    </row>
    <row r="27" spans="4:22" x14ac:dyDescent="0.2">
      <c r="D27" t="s">
        <v>58</v>
      </c>
      <c r="E27" s="14" t="s">
        <v>51</v>
      </c>
      <c r="F27" t="s">
        <v>53</v>
      </c>
      <c r="P27" s="15">
        <f>SUMIFS('CPA1'!P$12:P$106,'CPA1'!$D$12:$D$106,'RFM Input'!$D27,'CPA1'!$F$12:$F$106,'RFM Input'!$F27,'CPA1'!$E$12:$E$106,'RFM Input'!$E27)/1000000</f>
        <v>2.3286178842308529</v>
      </c>
      <c r="Q27" s="15">
        <f>SUMIFS('CPA1'!Q$12:Q$106,'CPA1'!$D$12:$D$106,'RFM Input'!$D27,'CPA1'!$F$12:$F$106,'RFM Input'!$F27,'CPA1'!$E$12:$E$106,'RFM Input'!$E27)/1000000</f>
        <v>2.3820081075497419</v>
      </c>
      <c r="R27" s="15">
        <f>SUMIFS('CPA1'!R$12:R$106,'CPA1'!$D$12:$D$106,'RFM Input'!$D27,'CPA1'!$F$12:$F$106,'RFM Input'!$F27,'CPA1'!$E$12:$E$106,'RFM Input'!$E27)/1000000</f>
        <v>0.30888524915894167</v>
      </c>
    </row>
    <row r="28" spans="4:22" x14ac:dyDescent="0.2">
      <c r="D28" t="s">
        <v>58</v>
      </c>
      <c r="E28" s="14" t="s">
        <v>51</v>
      </c>
      <c r="F28" t="s">
        <v>54</v>
      </c>
      <c r="P28" s="15">
        <f>SUMIFS('CPA1'!P$12:P$106,'CPA1'!$D$12:$D$106,'RFM Input'!$D28,'CPA1'!$F$12:$F$106,'RFM Input'!$F28,'CPA1'!$E$12:$E$106,'RFM Input'!$E28)/1000000</f>
        <v>0</v>
      </c>
      <c r="Q28" s="15">
        <f>SUMIFS('CPA1'!Q$12:Q$106,'CPA1'!$D$12:$D$106,'RFM Input'!$D28,'CPA1'!$F$12:$F$106,'RFM Input'!$F28,'CPA1'!$E$12:$E$106,'RFM Input'!$E28)/1000000</f>
        <v>0</v>
      </c>
      <c r="R28" s="15">
        <f>SUMIFS('CPA1'!R$12:R$106,'CPA1'!$D$12:$D$106,'RFM Input'!$D28,'CPA1'!$F$12:$F$106,'RFM Input'!$F28,'CPA1'!$E$12:$E$106,'RFM Input'!$E28)/1000000</f>
        <v>0</v>
      </c>
    </row>
    <row r="29" spans="4:22" x14ac:dyDescent="0.2">
      <c r="D29" t="s">
        <v>59</v>
      </c>
      <c r="E29" s="14" t="s">
        <v>51</v>
      </c>
      <c r="F29" t="s">
        <v>52</v>
      </c>
      <c r="P29" s="15">
        <f>SUMIFS('CPA1'!P$12:P$106,'CPA1'!$D$12:$D$106,'RFM Input'!$D29,'CPA1'!$F$12:$F$106,'RFM Input'!$F29,'CPA1'!$E$12:$E$106,'RFM Input'!$E29)/1000000</f>
        <v>1.654901742704878</v>
      </c>
      <c r="Q29" s="15">
        <f>SUMIFS('CPA1'!Q$12:Q$106,'CPA1'!$D$12:$D$106,'RFM Input'!$D29,'CPA1'!$F$12:$F$106,'RFM Input'!$F29,'CPA1'!$E$12:$E$106,'RFM Input'!$E29)/1000000</f>
        <v>2.4483195897279804</v>
      </c>
      <c r="R29" s="15">
        <f>SUMIFS('CPA1'!R$12:R$106,'CPA1'!$D$12:$D$106,'RFM Input'!$D29,'CPA1'!$F$12:$F$106,'RFM Input'!$F29,'CPA1'!$E$12:$E$106,'RFM Input'!$E29)/1000000</f>
        <v>0.54790852423154746</v>
      </c>
    </row>
    <row r="30" spans="4:22" x14ac:dyDescent="0.2">
      <c r="D30" t="s">
        <v>59</v>
      </c>
      <c r="E30" s="14" t="s">
        <v>51</v>
      </c>
      <c r="F30" t="s">
        <v>53</v>
      </c>
      <c r="P30" s="15">
        <f>SUMIFS('CPA1'!P$12:P$106,'CPA1'!$D$12:$D$106,'RFM Input'!$D30,'CPA1'!$F$12:$F$106,'RFM Input'!$F30,'CPA1'!$E$12:$E$106,'RFM Input'!$E30)/1000000</f>
        <v>0.8461492101356628</v>
      </c>
      <c r="Q30" s="15">
        <f>SUMIFS('CPA1'!Q$12:Q$106,'CPA1'!$D$12:$D$106,'RFM Input'!$D30,'CPA1'!$F$12:$F$106,'RFM Input'!$F30,'CPA1'!$E$12:$E$106,'RFM Input'!$E30)/1000000</f>
        <v>1.8978119800550159</v>
      </c>
      <c r="R30" s="15">
        <f>SUMIFS('CPA1'!R$12:R$106,'CPA1'!$D$12:$D$106,'RFM Input'!$D30,'CPA1'!$F$12:$F$106,'RFM Input'!$F30,'CPA1'!$E$12:$E$106,'RFM Input'!$E30)/1000000</f>
        <v>0.80356624942849109</v>
      </c>
      <c r="V30" s="17"/>
    </row>
    <row r="31" spans="4:22" x14ac:dyDescent="0.2">
      <c r="D31" t="s">
        <v>59</v>
      </c>
      <c r="E31" s="14" t="s">
        <v>51</v>
      </c>
      <c r="F31" t="s">
        <v>54</v>
      </c>
      <c r="P31" s="15">
        <f>SUMIFS('CPA1'!P$12:P$106,'CPA1'!$D$12:$D$106,'RFM Input'!$D31,'CPA1'!$F$12:$F$106,'RFM Input'!$F31,'CPA1'!$E$12:$E$106,'RFM Input'!$E31)/1000000</f>
        <v>0</v>
      </c>
      <c r="Q31" s="15">
        <f>SUMIFS('CPA1'!Q$12:Q$106,'CPA1'!$D$12:$D$106,'RFM Input'!$D31,'CPA1'!$F$12:$F$106,'RFM Input'!$F31,'CPA1'!$E$12:$E$106,'RFM Input'!$E31)/1000000</f>
        <v>0</v>
      </c>
      <c r="R31" s="15">
        <f>SUMIFS('CPA1'!R$12:R$106,'CPA1'!$D$12:$D$106,'RFM Input'!$D31,'CPA1'!$F$12:$F$106,'RFM Input'!$F31,'CPA1'!$E$12:$E$106,'RFM Input'!$E31)/1000000</f>
        <v>0</v>
      </c>
    </row>
    <row r="32" spans="4:22" x14ac:dyDescent="0.2">
      <c r="D32" t="s">
        <v>60</v>
      </c>
      <c r="E32" s="14" t="s">
        <v>51</v>
      </c>
      <c r="F32" t="s">
        <v>52</v>
      </c>
      <c r="P32" s="15">
        <f>SUMIFS('CPA1'!P$12:P$106,'CPA1'!$D$12:$D$106,'RFM Input'!$D32,'CPA1'!$F$12:$F$106,'RFM Input'!$F32,'CPA1'!$E$12:$E$106,'RFM Input'!$E32)/1000000</f>
        <v>0</v>
      </c>
      <c r="Q32" s="15">
        <f>SUMIFS('CPA1'!Q$12:Q$106,'CPA1'!$D$12:$D$106,'RFM Input'!$D32,'CPA1'!$F$12:$F$106,'RFM Input'!$F32,'CPA1'!$E$12:$E$106,'RFM Input'!$E32)/1000000</f>
        <v>0</v>
      </c>
      <c r="R32" s="15">
        <f>SUMIFS('CPA1'!R$12:R$106,'CPA1'!$D$12:$D$106,'RFM Input'!$D32,'CPA1'!$F$12:$F$106,'RFM Input'!$F32,'CPA1'!$E$12:$E$106,'RFM Input'!$E32)/1000000</f>
        <v>0</v>
      </c>
    </row>
    <row r="33" spans="2:18" x14ac:dyDescent="0.2">
      <c r="D33" t="s">
        <v>60</v>
      </c>
      <c r="E33" s="14" t="s">
        <v>51</v>
      </c>
      <c r="F33" t="s">
        <v>53</v>
      </c>
      <c r="P33" s="15">
        <f>SUMIFS('CPA1'!P$12:P$106,'CPA1'!$D$12:$D$106,'RFM Input'!$D33,'CPA1'!$F$12:$F$106,'RFM Input'!$F33,'CPA1'!$E$12:$E$106,'RFM Input'!$E33)/1000000</f>
        <v>0</v>
      </c>
      <c r="Q33" s="15">
        <f>SUMIFS('CPA1'!Q$12:Q$106,'CPA1'!$D$12:$D$106,'RFM Input'!$D33,'CPA1'!$F$12:$F$106,'RFM Input'!$F33,'CPA1'!$E$12:$E$106,'RFM Input'!$E33)/1000000</f>
        <v>0</v>
      </c>
      <c r="R33" s="15">
        <f>SUMIFS('CPA1'!R$12:R$106,'CPA1'!$D$12:$D$106,'RFM Input'!$D33,'CPA1'!$F$12:$F$106,'RFM Input'!$F33,'CPA1'!$E$12:$E$106,'RFM Input'!$E33)/1000000</f>
        <v>9.8320236583786288E-2</v>
      </c>
    </row>
    <row r="34" spans="2:18" x14ac:dyDescent="0.2">
      <c r="D34" t="s">
        <v>60</v>
      </c>
      <c r="E34" s="14" t="s">
        <v>51</v>
      </c>
      <c r="F34" t="s">
        <v>54</v>
      </c>
      <c r="P34" s="15">
        <f>SUMIFS('CPA1'!P$12:P$106,'CPA1'!$D$12:$D$106,'RFM Input'!$D34,'CPA1'!$F$12:$F$106,'RFM Input'!$F34,'CPA1'!$E$12:$E$106,'RFM Input'!$E34)/1000000</f>
        <v>0</v>
      </c>
      <c r="Q34" s="15">
        <f>SUMIFS('CPA1'!Q$12:Q$106,'CPA1'!$D$12:$D$106,'RFM Input'!$D34,'CPA1'!$F$12:$F$106,'RFM Input'!$F34,'CPA1'!$E$12:$E$106,'RFM Input'!$E34)/1000000</f>
        <v>0</v>
      </c>
      <c r="R34" s="15">
        <f>SUMIFS('CPA1'!R$12:R$106,'CPA1'!$D$12:$D$106,'RFM Input'!$D34,'CPA1'!$F$12:$F$106,'RFM Input'!$F34,'CPA1'!$E$12:$E$106,'RFM Input'!$E34)/1000000</f>
        <v>0</v>
      </c>
    </row>
    <row r="35" spans="2:18" x14ac:dyDescent="0.2">
      <c r="D35" t="s">
        <v>11</v>
      </c>
      <c r="E35" s="14" t="s">
        <v>51</v>
      </c>
      <c r="P35" s="15">
        <f>SUM(P14:P34)</f>
        <v>12.23954063</v>
      </c>
      <c r="Q35" s="15">
        <f t="shared" ref="Q35:R35" si="0">SUM(Q14:Q34)</f>
        <v>18.076192130000003</v>
      </c>
      <c r="R35" s="15">
        <f t="shared" si="0"/>
        <v>4.7359685099999984</v>
      </c>
    </row>
    <row r="37" spans="2:18" x14ac:dyDescent="0.2">
      <c r="B37" s="13">
        <f>MAX($A$7:B36)+0.1</f>
        <v>1.2000000000000002</v>
      </c>
      <c r="C37" s="13" t="s">
        <v>65</v>
      </c>
    </row>
    <row r="38" spans="2:18" x14ac:dyDescent="0.2">
      <c r="B38" s="13"/>
      <c r="C38" s="13"/>
    </row>
    <row r="39" spans="2:18" x14ac:dyDescent="0.2">
      <c r="D39" t="s">
        <v>5</v>
      </c>
      <c r="E39" s="14" t="s">
        <v>51</v>
      </c>
      <c r="P39" s="15">
        <f>P$35*Inputs!$E15</f>
        <v>0.13384879703349947</v>
      </c>
      <c r="Q39" s="15">
        <f>Q$35*Inputs!$E15</f>
        <v>0.1976770734039314</v>
      </c>
      <c r="R39" s="15">
        <f>R$35*Inputs!$E15</f>
        <v>5.1791460726744176E-2</v>
      </c>
    </row>
    <row r="40" spans="2:18" x14ac:dyDescent="0.2">
      <c r="D40" t="s">
        <v>6</v>
      </c>
      <c r="E40" s="14" t="s">
        <v>51</v>
      </c>
      <c r="P40" s="15">
        <f>P$35*Inputs!$E16</f>
        <v>3.3885771400885938E-3</v>
      </c>
      <c r="Q40" s="15">
        <f>Q$35*Inputs!$E16</f>
        <v>5.0044828709856042E-3</v>
      </c>
      <c r="R40" s="15">
        <f>R$35*Inputs!$E16</f>
        <v>1.3111762209302321E-3</v>
      </c>
    </row>
    <row r="41" spans="2:18" x14ac:dyDescent="0.2">
      <c r="D41" t="s">
        <v>7</v>
      </c>
      <c r="E41" s="14" t="s">
        <v>51</v>
      </c>
      <c r="P41" s="15">
        <f>P$35*Inputs!$E17</f>
        <v>2.0079571223930639</v>
      </c>
      <c r="Q41" s="15">
        <f>Q$35*Inputs!$E17</f>
        <v>2.9654886429490901</v>
      </c>
      <c r="R41" s="15">
        <f>R$35*Inputs!$E17</f>
        <v>0.77695903698991708</v>
      </c>
    </row>
    <row r="42" spans="2:18" x14ac:dyDescent="0.2">
      <c r="D42" t="s">
        <v>8</v>
      </c>
      <c r="E42" s="14" t="s">
        <v>51</v>
      </c>
      <c r="P42" s="15">
        <f>P$35*Inputs!$E18</f>
        <v>0.36743545280904005</v>
      </c>
      <c r="Q42" s="15">
        <f>Q$35*Inputs!$E18</f>
        <v>0.54265384961181806</v>
      </c>
      <c r="R42" s="15">
        <f>R$35*Inputs!$E18</f>
        <v>0.14217549388217554</v>
      </c>
    </row>
    <row r="43" spans="2:18" x14ac:dyDescent="0.2">
      <c r="D43" t="s">
        <v>9</v>
      </c>
      <c r="E43" s="14" t="s">
        <v>51</v>
      </c>
      <c r="P43" s="15">
        <f>P$35*Inputs!$E19</f>
        <v>8.2830678425066786</v>
      </c>
      <c r="Q43" s="15">
        <f>Q$35*Inputs!$E19</f>
        <v>12.233002060549991</v>
      </c>
      <c r="R43" s="15">
        <f>R$35*Inputs!$E19</f>
        <v>3.2050507167036755</v>
      </c>
    </row>
    <row r="44" spans="2:18" x14ac:dyDescent="0.2">
      <c r="D44" t="s">
        <v>115</v>
      </c>
      <c r="E44" s="14" t="s">
        <v>51</v>
      </c>
      <c r="P44" s="15">
        <f>P$35*Inputs!$E20</f>
        <v>0.23242651053595678</v>
      </c>
      <c r="Q44" s="15">
        <f>Q$35*Inputs!$E20</f>
        <v>0.34326339423683294</v>
      </c>
      <c r="R44" s="15">
        <f>R$35*Inputs!$E20</f>
        <v>8.9935126493997694E-2</v>
      </c>
    </row>
    <row r="45" spans="2:18" x14ac:dyDescent="0.2">
      <c r="D45" t="s">
        <v>10</v>
      </c>
      <c r="E45" s="14" t="s">
        <v>51</v>
      </c>
      <c r="P45" s="15">
        <f>P$35*Inputs!$E21</f>
        <v>1.2114163275816721</v>
      </c>
      <c r="Q45" s="15">
        <f>Q$35*Inputs!$E21</f>
        <v>1.7891026263773533</v>
      </c>
      <c r="R45" s="15">
        <f>R$35*Inputs!$E21</f>
        <v>0.46874549898255796</v>
      </c>
    </row>
    <row r="46" spans="2:18" x14ac:dyDescent="0.2">
      <c r="D46" t="s">
        <v>11</v>
      </c>
      <c r="E46" s="14" t="s">
        <v>51</v>
      </c>
      <c r="P46" s="15">
        <f>SUM(P39:P45)</f>
        <v>12.239540629999999</v>
      </c>
      <c r="Q46" s="15">
        <f t="shared" ref="Q46:R46" si="1">SUM(Q39:Q45)</f>
        <v>18.076192130000003</v>
      </c>
      <c r="R46" s="15">
        <f t="shared" si="1"/>
        <v>4.7359685099999984</v>
      </c>
    </row>
    <row r="47" spans="2:18" ht="13.5" thickBot="1" x14ac:dyDescent="0.25">
      <c r="E47" s="14"/>
      <c r="P47" s="17"/>
      <c r="Q47" s="17"/>
      <c r="R47" s="17"/>
    </row>
    <row r="48" spans="2:18" ht="14.25" thickTop="1" thickBot="1" x14ac:dyDescent="0.25">
      <c r="D48" t="s">
        <v>68</v>
      </c>
      <c r="P48" s="18" t="b">
        <f>SUM(P46)=P35</f>
        <v>1</v>
      </c>
      <c r="Q48" s="18" t="b">
        <f t="shared" ref="Q48:R48" si="2">SUM(Q46)=Q35</f>
        <v>1</v>
      </c>
      <c r="R48" s="18" t="b">
        <f t="shared" si="2"/>
        <v>1</v>
      </c>
    </row>
    <row r="49" spans="1:261" ht="13.5" thickTop="1" x14ac:dyDescent="0.2"/>
    <row r="50" spans="1:261" x14ac:dyDescent="0.2">
      <c r="A50" s="11" t="s">
        <v>21</v>
      </c>
      <c r="B50" s="1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  <c r="IW50" s="12"/>
      <c r="IX50" s="12"/>
      <c r="IY50" s="12"/>
      <c r="IZ50" s="12"/>
      <c r="JA50" s="1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682C3-4E05-4EE5-B526-5F88F5458796}">
  <sheetPr codeName="Sheet4">
    <tabColor rgb="FFDA3289"/>
  </sheetPr>
  <dimension ref="A1:JA199"/>
  <sheetViews>
    <sheetView zoomScale="85" zoomScaleNormal="85" workbookViewId="0">
      <selection activeCell="Z220" sqref="Z220"/>
    </sheetView>
  </sheetViews>
  <sheetFormatPr defaultRowHeight="12.75" x14ac:dyDescent="0.2"/>
  <cols>
    <col min="1" max="2" width="4.5703125" customWidth="1"/>
    <col min="3" max="3" width="5.85546875" customWidth="1"/>
    <col min="4" max="4" width="35.28515625" customWidth="1"/>
    <col min="5" max="5" width="10.42578125" customWidth="1"/>
    <col min="6" max="6" width="17.85546875" customWidth="1"/>
    <col min="7" max="7" width="17.85546875" hidden="1" customWidth="1"/>
    <col min="8" max="8" width="0.85546875" hidden="1" customWidth="1"/>
    <col min="9" max="9" width="9.140625" hidden="1" customWidth="1"/>
    <col min="10" max="10" width="0.85546875" hidden="1" customWidth="1"/>
    <col min="11" max="11" width="9.140625" hidden="1" customWidth="1"/>
    <col min="12" max="12" width="0" hidden="1" customWidth="1"/>
    <col min="13" max="13" width="0.85546875" hidden="1" customWidth="1"/>
    <col min="14" max="14" width="0" hidden="1" customWidth="1"/>
    <col min="15" max="15" width="0.85546875" hidden="1" customWidth="1"/>
    <col min="16" max="25" width="12.7109375" customWidth="1"/>
    <col min="26" max="135" width="12.28515625" customWidth="1"/>
  </cols>
  <sheetData>
    <row r="1" spans="1:26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</row>
    <row r="2" spans="1:261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 t="s">
        <v>22</v>
      </c>
      <c r="P2" s="4">
        <f>'CPA1'!P2</f>
        <v>1</v>
      </c>
      <c r="Q2" s="4">
        <f>'CPA1'!Q2</f>
        <v>2</v>
      </c>
      <c r="R2" s="4">
        <f>'CPA1'!R2</f>
        <v>3</v>
      </c>
      <c r="S2" s="4">
        <f>'CPA1'!S2</f>
        <v>4</v>
      </c>
      <c r="T2" s="4">
        <f>'CPA1'!T2</f>
        <v>5</v>
      </c>
      <c r="U2" s="4">
        <f>'CPA1'!U2</f>
        <v>6</v>
      </c>
      <c r="V2" s="4">
        <f>'CPA1'!V2</f>
        <v>7</v>
      </c>
      <c r="W2" s="4">
        <f>'CPA1'!W2</f>
        <v>8</v>
      </c>
      <c r="X2" s="4">
        <f>'CPA1'!X2</f>
        <v>9</v>
      </c>
      <c r="Y2" s="4">
        <f>'CPA1'!Y2</f>
        <v>10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</row>
    <row r="3" spans="1:26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 t="s">
        <v>23</v>
      </c>
      <c r="P3" s="5">
        <f>'CPA1'!P3</f>
        <v>44378</v>
      </c>
      <c r="Q3" s="5">
        <f>'CPA1'!Q3</f>
        <v>44743</v>
      </c>
      <c r="R3" s="5">
        <f>'CPA1'!R3</f>
        <v>45108</v>
      </c>
      <c r="S3" s="5">
        <f>'CPA1'!S3</f>
        <v>45474</v>
      </c>
      <c r="T3" s="5">
        <f>'CPA1'!T3</f>
        <v>45839</v>
      </c>
      <c r="U3" s="5">
        <f>'CPA1'!U3</f>
        <v>46204</v>
      </c>
      <c r="V3" s="5">
        <f>'CPA1'!V3</f>
        <v>46569</v>
      </c>
      <c r="W3" s="5">
        <f>'CPA1'!W3</f>
        <v>46935</v>
      </c>
      <c r="X3" s="5">
        <f>'CPA1'!X3</f>
        <v>47300</v>
      </c>
      <c r="Y3" s="5">
        <f>'CPA1'!Y3</f>
        <v>47665</v>
      </c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</row>
    <row r="4" spans="1:26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 t="s">
        <v>24</v>
      </c>
      <c r="P4" s="5">
        <f>'CPA1'!P4</f>
        <v>44742</v>
      </c>
      <c r="Q4" s="5">
        <f>'CPA1'!Q4</f>
        <v>45107</v>
      </c>
      <c r="R4" s="5">
        <f>'CPA1'!R4</f>
        <v>45473</v>
      </c>
      <c r="S4" s="5">
        <f>'CPA1'!S4</f>
        <v>45838</v>
      </c>
      <c r="T4" s="5">
        <f>'CPA1'!T4</f>
        <v>46203</v>
      </c>
      <c r="U4" s="5">
        <f>'CPA1'!U4</f>
        <v>46568</v>
      </c>
      <c r="V4" s="5">
        <f>'CPA1'!V4</f>
        <v>46934</v>
      </c>
      <c r="W4" s="5">
        <f>'CPA1'!W4</f>
        <v>47299</v>
      </c>
      <c r="X4" s="5">
        <f>'CPA1'!X4</f>
        <v>47664</v>
      </c>
      <c r="Y4" s="5">
        <f>'CPA1'!Y4</f>
        <v>48029</v>
      </c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</row>
    <row r="5" spans="1:26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 t="s">
        <v>25</v>
      </c>
      <c r="P5" s="6" t="str">
        <f>'CPA1'!P5</f>
        <v>2021 - 22</v>
      </c>
      <c r="Q5" s="6" t="str">
        <f>'CPA1'!Q5</f>
        <v>2022 - 23</v>
      </c>
      <c r="R5" s="6" t="str">
        <f>'CPA1'!R5</f>
        <v>2023 - 24</v>
      </c>
      <c r="S5" s="6" t="str">
        <f>'CPA1'!S5</f>
        <v>2024 - 25</v>
      </c>
      <c r="T5" s="6" t="str">
        <f>'CPA1'!T5</f>
        <v>2025 - 26</v>
      </c>
      <c r="U5" s="6" t="str">
        <f>'CPA1'!U5</f>
        <v>2026 - 27</v>
      </c>
      <c r="V5" s="6" t="str">
        <f>'CPA1'!V5</f>
        <v>2027 - 28</v>
      </c>
      <c r="W5" s="6" t="str">
        <f>'CPA1'!W5</f>
        <v>2028 - 29</v>
      </c>
      <c r="X5" s="6" t="str">
        <f>'CPA1'!X5</f>
        <v>2029 - 30</v>
      </c>
      <c r="Y5" s="6" t="str">
        <f>'CPA1'!Y5</f>
        <v>2030 - 31</v>
      </c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</row>
    <row r="6" spans="1:261" ht="13.5" thickBo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 t="s">
        <v>39</v>
      </c>
      <c r="P6" s="9">
        <f>'CPA1'!P6</f>
        <v>365</v>
      </c>
      <c r="Q6" s="9">
        <f>'CPA1'!Q6</f>
        <v>365</v>
      </c>
      <c r="R6" s="9">
        <f>'CPA1'!R6</f>
        <v>366</v>
      </c>
      <c r="S6" s="9">
        <f>'CPA1'!S6</f>
        <v>365</v>
      </c>
      <c r="T6" s="9">
        <f>'CPA1'!T6</f>
        <v>365</v>
      </c>
      <c r="U6" s="9">
        <f>'CPA1'!U6</f>
        <v>365</v>
      </c>
      <c r="V6" s="9">
        <f>'CPA1'!V6</f>
        <v>366</v>
      </c>
      <c r="W6" s="9">
        <f>'CPA1'!W6</f>
        <v>365</v>
      </c>
      <c r="X6" s="9">
        <f>'CPA1'!X6</f>
        <v>365</v>
      </c>
      <c r="Y6" s="9">
        <f>'CPA1'!Y6</f>
        <v>365</v>
      </c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</row>
    <row r="8" spans="1:261" x14ac:dyDescent="0.2">
      <c r="A8" s="11">
        <f>MAX($A$7:A7)+1</f>
        <v>1</v>
      </c>
      <c r="B8" s="11" t="s">
        <v>66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</row>
    <row r="10" spans="1:261" x14ac:dyDescent="0.2">
      <c r="B10" s="13">
        <f>MAX($A$7:B9)+0.1</f>
        <v>1.1000000000000001</v>
      </c>
      <c r="C10" s="13" t="s">
        <v>95</v>
      </c>
    </row>
    <row r="11" spans="1:261" x14ac:dyDescent="0.2">
      <c r="B11" s="13"/>
      <c r="C11" s="13"/>
    </row>
    <row r="12" spans="1:261" x14ac:dyDescent="0.2">
      <c r="B12" s="13"/>
      <c r="C12" s="13">
        <f>MAX($A$7:C11)+0.01</f>
        <v>1.1100000000000001</v>
      </c>
      <c r="D12" s="31" t="s">
        <v>70</v>
      </c>
    </row>
    <row r="13" spans="1:261" x14ac:dyDescent="0.2">
      <c r="B13" s="13"/>
      <c r="C13" s="13"/>
      <c r="D13" s="31"/>
    </row>
    <row r="14" spans="1:261" x14ac:dyDescent="0.2">
      <c r="B14" s="13"/>
      <c r="C14" s="13"/>
      <c r="D14" t="s">
        <v>50</v>
      </c>
      <c r="E14" s="14" t="s">
        <v>51</v>
      </c>
      <c r="F14" t="s">
        <v>52</v>
      </c>
      <c r="P14" s="15">
        <f>SUMIFS('CPA1'!P$12:P$106,'CPA1'!$D$12:$D$106,$D14,'CPA1'!$F$12:$F$106,$F14,'CPA1'!$E$12:$E$106,"[Nominal]$")/1000000</f>
        <v>0.615937717180294</v>
      </c>
      <c r="Q14" s="15">
        <f>SUMIFS('CPA1'!Q$12:Q$106,'CPA1'!$D$12:$D$106,$D14,'CPA1'!$F$12:$F$106,$F14,'CPA1'!$E$12:$E$106,"[Nominal]$")/1000000</f>
        <v>0.64001201265195962</v>
      </c>
      <c r="R14" s="15">
        <f>SUMIFS('CPA1'!R$12:R$106,'CPA1'!$D$12:$D$106,$D14,'CPA1'!$F$12:$F$106,$F14,'CPA1'!$E$12:$E$106,"[Nominal]$")/1000000</f>
        <v>0.23941818541509849</v>
      </c>
      <c r="S14" s="15">
        <f>SUMIFS('CPA1'!S$12:S$106,'CPA1'!$D$12:$D$106,$D14,'CPA1'!$F$12:$F$106,$F14,'CPA1'!$E$12:$E$106,"[Nominal]$")/1000000</f>
        <v>0</v>
      </c>
      <c r="T14" s="15">
        <f>SUMIFS('CPA1'!T$12:T$106,'CPA1'!$D$12:$D$106,$D14,'CPA1'!$F$12:$F$106,$F14,'CPA1'!$E$12:$E$106,"[Nominal]$")/1000000</f>
        <v>0</v>
      </c>
    </row>
    <row r="15" spans="1:261" x14ac:dyDescent="0.2">
      <c r="B15" s="13"/>
      <c r="C15" s="13"/>
      <c r="D15" t="s">
        <v>50</v>
      </c>
      <c r="E15" s="14" t="s">
        <v>51</v>
      </c>
      <c r="F15" t="s">
        <v>53</v>
      </c>
      <c r="P15" s="15">
        <f>SUMIFS('CPA1'!P$12:P$106,'CPA1'!$D$12:$D$106,$D15,'CPA1'!$F$12:$F$106,$F15,'CPA1'!$E$12:$E$106,"[Nominal]$")/1000000</f>
        <v>0.73121998060011262</v>
      </c>
      <c r="Q15" s="15">
        <f>SUMIFS('CPA1'!Q$12:Q$106,'CPA1'!$D$12:$D$106,$D15,'CPA1'!$F$12:$F$106,$F15,'CPA1'!$E$12:$E$106,"[Nominal]$")/1000000</f>
        <v>0.63255125791915179</v>
      </c>
      <c r="R15" s="15">
        <f>SUMIFS('CPA1'!R$12:R$106,'CPA1'!$D$12:$D$106,$D15,'CPA1'!$F$12:$F$106,$F15,'CPA1'!$E$12:$E$106,"[Nominal]$")/1000000</f>
        <v>7.3908130592998764E-2</v>
      </c>
      <c r="S15" s="15">
        <f>SUMIFS('CPA1'!S$12:S$106,'CPA1'!$D$12:$D$106,$D15,'CPA1'!$F$12:$F$106,$F15,'CPA1'!$E$12:$E$106,"[Nominal]$")/1000000</f>
        <v>0</v>
      </c>
      <c r="T15" s="15">
        <f>SUMIFS('CPA1'!T$12:T$106,'CPA1'!$D$12:$D$106,$D15,'CPA1'!$F$12:$F$106,$F15,'CPA1'!$E$12:$E$106,"[Nominal]$")/1000000</f>
        <v>0</v>
      </c>
    </row>
    <row r="16" spans="1:261" x14ac:dyDescent="0.2">
      <c r="B16" s="13"/>
      <c r="C16" s="13"/>
      <c r="D16" t="s">
        <v>50</v>
      </c>
      <c r="E16" s="14" t="s">
        <v>51</v>
      </c>
      <c r="F16" t="s">
        <v>54</v>
      </c>
      <c r="P16" s="15">
        <f>SUMIFS('CPA1'!P$12:P$106,'CPA1'!$D$12:$D$106,$D16,'CPA1'!$F$12:$F$106,$F16,'CPA1'!$E$12:$E$106,"[Nominal]$")/1000000</f>
        <v>0</v>
      </c>
      <c r="Q16" s="15">
        <f>SUMIFS('CPA1'!Q$12:Q$106,'CPA1'!$D$12:$D$106,$D16,'CPA1'!$F$12:$F$106,$F16,'CPA1'!$E$12:$E$106,"[Nominal]$")/1000000</f>
        <v>0</v>
      </c>
      <c r="R16" s="15">
        <f>SUMIFS('CPA1'!R$12:R$106,'CPA1'!$D$12:$D$106,$D16,'CPA1'!$F$12:$F$106,$F16,'CPA1'!$E$12:$E$106,"[Nominal]$")/1000000</f>
        <v>0</v>
      </c>
      <c r="S16" s="15">
        <f>SUMIFS('CPA1'!S$12:S$106,'CPA1'!$D$12:$D$106,$D16,'CPA1'!$F$12:$F$106,$F16,'CPA1'!$E$12:$E$106,"[Nominal]$")/1000000</f>
        <v>0</v>
      </c>
      <c r="T16" s="15">
        <f>SUMIFS('CPA1'!T$12:T$106,'CPA1'!$D$12:$D$106,$D16,'CPA1'!$F$12:$F$106,$F16,'CPA1'!$E$12:$E$106,"[Nominal]$")/1000000</f>
        <v>0</v>
      </c>
    </row>
    <row r="17" spans="2:20" x14ac:dyDescent="0.2">
      <c r="B17" s="13"/>
      <c r="C17" s="13"/>
      <c r="D17" t="s">
        <v>55</v>
      </c>
      <c r="E17" s="14" t="s">
        <v>51</v>
      </c>
      <c r="F17" t="s">
        <v>52</v>
      </c>
      <c r="P17" s="15">
        <f>SUMIFS('CPA1'!P$12:P$106,'CPA1'!$D$12:$D$106,$D17,'CPA1'!$F$12:$F$106,$F17,'CPA1'!$E$12:$E$106,"[Nominal]$")/1000000</f>
        <v>0.27209343894412602</v>
      </c>
      <c r="Q17" s="15">
        <f>SUMIFS('CPA1'!Q$12:Q$106,'CPA1'!$D$12:$D$106,$D17,'CPA1'!$F$12:$F$106,$F17,'CPA1'!$E$12:$E$106,"[Nominal]$")/1000000</f>
        <v>0.70973493112583519</v>
      </c>
      <c r="R17" s="15">
        <f>SUMIFS('CPA1'!R$12:R$106,'CPA1'!$D$12:$D$106,$D17,'CPA1'!$F$12:$F$106,$F17,'CPA1'!$E$12:$E$106,"[Nominal]$")/1000000</f>
        <v>0.38466420695974224</v>
      </c>
      <c r="S17" s="15">
        <f>SUMIFS('CPA1'!S$12:S$106,'CPA1'!$D$12:$D$106,$D17,'CPA1'!$F$12:$F$106,$F17,'CPA1'!$E$12:$E$106,"[Nominal]$")/1000000</f>
        <v>0</v>
      </c>
      <c r="T17" s="15">
        <f>SUMIFS('CPA1'!T$12:T$106,'CPA1'!$D$12:$D$106,$D17,'CPA1'!$F$12:$F$106,$F17,'CPA1'!$E$12:$E$106,"[Nominal]$")/1000000</f>
        <v>0</v>
      </c>
    </row>
    <row r="18" spans="2:20" x14ac:dyDescent="0.2">
      <c r="B18" s="13"/>
      <c r="C18" s="13"/>
      <c r="D18" t="s">
        <v>55</v>
      </c>
      <c r="E18" s="14" t="s">
        <v>51</v>
      </c>
      <c r="F18" t="s">
        <v>53</v>
      </c>
      <c r="P18" s="15">
        <f>SUMIFS('CPA1'!P$12:P$106,'CPA1'!$D$12:$D$106,$D18,'CPA1'!$F$12:$F$106,$F18,'CPA1'!$E$12:$E$106,"[Nominal]$")/1000000</f>
        <v>1.2984332583649816</v>
      </c>
      <c r="Q18" s="15">
        <f>SUMIFS('CPA1'!Q$12:Q$106,'CPA1'!$D$12:$D$106,$D18,'CPA1'!$F$12:$F$106,$F18,'CPA1'!$E$12:$E$106,"[Nominal]$")/1000000</f>
        <v>1.4077210199939139</v>
      </c>
      <c r="R18" s="15">
        <f>SUMIFS('CPA1'!R$12:R$106,'CPA1'!$D$12:$D$106,$D18,'CPA1'!$F$12:$F$106,$F18,'CPA1'!$E$12:$E$106,"[Nominal]$")/1000000</f>
        <v>0.38247111711645182</v>
      </c>
      <c r="S18" s="15">
        <f>SUMIFS('CPA1'!S$12:S$106,'CPA1'!$D$12:$D$106,$D18,'CPA1'!$F$12:$F$106,$F18,'CPA1'!$E$12:$E$106,"[Nominal]$")/1000000</f>
        <v>0</v>
      </c>
      <c r="T18" s="15">
        <f>SUMIFS('CPA1'!T$12:T$106,'CPA1'!$D$12:$D$106,$D18,'CPA1'!$F$12:$F$106,$F18,'CPA1'!$E$12:$E$106,"[Nominal]$")/1000000</f>
        <v>0</v>
      </c>
    </row>
    <row r="19" spans="2:20" x14ac:dyDescent="0.2">
      <c r="B19" s="13"/>
      <c r="C19" s="13"/>
      <c r="D19" t="s">
        <v>55</v>
      </c>
      <c r="E19" s="14" t="s">
        <v>51</v>
      </c>
      <c r="F19" t="s">
        <v>54</v>
      </c>
      <c r="P19" s="15">
        <f>SUMIFS('CPA1'!P$12:P$106,'CPA1'!$D$12:$D$106,$D19,'CPA1'!$F$12:$F$106,$F19,'CPA1'!$E$12:$E$106,"[Nominal]$")/1000000</f>
        <v>0</v>
      </c>
      <c r="Q19" s="15">
        <f>SUMIFS('CPA1'!Q$12:Q$106,'CPA1'!$D$12:$D$106,$D19,'CPA1'!$F$12:$F$106,$F19,'CPA1'!$E$12:$E$106,"[Nominal]$")/1000000</f>
        <v>0</v>
      </c>
      <c r="R19" s="15">
        <f>SUMIFS('CPA1'!R$12:R$106,'CPA1'!$D$12:$D$106,$D19,'CPA1'!$F$12:$F$106,$F19,'CPA1'!$E$12:$E$106,"[Nominal]$")/1000000</f>
        <v>0</v>
      </c>
      <c r="S19" s="15">
        <f>SUMIFS('CPA1'!S$12:S$106,'CPA1'!$D$12:$D$106,$D19,'CPA1'!$F$12:$F$106,$F19,'CPA1'!$E$12:$E$106,"[Nominal]$")/1000000</f>
        <v>0</v>
      </c>
      <c r="T19" s="15">
        <f>SUMIFS('CPA1'!T$12:T$106,'CPA1'!$D$12:$D$106,$D19,'CPA1'!$F$12:$F$106,$F19,'CPA1'!$E$12:$E$106,"[Nominal]$")/1000000</f>
        <v>0</v>
      </c>
    </row>
    <row r="20" spans="2:20" x14ac:dyDescent="0.2">
      <c r="B20" s="13"/>
      <c r="C20" s="13"/>
      <c r="D20" t="s">
        <v>56</v>
      </c>
      <c r="E20" s="14" t="s">
        <v>51</v>
      </c>
      <c r="F20" t="s">
        <v>52</v>
      </c>
      <c r="P20" s="15">
        <f>SUMIFS('CPA1'!P$12:P$106,'CPA1'!$D$12:$D$106,$D20,'CPA1'!$F$12:$F$106,$F20,'CPA1'!$E$12:$E$106,"[Nominal]$")/1000000</f>
        <v>0.17017158237701221</v>
      </c>
      <c r="Q20" s="15">
        <f>SUMIFS('CPA1'!Q$12:Q$106,'CPA1'!$D$12:$D$106,$D20,'CPA1'!$F$12:$F$106,$F20,'CPA1'!$E$12:$E$106,"[Nominal]$")/1000000</f>
        <v>0.38807395508879661</v>
      </c>
      <c r="R20" s="15">
        <f>SUMIFS('CPA1'!R$12:R$106,'CPA1'!$D$12:$D$106,$D20,'CPA1'!$F$12:$F$106,$F20,'CPA1'!$E$12:$E$106,"[Nominal]$")/1000000</f>
        <v>0.12852720634120596</v>
      </c>
      <c r="S20" s="15">
        <f>SUMIFS('CPA1'!S$12:S$106,'CPA1'!$D$12:$D$106,$D20,'CPA1'!$F$12:$F$106,$F20,'CPA1'!$E$12:$E$106,"[Nominal]$")/1000000</f>
        <v>0</v>
      </c>
      <c r="T20" s="15">
        <f>SUMIFS('CPA1'!T$12:T$106,'CPA1'!$D$12:$D$106,$D20,'CPA1'!$F$12:$F$106,$F20,'CPA1'!$E$12:$E$106,"[Nominal]$")/1000000</f>
        <v>0</v>
      </c>
    </row>
    <row r="21" spans="2:20" x14ac:dyDescent="0.2">
      <c r="B21" s="13"/>
      <c r="C21" s="13"/>
      <c r="D21" t="s">
        <v>56</v>
      </c>
      <c r="E21" s="14" t="s">
        <v>51</v>
      </c>
      <c r="F21" t="s">
        <v>53</v>
      </c>
      <c r="P21" s="15">
        <f>SUMIFS('CPA1'!P$12:P$106,'CPA1'!$D$12:$D$106,$D21,'CPA1'!$F$12:$F$106,$F21,'CPA1'!$E$12:$E$106,"[Nominal]$")/1000000</f>
        <v>2.6443996899092035</v>
      </c>
      <c r="Q21" s="15">
        <f>SUMIFS('CPA1'!Q$12:Q$106,'CPA1'!$D$12:$D$106,$D21,'CPA1'!$F$12:$F$106,$F21,'CPA1'!$E$12:$E$106,"[Nominal]$")/1000000</f>
        <v>4.2920005317095242</v>
      </c>
      <c r="R21" s="15">
        <f>SUMIFS('CPA1'!R$12:R$106,'CPA1'!$D$12:$D$106,$D21,'CPA1'!$F$12:$F$106,$F21,'CPA1'!$E$12:$E$106,"[Nominal]$")/1000000</f>
        <v>0.58546018880132278</v>
      </c>
      <c r="S21" s="15">
        <f>SUMIFS('CPA1'!S$12:S$106,'CPA1'!$D$12:$D$106,$D21,'CPA1'!$F$12:$F$106,$F21,'CPA1'!$E$12:$E$106,"[Nominal]$")/1000000</f>
        <v>0</v>
      </c>
      <c r="T21" s="15">
        <f>SUMIFS('CPA1'!T$12:T$106,'CPA1'!$D$12:$D$106,$D21,'CPA1'!$F$12:$F$106,$F21,'CPA1'!$E$12:$E$106,"[Nominal]$")/1000000</f>
        <v>0</v>
      </c>
    </row>
    <row r="22" spans="2:20" x14ac:dyDescent="0.2">
      <c r="B22" s="13"/>
      <c r="C22" s="13"/>
      <c r="D22" t="s">
        <v>56</v>
      </c>
      <c r="E22" s="14" t="s">
        <v>51</v>
      </c>
      <c r="F22" t="s">
        <v>54</v>
      </c>
      <c r="P22" s="15">
        <f>SUMIFS('CPA1'!P$12:P$106,'CPA1'!$D$12:$D$106,$D22,'CPA1'!$F$12:$F$106,$F22,'CPA1'!$E$12:$E$106,"[Nominal]$")/1000000</f>
        <v>0</v>
      </c>
      <c r="Q22" s="15">
        <f>SUMIFS('CPA1'!Q$12:Q$106,'CPA1'!$D$12:$D$106,$D22,'CPA1'!$F$12:$F$106,$F22,'CPA1'!$E$12:$E$106,"[Nominal]$")/1000000</f>
        <v>0</v>
      </c>
      <c r="R22" s="15">
        <f>SUMIFS('CPA1'!R$12:R$106,'CPA1'!$D$12:$D$106,$D22,'CPA1'!$F$12:$F$106,$F22,'CPA1'!$E$12:$E$106,"[Nominal]$")/1000000</f>
        <v>0</v>
      </c>
      <c r="S22" s="15">
        <f>SUMIFS('CPA1'!S$12:S$106,'CPA1'!$D$12:$D$106,$D22,'CPA1'!$F$12:$F$106,$F22,'CPA1'!$E$12:$E$106,"[Nominal]$")/1000000</f>
        <v>0</v>
      </c>
      <c r="T22" s="15">
        <f>SUMIFS('CPA1'!T$12:T$106,'CPA1'!$D$12:$D$106,$D22,'CPA1'!$F$12:$F$106,$F22,'CPA1'!$E$12:$E$106,"[Nominal]$")/1000000</f>
        <v>0</v>
      </c>
    </row>
    <row r="23" spans="2:20" x14ac:dyDescent="0.2">
      <c r="B23" s="13"/>
      <c r="C23" s="13"/>
      <c r="D23" t="s">
        <v>57</v>
      </c>
      <c r="E23" s="14" t="s">
        <v>51</v>
      </c>
      <c r="F23" t="s">
        <v>52</v>
      </c>
      <c r="P23" s="15">
        <f>SUMIFS('CPA1'!P$12:P$106,'CPA1'!$D$12:$D$106,$D23,'CPA1'!$F$12:$F$106,$F23,'CPA1'!$E$12:$E$106,"[Nominal]$")/1000000</f>
        <v>0.60170455816575419</v>
      </c>
      <c r="Q23" s="15">
        <f>SUMIFS('CPA1'!Q$12:Q$106,'CPA1'!$D$12:$D$106,$D23,'CPA1'!$F$12:$F$106,$F23,'CPA1'!$E$12:$E$106,"[Nominal]$")/1000000</f>
        <v>1.0882854980433014</v>
      </c>
      <c r="R23" s="15">
        <f>SUMIFS('CPA1'!R$12:R$106,'CPA1'!$D$12:$D$106,$D23,'CPA1'!$F$12:$F$106,$F23,'CPA1'!$E$12:$E$106,"[Nominal]$")/1000000</f>
        <v>0.34774729819808164</v>
      </c>
      <c r="S23" s="15">
        <f>SUMIFS('CPA1'!S$12:S$106,'CPA1'!$D$12:$D$106,$D23,'CPA1'!$F$12:$F$106,$F23,'CPA1'!$E$12:$E$106,"[Nominal]$")/1000000</f>
        <v>0</v>
      </c>
      <c r="T23" s="15">
        <f>SUMIFS('CPA1'!T$12:T$106,'CPA1'!$D$12:$D$106,$D23,'CPA1'!$F$12:$F$106,$F23,'CPA1'!$E$12:$E$106,"[Nominal]$")/1000000</f>
        <v>0</v>
      </c>
    </row>
    <row r="24" spans="2:20" x14ac:dyDescent="0.2">
      <c r="B24" s="13"/>
      <c r="C24" s="13"/>
      <c r="D24" t="s">
        <v>57</v>
      </c>
      <c r="E24" s="14" t="s">
        <v>51</v>
      </c>
      <c r="F24" t="s">
        <v>53</v>
      </c>
      <c r="P24" s="15">
        <f>SUMIFS('CPA1'!P$12:P$106,'CPA1'!$D$12:$D$106,$D24,'CPA1'!$F$12:$F$106,$F24,'CPA1'!$E$12:$E$106,"[Nominal]$")/1000000</f>
        <v>0.33122340763554431</v>
      </c>
      <c r="Q24" s="15">
        <f>SUMIFS('CPA1'!Q$12:Q$106,'CPA1'!$D$12:$D$106,$D24,'CPA1'!$F$12:$F$106,$F24,'CPA1'!$E$12:$E$106,"[Nominal]$")/1000000</f>
        <v>1.4799638634425911</v>
      </c>
      <c r="R24" s="15">
        <f>SUMIFS('CPA1'!R$12:R$106,'CPA1'!$D$12:$D$106,$D24,'CPA1'!$F$12:$F$106,$F24,'CPA1'!$E$12:$E$106,"[Nominal]$")/1000000</f>
        <v>0.62892206261624861</v>
      </c>
      <c r="S24" s="15">
        <f>SUMIFS('CPA1'!S$12:S$106,'CPA1'!$D$12:$D$106,$D24,'CPA1'!$F$12:$F$106,$F24,'CPA1'!$E$12:$E$106,"[Nominal]$")/1000000</f>
        <v>0</v>
      </c>
      <c r="T24" s="15">
        <f>SUMIFS('CPA1'!T$12:T$106,'CPA1'!$D$12:$D$106,$D24,'CPA1'!$F$12:$F$106,$F24,'CPA1'!$E$12:$E$106,"[Nominal]$")/1000000</f>
        <v>0</v>
      </c>
    </row>
    <row r="25" spans="2:20" x14ac:dyDescent="0.2">
      <c r="B25" s="13"/>
      <c r="C25" s="13"/>
      <c r="D25" t="s">
        <v>57</v>
      </c>
      <c r="E25" s="14" t="s">
        <v>51</v>
      </c>
      <c r="F25" t="s">
        <v>54</v>
      </c>
      <c r="P25" s="15">
        <f>SUMIFS('CPA1'!P$12:P$106,'CPA1'!$D$12:$D$106,$D25,'CPA1'!$F$12:$F$106,$F25,'CPA1'!$E$12:$E$106,"[Nominal]$")/1000000</f>
        <v>0</v>
      </c>
      <c r="Q25" s="15">
        <f>SUMIFS('CPA1'!Q$12:Q$106,'CPA1'!$D$12:$D$106,$D25,'CPA1'!$F$12:$F$106,$F25,'CPA1'!$E$12:$E$106,"[Nominal]$")/1000000</f>
        <v>0</v>
      </c>
      <c r="R25" s="15">
        <f>SUMIFS('CPA1'!R$12:R$106,'CPA1'!$D$12:$D$106,$D25,'CPA1'!$F$12:$F$106,$F25,'CPA1'!$E$12:$E$106,"[Nominal]$")/1000000</f>
        <v>0</v>
      </c>
      <c r="S25" s="15">
        <f>SUMIFS('CPA1'!S$12:S$106,'CPA1'!$D$12:$D$106,$D25,'CPA1'!$F$12:$F$106,$F25,'CPA1'!$E$12:$E$106,"[Nominal]$")/1000000</f>
        <v>0</v>
      </c>
      <c r="T25" s="15">
        <f>SUMIFS('CPA1'!T$12:T$106,'CPA1'!$D$12:$D$106,$D25,'CPA1'!$F$12:$F$106,$F25,'CPA1'!$E$12:$E$106,"[Nominal]$")/1000000</f>
        <v>0</v>
      </c>
    </row>
    <row r="26" spans="2:20" x14ac:dyDescent="0.2">
      <c r="B26" s="13"/>
      <c r="C26" s="13"/>
      <c r="D26" t="s">
        <v>58</v>
      </c>
      <c r="E26" s="14" t="s">
        <v>51</v>
      </c>
      <c r="F26" t="s">
        <v>52</v>
      </c>
      <c r="P26" s="15">
        <f>SUMIFS('CPA1'!P$12:P$106,'CPA1'!$D$12:$D$106,$D26,'CPA1'!$F$12:$F$106,$F26,'CPA1'!$E$12:$E$106,"[Nominal]$")/1000000</f>
        <v>0.74468815975157898</v>
      </c>
      <c r="Q26" s="15">
        <f>SUMIFS('CPA1'!Q$12:Q$106,'CPA1'!$D$12:$D$106,$D26,'CPA1'!$F$12:$F$106,$F26,'CPA1'!$E$12:$E$106,"[Nominal]$")/1000000</f>
        <v>0.70970938269218742</v>
      </c>
      <c r="R26" s="15">
        <f>SUMIFS('CPA1'!R$12:R$106,'CPA1'!$D$12:$D$106,$D26,'CPA1'!$F$12:$F$106,$F26,'CPA1'!$E$12:$E$106,"[Nominal]$")/1000000</f>
        <v>0.20616985455608089</v>
      </c>
      <c r="S26" s="15">
        <f>SUMIFS('CPA1'!S$12:S$106,'CPA1'!$D$12:$D$106,$D26,'CPA1'!$F$12:$F$106,$F26,'CPA1'!$E$12:$E$106,"[Nominal]$")/1000000</f>
        <v>0</v>
      </c>
      <c r="T26" s="15">
        <f>SUMIFS('CPA1'!T$12:T$106,'CPA1'!$D$12:$D$106,$D26,'CPA1'!$F$12:$F$106,$F26,'CPA1'!$E$12:$E$106,"[Nominal]$")/1000000</f>
        <v>0</v>
      </c>
    </row>
    <row r="27" spans="2:20" x14ac:dyDescent="0.2">
      <c r="B27" s="13"/>
      <c r="C27" s="13"/>
      <c r="D27" t="s">
        <v>58</v>
      </c>
      <c r="E27" s="14" t="s">
        <v>51</v>
      </c>
      <c r="F27" t="s">
        <v>53</v>
      </c>
      <c r="P27" s="15">
        <f>SUMIFS('CPA1'!P$12:P$106,'CPA1'!$D$12:$D$106,$D27,'CPA1'!$F$12:$F$106,$F27,'CPA1'!$E$12:$E$106,"[Nominal]$")/1000000</f>
        <v>2.3286178842308529</v>
      </c>
      <c r="Q27" s="15">
        <f>SUMIFS('CPA1'!Q$12:Q$106,'CPA1'!$D$12:$D$106,$D27,'CPA1'!$F$12:$F$106,$F27,'CPA1'!$E$12:$E$106,"[Nominal]$")/1000000</f>
        <v>2.3820081075497419</v>
      </c>
      <c r="R27" s="15">
        <f>SUMIFS('CPA1'!R$12:R$106,'CPA1'!$D$12:$D$106,$D27,'CPA1'!$F$12:$F$106,$F27,'CPA1'!$E$12:$E$106,"[Nominal]$")/1000000</f>
        <v>0.30888524915894167</v>
      </c>
      <c r="S27" s="15">
        <f>SUMIFS('CPA1'!S$12:S$106,'CPA1'!$D$12:$D$106,$D27,'CPA1'!$F$12:$F$106,$F27,'CPA1'!$E$12:$E$106,"[Nominal]$")/1000000</f>
        <v>0</v>
      </c>
      <c r="T27" s="15">
        <f>SUMIFS('CPA1'!T$12:T$106,'CPA1'!$D$12:$D$106,$D27,'CPA1'!$F$12:$F$106,$F27,'CPA1'!$E$12:$E$106,"[Nominal]$")/1000000</f>
        <v>0</v>
      </c>
    </row>
    <row r="28" spans="2:20" x14ac:dyDescent="0.2">
      <c r="B28" s="13"/>
      <c r="C28" s="13"/>
      <c r="D28" t="s">
        <v>58</v>
      </c>
      <c r="E28" s="14" t="s">
        <v>51</v>
      </c>
      <c r="F28" t="s">
        <v>54</v>
      </c>
      <c r="P28" s="15">
        <f>SUMIFS('CPA1'!P$12:P$106,'CPA1'!$D$12:$D$106,$D28,'CPA1'!$F$12:$F$106,$F28,'CPA1'!$E$12:$E$106,"[Nominal]$")/1000000</f>
        <v>0</v>
      </c>
      <c r="Q28" s="15">
        <f>SUMIFS('CPA1'!Q$12:Q$106,'CPA1'!$D$12:$D$106,$D28,'CPA1'!$F$12:$F$106,$F28,'CPA1'!$E$12:$E$106,"[Nominal]$")/1000000</f>
        <v>0</v>
      </c>
      <c r="R28" s="15">
        <f>SUMIFS('CPA1'!R$12:R$106,'CPA1'!$D$12:$D$106,$D28,'CPA1'!$F$12:$F$106,$F28,'CPA1'!$E$12:$E$106,"[Nominal]$")/1000000</f>
        <v>0</v>
      </c>
      <c r="S28" s="15">
        <f>SUMIFS('CPA1'!S$12:S$106,'CPA1'!$D$12:$D$106,$D28,'CPA1'!$F$12:$F$106,$F28,'CPA1'!$E$12:$E$106,"[Nominal]$")/1000000</f>
        <v>0</v>
      </c>
      <c r="T28" s="15">
        <f>SUMIFS('CPA1'!T$12:T$106,'CPA1'!$D$12:$D$106,$D28,'CPA1'!$F$12:$F$106,$F28,'CPA1'!$E$12:$E$106,"[Nominal]$")/1000000</f>
        <v>0</v>
      </c>
    </row>
    <row r="29" spans="2:20" x14ac:dyDescent="0.2">
      <c r="B29" s="13"/>
      <c r="C29" s="13"/>
      <c r="D29" t="s">
        <v>59</v>
      </c>
      <c r="E29" s="14" t="s">
        <v>51</v>
      </c>
      <c r="F29" t="s">
        <v>52</v>
      </c>
      <c r="P29" s="15">
        <f>SUMIFS('CPA1'!P$12:P$106,'CPA1'!$D$12:$D$106,$D29,'CPA1'!$F$12:$F$106,$F29,'CPA1'!$E$12:$E$106,"[Nominal]$")/1000000</f>
        <v>1.654901742704878</v>
      </c>
      <c r="Q29" s="15">
        <f>SUMIFS('CPA1'!Q$12:Q$106,'CPA1'!$D$12:$D$106,$D29,'CPA1'!$F$12:$F$106,$F29,'CPA1'!$E$12:$E$106,"[Nominal]$")/1000000</f>
        <v>2.4483195897279804</v>
      </c>
      <c r="R29" s="15">
        <f>SUMIFS('CPA1'!R$12:R$106,'CPA1'!$D$12:$D$106,$D29,'CPA1'!$F$12:$F$106,$F29,'CPA1'!$E$12:$E$106,"[Nominal]$")/1000000</f>
        <v>0.54790852423154746</v>
      </c>
      <c r="S29" s="15">
        <f>SUMIFS('CPA1'!S$12:S$106,'CPA1'!$D$12:$D$106,$D29,'CPA1'!$F$12:$F$106,$F29,'CPA1'!$E$12:$E$106,"[Nominal]$")/1000000</f>
        <v>0</v>
      </c>
      <c r="T29" s="15">
        <f>SUMIFS('CPA1'!T$12:T$106,'CPA1'!$D$12:$D$106,$D29,'CPA1'!$F$12:$F$106,$F29,'CPA1'!$E$12:$E$106,"[Nominal]$")/1000000</f>
        <v>0</v>
      </c>
    </row>
    <row r="30" spans="2:20" x14ac:dyDescent="0.2">
      <c r="B30" s="13"/>
      <c r="C30" s="13"/>
      <c r="D30" t="s">
        <v>59</v>
      </c>
      <c r="E30" s="14" t="s">
        <v>51</v>
      </c>
      <c r="F30" t="s">
        <v>53</v>
      </c>
      <c r="P30" s="15">
        <f>SUMIFS('CPA1'!P$12:P$106,'CPA1'!$D$12:$D$106,$D30,'CPA1'!$F$12:$F$106,$F30,'CPA1'!$E$12:$E$106,"[Nominal]$")/1000000</f>
        <v>0.8461492101356628</v>
      </c>
      <c r="Q30" s="15">
        <f>SUMIFS('CPA1'!Q$12:Q$106,'CPA1'!$D$12:$D$106,$D30,'CPA1'!$F$12:$F$106,$F30,'CPA1'!$E$12:$E$106,"[Nominal]$")/1000000</f>
        <v>1.8978119800550159</v>
      </c>
      <c r="R30" s="15">
        <f>SUMIFS('CPA1'!R$12:R$106,'CPA1'!$D$12:$D$106,$D30,'CPA1'!$F$12:$F$106,$F30,'CPA1'!$E$12:$E$106,"[Nominal]$")/1000000</f>
        <v>0.80356624942849109</v>
      </c>
      <c r="S30" s="15">
        <f>SUMIFS('CPA1'!S$12:S$106,'CPA1'!$D$12:$D$106,$D30,'CPA1'!$F$12:$F$106,$F30,'CPA1'!$E$12:$E$106,"[Nominal]$")/1000000</f>
        <v>0</v>
      </c>
      <c r="T30" s="15">
        <f>SUMIFS('CPA1'!T$12:T$106,'CPA1'!$D$12:$D$106,$D30,'CPA1'!$F$12:$F$106,$F30,'CPA1'!$E$12:$E$106,"[Nominal]$")/1000000</f>
        <v>0</v>
      </c>
    </row>
    <row r="31" spans="2:20" x14ac:dyDescent="0.2">
      <c r="B31" s="13"/>
      <c r="C31" s="13"/>
      <c r="D31" t="s">
        <v>59</v>
      </c>
      <c r="E31" s="14" t="s">
        <v>51</v>
      </c>
      <c r="F31" t="s">
        <v>54</v>
      </c>
      <c r="P31" s="15">
        <f>SUMIFS('CPA1'!P$12:P$106,'CPA1'!$D$12:$D$106,$D31,'CPA1'!$F$12:$F$106,$F31,'CPA1'!$E$12:$E$106,"[Nominal]$")/1000000</f>
        <v>0</v>
      </c>
      <c r="Q31" s="15">
        <f>SUMIFS('CPA1'!Q$12:Q$106,'CPA1'!$D$12:$D$106,$D31,'CPA1'!$F$12:$F$106,$F31,'CPA1'!$E$12:$E$106,"[Nominal]$")/1000000</f>
        <v>0</v>
      </c>
      <c r="R31" s="15">
        <f>SUMIFS('CPA1'!R$12:R$106,'CPA1'!$D$12:$D$106,$D31,'CPA1'!$F$12:$F$106,$F31,'CPA1'!$E$12:$E$106,"[Nominal]$")/1000000</f>
        <v>0</v>
      </c>
      <c r="S31" s="15">
        <f>SUMIFS('CPA1'!S$12:S$106,'CPA1'!$D$12:$D$106,$D31,'CPA1'!$F$12:$F$106,$F31,'CPA1'!$E$12:$E$106,"[Nominal]$")/1000000</f>
        <v>0</v>
      </c>
      <c r="T31" s="15">
        <f>SUMIFS('CPA1'!T$12:T$106,'CPA1'!$D$12:$D$106,$D31,'CPA1'!$F$12:$F$106,$F31,'CPA1'!$E$12:$E$106,"[Nominal]$")/1000000</f>
        <v>0</v>
      </c>
    </row>
    <row r="32" spans="2:20" x14ac:dyDescent="0.2">
      <c r="B32" s="13"/>
      <c r="C32" s="13"/>
      <c r="D32" t="s">
        <v>60</v>
      </c>
      <c r="E32" s="14" t="s">
        <v>51</v>
      </c>
      <c r="F32" t="s">
        <v>52</v>
      </c>
      <c r="P32" s="15">
        <f>SUMIFS('CPA1'!P$12:P$106,'CPA1'!$D$12:$D$106,$D32,'CPA1'!$F$12:$F$106,$F32,'CPA1'!$E$12:$E$106,"[Nominal]$")/1000000</f>
        <v>0</v>
      </c>
      <c r="Q32" s="15">
        <f>SUMIFS('CPA1'!Q$12:Q$106,'CPA1'!$D$12:$D$106,$D32,'CPA1'!$F$12:$F$106,$F32,'CPA1'!$E$12:$E$106,"[Nominal]$")/1000000</f>
        <v>0</v>
      </c>
      <c r="R32" s="15">
        <f>SUMIFS('CPA1'!R$12:R$106,'CPA1'!$D$12:$D$106,$D32,'CPA1'!$F$12:$F$106,$F32,'CPA1'!$E$12:$E$106,"[Nominal]$")/1000000</f>
        <v>0</v>
      </c>
      <c r="S32" s="15">
        <f>SUMIFS('CPA1'!S$12:S$106,'CPA1'!$D$12:$D$106,$D32,'CPA1'!$F$12:$F$106,$F32,'CPA1'!$E$12:$E$106,"[Nominal]$")/1000000</f>
        <v>0</v>
      </c>
      <c r="T32" s="15">
        <f>SUMIFS('CPA1'!T$12:T$106,'CPA1'!$D$12:$D$106,$D32,'CPA1'!$F$12:$F$106,$F32,'CPA1'!$E$12:$E$106,"[Nominal]$")/1000000</f>
        <v>0</v>
      </c>
    </row>
    <row r="33" spans="2:20" x14ac:dyDescent="0.2">
      <c r="B33" s="13"/>
      <c r="C33" s="13"/>
      <c r="D33" t="s">
        <v>60</v>
      </c>
      <c r="E33" s="14" t="s">
        <v>51</v>
      </c>
      <c r="F33" t="s">
        <v>53</v>
      </c>
      <c r="P33" s="15">
        <f>SUMIFS('CPA1'!P$12:P$106,'CPA1'!$D$12:$D$106,$D33,'CPA1'!$F$12:$F$106,$F33,'CPA1'!$E$12:$E$106,"[Nominal]$")/1000000</f>
        <v>0</v>
      </c>
      <c r="Q33" s="15">
        <f>SUMIFS('CPA1'!Q$12:Q$106,'CPA1'!$D$12:$D$106,$D33,'CPA1'!$F$12:$F$106,$F33,'CPA1'!$E$12:$E$106,"[Nominal]$")/1000000</f>
        <v>0</v>
      </c>
      <c r="R33" s="15">
        <f>SUMIFS('CPA1'!R$12:R$106,'CPA1'!$D$12:$D$106,$D33,'CPA1'!$F$12:$F$106,$F33,'CPA1'!$E$12:$E$106,"[Nominal]$")/1000000</f>
        <v>9.8320236583786288E-2</v>
      </c>
      <c r="S33" s="15">
        <f>SUMIFS('CPA1'!S$12:S$106,'CPA1'!$D$12:$D$106,$D33,'CPA1'!$F$12:$F$106,$F33,'CPA1'!$E$12:$E$106,"[Nominal]$")/1000000</f>
        <v>0</v>
      </c>
      <c r="T33" s="15">
        <f>SUMIFS('CPA1'!T$12:T$106,'CPA1'!$D$12:$D$106,$D33,'CPA1'!$F$12:$F$106,$F33,'CPA1'!$E$12:$E$106,"[Nominal]$")/1000000</f>
        <v>0</v>
      </c>
    </row>
    <row r="34" spans="2:20" x14ac:dyDescent="0.2">
      <c r="B34" s="13"/>
      <c r="C34" s="13"/>
      <c r="D34" t="s">
        <v>60</v>
      </c>
      <c r="E34" s="14" t="s">
        <v>51</v>
      </c>
      <c r="F34" t="s">
        <v>54</v>
      </c>
      <c r="P34" s="49">
        <f>SUMIFS('CPA1'!P$12:P$106,'CPA1'!$D$12:$D$106,$D34,'CPA1'!$F$12:$F$106,$F34,'CPA1'!$E$12:$E$106,"[Nominal]$")/1000000</f>
        <v>0</v>
      </c>
      <c r="Q34" s="49">
        <f>SUMIFS('CPA1'!Q$12:Q$106,'CPA1'!$D$12:$D$106,$D34,'CPA1'!$F$12:$F$106,$F34,'CPA1'!$E$12:$E$106,"[Nominal]$")/1000000</f>
        <v>0</v>
      </c>
      <c r="R34" s="49">
        <f>SUMIFS('CPA1'!R$12:R$106,'CPA1'!$D$12:$D$106,$D34,'CPA1'!$F$12:$F$106,$F34,'CPA1'!$E$12:$E$106,"[Nominal]$")/1000000</f>
        <v>0</v>
      </c>
      <c r="S34" s="49">
        <f>SUMIFS('CPA1'!S$12:S$106,'CPA1'!$D$12:$D$106,$D34,'CPA1'!$F$12:$F$106,$F34,'CPA1'!$E$12:$E$106,"[Nominal]$")/1000000</f>
        <v>0</v>
      </c>
      <c r="T34" s="49">
        <f>SUMIFS('CPA1'!T$12:T$106,'CPA1'!$D$12:$D$106,$D34,'CPA1'!$F$12:$F$106,$F34,'CPA1'!$E$12:$E$106,"[Nominal]$")/1000000</f>
        <v>0</v>
      </c>
    </row>
    <row r="35" spans="2:20" x14ac:dyDescent="0.2">
      <c r="B35" s="13"/>
      <c r="C35" s="13"/>
      <c r="D35" s="33" t="s">
        <v>11</v>
      </c>
      <c r="E35" s="34" t="s">
        <v>51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48">
        <f>SUM(P14:P34)</f>
        <v>12.23954063</v>
      </c>
      <c r="Q35" s="48">
        <f t="shared" ref="Q35:T35" si="0">SUM(Q14:Q34)</f>
        <v>18.076192130000003</v>
      </c>
      <c r="R35" s="48">
        <f t="shared" si="0"/>
        <v>4.7359685099999984</v>
      </c>
      <c r="S35" s="48">
        <f t="shared" si="0"/>
        <v>0</v>
      </c>
      <c r="T35" s="48">
        <f t="shared" si="0"/>
        <v>0</v>
      </c>
    </row>
    <row r="36" spans="2:20" x14ac:dyDescent="0.2">
      <c r="B36" s="13"/>
      <c r="C36" s="13"/>
    </row>
    <row r="37" spans="2:20" x14ac:dyDescent="0.2">
      <c r="B37" s="13"/>
      <c r="C37" s="13">
        <f>MAX($A$7:C36)+0.01</f>
        <v>1.1200000000000001</v>
      </c>
      <c r="D37" s="31" t="s">
        <v>97</v>
      </c>
    </row>
    <row r="38" spans="2:20" x14ac:dyDescent="0.2">
      <c r="B38" s="13"/>
      <c r="C38" s="13"/>
      <c r="D38" s="31"/>
    </row>
    <row r="39" spans="2:20" x14ac:dyDescent="0.2">
      <c r="B39" s="13"/>
      <c r="C39" s="13"/>
      <c r="D39" t="s">
        <v>50</v>
      </c>
      <c r="E39" s="14" t="str">
        <f>VLOOKUP(Inputs!$E$27,Tables!$D$3:$F$15,3,FALSE)</f>
        <v>2023-24[$]</v>
      </c>
      <c r="F39" t="s">
        <v>52</v>
      </c>
      <c r="P39" s="15">
        <f>SUMIFS('CPA1'!P$12:P$106,'CPA1'!$D$12:$D$106,$D39,'CPA1'!$F$12:$F$106,$F39,'CPA1'!$E$12:$E$106,"&lt;&gt;"&amp;"[Nominal]$")/1000000</f>
        <v>0</v>
      </c>
      <c r="Q39" s="15">
        <f>SUMIFS('CPA1'!Q$12:Q$106,'CPA1'!$D$12:$D$106,$D39,'CPA1'!$F$12:$F$106,$F39,'CPA1'!$E$12:$E$106,"&lt;&gt;"&amp;"[Nominal]$")/1000000</f>
        <v>0</v>
      </c>
      <c r="R39" s="15">
        <f>SUMIFS('CPA1'!R$12:R$106,'CPA1'!$D$12:$D$106,$D39,'CPA1'!$F$12:$F$106,$F39,'CPA1'!$E$12:$E$106,"&lt;&gt;"&amp;"[Nominal]$")/1000000</f>
        <v>0</v>
      </c>
      <c r="S39" s="15">
        <f>SUMIFS('CPA1'!S$12:S$106,'CPA1'!$D$12:$D$106,$D39,'CPA1'!$F$12:$F$106,$F39,'CPA1'!$E$12:$E$106,"&lt;&gt;"&amp;"[Nominal]$")/1000000</f>
        <v>0.76003739797124992</v>
      </c>
      <c r="T39" s="15">
        <f>SUMIFS('CPA1'!T$12:T$106,'CPA1'!$D$12:$D$106,$D39,'CPA1'!$F$12:$F$106,$F39,'CPA1'!$E$12:$E$106,"&lt;&gt;"&amp;"[Nominal]$")/1000000</f>
        <v>0.47591769432666658</v>
      </c>
    </row>
    <row r="40" spans="2:20" x14ac:dyDescent="0.2">
      <c r="B40" s="13"/>
      <c r="C40" s="13"/>
      <c r="D40" t="s">
        <v>50</v>
      </c>
      <c r="E40" s="14" t="str">
        <f>$E$39</f>
        <v>2023-24[$]</v>
      </c>
      <c r="F40" t="s">
        <v>53</v>
      </c>
      <c r="P40" s="15">
        <f>SUMIFS('CPA1'!P$12:P$106,'CPA1'!$D$12:$D$106,$D40,'CPA1'!$F$12:$F$106,$F40,'CPA1'!$E$12:$E$106,"&lt;&gt;"&amp;"[Nominal]$")/1000000</f>
        <v>0</v>
      </c>
      <c r="Q40" s="15">
        <f>SUMIFS('CPA1'!Q$12:Q$106,'CPA1'!$D$12:$D$106,$D40,'CPA1'!$F$12:$F$106,$F40,'CPA1'!$E$12:$E$106,"&lt;&gt;"&amp;"[Nominal]$")/1000000</f>
        <v>0</v>
      </c>
      <c r="R40" s="15">
        <f>SUMIFS('CPA1'!R$12:R$106,'CPA1'!$D$12:$D$106,$D40,'CPA1'!$F$12:$F$106,$F40,'CPA1'!$E$12:$E$106,"&lt;&gt;"&amp;"[Nominal]$")/1000000</f>
        <v>0</v>
      </c>
      <c r="S40" s="15">
        <f>SUMIFS('CPA1'!S$12:S$106,'CPA1'!$D$12:$D$106,$D40,'CPA1'!$F$12:$F$106,$F40,'CPA1'!$E$12:$E$106,"&lt;&gt;"&amp;"[Nominal]$")/1000000</f>
        <v>0.63465839999999996</v>
      </c>
      <c r="T40" s="15">
        <f>SUMIFS('CPA1'!T$12:T$106,'CPA1'!$D$12:$D$106,$D40,'CPA1'!$F$12:$F$106,$F40,'CPA1'!$E$12:$E$106,"&lt;&gt;"&amp;"[Nominal]$")/1000000</f>
        <v>0.42310560000000003</v>
      </c>
    </row>
    <row r="41" spans="2:20" x14ac:dyDescent="0.2">
      <c r="B41" s="13"/>
      <c r="C41" s="13"/>
      <c r="D41" t="s">
        <v>50</v>
      </c>
      <c r="E41" s="14" t="str">
        <f t="shared" ref="E41:E60" si="1">$E$39</f>
        <v>2023-24[$]</v>
      </c>
      <c r="F41" t="s">
        <v>54</v>
      </c>
      <c r="P41" s="15">
        <f>SUMIFS('CPA1'!P$12:P$106,'CPA1'!$D$12:$D$106,$D41,'CPA1'!$F$12:$F$106,$F41,'CPA1'!$E$12:$E$106,"&lt;&gt;"&amp;"[Nominal]$")/1000000</f>
        <v>0</v>
      </c>
      <c r="Q41" s="15">
        <f>SUMIFS('CPA1'!Q$12:Q$106,'CPA1'!$D$12:$D$106,$D41,'CPA1'!$F$12:$F$106,$F41,'CPA1'!$E$12:$E$106,"&lt;&gt;"&amp;"[Nominal]$")/1000000</f>
        <v>0</v>
      </c>
      <c r="R41" s="15">
        <f>SUMIFS('CPA1'!R$12:R$106,'CPA1'!$D$12:$D$106,$D41,'CPA1'!$F$12:$F$106,$F41,'CPA1'!$E$12:$E$106,"&lt;&gt;"&amp;"[Nominal]$")/1000000</f>
        <v>0</v>
      </c>
      <c r="S41" s="15">
        <f>SUMIFS('CPA1'!S$12:S$106,'CPA1'!$D$12:$D$106,$D41,'CPA1'!$F$12:$F$106,$F41,'CPA1'!$E$12:$E$106,"&lt;&gt;"&amp;"[Nominal]$")/1000000</f>
        <v>0</v>
      </c>
      <c r="T41" s="15">
        <f>SUMIFS('CPA1'!T$12:T$106,'CPA1'!$D$12:$D$106,$D41,'CPA1'!$F$12:$F$106,$F41,'CPA1'!$E$12:$E$106,"&lt;&gt;"&amp;"[Nominal]$")/1000000</f>
        <v>0</v>
      </c>
    </row>
    <row r="42" spans="2:20" x14ac:dyDescent="0.2">
      <c r="B42" s="13"/>
      <c r="C42" s="13"/>
      <c r="D42" t="s">
        <v>55</v>
      </c>
      <c r="E42" s="14" t="str">
        <f t="shared" si="1"/>
        <v>2023-24[$]</v>
      </c>
      <c r="F42" t="s">
        <v>52</v>
      </c>
      <c r="P42" s="15">
        <f>SUMIFS('CPA1'!P$12:P$106,'CPA1'!$D$12:$D$106,$D42,'CPA1'!$F$12:$F$106,$F42,'CPA1'!$E$12:$E$106,"&lt;&gt;"&amp;"[Nominal]$")/1000000</f>
        <v>0</v>
      </c>
      <c r="Q42" s="15">
        <f>SUMIFS('CPA1'!Q$12:Q$106,'CPA1'!$D$12:$D$106,$D42,'CPA1'!$F$12:$F$106,$F42,'CPA1'!$E$12:$E$106,"&lt;&gt;"&amp;"[Nominal]$")/1000000</f>
        <v>0</v>
      </c>
      <c r="R42" s="15">
        <f>SUMIFS('CPA1'!R$12:R$106,'CPA1'!$D$12:$D$106,$D42,'CPA1'!$F$12:$F$106,$F42,'CPA1'!$E$12:$E$106,"&lt;&gt;"&amp;"[Nominal]$")/1000000</f>
        <v>0</v>
      </c>
      <c r="S42" s="15">
        <f>SUMIFS('CPA1'!S$12:S$106,'CPA1'!$D$12:$D$106,$D42,'CPA1'!$F$12:$F$106,$F42,'CPA1'!$E$12:$E$106,"&lt;&gt;"&amp;"[Nominal]$")/1000000</f>
        <v>1.3077533112080004</v>
      </c>
      <c r="T42" s="15">
        <f>SUMIFS('CPA1'!T$12:T$106,'CPA1'!$D$12:$D$106,$D42,'CPA1'!$F$12:$F$106,$F42,'CPA1'!$E$12:$E$106,"&lt;&gt;"&amp;"[Nominal]$")/1000000</f>
        <v>0.74866241775333331</v>
      </c>
    </row>
    <row r="43" spans="2:20" x14ac:dyDescent="0.2">
      <c r="B43" s="13"/>
      <c r="C43" s="13"/>
      <c r="D43" t="s">
        <v>55</v>
      </c>
      <c r="E43" s="14" t="str">
        <f t="shared" si="1"/>
        <v>2023-24[$]</v>
      </c>
      <c r="F43" t="s">
        <v>53</v>
      </c>
      <c r="P43" s="15">
        <f>SUMIFS('CPA1'!P$12:P$106,'CPA1'!$D$12:$D$106,$D43,'CPA1'!$F$12:$F$106,$F43,'CPA1'!$E$12:$E$106,"&lt;&gt;"&amp;"[Nominal]$")/1000000</f>
        <v>0</v>
      </c>
      <c r="Q43" s="15">
        <f>SUMIFS('CPA1'!Q$12:Q$106,'CPA1'!$D$12:$D$106,$D43,'CPA1'!$F$12:$F$106,$F43,'CPA1'!$E$12:$E$106,"&lt;&gt;"&amp;"[Nominal]$")/1000000</f>
        <v>0</v>
      </c>
      <c r="R43" s="15">
        <f>SUMIFS('CPA1'!R$12:R$106,'CPA1'!$D$12:$D$106,$D43,'CPA1'!$F$12:$F$106,$F43,'CPA1'!$E$12:$E$106,"&lt;&gt;"&amp;"[Nominal]$")/1000000</f>
        <v>0</v>
      </c>
      <c r="S43" s="15">
        <f>SUMIFS('CPA1'!S$12:S$106,'CPA1'!$D$12:$D$106,$D43,'CPA1'!$F$12:$F$106,$F43,'CPA1'!$E$12:$E$106,"&lt;&gt;"&amp;"[Nominal]$")/1000000</f>
        <v>4.5932809579999994</v>
      </c>
      <c r="T43" s="15">
        <f>SUMIFS('CPA1'!T$12:T$106,'CPA1'!$D$12:$D$106,$D43,'CPA1'!$F$12:$F$106,$F43,'CPA1'!$E$12:$E$106,"&lt;&gt;"&amp;"[Nominal]$")/1000000</f>
        <v>2.8929614719999996</v>
      </c>
    </row>
    <row r="44" spans="2:20" x14ac:dyDescent="0.2">
      <c r="B44" s="13"/>
      <c r="C44" s="13"/>
      <c r="D44" t="s">
        <v>55</v>
      </c>
      <c r="E44" s="14" t="str">
        <f t="shared" si="1"/>
        <v>2023-24[$]</v>
      </c>
      <c r="F44" t="s">
        <v>54</v>
      </c>
      <c r="P44" s="15">
        <f>SUMIFS('CPA1'!P$12:P$106,'CPA1'!$D$12:$D$106,$D44,'CPA1'!$F$12:$F$106,$F44,'CPA1'!$E$12:$E$106,"&lt;&gt;"&amp;"[Nominal]$")/1000000</f>
        <v>0</v>
      </c>
      <c r="Q44" s="15">
        <f>SUMIFS('CPA1'!Q$12:Q$106,'CPA1'!$D$12:$D$106,$D44,'CPA1'!$F$12:$F$106,$F44,'CPA1'!$E$12:$E$106,"&lt;&gt;"&amp;"[Nominal]$")/1000000</f>
        <v>0</v>
      </c>
      <c r="R44" s="15">
        <f>SUMIFS('CPA1'!R$12:R$106,'CPA1'!$D$12:$D$106,$D44,'CPA1'!$F$12:$F$106,$F44,'CPA1'!$E$12:$E$106,"&lt;&gt;"&amp;"[Nominal]$")/1000000</f>
        <v>0</v>
      </c>
      <c r="S44" s="15">
        <f>SUMIFS('CPA1'!S$12:S$106,'CPA1'!$D$12:$D$106,$D44,'CPA1'!$F$12:$F$106,$F44,'CPA1'!$E$12:$E$106,"&lt;&gt;"&amp;"[Nominal]$")/1000000</f>
        <v>0</v>
      </c>
      <c r="T44" s="15">
        <f>SUMIFS('CPA1'!T$12:T$106,'CPA1'!$D$12:$D$106,$D44,'CPA1'!$F$12:$F$106,$F44,'CPA1'!$E$12:$E$106,"&lt;&gt;"&amp;"[Nominal]$")/1000000</f>
        <v>0</v>
      </c>
    </row>
    <row r="45" spans="2:20" x14ac:dyDescent="0.2">
      <c r="B45" s="13"/>
      <c r="C45" s="13"/>
      <c r="D45" t="s">
        <v>56</v>
      </c>
      <c r="E45" s="14" t="str">
        <f t="shared" si="1"/>
        <v>2023-24[$]</v>
      </c>
      <c r="F45" t="s">
        <v>52</v>
      </c>
      <c r="P45" s="15">
        <f>SUMIFS('CPA1'!P$12:P$106,'CPA1'!$D$12:$D$106,$D45,'CPA1'!$F$12:$F$106,$F45,'CPA1'!$E$12:$E$106,"&lt;&gt;"&amp;"[Nominal]$")/1000000</f>
        <v>0</v>
      </c>
      <c r="Q45" s="15">
        <f>SUMIFS('CPA1'!Q$12:Q$106,'CPA1'!$D$12:$D$106,$D45,'CPA1'!$F$12:$F$106,$F45,'CPA1'!$E$12:$E$106,"&lt;&gt;"&amp;"[Nominal]$")/1000000</f>
        <v>0</v>
      </c>
      <c r="R45" s="15">
        <f>SUMIFS('CPA1'!R$12:R$106,'CPA1'!$D$12:$D$106,$D45,'CPA1'!$F$12:$F$106,$F45,'CPA1'!$E$12:$E$106,"&lt;&gt;"&amp;"[Nominal]$")/1000000</f>
        <v>0</v>
      </c>
      <c r="S45" s="15">
        <f>SUMIFS('CPA1'!S$12:S$106,'CPA1'!$D$12:$D$106,$D45,'CPA1'!$F$12:$F$106,$F45,'CPA1'!$E$12:$E$106,"&lt;&gt;"&amp;"[Nominal]$")/1000000</f>
        <v>0.64208490950000008</v>
      </c>
      <c r="T45" s="15">
        <f>SUMIFS('CPA1'!T$12:T$106,'CPA1'!$D$12:$D$106,$D45,'CPA1'!$F$12:$F$106,$F45,'CPA1'!$E$12:$E$106,"&lt;&gt;"&amp;"[Nominal]$")/1000000</f>
        <v>0.39696484866666665</v>
      </c>
    </row>
    <row r="46" spans="2:20" x14ac:dyDescent="0.2">
      <c r="B46" s="13"/>
      <c r="C46" s="13"/>
      <c r="D46" t="s">
        <v>56</v>
      </c>
      <c r="E46" s="14" t="str">
        <f t="shared" si="1"/>
        <v>2023-24[$]</v>
      </c>
      <c r="F46" t="s">
        <v>53</v>
      </c>
      <c r="P46" s="15">
        <f>SUMIFS('CPA1'!P$12:P$106,'CPA1'!$D$12:$D$106,$D46,'CPA1'!$F$12:$F$106,$F46,'CPA1'!$E$12:$E$106,"&lt;&gt;"&amp;"[Nominal]$")/1000000</f>
        <v>0</v>
      </c>
      <c r="Q46" s="15">
        <f>SUMIFS('CPA1'!Q$12:Q$106,'CPA1'!$D$12:$D$106,$D46,'CPA1'!$F$12:$F$106,$F46,'CPA1'!$E$12:$E$106,"&lt;&gt;"&amp;"[Nominal]$")/1000000</f>
        <v>0</v>
      </c>
      <c r="R46" s="15">
        <f>SUMIFS('CPA1'!R$12:R$106,'CPA1'!$D$12:$D$106,$D46,'CPA1'!$F$12:$F$106,$F46,'CPA1'!$E$12:$E$106,"&lt;&gt;"&amp;"[Nominal]$")/1000000</f>
        <v>0</v>
      </c>
      <c r="S46" s="15">
        <f>SUMIFS('CPA1'!S$12:S$106,'CPA1'!$D$12:$D$106,$D46,'CPA1'!$F$12:$F$106,$F46,'CPA1'!$E$12:$E$106,"&lt;&gt;"&amp;"[Nominal]$")/1000000</f>
        <v>2.2250850525052144</v>
      </c>
      <c r="T46" s="15">
        <f>SUMIFS('CPA1'!T$12:T$106,'CPA1'!$D$12:$D$106,$D46,'CPA1'!$F$12:$F$106,$F46,'CPA1'!$E$12:$E$106,"&lt;&gt;"&amp;"[Nominal]$")/1000000</f>
        <v>0.33350105749478631</v>
      </c>
    </row>
    <row r="47" spans="2:20" x14ac:dyDescent="0.2">
      <c r="B47" s="13"/>
      <c r="C47" s="13"/>
      <c r="D47" t="s">
        <v>56</v>
      </c>
      <c r="E47" s="14" t="str">
        <f t="shared" si="1"/>
        <v>2023-24[$]</v>
      </c>
      <c r="F47" t="s">
        <v>54</v>
      </c>
      <c r="P47" s="15">
        <f>SUMIFS('CPA1'!P$12:P$106,'CPA1'!$D$12:$D$106,$D47,'CPA1'!$F$12:$F$106,$F47,'CPA1'!$E$12:$E$106,"&lt;&gt;"&amp;"[Nominal]$")/1000000</f>
        <v>0</v>
      </c>
      <c r="Q47" s="15">
        <f>SUMIFS('CPA1'!Q$12:Q$106,'CPA1'!$D$12:$D$106,$D47,'CPA1'!$F$12:$F$106,$F47,'CPA1'!$E$12:$E$106,"&lt;&gt;"&amp;"[Nominal]$")/1000000</f>
        <v>0</v>
      </c>
      <c r="R47" s="15">
        <f>SUMIFS('CPA1'!R$12:R$106,'CPA1'!$D$12:$D$106,$D47,'CPA1'!$F$12:$F$106,$F47,'CPA1'!$E$12:$E$106,"&lt;&gt;"&amp;"[Nominal]$")/1000000</f>
        <v>0</v>
      </c>
      <c r="S47" s="15">
        <f>SUMIFS('CPA1'!S$12:S$106,'CPA1'!$D$12:$D$106,$D47,'CPA1'!$F$12:$F$106,$F47,'CPA1'!$E$12:$E$106,"&lt;&gt;"&amp;"[Nominal]$")/1000000</f>
        <v>0</v>
      </c>
      <c r="T47" s="15">
        <f>SUMIFS('CPA1'!T$12:T$106,'CPA1'!$D$12:$D$106,$D47,'CPA1'!$F$12:$F$106,$F47,'CPA1'!$E$12:$E$106,"&lt;&gt;"&amp;"[Nominal]$")/1000000</f>
        <v>0</v>
      </c>
    </row>
    <row r="48" spans="2:20" x14ac:dyDescent="0.2">
      <c r="B48" s="13"/>
      <c r="C48" s="13"/>
      <c r="D48" t="s">
        <v>57</v>
      </c>
      <c r="E48" s="14" t="str">
        <f t="shared" si="1"/>
        <v>2023-24[$]</v>
      </c>
      <c r="F48" t="s">
        <v>52</v>
      </c>
      <c r="P48" s="15">
        <f>SUMIFS('CPA1'!P$12:P$106,'CPA1'!$D$12:$D$106,$D48,'CPA1'!$F$12:$F$106,$F48,'CPA1'!$E$12:$E$106,"&lt;&gt;"&amp;"[Nominal]$")/1000000</f>
        <v>0</v>
      </c>
      <c r="Q48" s="15">
        <f>SUMIFS('CPA1'!Q$12:Q$106,'CPA1'!$D$12:$D$106,$D48,'CPA1'!$F$12:$F$106,$F48,'CPA1'!$E$12:$E$106,"&lt;&gt;"&amp;"[Nominal]$")/1000000</f>
        <v>0</v>
      </c>
      <c r="R48" s="15">
        <f>SUMIFS('CPA1'!R$12:R$106,'CPA1'!$D$12:$D$106,$D48,'CPA1'!$F$12:$F$106,$F48,'CPA1'!$E$12:$E$106,"&lt;&gt;"&amp;"[Nominal]$")/1000000</f>
        <v>0</v>
      </c>
      <c r="S48" s="15">
        <f>SUMIFS('CPA1'!S$12:S$106,'CPA1'!$D$12:$D$106,$D48,'CPA1'!$F$12:$F$106,$F48,'CPA1'!$E$12:$E$106,"&lt;&gt;"&amp;"[Nominal]$")/1000000</f>
        <v>1.5610902933103334</v>
      </c>
      <c r="T48" s="15">
        <f>SUMIFS('CPA1'!T$12:T$106,'CPA1'!$D$12:$D$106,$D48,'CPA1'!$F$12:$F$106,$F48,'CPA1'!$E$12:$E$106,"&lt;&gt;"&amp;"[Nominal]$")/1000000</f>
        <v>0.86261726240374981</v>
      </c>
    </row>
    <row r="49" spans="2:20" x14ac:dyDescent="0.2">
      <c r="B49" s="13"/>
      <c r="C49" s="13"/>
      <c r="D49" t="s">
        <v>57</v>
      </c>
      <c r="E49" s="14" t="str">
        <f t="shared" si="1"/>
        <v>2023-24[$]</v>
      </c>
      <c r="F49" t="s">
        <v>53</v>
      </c>
      <c r="P49" s="15">
        <f>SUMIFS('CPA1'!P$12:P$106,'CPA1'!$D$12:$D$106,$D49,'CPA1'!$F$12:$F$106,$F49,'CPA1'!$E$12:$E$106,"&lt;&gt;"&amp;"[Nominal]$")/1000000</f>
        <v>0</v>
      </c>
      <c r="Q49" s="15">
        <f>SUMIFS('CPA1'!Q$12:Q$106,'CPA1'!$D$12:$D$106,$D49,'CPA1'!$F$12:$F$106,$F49,'CPA1'!$E$12:$E$106,"&lt;&gt;"&amp;"[Nominal]$")/1000000</f>
        <v>0</v>
      </c>
      <c r="R49" s="15">
        <f>SUMIFS('CPA1'!R$12:R$106,'CPA1'!$D$12:$D$106,$D49,'CPA1'!$F$12:$F$106,$F49,'CPA1'!$E$12:$E$106,"&lt;&gt;"&amp;"[Nominal]$")/1000000</f>
        <v>0</v>
      </c>
      <c r="S49" s="15">
        <f>SUMIFS('CPA1'!S$12:S$106,'CPA1'!$D$12:$D$106,$D49,'CPA1'!$F$12:$F$106,$F49,'CPA1'!$E$12:$E$106,"&lt;&gt;"&amp;"[Nominal]$")/1000000</f>
        <v>2.1361441000000001</v>
      </c>
      <c r="T49" s="15">
        <f>SUMIFS('CPA1'!T$12:T$106,'CPA1'!$D$12:$D$106,$D49,'CPA1'!$F$12:$F$106,$F49,'CPA1'!$E$12:$E$106,"&lt;&gt;"&amp;"[Nominal]$")/1000000</f>
        <v>9.4598400000000013E-2</v>
      </c>
    </row>
    <row r="50" spans="2:20" x14ac:dyDescent="0.2">
      <c r="B50" s="13"/>
      <c r="C50" s="13"/>
      <c r="D50" t="s">
        <v>57</v>
      </c>
      <c r="E50" s="14" t="str">
        <f t="shared" si="1"/>
        <v>2023-24[$]</v>
      </c>
      <c r="F50" t="s">
        <v>54</v>
      </c>
      <c r="P50" s="15">
        <f>SUMIFS('CPA1'!P$12:P$106,'CPA1'!$D$12:$D$106,$D50,'CPA1'!$F$12:$F$106,$F50,'CPA1'!$E$12:$E$106,"&lt;&gt;"&amp;"[Nominal]$")/1000000</f>
        <v>0</v>
      </c>
      <c r="Q50" s="15">
        <f>SUMIFS('CPA1'!Q$12:Q$106,'CPA1'!$D$12:$D$106,$D50,'CPA1'!$F$12:$F$106,$F50,'CPA1'!$E$12:$E$106,"&lt;&gt;"&amp;"[Nominal]$")/1000000</f>
        <v>0</v>
      </c>
      <c r="R50" s="15">
        <f>SUMIFS('CPA1'!R$12:R$106,'CPA1'!$D$12:$D$106,$D50,'CPA1'!$F$12:$F$106,$F50,'CPA1'!$E$12:$E$106,"&lt;&gt;"&amp;"[Nominal]$")/1000000</f>
        <v>0</v>
      </c>
      <c r="S50" s="15">
        <f>SUMIFS('CPA1'!S$12:S$106,'CPA1'!$D$12:$D$106,$D50,'CPA1'!$F$12:$F$106,$F50,'CPA1'!$E$12:$E$106,"&lt;&gt;"&amp;"[Nominal]$")/1000000</f>
        <v>0</v>
      </c>
      <c r="T50" s="15">
        <f>SUMIFS('CPA1'!T$12:T$106,'CPA1'!$D$12:$D$106,$D50,'CPA1'!$F$12:$F$106,$F50,'CPA1'!$E$12:$E$106,"&lt;&gt;"&amp;"[Nominal]$")/1000000</f>
        <v>0</v>
      </c>
    </row>
    <row r="51" spans="2:20" x14ac:dyDescent="0.2">
      <c r="B51" s="13"/>
      <c r="C51" s="13"/>
      <c r="D51" t="s">
        <v>58</v>
      </c>
      <c r="E51" s="14" t="str">
        <f t="shared" si="1"/>
        <v>2023-24[$]</v>
      </c>
      <c r="F51" t="s">
        <v>52</v>
      </c>
      <c r="P51" s="15">
        <f>SUMIFS('CPA1'!P$12:P$106,'CPA1'!$D$12:$D$106,$D51,'CPA1'!$F$12:$F$106,$F51,'CPA1'!$E$12:$E$106,"&lt;&gt;"&amp;"[Nominal]$")/1000000</f>
        <v>0</v>
      </c>
      <c r="Q51" s="15">
        <f>SUMIFS('CPA1'!Q$12:Q$106,'CPA1'!$D$12:$D$106,$D51,'CPA1'!$F$12:$F$106,$F51,'CPA1'!$E$12:$E$106,"&lt;&gt;"&amp;"[Nominal]$")/1000000</f>
        <v>0</v>
      </c>
      <c r="R51" s="15">
        <f>SUMIFS('CPA1'!R$12:R$106,'CPA1'!$D$12:$D$106,$D51,'CPA1'!$F$12:$F$106,$F51,'CPA1'!$E$12:$E$106,"&lt;&gt;"&amp;"[Nominal]$")/1000000</f>
        <v>0</v>
      </c>
      <c r="S51" s="15">
        <f>SUMIFS('CPA1'!S$12:S$106,'CPA1'!$D$12:$D$106,$D51,'CPA1'!$F$12:$F$106,$F51,'CPA1'!$E$12:$E$106,"&lt;&gt;"&amp;"[Nominal]$")/1000000</f>
        <v>1.277647649777375</v>
      </c>
      <c r="T51" s="15">
        <f>SUMIFS('CPA1'!T$12:T$106,'CPA1'!$D$12:$D$106,$D51,'CPA1'!$F$12:$F$106,$F51,'CPA1'!$E$12:$E$106,"&lt;&gt;"&amp;"[Nominal]$")/1000000</f>
        <v>0.93741269979951669</v>
      </c>
    </row>
    <row r="52" spans="2:20" x14ac:dyDescent="0.2">
      <c r="B52" s="13"/>
      <c r="C52" s="13"/>
      <c r="D52" t="s">
        <v>58</v>
      </c>
      <c r="E52" s="14" t="str">
        <f t="shared" si="1"/>
        <v>2023-24[$]</v>
      </c>
      <c r="F52" t="s">
        <v>53</v>
      </c>
      <c r="P52" s="15">
        <f>SUMIFS('CPA1'!P$12:P$106,'CPA1'!$D$12:$D$106,$D52,'CPA1'!$F$12:$F$106,$F52,'CPA1'!$E$12:$E$106,"&lt;&gt;"&amp;"[Nominal]$")/1000000</f>
        <v>0</v>
      </c>
      <c r="Q52" s="15">
        <f>SUMIFS('CPA1'!Q$12:Q$106,'CPA1'!$D$12:$D$106,$D52,'CPA1'!$F$12:$F$106,$F52,'CPA1'!$E$12:$E$106,"&lt;&gt;"&amp;"[Nominal]$")/1000000</f>
        <v>0</v>
      </c>
      <c r="R52" s="15">
        <f>SUMIFS('CPA1'!R$12:R$106,'CPA1'!$D$12:$D$106,$D52,'CPA1'!$F$12:$F$106,$F52,'CPA1'!$E$12:$E$106,"&lt;&gt;"&amp;"[Nominal]$")/1000000</f>
        <v>0</v>
      </c>
      <c r="S52" s="15">
        <f>SUMIFS('CPA1'!S$12:S$106,'CPA1'!$D$12:$D$106,$D52,'CPA1'!$F$12:$F$106,$F52,'CPA1'!$E$12:$E$106,"&lt;&gt;"&amp;"[Nominal]$")/1000000</f>
        <v>1.4999283980000002</v>
      </c>
      <c r="T52" s="15">
        <f>SUMIFS('CPA1'!T$12:T$106,'CPA1'!$D$12:$D$106,$D52,'CPA1'!$F$12:$F$106,$F52,'CPA1'!$E$12:$E$106,"&lt;&gt;"&amp;"[Nominal]$")/1000000</f>
        <v>0.16783093199999999</v>
      </c>
    </row>
    <row r="53" spans="2:20" x14ac:dyDescent="0.2">
      <c r="B53" s="13"/>
      <c r="C53" s="13"/>
      <c r="D53" t="s">
        <v>58</v>
      </c>
      <c r="E53" s="14" t="str">
        <f t="shared" si="1"/>
        <v>2023-24[$]</v>
      </c>
      <c r="F53" t="s">
        <v>54</v>
      </c>
      <c r="P53" s="15">
        <f>SUMIFS('CPA1'!P$12:P$106,'CPA1'!$D$12:$D$106,$D53,'CPA1'!$F$12:$F$106,$F53,'CPA1'!$E$12:$E$106,"&lt;&gt;"&amp;"[Nominal]$")/1000000</f>
        <v>0</v>
      </c>
      <c r="Q53" s="15">
        <f>SUMIFS('CPA1'!Q$12:Q$106,'CPA1'!$D$12:$D$106,$D53,'CPA1'!$F$12:$F$106,$F53,'CPA1'!$E$12:$E$106,"&lt;&gt;"&amp;"[Nominal]$")/1000000</f>
        <v>0</v>
      </c>
      <c r="R53" s="15">
        <f>SUMIFS('CPA1'!R$12:R$106,'CPA1'!$D$12:$D$106,$D53,'CPA1'!$F$12:$F$106,$F53,'CPA1'!$E$12:$E$106,"&lt;&gt;"&amp;"[Nominal]$")/1000000</f>
        <v>0</v>
      </c>
      <c r="S53" s="15">
        <f>SUMIFS('CPA1'!S$12:S$106,'CPA1'!$D$12:$D$106,$D53,'CPA1'!$F$12:$F$106,$F53,'CPA1'!$E$12:$E$106,"&lt;&gt;"&amp;"[Nominal]$")/1000000</f>
        <v>41.273166967442116</v>
      </c>
      <c r="T53" s="15">
        <f>SUMIFS('CPA1'!T$12:T$106,'CPA1'!$D$12:$D$106,$D53,'CPA1'!$F$12:$F$106,$F53,'CPA1'!$E$12:$E$106,"&lt;&gt;"&amp;"[Nominal]$")/1000000</f>
        <v>37.850752668848571</v>
      </c>
    </row>
    <row r="54" spans="2:20" x14ac:dyDescent="0.2">
      <c r="B54" s="13"/>
      <c r="C54" s="13"/>
      <c r="D54" t="s">
        <v>59</v>
      </c>
      <c r="E54" s="14" t="str">
        <f t="shared" si="1"/>
        <v>2023-24[$]</v>
      </c>
      <c r="F54" t="s">
        <v>52</v>
      </c>
      <c r="P54" s="15">
        <f>SUMIFS('CPA1'!P$12:P$106,'CPA1'!$D$12:$D$106,$D54,'CPA1'!$F$12:$F$106,$F54,'CPA1'!$E$12:$E$106,"&lt;&gt;"&amp;"[Nominal]$")/1000000</f>
        <v>0</v>
      </c>
      <c r="Q54" s="15">
        <f>SUMIFS('CPA1'!Q$12:Q$106,'CPA1'!$D$12:$D$106,$D54,'CPA1'!$F$12:$F$106,$F54,'CPA1'!$E$12:$E$106,"&lt;&gt;"&amp;"[Nominal]$")/1000000</f>
        <v>0</v>
      </c>
      <c r="R54" s="15">
        <f>SUMIFS('CPA1'!R$12:R$106,'CPA1'!$D$12:$D$106,$D54,'CPA1'!$F$12:$F$106,$F54,'CPA1'!$E$12:$E$106,"&lt;&gt;"&amp;"[Nominal]$")/1000000</f>
        <v>0</v>
      </c>
      <c r="S54" s="15">
        <f>SUMIFS('CPA1'!S$12:S$106,'CPA1'!$D$12:$D$106,$D54,'CPA1'!$F$12:$F$106,$F54,'CPA1'!$E$12:$E$106,"&lt;&gt;"&amp;"[Nominal]$")/1000000</f>
        <v>3.6153877039499993</v>
      </c>
      <c r="T54" s="15">
        <f>SUMIFS('CPA1'!T$12:T$106,'CPA1'!$D$12:$D$106,$D54,'CPA1'!$F$12:$F$106,$F54,'CPA1'!$E$12:$E$106,"&lt;&gt;"&amp;"[Nominal]$")/1000000</f>
        <v>2.6818661370564825</v>
      </c>
    </row>
    <row r="55" spans="2:20" x14ac:dyDescent="0.2">
      <c r="B55" s="13"/>
      <c r="C55" s="13"/>
      <c r="D55" t="s">
        <v>59</v>
      </c>
      <c r="E55" s="14" t="str">
        <f t="shared" si="1"/>
        <v>2023-24[$]</v>
      </c>
      <c r="F55" t="s">
        <v>53</v>
      </c>
      <c r="P55" s="15">
        <f>SUMIFS('CPA1'!P$12:P$106,'CPA1'!$D$12:$D$106,$D55,'CPA1'!$F$12:$F$106,$F55,'CPA1'!$E$12:$E$106,"&lt;&gt;"&amp;"[Nominal]$")/1000000</f>
        <v>0</v>
      </c>
      <c r="Q55" s="15">
        <f>SUMIFS('CPA1'!Q$12:Q$106,'CPA1'!$D$12:$D$106,$D55,'CPA1'!$F$12:$F$106,$F55,'CPA1'!$E$12:$E$106,"&lt;&gt;"&amp;"[Nominal]$")/1000000</f>
        <v>0</v>
      </c>
      <c r="R55" s="15">
        <f>SUMIFS('CPA1'!R$12:R$106,'CPA1'!$D$12:$D$106,$D55,'CPA1'!$F$12:$F$106,$F55,'CPA1'!$E$12:$E$106,"&lt;&gt;"&amp;"[Nominal]$")/1000000</f>
        <v>0</v>
      </c>
      <c r="S55" s="15">
        <f>SUMIFS('CPA1'!S$12:S$106,'CPA1'!$D$12:$D$106,$D55,'CPA1'!$F$12:$F$106,$F55,'CPA1'!$E$12:$E$106,"&lt;&gt;"&amp;"[Nominal]$")/1000000</f>
        <v>2.6220911893333332</v>
      </c>
      <c r="T55" s="15">
        <f>SUMIFS('CPA1'!T$12:T$106,'CPA1'!$D$12:$D$106,$D55,'CPA1'!$F$12:$F$106,$F55,'CPA1'!$E$12:$E$106,"&lt;&gt;"&amp;"[Nominal]$")/1000000</f>
        <v>1.2954952443333334</v>
      </c>
    </row>
    <row r="56" spans="2:20" x14ac:dyDescent="0.2">
      <c r="B56" s="13"/>
      <c r="C56" s="13"/>
      <c r="D56" t="s">
        <v>59</v>
      </c>
      <c r="E56" s="14" t="str">
        <f t="shared" si="1"/>
        <v>2023-24[$]</v>
      </c>
      <c r="F56" t="s">
        <v>54</v>
      </c>
      <c r="P56" s="15">
        <f>SUMIFS('CPA1'!P$12:P$106,'CPA1'!$D$12:$D$106,$D56,'CPA1'!$F$12:$F$106,$F56,'CPA1'!$E$12:$E$106,"&lt;&gt;"&amp;"[Nominal]$")/1000000</f>
        <v>0</v>
      </c>
      <c r="Q56" s="15">
        <f>SUMIFS('CPA1'!Q$12:Q$106,'CPA1'!$D$12:$D$106,$D56,'CPA1'!$F$12:$F$106,$F56,'CPA1'!$E$12:$E$106,"&lt;&gt;"&amp;"[Nominal]$")/1000000</f>
        <v>0</v>
      </c>
      <c r="R56" s="15">
        <f>SUMIFS('CPA1'!R$12:R$106,'CPA1'!$D$12:$D$106,$D56,'CPA1'!$F$12:$F$106,$F56,'CPA1'!$E$12:$E$106,"&lt;&gt;"&amp;"[Nominal]$")/1000000</f>
        <v>0</v>
      </c>
      <c r="S56" s="15">
        <f>SUMIFS('CPA1'!S$12:S$106,'CPA1'!$D$12:$D$106,$D56,'CPA1'!$F$12:$F$106,$F56,'CPA1'!$E$12:$E$106,"&lt;&gt;"&amp;"[Nominal]$")/1000000</f>
        <v>0</v>
      </c>
      <c r="T56" s="15">
        <f>SUMIFS('CPA1'!T$12:T$106,'CPA1'!$D$12:$D$106,$D56,'CPA1'!$F$12:$F$106,$F56,'CPA1'!$E$12:$E$106,"&lt;&gt;"&amp;"[Nominal]$")/1000000</f>
        <v>0</v>
      </c>
    </row>
    <row r="57" spans="2:20" x14ac:dyDescent="0.2">
      <c r="B57" s="13"/>
      <c r="C57" s="13"/>
      <c r="D57" t="s">
        <v>60</v>
      </c>
      <c r="E57" s="14" t="str">
        <f t="shared" si="1"/>
        <v>2023-24[$]</v>
      </c>
      <c r="F57" t="s">
        <v>52</v>
      </c>
      <c r="P57" s="15">
        <f>SUMIFS('CPA1'!P$12:P$106,'CPA1'!$D$12:$D$106,$D57,'CPA1'!$F$12:$F$106,$F57,'CPA1'!$E$12:$E$106,"&lt;&gt;"&amp;"[Nominal]$")/1000000</f>
        <v>0</v>
      </c>
      <c r="Q57" s="15">
        <f>SUMIFS('CPA1'!Q$12:Q$106,'CPA1'!$D$12:$D$106,$D57,'CPA1'!$F$12:$F$106,$F57,'CPA1'!$E$12:$E$106,"&lt;&gt;"&amp;"[Nominal]$")/1000000</f>
        <v>0</v>
      </c>
      <c r="R57" s="15">
        <f>SUMIFS('CPA1'!R$12:R$106,'CPA1'!$D$12:$D$106,$D57,'CPA1'!$F$12:$F$106,$F57,'CPA1'!$E$12:$E$106,"&lt;&gt;"&amp;"[Nominal]$")/1000000</f>
        <v>0</v>
      </c>
      <c r="S57" s="15">
        <f>SUMIFS('CPA1'!S$12:S$106,'CPA1'!$D$12:$D$106,$D57,'CPA1'!$F$12:$F$106,$F57,'CPA1'!$E$12:$E$106,"&lt;&gt;"&amp;"[Nominal]$")/1000000</f>
        <v>0</v>
      </c>
      <c r="T57" s="15">
        <f>SUMIFS('CPA1'!T$12:T$106,'CPA1'!$D$12:$D$106,$D57,'CPA1'!$F$12:$F$106,$F57,'CPA1'!$E$12:$E$106,"&lt;&gt;"&amp;"[Nominal]$")/1000000</f>
        <v>0</v>
      </c>
    </row>
    <row r="58" spans="2:20" x14ac:dyDescent="0.2">
      <c r="B58" s="13"/>
      <c r="C58" s="13"/>
      <c r="D58" t="s">
        <v>60</v>
      </c>
      <c r="E58" s="14" t="str">
        <f t="shared" si="1"/>
        <v>2023-24[$]</v>
      </c>
      <c r="F58" t="s">
        <v>53</v>
      </c>
      <c r="P58" s="15">
        <f>SUMIFS('CPA1'!P$12:P$106,'CPA1'!$D$12:$D$106,$D58,'CPA1'!$F$12:$F$106,$F58,'CPA1'!$E$12:$E$106,"&lt;&gt;"&amp;"[Nominal]$")/1000000</f>
        <v>0</v>
      </c>
      <c r="Q58" s="15">
        <f>SUMIFS('CPA1'!Q$12:Q$106,'CPA1'!$D$12:$D$106,$D58,'CPA1'!$F$12:$F$106,$F58,'CPA1'!$E$12:$E$106,"&lt;&gt;"&amp;"[Nominal]$")/1000000</f>
        <v>0</v>
      </c>
      <c r="R58" s="15">
        <f>SUMIFS('CPA1'!R$12:R$106,'CPA1'!$D$12:$D$106,$D58,'CPA1'!$F$12:$F$106,$F58,'CPA1'!$E$12:$E$106,"&lt;&gt;"&amp;"[Nominal]$")/1000000</f>
        <v>0</v>
      </c>
      <c r="S58" s="15">
        <f>SUMIFS('CPA1'!S$12:S$106,'CPA1'!$D$12:$D$106,$D58,'CPA1'!$F$12:$F$106,$F58,'CPA1'!$E$12:$E$106,"&lt;&gt;"&amp;"[Nominal]$")/1000000</f>
        <v>0.58841794999999997</v>
      </c>
      <c r="T58" s="15">
        <f>SUMIFS('CPA1'!T$12:T$106,'CPA1'!$D$12:$D$106,$D58,'CPA1'!$F$12:$F$106,$F58,'CPA1'!$E$12:$E$106,"&lt;&gt;"&amp;"[Nominal]$")/1000000</f>
        <v>0.04</v>
      </c>
    </row>
    <row r="59" spans="2:20" x14ac:dyDescent="0.2">
      <c r="B59" s="13"/>
      <c r="C59" s="13"/>
      <c r="D59" t="s">
        <v>60</v>
      </c>
      <c r="E59" s="14" t="str">
        <f t="shared" si="1"/>
        <v>2023-24[$]</v>
      </c>
      <c r="F59" t="s">
        <v>54</v>
      </c>
      <c r="P59" s="49">
        <f>SUMIFS('CPA1'!P$12:P$106,'CPA1'!$D$12:$D$106,$D59,'CPA1'!$F$12:$F$106,$F59,'CPA1'!$E$12:$E$106,"&lt;&gt;"&amp;"[Nominal]$")/1000000</f>
        <v>0</v>
      </c>
      <c r="Q59" s="49">
        <f>SUMIFS('CPA1'!Q$12:Q$106,'CPA1'!$D$12:$D$106,$D59,'CPA1'!$F$12:$F$106,$F59,'CPA1'!$E$12:$E$106,"&lt;&gt;"&amp;"[Nominal]$")/1000000</f>
        <v>0</v>
      </c>
      <c r="R59" s="49">
        <f>SUMIFS('CPA1'!R$12:R$106,'CPA1'!$D$12:$D$106,$D59,'CPA1'!$F$12:$F$106,$F59,'CPA1'!$E$12:$E$106,"&lt;&gt;"&amp;"[Nominal]$")/1000000</f>
        <v>0</v>
      </c>
      <c r="S59" s="49">
        <f>SUMIFS('CPA1'!S$12:S$106,'CPA1'!$D$12:$D$106,$D59,'CPA1'!$F$12:$F$106,$F59,'CPA1'!$E$12:$E$106,"&lt;&gt;"&amp;"[Nominal]$")/1000000</f>
        <v>0</v>
      </c>
      <c r="T59" s="49">
        <f>SUMIFS('CPA1'!T$12:T$106,'CPA1'!$D$12:$D$106,$D59,'CPA1'!$F$12:$F$106,$F59,'CPA1'!$E$12:$E$106,"&lt;&gt;"&amp;"[Nominal]$")/1000000</f>
        <v>0</v>
      </c>
    </row>
    <row r="60" spans="2:20" x14ac:dyDescent="0.2">
      <c r="B60" s="13"/>
      <c r="C60" s="13"/>
      <c r="D60" s="33" t="s">
        <v>11</v>
      </c>
      <c r="E60" s="34" t="str">
        <f t="shared" si="1"/>
        <v>2023-24[$]</v>
      </c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48">
        <f>SUM(P39:P59)</f>
        <v>0</v>
      </c>
      <c r="Q60" s="48">
        <f t="shared" ref="Q60:T60" si="2">SUM(Q39:Q59)</f>
        <v>0</v>
      </c>
      <c r="R60" s="48">
        <f t="shared" si="2"/>
        <v>0</v>
      </c>
      <c r="S60" s="48">
        <f t="shared" si="2"/>
        <v>64.736774280997622</v>
      </c>
      <c r="T60" s="48">
        <f t="shared" si="2"/>
        <v>49.201686434683097</v>
      </c>
    </row>
    <row r="61" spans="2:20" x14ac:dyDescent="0.2">
      <c r="B61" s="13"/>
      <c r="C61" s="13"/>
    </row>
    <row r="62" spans="2:20" x14ac:dyDescent="0.2">
      <c r="B62" s="13"/>
      <c r="C62" s="13">
        <f>MAX($A$7:C61)+0.01</f>
        <v>1.1300000000000001</v>
      </c>
      <c r="D62" s="31" t="s">
        <v>98</v>
      </c>
    </row>
    <row r="63" spans="2:20" x14ac:dyDescent="0.2">
      <c r="B63" s="13"/>
      <c r="C63" s="13"/>
      <c r="D63" s="31"/>
    </row>
    <row r="64" spans="2:20" x14ac:dyDescent="0.2">
      <c r="B64" s="13"/>
      <c r="C64" s="13"/>
      <c r="D64" t="s">
        <v>50</v>
      </c>
      <c r="E64" s="14" t="str">
        <f t="shared" ref="E64:E84" si="3">$E$39</f>
        <v>2023-24[$]</v>
      </c>
      <c r="F64" t="s">
        <v>52</v>
      </c>
      <c r="P64" s="15">
        <f>INDEX('CPI Inputs'!$P$35:$AB$47,MATCH(P$5,'CPI Inputs'!$P$4:$AB$4,0),MATCH(VLOOKUP($E64,Tables!$F$3:$G$15,2,0),'CPI Inputs'!$D$35:$D$47,0))</f>
        <v>1.1433297609233308</v>
      </c>
      <c r="Q64" s="15">
        <f>INDEX('CPI Inputs'!$P$35:$AB$47,MATCH(Q$5,'CPI Inputs'!$P$4:$AB$4,0),MATCH(VLOOKUP($E64,Tables!$F$3:$G$15,2,0),'CPI Inputs'!$D$35:$D$47,0))</f>
        <v>1.0602897553516819</v>
      </c>
      <c r="R64" s="15">
        <f>INDEX('CPI Inputs'!$P$35:$AB$47,MATCH(R$5,'CPI Inputs'!$P$4:$AB$4,0),MATCH(VLOOKUP($E64,Tables!$F$3:$G$15,2,0),'CPI Inputs'!$D$35:$D$47,0))</f>
        <v>1.0190000000000001</v>
      </c>
      <c r="S64" s="15">
        <f>INDEX('CPI Inputs'!$P$35:$AB$47,MATCH(S$5,'CPI Inputs'!$P$4:$AB$4,0),MATCH(VLOOKUP($E64,Tables!$F$3:$G$15,2,0),'CPI Inputs'!$D$35:$D$47,0))</f>
        <v>0.98169556840077099</v>
      </c>
      <c r="T64" s="15">
        <f>INDEX('CPI Inputs'!$P$35:$AB$47,MATCH(T$5,'CPI Inputs'!$P$4:$AB$4,0),MATCH(VLOOKUP($E64,Tables!$F$3:$G$15,2,0),'CPI Inputs'!$D$35:$D$47,0))</f>
        <v>0.95495677859997152</v>
      </c>
    </row>
    <row r="65" spans="2:20" x14ac:dyDescent="0.2">
      <c r="B65" s="13"/>
      <c r="C65" s="13"/>
      <c r="D65" t="s">
        <v>50</v>
      </c>
      <c r="E65" s="14" t="str">
        <f t="shared" si="3"/>
        <v>2023-24[$]</v>
      </c>
      <c r="F65" t="s">
        <v>53</v>
      </c>
      <c r="P65" s="15">
        <f>INDEX('CPI Inputs'!$P$35:$AB$47,MATCH(P$5,'CPI Inputs'!$P$4:$AB$4,0),MATCH(VLOOKUP($E65,Tables!$F$3:$G$15,2,0),'CPI Inputs'!$D$35:$D$47,0))</f>
        <v>1.1433297609233308</v>
      </c>
      <c r="Q65" s="15">
        <f>INDEX('CPI Inputs'!$P$35:$AB$47,MATCH(Q$5,'CPI Inputs'!$P$4:$AB$4,0),MATCH(VLOOKUP($E65,Tables!$F$3:$G$15,2,0),'CPI Inputs'!$D$35:$D$47,0))</f>
        <v>1.0602897553516819</v>
      </c>
      <c r="R65" s="15">
        <f>INDEX('CPI Inputs'!$P$35:$AB$47,MATCH(R$5,'CPI Inputs'!$P$4:$AB$4,0),MATCH(VLOOKUP($E65,Tables!$F$3:$G$15,2,0),'CPI Inputs'!$D$35:$D$47,0))</f>
        <v>1.0190000000000001</v>
      </c>
      <c r="S65" s="15">
        <f>INDEX('CPI Inputs'!$P$35:$AB$47,MATCH(S$5,'CPI Inputs'!$P$4:$AB$4,0),MATCH(VLOOKUP($E65,Tables!$F$3:$G$15,2,0),'CPI Inputs'!$D$35:$D$47,0))</f>
        <v>0.98169556840077099</v>
      </c>
      <c r="T65" s="15">
        <f>INDEX('CPI Inputs'!$P$35:$AB$47,MATCH(T$5,'CPI Inputs'!$P$4:$AB$4,0),MATCH(VLOOKUP($E65,Tables!$F$3:$G$15,2,0),'CPI Inputs'!$D$35:$D$47,0))</f>
        <v>0.95495677859997152</v>
      </c>
    </row>
    <row r="66" spans="2:20" x14ac:dyDescent="0.2">
      <c r="B66" s="13"/>
      <c r="C66" s="13"/>
      <c r="D66" t="s">
        <v>50</v>
      </c>
      <c r="E66" s="14" t="str">
        <f t="shared" si="3"/>
        <v>2023-24[$]</v>
      </c>
      <c r="F66" t="s">
        <v>54</v>
      </c>
      <c r="P66" s="15">
        <f>INDEX('CPI Inputs'!$P$35:$AB$47,MATCH(P$5,'CPI Inputs'!$P$4:$AB$4,0),MATCH(VLOOKUP($E66,Tables!$F$3:$G$15,2,0),'CPI Inputs'!$D$35:$D$47,0))</f>
        <v>1.1433297609233308</v>
      </c>
      <c r="Q66" s="15">
        <f>INDEX('CPI Inputs'!$P$35:$AB$47,MATCH(Q$5,'CPI Inputs'!$P$4:$AB$4,0),MATCH(VLOOKUP($E66,Tables!$F$3:$G$15,2,0),'CPI Inputs'!$D$35:$D$47,0))</f>
        <v>1.0602897553516819</v>
      </c>
      <c r="R66" s="15">
        <f>INDEX('CPI Inputs'!$P$35:$AB$47,MATCH(R$5,'CPI Inputs'!$P$4:$AB$4,0),MATCH(VLOOKUP($E66,Tables!$F$3:$G$15,2,0),'CPI Inputs'!$D$35:$D$47,0))</f>
        <v>1.0190000000000001</v>
      </c>
      <c r="S66" s="15">
        <f>INDEX('CPI Inputs'!$P$35:$AB$47,MATCH(S$5,'CPI Inputs'!$P$4:$AB$4,0),MATCH(VLOOKUP($E66,Tables!$F$3:$G$15,2,0),'CPI Inputs'!$D$35:$D$47,0))</f>
        <v>0.98169556840077099</v>
      </c>
      <c r="T66" s="15">
        <f>INDEX('CPI Inputs'!$P$35:$AB$47,MATCH(T$5,'CPI Inputs'!$P$4:$AB$4,0),MATCH(VLOOKUP($E66,Tables!$F$3:$G$15,2,0),'CPI Inputs'!$D$35:$D$47,0))</f>
        <v>0.95495677859997152</v>
      </c>
    </row>
    <row r="67" spans="2:20" x14ac:dyDescent="0.2">
      <c r="B67" s="13"/>
      <c r="C67" s="13"/>
      <c r="D67" t="s">
        <v>55</v>
      </c>
      <c r="E67" s="14" t="str">
        <f t="shared" si="3"/>
        <v>2023-24[$]</v>
      </c>
      <c r="F67" t="s">
        <v>52</v>
      </c>
      <c r="P67" s="15">
        <f>INDEX('CPI Inputs'!$P$35:$AB$47,MATCH(P$5,'CPI Inputs'!$P$4:$AB$4,0),MATCH(VLOOKUP($E67,Tables!$F$3:$G$15,2,0),'CPI Inputs'!$D$35:$D$47,0))</f>
        <v>1.1433297609233308</v>
      </c>
      <c r="Q67" s="15">
        <f>INDEX('CPI Inputs'!$P$35:$AB$47,MATCH(Q$5,'CPI Inputs'!$P$4:$AB$4,0),MATCH(VLOOKUP($E67,Tables!$F$3:$G$15,2,0),'CPI Inputs'!$D$35:$D$47,0))</f>
        <v>1.0602897553516819</v>
      </c>
      <c r="R67" s="15">
        <f>INDEX('CPI Inputs'!$P$35:$AB$47,MATCH(R$5,'CPI Inputs'!$P$4:$AB$4,0),MATCH(VLOOKUP($E67,Tables!$F$3:$G$15,2,0),'CPI Inputs'!$D$35:$D$47,0))</f>
        <v>1.0190000000000001</v>
      </c>
      <c r="S67" s="15">
        <f>INDEX('CPI Inputs'!$P$35:$AB$47,MATCH(S$5,'CPI Inputs'!$P$4:$AB$4,0),MATCH(VLOOKUP($E67,Tables!$F$3:$G$15,2,0),'CPI Inputs'!$D$35:$D$47,0))</f>
        <v>0.98169556840077099</v>
      </c>
      <c r="T67" s="15">
        <f>INDEX('CPI Inputs'!$P$35:$AB$47,MATCH(T$5,'CPI Inputs'!$P$4:$AB$4,0),MATCH(VLOOKUP($E67,Tables!$F$3:$G$15,2,0),'CPI Inputs'!$D$35:$D$47,0))</f>
        <v>0.95495677859997152</v>
      </c>
    </row>
    <row r="68" spans="2:20" x14ac:dyDescent="0.2">
      <c r="B68" s="13"/>
      <c r="C68" s="13"/>
      <c r="D68" t="s">
        <v>55</v>
      </c>
      <c r="E68" s="14" t="str">
        <f t="shared" si="3"/>
        <v>2023-24[$]</v>
      </c>
      <c r="F68" t="s">
        <v>53</v>
      </c>
      <c r="P68" s="15">
        <f>INDEX('CPI Inputs'!$P$35:$AB$47,MATCH(P$5,'CPI Inputs'!$P$4:$AB$4,0),MATCH(VLOOKUP($E68,Tables!$F$3:$G$15,2,0),'CPI Inputs'!$D$35:$D$47,0))</f>
        <v>1.1433297609233308</v>
      </c>
      <c r="Q68" s="15">
        <f>INDEX('CPI Inputs'!$P$35:$AB$47,MATCH(Q$5,'CPI Inputs'!$P$4:$AB$4,0),MATCH(VLOOKUP($E68,Tables!$F$3:$G$15,2,0),'CPI Inputs'!$D$35:$D$47,0))</f>
        <v>1.0602897553516819</v>
      </c>
      <c r="R68" s="15">
        <f>INDEX('CPI Inputs'!$P$35:$AB$47,MATCH(R$5,'CPI Inputs'!$P$4:$AB$4,0),MATCH(VLOOKUP($E68,Tables!$F$3:$G$15,2,0),'CPI Inputs'!$D$35:$D$47,0))</f>
        <v>1.0190000000000001</v>
      </c>
      <c r="S68" s="15">
        <f>INDEX('CPI Inputs'!$P$35:$AB$47,MATCH(S$5,'CPI Inputs'!$P$4:$AB$4,0),MATCH(VLOOKUP($E68,Tables!$F$3:$G$15,2,0),'CPI Inputs'!$D$35:$D$47,0))</f>
        <v>0.98169556840077099</v>
      </c>
      <c r="T68" s="15">
        <f>INDEX('CPI Inputs'!$P$35:$AB$47,MATCH(T$5,'CPI Inputs'!$P$4:$AB$4,0),MATCH(VLOOKUP($E68,Tables!$F$3:$G$15,2,0),'CPI Inputs'!$D$35:$D$47,0))</f>
        <v>0.95495677859997152</v>
      </c>
    </row>
    <row r="69" spans="2:20" x14ac:dyDescent="0.2">
      <c r="B69" s="13"/>
      <c r="C69" s="13"/>
      <c r="D69" t="s">
        <v>55</v>
      </c>
      <c r="E69" s="14" t="str">
        <f t="shared" si="3"/>
        <v>2023-24[$]</v>
      </c>
      <c r="F69" t="s">
        <v>54</v>
      </c>
      <c r="P69" s="15">
        <f>INDEX('CPI Inputs'!$P$35:$AB$47,MATCH(P$5,'CPI Inputs'!$P$4:$AB$4,0),MATCH(VLOOKUP($E69,Tables!$F$3:$G$15,2,0),'CPI Inputs'!$D$35:$D$47,0))</f>
        <v>1.1433297609233308</v>
      </c>
      <c r="Q69" s="15">
        <f>INDEX('CPI Inputs'!$P$35:$AB$47,MATCH(Q$5,'CPI Inputs'!$P$4:$AB$4,0),MATCH(VLOOKUP($E69,Tables!$F$3:$G$15,2,0),'CPI Inputs'!$D$35:$D$47,0))</f>
        <v>1.0602897553516819</v>
      </c>
      <c r="R69" s="15">
        <f>INDEX('CPI Inputs'!$P$35:$AB$47,MATCH(R$5,'CPI Inputs'!$P$4:$AB$4,0),MATCH(VLOOKUP($E69,Tables!$F$3:$G$15,2,0),'CPI Inputs'!$D$35:$D$47,0))</f>
        <v>1.0190000000000001</v>
      </c>
      <c r="S69" s="15">
        <f>INDEX('CPI Inputs'!$P$35:$AB$47,MATCH(S$5,'CPI Inputs'!$P$4:$AB$4,0),MATCH(VLOOKUP($E69,Tables!$F$3:$G$15,2,0),'CPI Inputs'!$D$35:$D$47,0))</f>
        <v>0.98169556840077099</v>
      </c>
      <c r="T69" s="15">
        <f>INDEX('CPI Inputs'!$P$35:$AB$47,MATCH(T$5,'CPI Inputs'!$P$4:$AB$4,0),MATCH(VLOOKUP($E69,Tables!$F$3:$G$15,2,0),'CPI Inputs'!$D$35:$D$47,0))</f>
        <v>0.95495677859997152</v>
      </c>
    </row>
    <row r="70" spans="2:20" x14ac:dyDescent="0.2">
      <c r="B70" s="13"/>
      <c r="C70" s="13"/>
      <c r="D70" t="s">
        <v>56</v>
      </c>
      <c r="E70" s="14" t="str">
        <f t="shared" si="3"/>
        <v>2023-24[$]</v>
      </c>
      <c r="F70" t="s">
        <v>52</v>
      </c>
      <c r="P70" s="15">
        <f>INDEX('CPI Inputs'!$P$35:$AB$47,MATCH(P$5,'CPI Inputs'!$P$4:$AB$4,0),MATCH(VLOOKUP($E70,Tables!$F$3:$G$15,2,0),'CPI Inputs'!$D$35:$D$47,0))</f>
        <v>1.1433297609233308</v>
      </c>
      <c r="Q70" s="15">
        <f>INDEX('CPI Inputs'!$P$35:$AB$47,MATCH(Q$5,'CPI Inputs'!$P$4:$AB$4,0),MATCH(VLOOKUP($E70,Tables!$F$3:$G$15,2,0),'CPI Inputs'!$D$35:$D$47,0))</f>
        <v>1.0602897553516819</v>
      </c>
      <c r="R70" s="15">
        <f>INDEX('CPI Inputs'!$P$35:$AB$47,MATCH(R$5,'CPI Inputs'!$P$4:$AB$4,0),MATCH(VLOOKUP($E70,Tables!$F$3:$G$15,2,0),'CPI Inputs'!$D$35:$D$47,0))</f>
        <v>1.0190000000000001</v>
      </c>
      <c r="S70" s="15">
        <f>INDEX('CPI Inputs'!$P$35:$AB$47,MATCH(S$5,'CPI Inputs'!$P$4:$AB$4,0),MATCH(VLOOKUP($E70,Tables!$F$3:$G$15,2,0),'CPI Inputs'!$D$35:$D$47,0))</f>
        <v>0.98169556840077099</v>
      </c>
      <c r="T70" s="15">
        <f>INDEX('CPI Inputs'!$P$35:$AB$47,MATCH(T$5,'CPI Inputs'!$P$4:$AB$4,0),MATCH(VLOOKUP($E70,Tables!$F$3:$G$15,2,0),'CPI Inputs'!$D$35:$D$47,0))</f>
        <v>0.95495677859997152</v>
      </c>
    </row>
    <row r="71" spans="2:20" x14ac:dyDescent="0.2">
      <c r="B71" s="13"/>
      <c r="C71" s="13"/>
      <c r="D71" t="s">
        <v>56</v>
      </c>
      <c r="E71" s="14" t="str">
        <f t="shared" si="3"/>
        <v>2023-24[$]</v>
      </c>
      <c r="F71" t="s">
        <v>53</v>
      </c>
      <c r="P71" s="15">
        <f>INDEX('CPI Inputs'!$P$35:$AB$47,MATCH(P$5,'CPI Inputs'!$P$4:$AB$4,0),MATCH(VLOOKUP($E71,Tables!$F$3:$G$15,2,0),'CPI Inputs'!$D$35:$D$47,0))</f>
        <v>1.1433297609233308</v>
      </c>
      <c r="Q71" s="15">
        <f>INDEX('CPI Inputs'!$P$35:$AB$47,MATCH(Q$5,'CPI Inputs'!$P$4:$AB$4,0),MATCH(VLOOKUP($E71,Tables!$F$3:$G$15,2,0),'CPI Inputs'!$D$35:$D$47,0))</f>
        <v>1.0602897553516819</v>
      </c>
      <c r="R71" s="15">
        <f>INDEX('CPI Inputs'!$P$35:$AB$47,MATCH(R$5,'CPI Inputs'!$P$4:$AB$4,0),MATCH(VLOOKUP($E71,Tables!$F$3:$G$15,2,0),'CPI Inputs'!$D$35:$D$47,0))</f>
        <v>1.0190000000000001</v>
      </c>
      <c r="S71" s="15">
        <f>INDEX('CPI Inputs'!$P$35:$AB$47,MATCH(S$5,'CPI Inputs'!$P$4:$AB$4,0),MATCH(VLOOKUP($E71,Tables!$F$3:$G$15,2,0),'CPI Inputs'!$D$35:$D$47,0))</f>
        <v>0.98169556840077099</v>
      </c>
      <c r="T71" s="15">
        <f>INDEX('CPI Inputs'!$P$35:$AB$47,MATCH(T$5,'CPI Inputs'!$P$4:$AB$4,0),MATCH(VLOOKUP($E71,Tables!$F$3:$G$15,2,0),'CPI Inputs'!$D$35:$D$47,0))</f>
        <v>0.95495677859997152</v>
      </c>
    </row>
    <row r="72" spans="2:20" x14ac:dyDescent="0.2">
      <c r="B72" s="13"/>
      <c r="C72" s="13"/>
      <c r="D72" t="s">
        <v>56</v>
      </c>
      <c r="E72" s="14" t="str">
        <f t="shared" si="3"/>
        <v>2023-24[$]</v>
      </c>
      <c r="F72" t="s">
        <v>54</v>
      </c>
      <c r="P72" s="15">
        <f>INDEX('CPI Inputs'!$P$35:$AB$47,MATCH(P$5,'CPI Inputs'!$P$4:$AB$4,0),MATCH(VLOOKUP($E72,Tables!$F$3:$G$15,2,0),'CPI Inputs'!$D$35:$D$47,0))</f>
        <v>1.1433297609233308</v>
      </c>
      <c r="Q72" s="15">
        <f>INDEX('CPI Inputs'!$P$35:$AB$47,MATCH(Q$5,'CPI Inputs'!$P$4:$AB$4,0),MATCH(VLOOKUP($E72,Tables!$F$3:$G$15,2,0),'CPI Inputs'!$D$35:$D$47,0))</f>
        <v>1.0602897553516819</v>
      </c>
      <c r="R72" s="15">
        <f>INDEX('CPI Inputs'!$P$35:$AB$47,MATCH(R$5,'CPI Inputs'!$P$4:$AB$4,0),MATCH(VLOOKUP($E72,Tables!$F$3:$G$15,2,0),'CPI Inputs'!$D$35:$D$47,0))</f>
        <v>1.0190000000000001</v>
      </c>
      <c r="S72" s="15">
        <f>INDEX('CPI Inputs'!$P$35:$AB$47,MATCH(S$5,'CPI Inputs'!$P$4:$AB$4,0),MATCH(VLOOKUP($E72,Tables!$F$3:$G$15,2,0),'CPI Inputs'!$D$35:$D$47,0))</f>
        <v>0.98169556840077099</v>
      </c>
      <c r="T72" s="15">
        <f>INDEX('CPI Inputs'!$P$35:$AB$47,MATCH(T$5,'CPI Inputs'!$P$4:$AB$4,0),MATCH(VLOOKUP($E72,Tables!$F$3:$G$15,2,0),'CPI Inputs'!$D$35:$D$47,0))</f>
        <v>0.95495677859997152</v>
      </c>
    </row>
    <row r="73" spans="2:20" x14ac:dyDescent="0.2">
      <c r="B73" s="13"/>
      <c r="C73" s="13"/>
      <c r="D73" t="s">
        <v>57</v>
      </c>
      <c r="E73" s="14" t="str">
        <f t="shared" si="3"/>
        <v>2023-24[$]</v>
      </c>
      <c r="F73" t="s">
        <v>52</v>
      </c>
      <c r="P73" s="15">
        <f>INDEX('CPI Inputs'!$P$35:$AB$47,MATCH(P$5,'CPI Inputs'!$P$4:$AB$4,0),MATCH(VLOOKUP($E73,Tables!$F$3:$G$15,2,0),'CPI Inputs'!$D$35:$D$47,0))</f>
        <v>1.1433297609233308</v>
      </c>
      <c r="Q73" s="15">
        <f>INDEX('CPI Inputs'!$P$35:$AB$47,MATCH(Q$5,'CPI Inputs'!$P$4:$AB$4,0),MATCH(VLOOKUP($E73,Tables!$F$3:$G$15,2,0),'CPI Inputs'!$D$35:$D$47,0))</f>
        <v>1.0602897553516819</v>
      </c>
      <c r="R73" s="15">
        <f>INDEX('CPI Inputs'!$P$35:$AB$47,MATCH(R$5,'CPI Inputs'!$P$4:$AB$4,0),MATCH(VLOOKUP($E73,Tables!$F$3:$G$15,2,0),'CPI Inputs'!$D$35:$D$47,0))</f>
        <v>1.0190000000000001</v>
      </c>
      <c r="S73" s="15">
        <f>INDEX('CPI Inputs'!$P$35:$AB$47,MATCH(S$5,'CPI Inputs'!$P$4:$AB$4,0),MATCH(VLOOKUP($E73,Tables!$F$3:$G$15,2,0),'CPI Inputs'!$D$35:$D$47,0))</f>
        <v>0.98169556840077099</v>
      </c>
      <c r="T73" s="15">
        <f>INDEX('CPI Inputs'!$P$35:$AB$47,MATCH(T$5,'CPI Inputs'!$P$4:$AB$4,0),MATCH(VLOOKUP($E73,Tables!$F$3:$G$15,2,0),'CPI Inputs'!$D$35:$D$47,0))</f>
        <v>0.95495677859997152</v>
      </c>
    </row>
    <row r="74" spans="2:20" x14ac:dyDescent="0.2">
      <c r="B74" s="13"/>
      <c r="C74" s="13"/>
      <c r="D74" t="s">
        <v>57</v>
      </c>
      <c r="E74" s="14" t="str">
        <f t="shared" si="3"/>
        <v>2023-24[$]</v>
      </c>
      <c r="F74" t="s">
        <v>53</v>
      </c>
      <c r="P74" s="15">
        <f>INDEX('CPI Inputs'!$P$35:$AB$47,MATCH(P$5,'CPI Inputs'!$P$4:$AB$4,0),MATCH(VLOOKUP($E74,Tables!$F$3:$G$15,2,0),'CPI Inputs'!$D$35:$D$47,0))</f>
        <v>1.1433297609233308</v>
      </c>
      <c r="Q74" s="15">
        <f>INDEX('CPI Inputs'!$P$35:$AB$47,MATCH(Q$5,'CPI Inputs'!$P$4:$AB$4,0),MATCH(VLOOKUP($E74,Tables!$F$3:$G$15,2,0),'CPI Inputs'!$D$35:$D$47,0))</f>
        <v>1.0602897553516819</v>
      </c>
      <c r="R74" s="15">
        <f>INDEX('CPI Inputs'!$P$35:$AB$47,MATCH(R$5,'CPI Inputs'!$P$4:$AB$4,0),MATCH(VLOOKUP($E74,Tables!$F$3:$G$15,2,0),'CPI Inputs'!$D$35:$D$47,0))</f>
        <v>1.0190000000000001</v>
      </c>
      <c r="S74" s="15">
        <f>INDEX('CPI Inputs'!$P$35:$AB$47,MATCH(S$5,'CPI Inputs'!$P$4:$AB$4,0),MATCH(VLOOKUP($E74,Tables!$F$3:$G$15,2,0),'CPI Inputs'!$D$35:$D$47,0))</f>
        <v>0.98169556840077099</v>
      </c>
      <c r="T74" s="15">
        <f>INDEX('CPI Inputs'!$P$35:$AB$47,MATCH(T$5,'CPI Inputs'!$P$4:$AB$4,0),MATCH(VLOOKUP($E74,Tables!$F$3:$G$15,2,0),'CPI Inputs'!$D$35:$D$47,0))</f>
        <v>0.95495677859997152</v>
      </c>
    </row>
    <row r="75" spans="2:20" x14ac:dyDescent="0.2">
      <c r="B75" s="13"/>
      <c r="C75" s="13"/>
      <c r="D75" t="s">
        <v>57</v>
      </c>
      <c r="E75" s="14" t="str">
        <f t="shared" si="3"/>
        <v>2023-24[$]</v>
      </c>
      <c r="F75" t="s">
        <v>54</v>
      </c>
      <c r="P75" s="15">
        <f>INDEX('CPI Inputs'!$P$35:$AB$47,MATCH(P$5,'CPI Inputs'!$P$4:$AB$4,0),MATCH(VLOOKUP($E75,Tables!$F$3:$G$15,2,0),'CPI Inputs'!$D$35:$D$47,0))</f>
        <v>1.1433297609233308</v>
      </c>
      <c r="Q75" s="15">
        <f>INDEX('CPI Inputs'!$P$35:$AB$47,MATCH(Q$5,'CPI Inputs'!$P$4:$AB$4,0),MATCH(VLOOKUP($E75,Tables!$F$3:$G$15,2,0),'CPI Inputs'!$D$35:$D$47,0))</f>
        <v>1.0602897553516819</v>
      </c>
      <c r="R75" s="15">
        <f>INDEX('CPI Inputs'!$P$35:$AB$47,MATCH(R$5,'CPI Inputs'!$P$4:$AB$4,0),MATCH(VLOOKUP($E75,Tables!$F$3:$G$15,2,0),'CPI Inputs'!$D$35:$D$47,0))</f>
        <v>1.0190000000000001</v>
      </c>
      <c r="S75" s="15">
        <f>INDEX('CPI Inputs'!$P$35:$AB$47,MATCH(S$5,'CPI Inputs'!$P$4:$AB$4,0),MATCH(VLOOKUP($E75,Tables!$F$3:$G$15,2,0),'CPI Inputs'!$D$35:$D$47,0))</f>
        <v>0.98169556840077099</v>
      </c>
      <c r="T75" s="15">
        <f>INDEX('CPI Inputs'!$P$35:$AB$47,MATCH(T$5,'CPI Inputs'!$P$4:$AB$4,0),MATCH(VLOOKUP($E75,Tables!$F$3:$G$15,2,0),'CPI Inputs'!$D$35:$D$47,0))</f>
        <v>0.95495677859997152</v>
      </c>
    </row>
    <row r="76" spans="2:20" x14ac:dyDescent="0.2">
      <c r="B76" s="13"/>
      <c r="C76" s="13"/>
      <c r="D76" t="s">
        <v>58</v>
      </c>
      <c r="E76" s="14" t="str">
        <f t="shared" si="3"/>
        <v>2023-24[$]</v>
      </c>
      <c r="F76" t="s">
        <v>52</v>
      </c>
      <c r="P76" s="15">
        <f>INDEX('CPI Inputs'!$P$35:$AB$47,MATCH(P$5,'CPI Inputs'!$P$4:$AB$4,0),MATCH(VLOOKUP($E76,Tables!$F$3:$G$15,2,0),'CPI Inputs'!$D$35:$D$47,0))</f>
        <v>1.1433297609233308</v>
      </c>
      <c r="Q76" s="15">
        <f>INDEX('CPI Inputs'!$P$35:$AB$47,MATCH(Q$5,'CPI Inputs'!$P$4:$AB$4,0),MATCH(VLOOKUP($E76,Tables!$F$3:$G$15,2,0),'CPI Inputs'!$D$35:$D$47,0))</f>
        <v>1.0602897553516819</v>
      </c>
      <c r="R76" s="15">
        <f>INDEX('CPI Inputs'!$P$35:$AB$47,MATCH(R$5,'CPI Inputs'!$P$4:$AB$4,0),MATCH(VLOOKUP($E76,Tables!$F$3:$G$15,2,0),'CPI Inputs'!$D$35:$D$47,0))</f>
        <v>1.0190000000000001</v>
      </c>
      <c r="S76" s="15">
        <f>INDEX('CPI Inputs'!$P$35:$AB$47,MATCH(S$5,'CPI Inputs'!$P$4:$AB$4,0),MATCH(VLOOKUP($E76,Tables!$F$3:$G$15,2,0),'CPI Inputs'!$D$35:$D$47,0))</f>
        <v>0.98169556840077099</v>
      </c>
      <c r="T76" s="15">
        <f>INDEX('CPI Inputs'!$P$35:$AB$47,MATCH(T$5,'CPI Inputs'!$P$4:$AB$4,0),MATCH(VLOOKUP($E76,Tables!$F$3:$G$15,2,0),'CPI Inputs'!$D$35:$D$47,0))</f>
        <v>0.95495677859997152</v>
      </c>
    </row>
    <row r="77" spans="2:20" x14ac:dyDescent="0.2">
      <c r="B77" s="13"/>
      <c r="C77" s="13"/>
      <c r="D77" t="s">
        <v>58</v>
      </c>
      <c r="E77" s="14" t="str">
        <f t="shared" si="3"/>
        <v>2023-24[$]</v>
      </c>
      <c r="F77" t="s">
        <v>53</v>
      </c>
      <c r="P77" s="15">
        <f>INDEX('CPI Inputs'!$P$35:$AB$47,MATCH(P$5,'CPI Inputs'!$P$4:$AB$4,0),MATCH(VLOOKUP($E77,Tables!$F$3:$G$15,2,0),'CPI Inputs'!$D$35:$D$47,0))</f>
        <v>1.1433297609233308</v>
      </c>
      <c r="Q77" s="15">
        <f>INDEX('CPI Inputs'!$P$35:$AB$47,MATCH(Q$5,'CPI Inputs'!$P$4:$AB$4,0),MATCH(VLOOKUP($E77,Tables!$F$3:$G$15,2,0),'CPI Inputs'!$D$35:$D$47,0))</f>
        <v>1.0602897553516819</v>
      </c>
      <c r="R77" s="15">
        <f>INDEX('CPI Inputs'!$P$35:$AB$47,MATCH(R$5,'CPI Inputs'!$P$4:$AB$4,0),MATCH(VLOOKUP($E77,Tables!$F$3:$G$15,2,0),'CPI Inputs'!$D$35:$D$47,0))</f>
        <v>1.0190000000000001</v>
      </c>
      <c r="S77" s="15">
        <f>INDEX('CPI Inputs'!$P$35:$AB$47,MATCH(S$5,'CPI Inputs'!$P$4:$AB$4,0),MATCH(VLOOKUP($E77,Tables!$F$3:$G$15,2,0),'CPI Inputs'!$D$35:$D$47,0))</f>
        <v>0.98169556840077099</v>
      </c>
      <c r="T77" s="15">
        <f>INDEX('CPI Inputs'!$P$35:$AB$47,MATCH(T$5,'CPI Inputs'!$P$4:$AB$4,0),MATCH(VLOOKUP($E77,Tables!$F$3:$G$15,2,0),'CPI Inputs'!$D$35:$D$47,0))</f>
        <v>0.95495677859997152</v>
      </c>
    </row>
    <row r="78" spans="2:20" x14ac:dyDescent="0.2">
      <c r="B78" s="13"/>
      <c r="C78" s="13"/>
      <c r="D78" t="s">
        <v>58</v>
      </c>
      <c r="E78" s="14" t="str">
        <f t="shared" si="3"/>
        <v>2023-24[$]</v>
      </c>
      <c r="F78" t="s">
        <v>54</v>
      </c>
      <c r="P78" s="15">
        <f>INDEX('CPI Inputs'!$P$35:$AB$47,MATCH(P$5,'CPI Inputs'!$P$4:$AB$4,0),MATCH(VLOOKUP($E78,Tables!$F$3:$G$15,2,0),'CPI Inputs'!$D$35:$D$47,0))</f>
        <v>1.1433297609233308</v>
      </c>
      <c r="Q78" s="15">
        <f>INDEX('CPI Inputs'!$P$35:$AB$47,MATCH(Q$5,'CPI Inputs'!$P$4:$AB$4,0),MATCH(VLOOKUP($E78,Tables!$F$3:$G$15,2,0),'CPI Inputs'!$D$35:$D$47,0))</f>
        <v>1.0602897553516819</v>
      </c>
      <c r="R78" s="15">
        <f>INDEX('CPI Inputs'!$P$35:$AB$47,MATCH(R$5,'CPI Inputs'!$P$4:$AB$4,0),MATCH(VLOOKUP($E78,Tables!$F$3:$G$15,2,0),'CPI Inputs'!$D$35:$D$47,0))</f>
        <v>1.0190000000000001</v>
      </c>
      <c r="S78" s="15">
        <f>INDEX('CPI Inputs'!$P$35:$AB$47,MATCH(S$5,'CPI Inputs'!$P$4:$AB$4,0),MATCH(VLOOKUP($E78,Tables!$F$3:$G$15,2,0),'CPI Inputs'!$D$35:$D$47,0))</f>
        <v>0.98169556840077099</v>
      </c>
      <c r="T78" s="15">
        <f>INDEX('CPI Inputs'!$P$35:$AB$47,MATCH(T$5,'CPI Inputs'!$P$4:$AB$4,0),MATCH(VLOOKUP($E78,Tables!$F$3:$G$15,2,0),'CPI Inputs'!$D$35:$D$47,0))</f>
        <v>0.95495677859997152</v>
      </c>
    </row>
    <row r="79" spans="2:20" x14ac:dyDescent="0.2">
      <c r="B79" s="13"/>
      <c r="C79" s="13"/>
      <c r="D79" t="s">
        <v>59</v>
      </c>
      <c r="E79" s="14" t="str">
        <f t="shared" si="3"/>
        <v>2023-24[$]</v>
      </c>
      <c r="F79" t="s">
        <v>52</v>
      </c>
      <c r="P79" s="15">
        <f>INDEX('CPI Inputs'!$P$35:$AB$47,MATCH(P$5,'CPI Inputs'!$P$4:$AB$4,0),MATCH(VLOOKUP($E79,Tables!$F$3:$G$15,2,0),'CPI Inputs'!$D$35:$D$47,0))</f>
        <v>1.1433297609233308</v>
      </c>
      <c r="Q79" s="15">
        <f>INDEX('CPI Inputs'!$P$35:$AB$47,MATCH(Q$5,'CPI Inputs'!$P$4:$AB$4,0),MATCH(VLOOKUP($E79,Tables!$F$3:$G$15,2,0),'CPI Inputs'!$D$35:$D$47,0))</f>
        <v>1.0602897553516819</v>
      </c>
      <c r="R79" s="15">
        <f>INDEX('CPI Inputs'!$P$35:$AB$47,MATCH(R$5,'CPI Inputs'!$P$4:$AB$4,0),MATCH(VLOOKUP($E79,Tables!$F$3:$G$15,2,0),'CPI Inputs'!$D$35:$D$47,0))</f>
        <v>1.0190000000000001</v>
      </c>
      <c r="S79" s="15">
        <f>INDEX('CPI Inputs'!$P$35:$AB$47,MATCH(S$5,'CPI Inputs'!$P$4:$AB$4,0),MATCH(VLOOKUP($E79,Tables!$F$3:$G$15,2,0),'CPI Inputs'!$D$35:$D$47,0))</f>
        <v>0.98169556840077099</v>
      </c>
      <c r="T79" s="15">
        <f>INDEX('CPI Inputs'!$P$35:$AB$47,MATCH(T$5,'CPI Inputs'!$P$4:$AB$4,0),MATCH(VLOOKUP($E79,Tables!$F$3:$G$15,2,0),'CPI Inputs'!$D$35:$D$47,0))</f>
        <v>0.95495677859997152</v>
      </c>
    </row>
    <row r="80" spans="2:20" x14ac:dyDescent="0.2">
      <c r="B80" s="13"/>
      <c r="C80" s="13"/>
      <c r="D80" t="s">
        <v>59</v>
      </c>
      <c r="E80" s="14" t="str">
        <f t="shared" si="3"/>
        <v>2023-24[$]</v>
      </c>
      <c r="F80" t="s">
        <v>53</v>
      </c>
      <c r="P80" s="15">
        <f>INDEX('CPI Inputs'!$P$35:$AB$47,MATCH(P$5,'CPI Inputs'!$P$4:$AB$4,0),MATCH(VLOOKUP($E80,Tables!$F$3:$G$15,2,0),'CPI Inputs'!$D$35:$D$47,0))</f>
        <v>1.1433297609233308</v>
      </c>
      <c r="Q80" s="15">
        <f>INDEX('CPI Inputs'!$P$35:$AB$47,MATCH(Q$5,'CPI Inputs'!$P$4:$AB$4,0),MATCH(VLOOKUP($E80,Tables!$F$3:$G$15,2,0),'CPI Inputs'!$D$35:$D$47,0))</f>
        <v>1.0602897553516819</v>
      </c>
      <c r="R80" s="15">
        <f>INDEX('CPI Inputs'!$P$35:$AB$47,MATCH(R$5,'CPI Inputs'!$P$4:$AB$4,0),MATCH(VLOOKUP($E80,Tables!$F$3:$G$15,2,0),'CPI Inputs'!$D$35:$D$47,0))</f>
        <v>1.0190000000000001</v>
      </c>
      <c r="S80" s="15">
        <f>INDEX('CPI Inputs'!$P$35:$AB$47,MATCH(S$5,'CPI Inputs'!$P$4:$AB$4,0),MATCH(VLOOKUP($E80,Tables!$F$3:$G$15,2,0),'CPI Inputs'!$D$35:$D$47,0))</f>
        <v>0.98169556840077099</v>
      </c>
      <c r="T80" s="15">
        <f>INDEX('CPI Inputs'!$P$35:$AB$47,MATCH(T$5,'CPI Inputs'!$P$4:$AB$4,0),MATCH(VLOOKUP($E80,Tables!$F$3:$G$15,2,0),'CPI Inputs'!$D$35:$D$47,0))</f>
        <v>0.95495677859997152</v>
      </c>
    </row>
    <row r="81" spans="2:20" x14ac:dyDescent="0.2">
      <c r="B81" s="13"/>
      <c r="C81" s="13"/>
      <c r="D81" t="s">
        <v>59</v>
      </c>
      <c r="E81" s="14" t="str">
        <f t="shared" si="3"/>
        <v>2023-24[$]</v>
      </c>
      <c r="F81" t="s">
        <v>54</v>
      </c>
      <c r="P81" s="15">
        <f>INDEX('CPI Inputs'!$P$35:$AB$47,MATCH(P$5,'CPI Inputs'!$P$4:$AB$4,0),MATCH(VLOOKUP($E81,Tables!$F$3:$G$15,2,0),'CPI Inputs'!$D$35:$D$47,0))</f>
        <v>1.1433297609233308</v>
      </c>
      <c r="Q81" s="15">
        <f>INDEX('CPI Inputs'!$P$35:$AB$47,MATCH(Q$5,'CPI Inputs'!$P$4:$AB$4,0),MATCH(VLOOKUP($E81,Tables!$F$3:$G$15,2,0),'CPI Inputs'!$D$35:$D$47,0))</f>
        <v>1.0602897553516819</v>
      </c>
      <c r="R81" s="15">
        <f>INDEX('CPI Inputs'!$P$35:$AB$47,MATCH(R$5,'CPI Inputs'!$P$4:$AB$4,0),MATCH(VLOOKUP($E81,Tables!$F$3:$G$15,2,0),'CPI Inputs'!$D$35:$D$47,0))</f>
        <v>1.0190000000000001</v>
      </c>
      <c r="S81" s="15">
        <f>INDEX('CPI Inputs'!$P$35:$AB$47,MATCH(S$5,'CPI Inputs'!$P$4:$AB$4,0),MATCH(VLOOKUP($E81,Tables!$F$3:$G$15,2,0),'CPI Inputs'!$D$35:$D$47,0))</f>
        <v>0.98169556840077099</v>
      </c>
      <c r="T81" s="15">
        <f>INDEX('CPI Inputs'!$P$35:$AB$47,MATCH(T$5,'CPI Inputs'!$P$4:$AB$4,0),MATCH(VLOOKUP($E81,Tables!$F$3:$G$15,2,0),'CPI Inputs'!$D$35:$D$47,0))</f>
        <v>0.95495677859997152</v>
      </c>
    </row>
    <row r="82" spans="2:20" x14ac:dyDescent="0.2">
      <c r="B82" s="13"/>
      <c r="C82" s="13"/>
      <c r="D82" t="s">
        <v>60</v>
      </c>
      <c r="E82" s="14" t="str">
        <f t="shared" si="3"/>
        <v>2023-24[$]</v>
      </c>
      <c r="F82" t="s">
        <v>52</v>
      </c>
      <c r="P82" s="15">
        <f>INDEX('CPI Inputs'!$P$35:$AB$47,MATCH(P$5,'CPI Inputs'!$P$4:$AB$4,0),MATCH(VLOOKUP($E82,Tables!$F$3:$G$15,2,0),'CPI Inputs'!$D$35:$D$47,0))</f>
        <v>1.1433297609233308</v>
      </c>
      <c r="Q82" s="15">
        <f>INDEX('CPI Inputs'!$P$35:$AB$47,MATCH(Q$5,'CPI Inputs'!$P$4:$AB$4,0),MATCH(VLOOKUP($E82,Tables!$F$3:$G$15,2,0),'CPI Inputs'!$D$35:$D$47,0))</f>
        <v>1.0602897553516819</v>
      </c>
      <c r="R82" s="15">
        <f>INDEX('CPI Inputs'!$P$35:$AB$47,MATCH(R$5,'CPI Inputs'!$P$4:$AB$4,0),MATCH(VLOOKUP($E82,Tables!$F$3:$G$15,2,0),'CPI Inputs'!$D$35:$D$47,0))</f>
        <v>1.0190000000000001</v>
      </c>
      <c r="S82" s="15">
        <f>INDEX('CPI Inputs'!$P$35:$AB$47,MATCH(S$5,'CPI Inputs'!$P$4:$AB$4,0),MATCH(VLOOKUP($E82,Tables!$F$3:$G$15,2,0),'CPI Inputs'!$D$35:$D$47,0))</f>
        <v>0.98169556840077099</v>
      </c>
      <c r="T82" s="15">
        <f>INDEX('CPI Inputs'!$P$35:$AB$47,MATCH(T$5,'CPI Inputs'!$P$4:$AB$4,0),MATCH(VLOOKUP($E82,Tables!$F$3:$G$15,2,0),'CPI Inputs'!$D$35:$D$47,0))</f>
        <v>0.95495677859997152</v>
      </c>
    </row>
    <row r="83" spans="2:20" x14ac:dyDescent="0.2">
      <c r="B83" s="13"/>
      <c r="C83" s="13"/>
      <c r="D83" t="s">
        <v>60</v>
      </c>
      <c r="E83" s="14" t="str">
        <f t="shared" si="3"/>
        <v>2023-24[$]</v>
      </c>
      <c r="F83" t="s">
        <v>53</v>
      </c>
      <c r="P83" s="15">
        <f>INDEX('CPI Inputs'!$P$35:$AB$47,MATCH(P$5,'CPI Inputs'!$P$4:$AB$4,0),MATCH(VLOOKUP($E83,Tables!$F$3:$G$15,2,0),'CPI Inputs'!$D$35:$D$47,0))</f>
        <v>1.1433297609233308</v>
      </c>
      <c r="Q83" s="15">
        <f>INDEX('CPI Inputs'!$P$35:$AB$47,MATCH(Q$5,'CPI Inputs'!$P$4:$AB$4,0),MATCH(VLOOKUP($E83,Tables!$F$3:$G$15,2,0),'CPI Inputs'!$D$35:$D$47,0))</f>
        <v>1.0602897553516819</v>
      </c>
      <c r="R83" s="15">
        <f>INDEX('CPI Inputs'!$P$35:$AB$47,MATCH(R$5,'CPI Inputs'!$P$4:$AB$4,0),MATCH(VLOOKUP($E83,Tables!$F$3:$G$15,2,0),'CPI Inputs'!$D$35:$D$47,0))</f>
        <v>1.0190000000000001</v>
      </c>
      <c r="S83" s="15">
        <f>INDEX('CPI Inputs'!$P$35:$AB$47,MATCH(S$5,'CPI Inputs'!$P$4:$AB$4,0),MATCH(VLOOKUP($E83,Tables!$F$3:$G$15,2,0),'CPI Inputs'!$D$35:$D$47,0))</f>
        <v>0.98169556840077099</v>
      </c>
      <c r="T83" s="15">
        <f>INDEX('CPI Inputs'!$P$35:$AB$47,MATCH(T$5,'CPI Inputs'!$P$4:$AB$4,0),MATCH(VLOOKUP($E83,Tables!$F$3:$G$15,2,0),'CPI Inputs'!$D$35:$D$47,0))</f>
        <v>0.95495677859997152</v>
      </c>
    </row>
    <row r="84" spans="2:20" x14ac:dyDescent="0.2">
      <c r="B84" s="13"/>
      <c r="C84" s="13"/>
      <c r="D84" t="s">
        <v>60</v>
      </c>
      <c r="E84" s="14" t="str">
        <f t="shared" si="3"/>
        <v>2023-24[$]</v>
      </c>
      <c r="F84" t="s">
        <v>54</v>
      </c>
      <c r="P84" s="49">
        <f>INDEX('CPI Inputs'!$P$35:$AB$47,MATCH(P$5,'CPI Inputs'!$P$4:$AB$4,0),MATCH(VLOOKUP($E84,Tables!$F$3:$G$15,2,0),'CPI Inputs'!$D$35:$D$47,0))</f>
        <v>1.1433297609233308</v>
      </c>
      <c r="Q84" s="49">
        <f>INDEX('CPI Inputs'!$P$35:$AB$47,MATCH(Q$5,'CPI Inputs'!$P$4:$AB$4,0),MATCH(VLOOKUP($E84,Tables!$F$3:$G$15,2,0),'CPI Inputs'!$D$35:$D$47,0))</f>
        <v>1.0602897553516819</v>
      </c>
      <c r="R84" s="49">
        <f>INDEX('CPI Inputs'!$P$35:$AB$47,MATCH(R$5,'CPI Inputs'!$P$4:$AB$4,0),MATCH(VLOOKUP($E84,Tables!$F$3:$G$15,2,0),'CPI Inputs'!$D$35:$D$47,0))</f>
        <v>1.0190000000000001</v>
      </c>
      <c r="S84" s="49">
        <f>INDEX('CPI Inputs'!$P$35:$AB$47,MATCH(S$5,'CPI Inputs'!$P$4:$AB$4,0),MATCH(VLOOKUP($E84,Tables!$F$3:$G$15,2,0),'CPI Inputs'!$D$35:$D$47,0))</f>
        <v>0.98169556840077099</v>
      </c>
      <c r="T84" s="49">
        <f>INDEX('CPI Inputs'!$P$35:$AB$47,MATCH(T$5,'CPI Inputs'!$P$4:$AB$4,0),MATCH(VLOOKUP($E84,Tables!$F$3:$G$15,2,0),'CPI Inputs'!$D$35:$D$47,0))</f>
        <v>0.95495677859997152</v>
      </c>
    </row>
    <row r="85" spans="2:20" x14ac:dyDescent="0.2">
      <c r="B85" s="13"/>
      <c r="C85" s="13"/>
      <c r="E85" s="34"/>
      <c r="P85" s="48"/>
      <c r="Q85" s="48"/>
      <c r="R85" s="48"/>
      <c r="S85" s="48"/>
      <c r="T85" s="48"/>
    </row>
    <row r="86" spans="2:20" x14ac:dyDescent="0.2">
      <c r="B86" s="13"/>
      <c r="C86" s="13">
        <f>MAX($A$7:C85)+0.01</f>
        <v>1.1400000000000001</v>
      </c>
      <c r="D86" s="31" t="s">
        <v>99</v>
      </c>
    </row>
    <row r="87" spans="2:20" x14ac:dyDescent="0.2">
      <c r="B87" s="13"/>
      <c r="C87" s="13"/>
      <c r="D87" s="31"/>
    </row>
    <row r="88" spans="2:20" x14ac:dyDescent="0.2">
      <c r="B88" s="13"/>
      <c r="C88" s="13"/>
      <c r="D88" t="s">
        <v>50</v>
      </c>
      <c r="E88" s="14" t="str">
        <f t="shared" ref="E88:E108" si="4">$E$39</f>
        <v>2023-24[$]</v>
      </c>
      <c r="F88" t="s">
        <v>52</v>
      </c>
      <c r="P88" s="15">
        <f>IF(AND(Inputs!$F$26="June",VLOOKUP(Inputs!$E$26,Tables!$D$2:$F$15,3,FALSE)=$E88),1,IF(Inputs!F26="June",INDEX('CPI Inputs'!$P$20:$AB$32,MATCH(P$5,'CPI Inputs'!$P$4:$AB$4,0),MATCH(VLOOKUP($E88,Tables!$F$3:$G$15,2,0),'CPI Inputs'!$D$20:$D$32,0)),INDEX('CPI Inputs'!$P$35:$AB$47,MATCH(P$5,'CPI Inputs'!$P$4:$AB$4,0),MATCH(VLOOKUP($E88,Tables!$F$3:$G$15,2,0),'CPI Inputs'!$D$35:$D$47,0))))</f>
        <v>1</v>
      </c>
      <c r="Q88" s="15">
        <f>IF(AND(Inputs!$F$26="June",VLOOKUP(Inputs!$E$26,Tables!$D$2:$F$15,3,FALSE)=$E88),1,IF(Inputs!G26="June",INDEX('CPI Inputs'!$P$20:$AB$32,MATCH(Q$5,'CPI Inputs'!$P$4:$AB$4,0),MATCH(VLOOKUP($E88,Tables!$F$3:$G$15,2,0),'CPI Inputs'!$D$20:$D$32,0)),INDEX('CPI Inputs'!$P$35:$AB$47,MATCH(Q$5,'CPI Inputs'!$P$4:$AB$4,0),MATCH(VLOOKUP($E88,Tables!$F$3:$G$15,2,0),'CPI Inputs'!$D$35:$D$47,0))))</f>
        <v>1</v>
      </c>
      <c r="R88" s="15">
        <f>IF(AND(Inputs!$F$26="June",VLOOKUP(Inputs!$E$26,Tables!$D$2:$F$15,3,FALSE)=$E88),1,IF(Inputs!H26="June",INDEX('CPI Inputs'!$P$20:$AB$32,MATCH(R$5,'CPI Inputs'!$P$4:$AB$4,0),MATCH(VLOOKUP($E88,Tables!$F$3:$G$15,2,0),'CPI Inputs'!$D$20:$D$32,0)),INDEX('CPI Inputs'!$P$35:$AB$47,MATCH(R$5,'CPI Inputs'!$P$4:$AB$4,0),MATCH(VLOOKUP($E88,Tables!$F$3:$G$15,2,0),'CPI Inputs'!$D$35:$D$47,0))))</f>
        <v>1</v>
      </c>
      <c r="S88" s="15">
        <f>IF(AND(Inputs!$F$26="June",VLOOKUP(Inputs!$E$26,Tables!$D$2:$F$15,3,FALSE)=$E88),1,IF(Inputs!I26="June",INDEX('CPI Inputs'!$P$20:$AB$32,MATCH(S$5,'CPI Inputs'!$P$4:$AB$4,0),MATCH(VLOOKUP($E88,Tables!$F$3:$G$15,2,0),'CPI Inputs'!$D$20:$D$32,0)),INDEX('CPI Inputs'!$P$35:$AB$47,MATCH(S$5,'CPI Inputs'!$P$4:$AB$4,0),MATCH(VLOOKUP($E88,Tables!$F$3:$G$15,2,0),'CPI Inputs'!$D$35:$D$47,0))))</f>
        <v>1</v>
      </c>
      <c r="T88" s="15">
        <f>IF(AND(Inputs!$F$26="June",VLOOKUP(Inputs!$E$26,Tables!$D$2:$F$15,3,FALSE)=$E88),1,IF(Inputs!J26="June",INDEX('CPI Inputs'!$P$20:$AB$32,MATCH(T$5,'CPI Inputs'!$P$4:$AB$4,0),MATCH(VLOOKUP($E88,Tables!$F$3:$G$15,2,0),'CPI Inputs'!$D$20:$D$32,0)),INDEX('CPI Inputs'!$P$35:$AB$47,MATCH(T$5,'CPI Inputs'!$P$4:$AB$4,0),MATCH(VLOOKUP($E88,Tables!$F$3:$G$15,2,0),'CPI Inputs'!$D$35:$D$47,0))))</f>
        <v>1</v>
      </c>
    </row>
    <row r="89" spans="2:20" x14ac:dyDescent="0.2">
      <c r="B89" s="13"/>
      <c r="C89" s="13"/>
      <c r="D89" t="s">
        <v>50</v>
      </c>
      <c r="E89" s="14" t="str">
        <f t="shared" si="4"/>
        <v>2023-24[$]</v>
      </c>
      <c r="F89" t="s">
        <v>53</v>
      </c>
      <c r="P89" s="15">
        <f>IF(AND(Inputs!$F$26="June",VLOOKUP(Inputs!$E$26,Tables!$D$2:$F$15,3,FALSE)=$E89),1,IF(Inputs!F27="June",INDEX('CPI Inputs'!$P$20:$AB$32,MATCH(P$5,'CPI Inputs'!$P$4:$AB$4,0),MATCH(VLOOKUP($E89,Tables!$F$3:$G$15,2,0),'CPI Inputs'!$D$20:$D$32,0)),INDEX('CPI Inputs'!$P$35:$AB$47,MATCH(P$5,'CPI Inputs'!$P$4:$AB$4,0),MATCH(VLOOKUP($E89,Tables!$F$3:$G$15,2,0),'CPI Inputs'!$D$35:$D$47,0))))</f>
        <v>1</v>
      </c>
      <c r="Q89" s="15">
        <f>IF(AND(Inputs!$F$26="June",VLOOKUP(Inputs!$E$26,Tables!$D$2:$F$15,3,FALSE)=$E89),1,IF(Inputs!G27="June",INDEX('CPI Inputs'!$P$20:$AB$32,MATCH(Q$5,'CPI Inputs'!$P$4:$AB$4,0),MATCH(VLOOKUP($E89,Tables!$F$3:$G$15,2,0),'CPI Inputs'!$D$20:$D$32,0)),INDEX('CPI Inputs'!$P$35:$AB$47,MATCH(Q$5,'CPI Inputs'!$P$4:$AB$4,0),MATCH(VLOOKUP($E89,Tables!$F$3:$G$15,2,0),'CPI Inputs'!$D$35:$D$47,0))))</f>
        <v>1</v>
      </c>
      <c r="R89" s="15">
        <f>IF(AND(Inputs!$F$26="June",VLOOKUP(Inputs!$E$26,Tables!$D$2:$F$15,3,FALSE)=$E89),1,IF(Inputs!H27="June",INDEX('CPI Inputs'!$P$20:$AB$32,MATCH(R$5,'CPI Inputs'!$P$4:$AB$4,0),MATCH(VLOOKUP($E89,Tables!$F$3:$G$15,2,0),'CPI Inputs'!$D$20:$D$32,0)),INDEX('CPI Inputs'!$P$35:$AB$47,MATCH(R$5,'CPI Inputs'!$P$4:$AB$4,0),MATCH(VLOOKUP($E89,Tables!$F$3:$G$15,2,0),'CPI Inputs'!$D$35:$D$47,0))))</f>
        <v>1</v>
      </c>
      <c r="S89" s="15">
        <f>IF(AND(Inputs!$F$26="June",VLOOKUP(Inputs!$E$26,Tables!$D$2:$F$15,3,FALSE)=$E89),1,IF(Inputs!I27="June",INDEX('CPI Inputs'!$P$20:$AB$32,MATCH(S$5,'CPI Inputs'!$P$4:$AB$4,0),MATCH(VLOOKUP($E89,Tables!$F$3:$G$15,2,0),'CPI Inputs'!$D$20:$D$32,0)),INDEX('CPI Inputs'!$P$35:$AB$47,MATCH(S$5,'CPI Inputs'!$P$4:$AB$4,0),MATCH(VLOOKUP($E89,Tables!$F$3:$G$15,2,0),'CPI Inputs'!$D$35:$D$47,0))))</f>
        <v>1</v>
      </c>
      <c r="T89" s="15">
        <f>IF(AND(Inputs!$F$26="June",VLOOKUP(Inputs!$E$26,Tables!$D$2:$F$15,3,FALSE)=$E89),1,IF(Inputs!J27="June",INDEX('CPI Inputs'!$P$20:$AB$32,MATCH(T$5,'CPI Inputs'!$P$4:$AB$4,0),MATCH(VLOOKUP($E89,Tables!$F$3:$G$15,2,0),'CPI Inputs'!$D$20:$D$32,0)),INDEX('CPI Inputs'!$P$35:$AB$47,MATCH(T$5,'CPI Inputs'!$P$4:$AB$4,0),MATCH(VLOOKUP($E89,Tables!$F$3:$G$15,2,0),'CPI Inputs'!$D$35:$D$47,0))))</f>
        <v>1</v>
      </c>
    </row>
    <row r="90" spans="2:20" x14ac:dyDescent="0.2">
      <c r="B90" s="13"/>
      <c r="C90" s="13"/>
      <c r="D90" t="s">
        <v>50</v>
      </c>
      <c r="E90" s="14" t="str">
        <f t="shared" si="4"/>
        <v>2023-24[$]</v>
      </c>
      <c r="F90" t="s">
        <v>54</v>
      </c>
      <c r="P90" s="15">
        <f>IF(AND(Inputs!$F$26="June",VLOOKUP(Inputs!$E$26,Tables!$D$2:$F$15,3,FALSE)=$E90),1,IF(Inputs!F28="June",INDEX('CPI Inputs'!$P$20:$AB$32,MATCH(P$5,'CPI Inputs'!$P$4:$AB$4,0),MATCH(VLOOKUP($E90,Tables!$F$3:$G$15,2,0),'CPI Inputs'!$D$20:$D$32,0)),INDEX('CPI Inputs'!$P$35:$AB$47,MATCH(P$5,'CPI Inputs'!$P$4:$AB$4,0),MATCH(VLOOKUP($E90,Tables!$F$3:$G$15,2,0),'CPI Inputs'!$D$35:$D$47,0))))</f>
        <v>1</v>
      </c>
      <c r="Q90" s="15">
        <f>IF(AND(Inputs!$F$26="June",VLOOKUP(Inputs!$E$26,Tables!$D$2:$F$15,3,FALSE)=$E90),1,IF(Inputs!G28="June",INDEX('CPI Inputs'!$P$20:$AB$32,MATCH(Q$5,'CPI Inputs'!$P$4:$AB$4,0),MATCH(VLOOKUP($E90,Tables!$F$3:$G$15,2,0),'CPI Inputs'!$D$20:$D$32,0)),INDEX('CPI Inputs'!$P$35:$AB$47,MATCH(Q$5,'CPI Inputs'!$P$4:$AB$4,0),MATCH(VLOOKUP($E90,Tables!$F$3:$G$15,2,0),'CPI Inputs'!$D$35:$D$47,0))))</f>
        <v>1</v>
      </c>
      <c r="R90" s="15">
        <f>IF(AND(Inputs!$F$26="June",VLOOKUP(Inputs!$E$26,Tables!$D$2:$F$15,3,FALSE)=$E90),1,IF(Inputs!H28="June",INDEX('CPI Inputs'!$P$20:$AB$32,MATCH(R$5,'CPI Inputs'!$P$4:$AB$4,0),MATCH(VLOOKUP($E90,Tables!$F$3:$G$15,2,0),'CPI Inputs'!$D$20:$D$32,0)),INDEX('CPI Inputs'!$P$35:$AB$47,MATCH(R$5,'CPI Inputs'!$P$4:$AB$4,0),MATCH(VLOOKUP($E90,Tables!$F$3:$G$15,2,0),'CPI Inputs'!$D$35:$D$47,0))))</f>
        <v>1</v>
      </c>
      <c r="S90" s="15">
        <f>IF(AND(Inputs!$F$26="June",VLOOKUP(Inputs!$E$26,Tables!$D$2:$F$15,3,FALSE)=$E90),1,IF(Inputs!I28="June",INDEX('CPI Inputs'!$P$20:$AB$32,MATCH(S$5,'CPI Inputs'!$P$4:$AB$4,0),MATCH(VLOOKUP($E90,Tables!$F$3:$G$15,2,0),'CPI Inputs'!$D$20:$D$32,0)),INDEX('CPI Inputs'!$P$35:$AB$47,MATCH(S$5,'CPI Inputs'!$P$4:$AB$4,0),MATCH(VLOOKUP($E90,Tables!$F$3:$G$15,2,0),'CPI Inputs'!$D$35:$D$47,0))))</f>
        <v>1</v>
      </c>
      <c r="T90" s="15">
        <f>IF(AND(Inputs!$F$26="June",VLOOKUP(Inputs!$E$26,Tables!$D$2:$F$15,3,FALSE)=$E90),1,IF(Inputs!J28="June",INDEX('CPI Inputs'!$P$20:$AB$32,MATCH(T$5,'CPI Inputs'!$P$4:$AB$4,0),MATCH(VLOOKUP($E90,Tables!$F$3:$G$15,2,0),'CPI Inputs'!$D$20:$D$32,0)),INDEX('CPI Inputs'!$P$35:$AB$47,MATCH(T$5,'CPI Inputs'!$P$4:$AB$4,0),MATCH(VLOOKUP($E90,Tables!$F$3:$G$15,2,0),'CPI Inputs'!$D$35:$D$47,0))))</f>
        <v>1</v>
      </c>
    </row>
    <row r="91" spans="2:20" x14ac:dyDescent="0.2">
      <c r="B91" s="13"/>
      <c r="C91" s="13"/>
      <c r="D91" t="s">
        <v>55</v>
      </c>
      <c r="E91" s="14" t="str">
        <f t="shared" si="4"/>
        <v>2023-24[$]</v>
      </c>
      <c r="F91" t="s">
        <v>52</v>
      </c>
      <c r="P91" s="15">
        <f>IF(AND(Inputs!$F$26="June",VLOOKUP(Inputs!$E$26,Tables!$D$2:$F$15,3,FALSE)=$E91),1,IF(Inputs!F29="June",INDEX('CPI Inputs'!$P$20:$AB$32,MATCH(P$5,'CPI Inputs'!$P$4:$AB$4,0),MATCH(VLOOKUP($E91,Tables!$F$3:$G$15,2,0),'CPI Inputs'!$D$20:$D$32,0)),INDEX('CPI Inputs'!$P$35:$AB$47,MATCH(P$5,'CPI Inputs'!$P$4:$AB$4,0),MATCH(VLOOKUP($E91,Tables!$F$3:$G$15,2,0),'CPI Inputs'!$D$35:$D$47,0))))</f>
        <v>1</v>
      </c>
      <c r="Q91" s="15">
        <f>IF(AND(Inputs!$F$26="June",VLOOKUP(Inputs!$E$26,Tables!$D$2:$F$15,3,FALSE)=$E91),1,IF(Inputs!G29="June",INDEX('CPI Inputs'!$P$20:$AB$32,MATCH(Q$5,'CPI Inputs'!$P$4:$AB$4,0),MATCH(VLOOKUP($E91,Tables!$F$3:$G$15,2,0),'CPI Inputs'!$D$20:$D$32,0)),INDEX('CPI Inputs'!$P$35:$AB$47,MATCH(Q$5,'CPI Inputs'!$P$4:$AB$4,0),MATCH(VLOOKUP($E91,Tables!$F$3:$G$15,2,0),'CPI Inputs'!$D$35:$D$47,0))))</f>
        <v>1</v>
      </c>
      <c r="R91" s="15">
        <f>IF(AND(Inputs!$F$26="June",VLOOKUP(Inputs!$E$26,Tables!$D$2:$F$15,3,FALSE)=$E91),1,IF(Inputs!H29="June",INDEX('CPI Inputs'!$P$20:$AB$32,MATCH(R$5,'CPI Inputs'!$P$4:$AB$4,0),MATCH(VLOOKUP($E91,Tables!$F$3:$G$15,2,0),'CPI Inputs'!$D$20:$D$32,0)),INDEX('CPI Inputs'!$P$35:$AB$47,MATCH(R$5,'CPI Inputs'!$P$4:$AB$4,0),MATCH(VLOOKUP($E91,Tables!$F$3:$G$15,2,0),'CPI Inputs'!$D$35:$D$47,0))))</f>
        <v>1</v>
      </c>
      <c r="S91" s="15">
        <f>IF(AND(Inputs!$F$26="June",VLOOKUP(Inputs!$E$26,Tables!$D$2:$F$15,3,FALSE)=$E91),1,IF(Inputs!I29="June",INDEX('CPI Inputs'!$P$20:$AB$32,MATCH(S$5,'CPI Inputs'!$P$4:$AB$4,0),MATCH(VLOOKUP($E91,Tables!$F$3:$G$15,2,0),'CPI Inputs'!$D$20:$D$32,0)),INDEX('CPI Inputs'!$P$35:$AB$47,MATCH(S$5,'CPI Inputs'!$P$4:$AB$4,0),MATCH(VLOOKUP($E91,Tables!$F$3:$G$15,2,0),'CPI Inputs'!$D$35:$D$47,0))))</f>
        <v>1</v>
      </c>
      <c r="T91" s="15">
        <f>IF(AND(Inputs!$F$26="June",VLOOKUP(Inputs!$E$26,Tables!$D$2:$F$15,3,FALSE)=$E91),1,IF(Inputs!J29="June",INDEX('CPI Inputs'!$P$20:$AB$32,MATCH(T$5,'CPI Inputs'!$P$4:$AB$4,0),MATCH(VLOOKUP($E91,Tables!$F$3:$G$15,2,0),'CPI Inputs'!$D$20:$D$32,0)),INDEX('CPI Inputs'!$P$35:$AB$47,MATCH(T$5,'CPI Inputs'!$P$4:$AB$4,0),MATCH(VLOOKUP($E91,Tables!$F$3:$G$15,2,0),'CPI Inputs'!$D$35:$D$47,0))))</f>
        <v>1</v>
      </c>
    </row>
    <row r="92" spans="2:20" x14ac:dyDescent="0.2">
      <c r="B92" s="13"/>
      <c r="C92" s="13"/>
      <c r="D92" t="s">
        <v>55</v>
      </c>
      <c r="E92" s="14" t="str">
        <f t="shared" si="4"/>
        <v>2023-24[$]</v>
      </c>
      <c r="F92" t="s">
        <v>53</v>
      </c>
      <c r="P92" s="15">
        <f>IF(AND(Inputs!$F$26="June",VLOOKUP(Inputs!$E$26,Tables!$D$2:$F$15,3,FALSE)=$E92),1,IF(Inputs!F30="June",INDEX('CPI Inputs'!$P$20:$AB$32,MATCH(P$5,'CPI Inputs'!$P$4:$AB$4,0),MATCH(VLOOKUP($E92,Tables!$F$3:$G$15,2,0),'CPI Inputs'!$D$20:$D$32,0)),INDEX('CPI Inputs'!$P$35:$AB$47,MATCH(P$5,'CPI Inputs'!$P$4:$AB$4,0),MATCH(VLOOKUP($E92,Tables!$F$3:$G$15,2,0),'CPI Inputs'!$D$35:$D$47,0))))</f>
        <v>1</v>
      </c>
      <c r="Q92" s="15">
        <f>IF(AND(Inputs!$F$26="June",VLOOKUP(Inputs!$E$26,Tables!$D$2:$F$15,3,FALSE)=$E92),1,IF(Inputs!G30="June",INDEX('CPI Inputs'!$P$20:$AB$32,MATCH(Q$5,'CPI Inputs'!$P$4:$AB$4,0),MATCH(VLOOKUP($E92,Tables!$F$3:$G$15,2,0),'CPI Inputs'!$D$20:$D$32,0)),INDEX('CPI Inputs'!$P$35:$AB$47,MATCH(Q$5,'CPI Inputs'!$P$4:$AB$4,0),MATCH(VLOOKUP($E92,Tables!$F$3:$G$15,2,0),'CPI Inputs'!$D$35:$D$47,0))))</f>
        <v>1</v>
      </c>
      <c r="R92" s="15">
        <f>IF(AND(Inputs!$F$26="June",VLOOKUP(Inputs!$E$26,Tables!$D$2:$F$15,3,FALSE)=$E92),1,IF(Inputs!H30="June",INDEX('CPI Inputs'!$P$20:$AB$32,MATCH(R$5,'CPI Inputs'!$P$4:$AB$4,0),MATCH(VLOOKUP($E92,Tables!$F$3:$G$15,2,0),'CPI Inputs'!$D$20:$D$32,0)),INDEX('CPI Inputs'!$P$35:$AB$47,MATCH(R$5,'CPI Inputs'!$P$4:$AB$4,0),MATCH(VLOOKUP($E92,Tables!$F$3:$G$15,2,0),'CPI Inputs'!$D$35:$D$47,0))))</f>
        <v>1</v>
      </c>
      <c r="S92" s="15">
        <f>IF(AND(Inputs!$F$26="June",VLOOKUP(Inputs!$E$26,Tables!$D$2:$F$15,3,FALSE)=$E92),1,IF(Inputs!I30="June",INDEX('CPI Inputs'!$P$20:$AB$32,MATCH(S$5,'CPI Inputs'!$P$4:$AB$4,0),MATCH(VLOOKUP($E92,Tables!$F$3:$G$15,2,0),'CPI Inputs'!$D$20:$D$32,0)),INDEX('CPI Inputs'!$P$35:$AB$47,MATCH(S$5,'CPI Inputs'!$P$4:$AB$4,0),MATCH(VLOOKUP($E92,Tables!$F$3:$G$15,2,0),'CPI Inputs'!$D$35:$D$47,0))))</f>
        <v>1</v>
      </c>
      <c r="T92" s="15">
        <f>IF(AND(Inputs!$F$26="June",VLOOKUP(Inputs!$E$26,Tables!$D$2:$F$15,3,FALSE)=$E92),1,IF(Inputs!J30="June",INDEX('CPI Inputs'!$P$20:$AB$32,MATCH(T$5,'CPI Inputs'!$P$4:$AB$4,0),MATCH(VLOOKUP($E92,Tables!$F$3:$G$15,2,0),'CPI Inputs'!$D$20:$D$32,0)),INDEX('CPI Inputs'!$P$35:$AB$47,MATCH(T$5,'CPI Inputs'!$P$4:$AB$4,0),MATCH(VLOOKUP($E92,Tables!$F$3:$G$15,2,0),'CPI Inputs'!$D$35:$D$47,0))))</f>
        <v>1</v>
      </c>
    </row>
    <row r="93" spans="2:20" x14ac:dyDescent="0.2">
      <c r="B93" s="13"/>
      <c r="C93" s="13"/>
      <c r="D93" t="s">
        <v>55</v>
      </c>
      <c r="E93" s="14" t="str">
        <f t="shared" si="4"/>
        <v>2023-24[$]</v>
      </c>
      <c r="F93" t="s">
        <v>54</v>
      </c>
      <c r="P93" s="15">
        <f>IF(AND(Inputs!$F$26="June",VLOOKUP(Inputs!$E$26,Tables!$D$2:$F$15,3,FALSE)=$E93),1,IF(Inputs!F31="June",INDEX('CPI Inputs'!$P$20:$AB$32,MATCH(P$5,'CPI Inputs'!$P$4:$AB$4,0),MATCH(VLOOKUP($E93,Tables!$F$3:$G$15,2,0),'CPI Inputs'!$D$20:$D$32,0)),INDEX('CPI Inputs'!$P$35:$AB$47,MATCH(P$5,'CPI Inputs'!$P$4:$AB$4,0),MATCH(VLOOKUP($E93,Tables!$F$3:$G$15,2,0),'CPI Inputs'!$D$35:$D$47,0))))</f>
        <v>1</v>
      </c>
      <c r="Q93" s="15">
        <f>IF(AND(Inputs!$F$26="June",VLOOKUP(Inputs!$E$26,Tables!$D$2:$F$15,3,FALSE)=$E93),1,IF(Inputs!G31="June",INDEX('CPI Inputs'!$P$20:$AB$32,MATCH(Q$5,'CPI Inputs'!$P$4:$AB$4,0),MATCH(VLOOKUP($E93,Tables!$F$3:$G$15,2,0),'CPI Inputs'!$D$20:$D$32,0)),INDEX('CPI Inputs'!$P$35:$AB$47,MATCH(Q$5,'CPI Inputs'!$P$4:$AB$4,0),MATCH(VLOOKUP($E93,Tables!$F$3:$G$15,2,0),'CPI Inputs'!$D$35:$D$47,0))))</f>
        <v>1</v>
      </c>
      <c r="R93" s="15">
        <f>IF(AND(Inputs!$F$26="June",VLOOKUP(Inputs!$E$26,Tables!$D$2:$F$15,3,FALSE)=$E93),1,IF(Inputs!H31="June",INDEX('CPI Inputs'!$P$20:$AB$32,MATCH(R$5,'CPI Inputs'!$P$4:$AB$4,0),MATCH(VLOOKUP($E93,Tables!$F$3:$G$15,2,0),'CPI Inputs'!$D$20:$D$32,0)),INDEX('CPI Inputs'!$P$35:$AB$47,MATCH(R$5,'CPI Inputs'!$P$4:$AB$4,0),MATCH(VLOOKUP($E93,Tables!$F$3:$G$15,2,0),'CPI Inputs'!$D$35:$D$47,0))))</f>
        <v>1</v>
      </c>
      <c r="S93" s="15">
        <f>IF(AND(Inputs!$F$26="June",VLOOKUP(Inputs!$E$26,Tables!$D$2:$F$15,3,FALSE)=$E93),1,IF(Inputs!I31="June",INDEX('CPI Inputs'!$P$20:$AB$32,MATCH(S$5,'CPI Inputs'!$P$4:$AB$4,0),MATCH(VLOOKUP($E93,Tables!$F$3:$G$15,2,0),'CPI Inputs'!$D$20:$D$32,0)),INDEX('CPI Inputs'!$P$35:$AB$47,MATCH(S$5,'CPI Inputs'!$P$4:$AB$4,0),MATCH(VLOOKUP($E93,Tables!$F$3:$G$15,2,0),'CPI Inputs'!$D$35:$D$47,0))))</f>
        <v>1</v>
      </c>
      <c r="T93" s="15">
        <f>IF(AND(Inputs!$F$26="June",VLOOKUP(Inputs!$E$26,Tables!$D$2:$F$15,3,FALSE)=$E93),1,IF(Inputs!J31="June",INDEX('CPI Inputs'!$P$20:$AB$32,MATCH(T$5,'CPI Inputs'!$P$4:$AB$4,0),MATCH(VLOOKUP($E93,Tables!$F$3:$G$15,2,0),'CPI Inputs'!$D$20:$D$32,0)),INDEX('CPI Inputs'!$P$35:$AB$47,MATCH(T$5,'CPI Inputs'!$P$4:$AB$4,0),MATCH(VLOOKUP($E93,Tables!$F$3:$G$15,2,0),'CPI Inputs'!$D$35:$D$47,0))))</f>
        <v>1</v>
      </c>
    </row>
    <row r="94" spans="2:20" x14ac:dyDescent="0.2">
      <c r="B94" s="13"/>
      <c r="C94" s="13"/>
      <c r="D94" t="s">
        <v>56</v>
      </c>
      <c r="E94" s="14" t="str">
        <f t="shared" si="4"/>
        <v>2023-24[$]</v>
      </c>
      <c r="F94" t="s">
        <v>52</v>
      </c>
      <c r="P94" s="15">
        <f>IF(AND(Inputs!$F$26="June",VLOOKUP(Inputs!$E$26,Tables!$D$2:$F$15,3,FALSE)=$E94),1,IF(Inputs!F32="June",INDEX('CPI Inputs'!$P$20:$AB$32,MATCH(P$5,'CPI Inputs'!$P$4:$AB$4,0),MATCH(VLOOKUP($E94,Tables!$F$3:$G$15,2,0),'CPI Inputs'!$D$20:$D$32,0)),INDEX('CPI Inputs'!$P$35:$AB$47,MATCH(P$5,'CPI Inputs'!$P$4:$AB$4,0),MATCH(VLOOKUP($E94,Tables!$F$3:$G$15,2,0),'CPI Inputs'!$D$35:$D$47,0))))</f>
        <v>1</v>
      </c>
      <c r="Q94" s="15">
        <f>IF(AND(Inputs!$F$26="June",VLOOKUP(Inputs!$E$26,Tables!$D$2:$F$15,3,FALSE)=$E94),1,IF(Inputs!G32="June",INDEX('CPI Inputs'!$P$20:$AB$32,MATCH(Q$5,'CPI Inputs'!$P$4:$AB$4,0),MATCH(VLOOKUP($E94,Tables!$F$3:$G$15,2,0),'CPI Inputs'!$D$20:$D$32,0)),INDEX('CPI Inputs'!$P$35:$AB$47,MATCH(Q$5,'CPI Inputs'!$P$4:$AB$4,0),MATCH(VLOOKUP($E94,Tables!$F$3:$G$15,2,0),'CPI Inputs'!$D$35:$D$47,0))))</f>
        <v>1</v>
      </c>
      <c r="R94" s="15">
        <f>IF(AND(Inputs!$F$26="June",VLOOKUP(Inputs!$E$26,Tables!$D$2:$F$15,3,FALSE)=$E94),1,IF(Inputs!H32="June",INDEX('CPI Inputs'!$P$20:$AB$32,MATCH(R$5,'CPI Inputs'!$P$4:$AB$4,0),MATCH(VLOOKUP($E94,Tables!$F$3:$G$15,2,0),'CPI Inputs'!$D$20:$D$32,0)),INDEX('CPI Inputs'!$P$35:$AB$47,MATCH(R$5,'CPI Inputs'!$P$4:$AB$4,0),MATCH(VLOOKUP($E94,Tables!$F$3:$G$15,2,0),'CPI Inputs'!$D$35:$D$47,0))))</f>
        <v>1</v>
      </c>
      <c r="S94" s="15">
        <f>IF(AND(Inputs!$F$26="June",VLOOKUP(Inputs!$E$26,Tables!$D$2:$F$15,3,FALSE)=$E94),1,IF(Inputs!I32="June",INDEX('CPI Inputs'!$P$20:$AB$32,MATCH(S$5,'CPI Inputs'!$P$4:$AB$4,0),MATCH(VLOOKUP($E94,Tables!$F$3:$G$15,2,0),'CPI Inputs'!$D$20:$D$32,0)),INDEX('CPI Inputs'!$P$35:$AB$47,MATCH(S$5,'CPI Inputs'!$P$4:$AB$4,0),MATCH(VLOOKUP($E94,Tables!$F$3:$G$15,2,0),'CPI Inputs'!$D$35:$D$47,0))))</f>
        <v>1</v>
      </c>
      <c r="T94" s="15">
        <f>IF(AND(Inputs!$F$26="June",VLOOKUP(Inputs!$E$26,Tables!$D$2:$F$15,3,FALSE)=$E94),1,IF(Inputs!J32="June",INDEX('CPI Inputs'!$P$20:$AB$32,MATCH(T$5,'CPI Inputs'!$P$4:$AB$4,0),MATCH(VLOOKUP($E94,Tables!$F$3:$G$15,2,0),'CPI Inputs'!$D$20:$D$32,0)),INDEX('CPI Inputs'!$P$35:$AB$47,MATCH(T$5,'CPI Inputs'!$P$4:$AB$4,0),MATCH(VLOOKUP($E94,Tables!$F$3:$G$15,2,0),'CPI Inputs'!$D$35:$D$47,0))))</f>
        <v>1</v>
      </c>
    </row>
    <row r="95" spans="2:20" x14ac:dyDescent="0.2">
      <c r="B95" s="13"/>
      <c r="C95" s="13"/>
      <c r="D95" t="s">
        <v>56</v>
      </c>
      <c r="E95" s="14" t="str">
        <f t="shared" si="4"/>
        <v>2023-24[$]</v>
      </c>
      <c r="F95" t="s">
        <v>53</v>
      </c>
      <c r="P95" s="15">
        <f>IF(AND(Inputs!$F$26="June",VLOOKUP(Inputs!$E$26,Tables!$D$2:$F$15,3,FALSE)=$E95),1,IF(Inputs!F33="June",INDEX('CPI Inputs'!$P$20:$AB$32,MATCH(P$5,'CPI Inputs'!$P$4:$AB$4,0),MATCH(VLOOKUP($E95,Tables!$F$3:$G$15,2,0),'CPI Inputs'!$D$20:$D$32,0)),INDEX('CPI Inputs'!$P$35:$AB$47,MATCH(P$5,'CPI Inputs'!$P$4:$AB$4,0),MATCH(VLOOKUP($E95,Tables!$F$3:$G$15,2,0),'CPI Inputs'!$D$35:$D$47,0))))</f>
        <v>1</v>
      </c>
      <c r="Q95" s="15">
        <f>IF(AND(Inputs!$F$26="June",VLOOKUP(Inputs!$E$26,Tables!$D$2:$F$15,3,FALSE)=$E95),1,IF(Inputs!G33="June",INDEX('CPI Inputs'!$P$20:$AB$32,MATCH(Q$5,'CPI Inputs'!$P$4:$AB$4,0),MATCH(VLOOKUP($E95,Tables!$F$3:$G$15,2,0),'CPI Inputs'!$D$20:$D$32,0)),INDEX('CPI Inputs'!$P$35:$AB$47,MATCH(Q$5,'CPI Inputs'!$P$4:$AB$4,0),MATCH(VLOOKUP($E95,Tables!$F$3:$G$15,2,0),'CPI Inputs'!$D$35:$D$47,0))))</f>
        <v>1</v>
      </c>
      <c r="R95" s="15">
        <f>IF(AND(Inputs!$F$26="June",VLOOKUP(Inputs!$E$26,Tables!$D$2:$F$15,3,FALSE)=$E95),1,IF(Inputs!H33="June",INDEX('CPI Inputs'!$P$20:$AB$32,MATCH(R$5,'CPI Inputs'!$P$4:$AB$4,0),MATCH(VLOOKUP($E95,Tables!$F$3:$G$15,2,0),'CPI Inputs'!$D$20:$D$32,0)),INDEX('CPI Inputs'!$P$35:$AB$47,MATCH(R$5,'CPI Inputs'!$P$4:$AB$4,0),MATCH(VLOOKUP($E95,Tables!$F$3:$G$15,2,0),'CPI Inputs'!$D$35:$D$47,0))))</f>
        <v>1</v>
      </c>
      <c r="S95" s="15">
        <f>IF(AND(Inputs!$F$26="June",VLOOKUP(Inputs!$E$26,Tables!$D$2:$F$15,3,FALSE)=$E95),1,IF(Inputs!I33="June",INDEX('CPI Inputs'!$P$20:$AB$32,MATCH(S$5,'CPI Inputs'!$P$4:$AB$4,0),MATCH(VLOOKUP($E95,Tables!$F$3:$G$15,2,0),'CPI Inputs'!$D$20:$D$32,0)),INDEX('CPI Inputs'!$P$35:$AB$47,MATCH(S$5,'CPI Inputs'!$P$4:$AB$4,0),MATCH(VLOOKUP($E95,Tables!$F$3:$G$15,2,0),'CPI Inputs'!$D$35:$D$47,0))))</f>
        <v>1</v>
      </c>
      <c r="T95" s="15">
        <f>IF(AND(Inputs!$F$26="June",VLOOKUP(Inputs!$E$26,Tables!$D$2:$F$15,3,FALSE)=$E95),1,IF(Inputs!J33="June",INDEX('CPI Inputs'!$P$20:$AB$32,MATCH(T$5,'CPI Inputs'!$P$4:$AB$4,0),MATCH(VLOOKUP($E95,Tables!$F$3:$G$15,2,0),'CPI Inputs'!$D$20:$D$32,0)),INDEX('CPI Inputs'!$P$35:$AB$47,MATCH(T$5,'CPI Inputs'!$P$4:$AB$4,0),MATCH(VLOOKUP($E95,Tables!$F$3:$G$15,2,0),'CPI Inputs'!$D$35:$D$47,0))))</f>
        <v>1</v>
      </c>
    </row>
    <row r="96" spans="2:20" x14ac:dyDescent="0.2">
      <c r="B96" s="13"/>
      <c r="C96" s="13"/>
      <c r="D96" t="s">
        <v>56</v>
      </c>
      <c r="E96" s="14" t="str">
        <f t="shared" si="4"/>
        <v>2023-24[$]</v>
      </c>
      <c r="F96" t="s">
        <v>54</v>
      </c>
      <c r="P96" s="15">
        <f>IF(AND(Inputs!$F$26="June",VLOOKUP(Inputs!$E$26,Tables!$D$2:$F$15,3,FALSE)=$E96),1,IF(Inputs!F34="June",INDEX('CPI Inputs'!$P$20:$AB$32,MATCH(P$5,'CPI Inputs'!$P$4:$AB$4,0),MATCH(VLOOKUP($E96,Tables!$F$3:$G$15,2,0),'CPI Inputs'!$D$20:$D$32,0)),INDEX('CPI Inputs'!$P$35:$AB$47,MATCH(P$5,'CPI Inputs'!$P$4:$AB$4,0),MATCH(VLOOKUP($E96,Tables!$F$3:$G$15,2,0),'CPI Inputs'!$D$35:$D$47,0))))</f>
        <v>1</v>
      </c>
      <c r="Q96" s="15">
        <f>IF(AND(Inputs!$F$26="June",VLOOKUP(Inputs!$E$26,Tables!$D$2:$F$15,3,FALSE)=$E96),1,IF(Inputs!G34="June",INDEX('CPI Inputs'!$P$20:$AB$32,MATCH(Q$5,'CPI Inputs'!$P$4:$AB$4,0),MATCH(VLOOKUP($E96,Tables!$F$3:$G$15,2,0),'CPI Inputs'!$D$20:$D$32,0)),INDEX('CPI Inputs'!$P$35:$AB$47,MATCH(Q$5,'CPI Inputs'!$P$4:$AB$4,0),MATCH(VLOOKUP($E96,Tables!$F$3:$G$15,2,0),'CPI Inputs'!$D$35:$D$47,0))))</f>
        <v>1</v>
      </c>
      <c r="R96" s="15">
        <f>IF(AND(Inputs!$F$26="June",VLOOKUP(Inputs!$E$26,Tables!$D$2:$F$15,3,FALSE)=$E96),1,IF(Inputs!H34="June",INDEX('CPI Inputs'!$P$20:$AB$32,MATCH(R$5,'CPI Inputs'!$P$4:$AB$4,0),MATCH(VLOOKUP($E96,Tables!$F$3:$G$15,2,0),'CPI Inputs'!$D$20:$D$32,0)),INDEX('CPI Inputs'!$P$35:$AB$47,MATCH(R$5,'CPI Inputs'!$P$4:$AB$4,0),MATCH(VLOOKUP($E96,Tables!$F$3:$G$15,2,0),'CPI Inputs'!$D$35:$D$47,0))))</f>
        <v>1</v>
      </c>
      <c r="S96" s="15">
        <f>IF(AND(Inputs!$F$26="June",VLOOKUP(Inputs!$E$26,Tables!$D$2:$F$15,3,FALSE)=$E96),1,IF(Inputs!I34="June",INDEX('CPI Inputs'!$P$20:$AB$32,MATCH(S$5,'CPI Inputs'!$P$4:$AB$4,0),MATCH(VLOOKUP($E96,Tables!$F$3:$G$15,2,0),'CPI Inputs'!$D$20:$D$32,0)),INDEX('CPI Inputs'!$P$35:$AB$47,MATCH(S$5,'CPI Inputs'!$P$4:$AB$4,0),MATCH(VLOOKUP($E96,Tables!$F$3:$G$15,2,0),'CPI Inputs'!$D$35:$D$47,0))))</f>
        <v>1</v>
      </c>
      <c r="T96" s="15">
        <f>IF(AND(Inputs!$F$26="June",VLOOKUP(Inputs!$E$26,Tables!$D$2:$F$15,3,FALSE)=$E96),1,IF(Inputs!J34="June",INDEX('CPI Inputs'!$P$20:$AB$32,MATCH(T$5,'CPI Inputs'!$P$4:$AB$4,0),MATCH(VLOOKUP($E96,Tables!$F$3:$G$15,2,0),'CPI Inputs'!$D$20:$D$32,0)),INDEX('CPI Inputs'!$P$35:$AB$47,MATCH(T$5,'CPI Inputs'!$P$4:$AB$4,0),MATCH(VLOOKUP($E96,Tables!$F$3:$G$15,2,0),'CPI Inputs'!$D$35:$D$47,0))))</f>
        <v>1</v>
      </c>
    </row>
    <row r="97" spans="2:20" x14ac:dyDescent="0.2">
      <c r="B97" s="13"/>
      <c r="C97" s="13"/>
      <c r="D97" t="s">
        <v>57</v>
      </c>
      <c r="E97" s="14" t="str">
        <f t="shared" si="4"/>
        <v>2023-24[$]</v>
      </c>
      <c r="F97" t="s">
        <v>52</v>
      </c>
      <c r="P97" s="15">
        <f>IF(AND(Inputs!$F$26="June",VLOOKUP(Inputs!$E$26,Tables!$D$2:$F$15,3,FALSE)=$E97),1,IF(Inputs!F35="June",INDEX('CPI Inputs'!$P$20:$AB$32,MATCH(P$5,'CPI Inputs'!$P$4:$AB$4,0),MATCH(VLOOKUP($E97,Tables!$F$3:$G$15,2,0),'CPI Inputs'!$D$20:$D$32,0)),INDEX('CPI Inputs'!$P$35:$AB$47,MATCH(P$5,'CPI Inputs'!$P$4:$AB$4,0),MATCH(VLOOKUP($E97,Tables!$F$3:$G$15,2,0),'CPI Inputs'!$D$35:$D$47,0))))</f>
        <v>1</v>
      </c>
      <c r="Q97" s="15">
        <f>IF(AND(Inputs!$F$26="June",VLOOKUP(Inputs!$E$26,Tables!$D$2:$F$15,3,FALSE)=$E97),1,IF(Inputs!G35="June",INDEX('CPI Inputs'!$P$20:$AB$32,MATCH(Q$5,'CPI Inputs'!$P$4:$AB$4,0),MATCH(VLOOKUP($E97,Tables!$F$3:$G$15,2,0),'CPI Inputs'!$D$20:$D$32,0)),INDEX('CPI Inputs'!$P$35:$AB$47,MATCH(Q$5,'CPI Inputs'!$P$4:$AB$4,0),MATCH(VLOOKUP($E97,Tables!$F$3:$G$15,2,0),'CPI Inputs'!$D$35:$D$47,0))))</f>
        <v>1</v>
      </c>
      <c r="R97" s="15">
        <f>IF(AND(Inputs!$F$26="June",VLOOKUP(Inputs!$E$26,Tables!$D$2:$F$15,3,FALSE)=$E97),1,IF(Inputs!H35="June",INDEX('CPI Inputs'!$P$20:$AB$32,MATCH(R$5,'CPI Inputs'!$P$4:$AB$4,0),MATCH(VLOOKUP($E97,Tables!$F$3:$G$15,2,0),'CPI Inputs'!$D$20:$D$32,0)),INDEX('CPI Inputs'!$P$35:$AB$47,MATCH(R$5,'CPI Inputs'!$P$4:$AB$4,0),MATCH(VLOOKUP($E97,Tables!$F$3:$G$15,2,0),'CPI Inputs'!$D$35:$D$47,0))))</f>
        <v>1</v>
      </c>
      <c r="S97" s="15">
        <f>IF(AND(Inputs!$F$26="June",VLOOKUP(Inputs!$E$26,Tables!$D$2:$F$15,3,FALSE)=$E97),1,IF(Inputs!I35="June",INDEX('CPI Inputs'!$P$20:$AB$32,MATCH(S$5,'CPI Inputs'!$P$4:$AB$4,0),MATCH(VLOOKUP($E97,Tables!$F$3:$G$15,2,0),'CPI Inputs'!$D$20:$D$32,0)),INDEX('CPI Inputs'!$P$35:$AB$47,MATCH(S$5,'CPI Inputs'!$P$4:$AB$4,0),MATCH(VLOOKUP($E97,Tables!$F$3:$G$15,2,0),'CPI Inputs'!$D$35:$D$47,0))))</f>
        <v>1</v>
      </c>
      <c r="T97" s="15">
        <f>IF(AND(Inputs!$F$26="June",VLOOKUP(Inputs!$E$26,Tables!$D$2:$F$15,3,FALSE)=$E97),1,IF(Inputs!J35="June",INDEX('CPI Inputs'!$P$20:$AB$32,MATCH(T$5,'CPI Inputs'!$P$4:$AB$4,0),MATCH(VLOOKUP($E97,Tables!$F$3:$G$15,2,0),'CPI Inputs'!$D$20:$D$32,0)),INDEX('CPI Inputs'!$P$35:$AB$47,MATCH(T$5,'CPI Inputs'!$P$4:$AB$4,0),MATCH(VLOOKUP($E97,Tables!$F$3:$G$15,2,0),'CPI Inputs'!$D$35:$D$47,0))))</f>
        <v>1</v>
      </c>
    </row>
    <row r="98" spans="2:20" x14ac:dyDescent="0.2">
      <c r="B98" s="13"/>
      <c r="C98" s="13"/>
      <c r="D98" t="s">
        <v>57</v>
      </c>
      <c r="E98" s="14" t="str">
        <f t="shared" si="4"/>
        <v>2023-24[$]</v>
      </c>
      <c r="F98" t="s">
        <v>53</v>
      </c>
      <c r="P98" s="15">
        <f>IF(AND(Inputs!$F$26="June",VLOOKUP(Inputs!$E$26,Tables!$D$2:$F$15,3,FALSE)=$E98),1,IF(Inputs!F36="June",INDEX('CPI Inputs'!$P$20:$AB$32,MATCH(P$5,'CPI Inputs'!$P$4:$AB$4,0),MATCH(VLOOKUP($E98,Tables!$F$3:$G$15,2,0),'CPI Inputs'!$D$20:$D$32,0)),INDEX('CPI Inputs'!$P$35:$AB$47,MATCH(P$5,'CPI Inputs'!$P$4:$AB$4,0),MATCH(VLOOKUP($E98,Tables!$F$3:$G$15,2,0),'CPI Inputs'!$D$35:$D$47,0))))</f>
        <v>1</v>
      </c>
      <c r="Q98" s="15">
        <f>IF(AND(Inputs!$F$26="June",VLOOKUP(Inputs!$E$26,Tables!$D$2:$F$15,3,FALSE)=$E98),1,IF(Inputs!G36="June",INDEX('CPI Inputs'!$P$20:$AB$32,MATCH(Q$5,'CPI Inputs'!$P$4:$AB$4,0),MATCH(VLOOKUP($E98,Tables!$F$3:$G$15,2,0),'CPI Inputs'!$D$20:$D$32,0)),INDEX('CPI Inputs'!$P$35:$AB$47,MATCH(Q$5,'CPI Inputs'!$P$4:$AB$4,0),MATCH(VLOOKUP($E98,Tables!$F$3:$G$15,2,0),'CPI Inputs'!$D$35:$D$47,0))))</f>
        <v>1</v>
      </c>
      <c r="R98" s="15">
        <f>IF(AND(Inputs!$F$26="June",VLOOKUP(Inputs!$E$26,Tables!$D$2:$F$15,3,FALSE)=$E98),1,IF(Inputs!H36="June",INDEX('CPI Inputs'!$P$20:$AB$32,MATCH(R$5,'CPI Inputs'!$P$4:$AB$4,0),MATCH(VLOOKUP($E98,Tables!$F$3:$G$15,2,0),'CPI Inputs'!$D$20:$D$32,0)),INDEX('CPI Inputs'!$P$35:$AB$47,MATCH(R$5,'CPI Inputs'!$P$4:$AB$4,0),MATCH(VLOOKUP($E98,Tables!$F$3:$G$15,2,0),'CPI Inputs'!$D$35:$D$47,0))))</f>
        <v>1</v>
      </c>
      <c r="S98" s="15">
        <f>IF(AND(Inputs!$F$26="June",VLOOKUP(Inputs!$E$26,Tables!$D$2:$F$15,3,FALSE)=$E98),1,IF(Inputs!I36="June",INDEX('CPI Inputs'!$P$20:$AB$32,MATCH(S$5,'CPI Inputs'!$P$4:$AB$4,0),MATCH(VLOOKUP($E98,Tables!$F$3:$G$15,2,0),'CPI Inputs'!$D$20:$D$32,0)),INDEX('CPI Inputs'!$P$35:$AB$47,MATCH(S$5,'CPI Inputs'!$P$4:$AB$4,0),MATCH(VLOOKUP($E98,Tables!$F$3:$G$15,2,0),'CPI Inputs'!$D$35:$D$47,0))))</f>
        <v>1</v>
      </c>
      <c r="T98" s="15">
        <f>IF(AND(Inputs!$F$26="June",VLOOKUP(Inputs!$E$26,Tables!$D$2:$F$15,3,FALSE)=$E98),1,IF(Inputs!J36="June",INDEX('CPI Inputs'!$P$20:$AB$32,MATCH(T$5,'CPI Inputs'!$P$4:$AB$4,0),MATCH(VLOOKUP($E98,Tables!$F$3:$G$15,2,0),'CPI Inputs'!$D$20:$D$32,0)),INDEX('CPI Inputs'!$P$35:$AB$47,MATCH(T$5,'CPI Inputs'!$P$4:$AB$4,0),MATCH(VLOOKUP($E98,Tables!$F$3:$G$15,2,0),'CPI Inputs'!$D$35:$D$47,0))))</f>
        <v>1</v>
      </c>
    </row>
    <row r="99" spans="2:20" x14ac:dyDescent="0.2">
      <c r="B99" s="13"/>
      <c r="C99" s="13"/>
      <c r="D99" t="s">
        <v>57</v>
      </c>
      <c r="E99" s="14" t="str">
        <f t="shared" si="4"/>
        <v>2023-24[$]</v>
      </c>
      <c r="F99" t="s">
        <v>54</v>
      </c>
      <c r="P99" s="15">
        <f>IF(AND(Inputs!$F$26="June",VLOOKUP(Inputs!$E$26,Tables!$D$2:$F$15,3,FALSE)=$E99),1,IF(Inputs!F37="June",INDEX('CPI Inputs'!$P$20:$AB$32,MATCH(P$5,'CPI Inputs'!$P$4:$AB$4,0),MATCH(VLOOKUP($E99,Tables!$F$3:$G$15,2,0),'CPI Inputs'!$D$20:$D$32,0)),INDEX('CPI Inputs'!$P$35:$AB$47,MATCH(P$5,'CPI Inputs'!$P$4:$AB$4,0),MATCH(VLOOKUP($E99,Tables!$F$3:$G$15,2,0),'CPI Inputs'!$D$35:$D$47,0))))</f>
        <v>1</v>
      </c>
      <c r="Q99" s="15">
        <f>IF(AND(Inputs!$F$26="June",VLOOKUP(Inputs!$E$26,Tables!$D$2:$F$15,3,FALSE)=$E99),1,IF(Inputs!G37="June",INDEX('CPI Inputs'!$P$20:$AB$32,MATCH(Q$5,'CPI Inputs'!$P$4:$AB$4,0),MATCH(VLOOKUP($E99,Tables!$F$3:$G$15,2,0),'CPI Inputs'!$D$20:$D$32,0)),INDEX('CPI Inputs'!$P$35:$AB$47,MATCH(Q$5,'CPI Inputs'!$P$4:$AB$4,0),MATCH(VLOOKUP($E99,Tables!$F$3:$G$15,2,0),'CPI Inputs'!$D$35:$D$47,0))))</f>
        <v>1</v>
      </c>
      <c r="R99" s="15">
        <f>IF(AND(Inputs!$F$26="June",VLOOKUP(Inputs!$E$26,Tables!$D$2:$F$15,3,FALSE)=$E99),1,IF(Inputs!H37="June",INDEX('CPI Inputs'!$P$20:$AB$32,MATCH(R$5,'CPI Inputs'!$P$4:$AB$4,0),MATCH(VLOOKUP($E99,Tables!$F$3:$G$15,2,0),'CPI Inputs'!$D$20:$D$32,0)),INDEX('CPI Inputs'!$P$35:$AB$47,MATCH(R$5,'CPI Inputs'!$P$4:$AB$4,0),MATCH(VLOOKUP($E99,Tables!$F$3:$G$15,2,0),'CPI Inputs'!$D$35:$D$47,0))))</f>
        <v>1</v>
      </c>
      <c r="S99" s="15">
        <f>IF(AND(Inputs!$F$26="June",VLOOKUP(Inputs!$E$26,Tables!$D$2:$F$15,3,FALSE)=$E99),1,IF(Inputs!I37="June",INDEX('CPI Inputs'!$P$20:$AB$32,MATCH(S$5,'CPI Inputs'!$P$4:$AB$4,0),MATCH(VLOOKUP($E99,Tables!$F$3:$G$15,2,0),'CPI Inputs'!$D$20:$D$32,0)),INDEX('CPI Inputs'!$P$35:$AB$47,MATCH(S$5,'CPI Inputs'!$P$4:$AB$4,0),MATCH(VLOOKUP($E99,Tables!$F$3:$G$15,2,0),'CPI Inputs'!$D$35:$D$47,0))))</f>
        <v>1</v>
      </c>
      <c r="T99" s="15">
        <f>IF(AND(Inputs!$F$26="June",VLOOKUP(Inputs!$E$26,Tables!$D$2:$F$15,3,FALSE)=$E99),1,IF(Inputs!J37="June",INDEX('CPI Inputs'!$P$20:$AB$32,MATCH(T$5,'CPI Inputs'!$P$4:$AB$4,0),MATCH(VLOOKUP($E99,Tables!$F$3:$G$15,2,0),'CPI Inputs'!$D$20:$D$32,0)),INDEX('CPI Inputs'!$P$35:$AB$47,MATCH(T$5,'CPI Inputs'!$P$4:$AB$4,0),MATCH(VLOOKUP($E99,Tables!$F$3:$G$15,2,0),'CPI Inputs'!$D$35:$D$47,0))))</f>
        <v>1</v>
      </c>
    </row>
    <row r="100" spans="2:20" x14ac:dyDescent="0.2">
      <c r="B100" s="13"/>
      <c r="C100" s="13"/>
      <c r="D100" t="s">
        <v>58</v>
      </c>
      <c r="E100" s="14" t="str">
        <f t="shared" si="4"/>
        <v>2023-24[$]</v>
      </c>
      <c r="F100" t="s">
        <v>52</v>
      </c>
      <c r="P100" s="15">
        <f>IF(AND(Inputs!$F$26="June",VLOOKUP(Inputs!$E$26,Tables!$D$2:$F$15,3,FALSE)=$E100),1,IF(Inputs!F38="June",INDEX('CPI Inputs'!$P$20:$AB$32,MATCH(P$5,'CPI Inputs'!$P$4:$AB$4,0),MATCH(VLOOKUP($E100,Tables!$F$3:$G$15,2,0),'CPI Inputs'!$D$20:$D$32,0)),INDEX('CPI Inputs'!$P$35:$AB$47,MATCH(P$5,'CPI Inputs'!$P$4:$AB$4,0),MATCH(VLOOKUP($E100,Tables!$F$3:$G$15,2,0),'CPI Inputs'!$D$35:$D$47,0))))</f>
        <v>1</v>
      </c>
      <c r="Q100" s="15">
        <f>IF(AND(Inputs!$F$26="June",VLOOKUP(Inputs!$E$26,Tables!$D$2:$F$15,3,FALSE)=$E100),1,IF(Inputs!G38="June",INDEX('CPI Inputs'!$P$20:$AB$32,MATCH(Q$5,'CPI Inputs'!$P$4:$AB$4,0),MATCH(VLOOKUP($E100,Tables!$F$3:$G$15,2,0),'CPI Inputs'!$D$20:$D$32,0)),INDEX('CPI Inputs'!$P$35:$AB$47,MATCH(Q$5,'CPI Inputs'!$P$4:$AB$4,0),MATCH(VLOOKUP($E100,Tables!$F$3:$G$15,2,0),'CPI Inputs'!$D$35:$D$47,0))))</f>
        <v>1</v>
      </c>
      <c r="R100" s="15">
        <f>IF(AND(Inputs!$F$26="June",VLOOKUP(Inputs!$E$26,Tables!$D$2:$F$15,3,FALSE)=$E100),1,IF(Inputs!H38="June",INDEX('CPI Inputs'!$P$20:$AB$32,MATCH(R$5,'CPI Inputs'!$P$4:$AB$4,0),MATCH(VLOOKUP($E100,Tables!$F$3:$G$15,2,0),'CPI Inputs'!$D$20:$D$32,0)),INDEX('CPI Inputs'!$P$35:$AB$47,MATCH(R$5,'CPI Inputs'!$P$4:$AB$4,0),MATCH(VLOOKUP($E100,Tables!$F$3:$G$15,2,0),'CPI Inputs'!$D$35:$D$47,0))))</f>
        <v>1</v>
      </c>
      <c r="S100" s="15">
        <f>IF(AND(Inputs!$F$26="June",VLOOKUP(Inputs!$E$26,Tables!$D$2:$F$15,3,FALSE)=$E100),1,IF(Inputs!I38="June",INDEX('CPI Inputs'!$P$20:$AB$32,MATCH(S$5,'CPI Inputs'!$P$4:$AB$4,0),MATCH(VLOOKUP($E100,Tables!$F$3:$G$15,2,0),'CPI Inputs'!$D$20:$D$32,0)),INDEX('CPI Inputs'!$P$35:$AB$47,MATCH(S$5,'CPI Inputs'!$P$4:$AB$4,0),MATCH(VLOOKUP($E100,Tables!$F$3:$G$15,2,0),'CPI Inputs'!$D$35:$D$47,0))))</f>
        <v>1</v>
      </c>
      <c r="T100" s="15">
        <f>IF(AND(Inputs!$F$26="June",VLOOKUP(Inputs!$E$26,Tables!$D$2:$F$15,3,FALSE)=$E100),1,IF(Inputs!J38="June",INDEX('CPI Inputs'!$P$20:$AB$32,MATCH(T$5,'CPI Inputs'!$P$4:$AB$4,0),MATCH(VLOOKUP($E100,Tables!$F$3:$G$15,2,0),'CPI Inputs'!$D$20:$D$32,0)),INDEX('CPI Inputs'!$P$35:$AB$47,MATCH(T$5,'CPI Inputs'!$P$4:$AB$4,0),MATCH(VLOOKUP($E100,Tables!$F$3:$G$15,2,0),'CPI Inputs'!$D$35:$D$47,0))))</f>
        <v>1</v>
      </c>
    </row>
    <row r="101" spans="2:20" x14ac:dyDescent="0.2">
      <c r="B101" s="13"/>
      <c r="C101" s="13"/>
      <c r="D101" t="s">
        <v>58</v>
      </c>
      <c r="E101" s="14" t="str">
        <f t="shared" si="4"/>
        <v>2023-24[$]</v>
      </c>
      <c r="F101" t="s">
        <v>53</v>
      </c>
      <c r="P101" s="15">
        <f>IF(AND(Inputs!$F$26="June",VLOOKUP(Inputs!$E$26,Tables!$D$2:$F$15,3,FALSE)=$E101),1,IF(Inputs!F39="June",INDEX('CPI Inputs'!$P$20:$AB$32,MATCH(P$5,'CPI Inputs'!$P$4:$AB$4,0),MATCH(VLOOKUP($E101,Tables!$F$3:$G$15,2,0),'CPI Inputs'!$D$20:$D$32,0)),INDEX('CPI Inputs'!$P$35:$AB$47,MATCH(P$5,'CPI Inputs'!$P$4:$AB$4,0),MATCH(VLOOKUP($E101,Tables!$F$3:$G$15,2,0),'CPI Inputs'!$D$35:$D$47,0))))</f>
        <v>1</v>
      </c>
      <c r="Q101" s="15">
        <f>IF(AND(Inputs!$F$26="June",VLOOKUP(Inputs!$E$26,Tables!$D$2:$F$15,3,FALSE)=$E101),1,IF(Inputs!G39="June",INDEX('CPI Inputs'!$P$20:$AB$32,MATCH(Q$5,'CPI Inputs'!$P$4:$AB$4,0),MATCH(VLOOKUP($E101,Tables!$F$3:$G$15,2,0),'CPI Inputs'!$D$20:$D$32,0)),INDEX('CPI Inputs'!$P$35:$AB$47,MATCH(Q$5,'CPI Inputs'!$P$4:$AB$4,0),MATCH(VLOOKUP($E101,Tables!$F$3:$G$15,2,0),'CPI Inputs'!$D$35:$D$47,0))))</f>
        <v>1</v>
      </c>
      <c r="R101" s="15">
        <f>IF(AND(Inputs!$F$26="June",VLOOKUP(Inputs!$E$26,Tables!$D$2:$F$15,3,FALSE)=$E101),1,IF(Inputs!H39="June",INDEX('CPI Inputs'!$P$20:$AB$32,MATCH(R$5,'CPI Inputs'!$P$4:$AB$4,0),MATCH(VLOOKUP($E101,Tables!$F$3:$G$15,2,0),'CPI Inputs'!$D$20:$D$32,0)),INDEX('CPI Inputs'!$P$35:$AB$47,MATCH(R$5,'CPI Inputs'!$P$4:$AB$4,0),MATCH(VLOOKUP($E101,Tables!$F$3:$G$15,2,0),'CPI Inputs'!$D$35:$D$47,0))))</f>
        <v>1</v>
      </c>
      <c r="S101" s="15">
        <f>IF(AND(Inputs!$F$26="June",VLOOKUP(Inputs!$E$26,Tables!$D$2:$F$15,3,FALSE)=$E101),1,IF(Inputs!I39="June",INDEX('CPI Inputs'!$P$20:$AB$32,MATCH(S$5,'CPI Inputs'!$P$4:$AB$4,0),MATCH(VLOOKUP($E101,Tables!$F$3:$G$15,2,0),'CPI Inputs'!$D$20:$D$32,0)),INDEX('CPI Inputs'!$P$35:$AB$47,MATCH(S$5,'CPI Inputs'!$P$4:$AB$4,0),MATCH(VLOOKUP($E101,Tables!$F$3:$G$15,2,0),'CPI Inputs'!$D$35:$D$47,0))))</f>
        <v>1</v>
      </c>
      <c r="T101" s="15">
        <f>IF(AND(Inputs!$F$26="June",VLOOKUP(Inputs!$E$26,Tables!$D$2:$F$15,3,FALSE)=$E101),1,IF(Inputs!J39="June",INDEX('CPI Inputs'!$P$20:$AB$32,MATCH(T$5,'CPI Inputs'!$P$4:$AB$4,0),MATCH(VLOOKUP($E101,Tables!$F$3:$G$15,2,0),'CPI Inputs'!$D$20:$D$32,0)),INDEX('CPI Inputs'!$P$35:$AB$47,MATCH(T$5,'CPI Inputs'!$P$4:$AB$4,0),MATCH(VLOOKUP($E101,Tables!$F$3:$G$15,2,0),'CPI Inputs'!$D$35:$D$47,0))))</f>
        <v>1</v>
      </c>
    </row>
    <row r="102" spans="2:20" x14ac:dyDescent="0.2">
      <c r="B102" s="13"/>
      <c r="C102" s="13"/>
      <c r="D102" t="s">
        <v>58</v>
      </c>
      <c r="E102" s="14" t="str">
        <f t="shared" si="4"/>
        <v>2023-24[$]</v>
      </c>
      <c r="F102" t="s">
        <v>54</v>
      </c>
      <c r="P102" s="15">
        <f>IF(AND(Inputs!$F$26="June",VLOOKUP(Inputs!$E$26,Tables!$D$2:$F$15,3,FALSE)=$E102),1,IF(Inputs!F40="June",INDEX('CPI Inputs'!$P$20:$AB$32,MATCH(P$5,'CPI Inputs'!$P$4:$AB$4,0),MATCH(VLOOKUP($E102,Tables!$F$3:$G$15,2,0),'CPI Inputs'!$D$20:$D$32,0)),INDEX('CPI Inputs'!$P$35:$AB$47,MATCH(P$5,'CPI Inputs'!$P$4:$AB$4,0),MATCH(VLOOKUP($E102,Tables!$F$3:$G$15,2,0),'CPI Inputs'!$D$35:$D$47,0))))</f>
        <v>1</v>
      </c>
      <c r="Q102" s="15">
        <f>IF(AND(Inputs!$F$26="June",VLOOKUP(Inputs!$E$26,Tables!$D$2:$F$15,3,FALSE)=$E102),1,IF(Inputs!G40="June",INDEX('CPI Inputs'!$P$20:$AB$32,MATCH(Q$5,'CPI Inputs'!$P$4:$AB$4,0),MATCH(VLOOKUP($E102,Tables!$F$3:$G$15,2,0),'CPI Inputs'!$D$20:$D$32,0)),INDEX('CPI Inputs'!$P$35:$AB$47,MATCH(Q$5,'CPI Inputs'!$P$4:$AB$4,0),MATCH(VLOOKUP($E102,Tables!$F$3:$G$15,2,0),'CPI Inputs'!$D$35:$D$47,0))))</f>
        <v>1</v>
      </c>
      <c r="R102" s="15">
        <f>IF(AND(Inputs!$F$26="June",VLOOKUP(Inputs!$E$26,Tables!$D$2:$F$15,3,FALSE)=$E102),1,IF(Inputs!H40="June",INDEX('CPI Inputs'!$P$20:$AB$32,MATCH(R$5,'CPI Inputs'!$P$4:$AB$4,0),MATCH(VLOOKUP($E102,Tables!$F$3:$G$15,2,0),'CPI Inputs'!$D$20:$D$32,0)),INDEX('CPI Inputs'!$P$35:$AB$47,MATCH(R$5,'CPI Inputs'!$P$4:$AB$4,0),MATCH(VLOOKUP($E102,Tables!$F$3:$G$15,2,0),'CPI Inputs'!$D$35:$D$47,0))))</f>
        <v>1</v>
      </c>
      <c r="S102" s="15">
        <f>IF(AND(Inputs!$F$26="June",VLOOKUP(Inputs!$E$26,Tables!$D$2:$F$15,3,FALSE)=$E102),1,IF(Inputs!I40="June",INDEX('CPI Inputs'!$P$20:$AB$32,MATCH(S$5,'CPI Inputs'!$P$4:$AB$4,0),MATCH(VLOOKUP($E102,Tables!$F$3:$G$15,2,0),'CPI Inputs'!$D$20:$D$32,0)),INDEX('CPI Inputs'!$P$35:$AB$47,MATCH(S$5,'CPI Inputs'!$P$4:$AB$4,0),MATCH(VLOOKUP($E102,Tables!$F$3:$G$15,2,0),'CPI Inputs'!$D$35:$D$47,0))))</f>
        <v>1</v>
      </c>
      <c r="T102" s="15">
        <f>IF(AND(Inputs!$F$26="June",VLOOKUP(Inputs!$E$26,Tables!$D$2:$F$15,3,FALSE)=$E102),1,IF(Inputs!J40="June",INDEX('CPI Inputs'!$P$20:$AB$32,MATCH(T$5,'CPI Inputs'!$P$4:$AB$4,0),MATCH(VLOOKUP($E102,Tables!$F$3:$G$15,2,0),'CPI Inputs'!$D$20:$D$32,0)),INDEX('CPI Inputs'!$P$35:$AB$47,MATCH(T$5,'CPI Inputs'!$P$4:$AB$4,0),MATCH(VLOOKUP($E102,Tables!$F$3:$G$15,2,0),'CPI Inputs'!$D$35:$D$47,0))))</f>
        <v>1</v>
      </c>
    </row>
    <row r="103" spans="2:20" x14ac:dyDescent="0.2">
      <c r="B103" s="13"/>
      <c r="C103" s="13"/>
      <c r="D103" t="s">
        <v>59</v>
      </c>
      <c r="E103" s="14" t="str">
        <f t="shared" si="4"/>
        <v>2023-24[$]</v>
      </c>
      <c r="F103" t="s">
        <v>52</v>
      </c>
      <c r="P103" s="15">
        <f>IF(AND(Inputs!$F$26="June",VLOOKUP(Inputs!$E$26,Tables!$D$2:$F$15,3,FALSE)=$E103),1,IF(Inputs!F41="June",INDEX('CPI Inputs'!$P$20:$AB$32,MATCH(P$5,'CPI Inputs'!$P$4:$AB$4,0),MATCH(VLOOKUP($E103,Tables!$F$3:$G$15,2,0),'CPI Inputs'!$D$20:$D$32,0)),INDEX('CPI Inputs'!$P$35:$AB$47,MATCH(P$5,'CPI Inputs'!$P$4:$AB$4,0),MATCH(VLOOKUP($E103,Tables!$F$3:$G$15,2,0),'CPI Inputs'!$D$35:$D$47,0))))</f>
        <v>1</v>
      </c>
      <c r="Q103" s="15">
        <f>IF(AND(Inputs!$F$26="June",VLOOKUP(Inputs!$E$26,Tables!$D$2:$F$15,3,FALSE)=$E103),1,IF(Inputs!G41="June",INDEX('CPI Inputs'!$P$20:$AB$32,MATCH(Q$5,'CPI Inputs'!$P$4:$AB$4,0),MATCH(VLOOKUP($E103,Tables!$F$3:$G$15,2,0),'CPI Inputs'!$D$20:$D$32,0)),INDEX('CPI Inputs'!$P$35:$AB$47,MATCH(Q$5,'CPI Inputs'!$P$4:$AB$4,0),MATCH(VLOOKUP($E103,Tables!$F$3:$G$15,2,0),'CPI Inputs'!$D$35:$D$47,0))))</f>
        <v>1</v>
      </c>
      <c r="R103" s="15">
        <f>IF(AND(Inputs!$F$26="June",VLOOKUP(Inputs!$E$26,Tables!$D$2:$F$15,3,FALSE)=$E103),1,IF(Inputs!H41="June",INDEX('CPI Inputs'!$P$20:$AB$32,MATCH(R$5,'CPI Inputs'!$P$4:$AB$4,0),MATCH(VLOOKUP($E103,Tables!$F$3:$G$15,2,0),'CPI Inputs'!$D$20:$D$32,0)),INDEX('CPI Inputs'!$P$35:$AB$47,MATCH(R$5,'CPI Inputs'!$P$4:$AB$4,0),MATCH(VLOOKUP($E103,Tables!$F$3:$G$15,2,0),'CPI Inputs'!$D$35:$D$47,0))))</f>
        <v>1</v>
      </c>
      <c r="S103" s="15">
        <f>IF(AND(Inputs!$F$26="June",VLOOKUP(Inputs!$E$26,Tables!$D$2:$F$15,3,FALSE)=$E103),1,IF(Inputs!I41="June",INDEX('CPI Inputs'!$P$20:$AB$32,MATCH(S$5,'CPI Inputs'!$P$4:$AB$4,0),MATCH(VLOOKUP($E103,Tables!$F$3:$G$15,2,0),'CPI Inputs'!$D$20:$D$32,0)),INDEX('CPI Inputs'!$P$35:$AB$47,MATCH(S$5,'CPI Inputs'!$P$4:$AB$4,0),MATCH(VLOOKUP($E103,Tables!$F$3:$G$15,2,0),'CPI Inputs'!$D$35:$D$47,0))))</f>
        <v>1</v>
      </c>
      <c r="T103" s="15">
        <f>IF(AND(Inputs!$F$26="June",VLOOKUP(Inputs!$E$26,Tables!$D$2:$F$15,3,FALSE)=$E103),1,IF(Inputs!J41="June",INDEX('CPI Inputs'!$P$20:$AB$32,MATCH(T$5,'CPI Inputs'!$P$4:$AB$4,0),MATCH(VLOOKUP($E103,Tables!$F$3:$G$15,2,0),'CPI Inputs'!$D$20:$D$32,0)),INDEX('CPI Inputs'!$P$35:$AB$47,MATCH(T$5,'CPI Inputs'!$P$4:$AB$4,0),MATCH(VLOOKUP($E103,Tables!$F$3:$G$15,2,0),'CPI Inputs'!$D$35:$D$47,0))))</f>
        <v>1</v>
      </c>
    </row>
    <row r="104" spans="2:20" x14ac:dyDescent="0.2">
      <c r="B104" s="13"/>
      <c r="C104" s="13"/>
      <c r="D104" t="s">
        <v>59</v>
      </c>
      <c r="E104" s="14" t="str">
        <f t="shared" si="4"/>
        <v>2023-24[$]</v>
      </c>
      <c r="F104" t="s">
        <v>53</v>
      </c>
      <c r="P104" s="15">
        <f>IF(AND(Inputs!$F$26="June",VLOOKUP(Inputs!$E$26,Tables!$D$2:$F$15,3,FALSE)=$E104),1,IF(Inputs!F42="June",INDEX('CPI Inputs'!$P$20:$AB$32,MATCH(P$5,'CPI Inputs'!$P$4:$AB$4,0),MATCH(VLOOKUP($E104,Tables!$F$3:$G$15,2,0),'CPI Inputs'!$D$20:$D$32,0)),INDEX('CPI Inputs'!$P$35:$AB$47,MATCH(P$5,'CPI Inputs'!$P$4:$AB$4,0),MATCH(VLOOKUP($E104,Tables!$F$3:$G$15,2,0),'CPI Inputs'!$D$35:$D$47,0))))</f>
        <v>1</v>
      </c>
      <c r="Q104" s="15">
        <f>IF(AND(Inputs!$F$26="June",VLOOKUP(Inputs!$E$26,Tables!$D$2:$F$15,3,FALSE)=$E104),1,IF(Inputs!G42="June",INDEX('CPI Inputs'!$P$20:$AB$32,MATCH(Q$5,'CPI Inputs'!$P$4:$AB$4,0),MATCH(VLOOKUP($E104,Tables!$F$3:$G$15,2,0),'CPI Inputs'!$D$20:$D$32,0)),INDEX('CPI Inputs'!$P$35:$AB$47,MATCH(Q$5,'CPI Inputs'!$P$4:$AB$4,0),MATCH(VLOOKUP($E104,Tables!$F$3:$G$15,2,0),'CPI Inputs'!$D$35:$D$47,0))))</f>
        <v>1</v>
      </c>
      <c r="R104" s="15">
        <f>IF(AND(Inputs!$F$26="June",VLOOKUP(Inputs!$E$26,Tables!$D$2:$F$15,3,FALSE)=$E104),1,IF(Inputs!H42="June",INDEX('CPI Inputs'!$P$20:$AB$32,MATCH(R$5,'CPI Inputs'!$P$4:$AB$4,0),MATCH(VLOOKUP($E104,Tables!$F$3:$G$15,2,0),'CPI Inputs'!$D$20:$D$32,0)),INDEX('CPI Inputs'!$P$35:$AB$47,MATCH(R$5,'CPI Inputs'!$P$4:$AB$4,0),MATCH(VLOOKUP($E104,Tables!$F$3:$G$15,2,0),'CPI Inputs'!$D$35:$D$47,0))))</f>
        <v>1</v>
      </c>
      <c r="S104" s="15">
        <f>IF(AND(Inputs!$F$26="June",VLOOKUP(Inputs!$E$26,Tables!$D$2:$F$15,3,FALSE)=$E104),1,IF(Inputs!I42="June",INDEX('CPI Inputs'!$P$20:$AB$32,MATCH(S$5,'CPI Inputs'!$P$4:$AB$4,0),MATCH(VLOOKUP($E104,Tables!$F$3:$G$15,2,0),'CPI Inputs'!$D$20:$D$32,0)),INDEX('CPI Inputs'!$P$35:$AB$47,MATCH(S$5,'CPI Inputs'!$P$4:$AB$4,0),MATCH(VLOOKUP($E104,Tables!$F$3:$G$15,2,0),'CPI Inputs'!$D$35:$D$47,0))))</f>
        <v>1</v>
      </c>
      <c r="T104" s="15">
        <f>IF(AND(Inputs!$F$26="June",VLOOKUP(Inputs!$E$26,Tables!$D$2:$F$15,3,FALSE)=$E104),1,IF(Inputs!J42="June",INDEX('CPI Inputs'!$P$20:$AB$32,MATCH(T$5,'CPI Inputs'!$P$4:$AB$4,0),MATCH(VLOOKUP($E104,Tables!$F$3:$G$15,2,0),'CPI Inputs'!$D$20:$D$32,0)),INDEX('CPI Inputs'!$P$35:$AB$47,MATCH(T$5,'CPI Inputs'!$P$4:$AB$4,0),MATCH(VLOOKUP($E104,Tables!$F$3:$G$15,2,0),'CPI Inputs'!$D$35:$D$47,0))))</f>
        <v>1</v>
      </c>
    </row>
    <row r="105" spans="2:20" x14ac:dyDescent="0.2">
      <c r="B105" s="13"/>
      <c r="C105" s="13"/>
      <c r="D105" t="s">
        <v>59</v>
      </c>
      <c r="E105" s="14" t="str">
        <f t="shared" si="4"/>
        <v>2023-24[$]</v>
      </c>
      <c r="F105" t="s">
        <v>54</v>
      </c>
      <c r="P105" s="15">
        <f>IF(AND(Inputs!$F$26="June",VLOOKUP(Inputs!$E$26,Tables!$D$2:$F$15,3,FALSE)=$E105),1,IF(Inputs!F43="June",INDEX('CPI Inputs'!$P$20:$AB$32,MATCH(P$5,'CPI Inputs'!$P$4:$AB$4,0),MATCH(VLOOKUP($E105,Tables!$F$3:$G$15,2,0),'CPI Inputs'!$D$20:$D$32,0)),INDEX('CPI Inputs'!$P$35:$AB$47,MATCH(P$5,'CPI Inputs'!$P$4:$AB$4,0),MATCH(VLOOKUP($E105,Tables!$F$3:$G$15,2,0),'CPI Inputs'!$D$35:$D$47,0))))</f>
        <v>1</v>
      </c>
      <c r="Q105" s="15">
        <f>IF(AND(Inputs!$F$26="June",VLOOKUP(Inputs!$E$26,Tables!$D$2:$F$15,3,FALSE)=$E105),1,IF(Inputs!G43="June",INDEX('CPI Inputs'!$P$20:$AB$32,MATCH(Q$5,'CPI Inputs'!$P$4:$AB$4,0),MATCH(VLOOKUP($E105,Tables!$F$3:$G$15,2,0),'CPI Inputs'!$D$20:$D$32,0)),INDEX('CPI Inputs'!$P$35:$AB$47,MATCH(Q$5,'CPI Inputs'!$P$4:$AB$4,0),MATCH(VLOOKUP($E105,Tables!$F$3:$G$15,2,0),'CPI Inputs'!$D$35:$D$47,0))))</f>
        <v>1</v>
      </c>
      <c r="R105" s="15">
        <f>IF(AND(Inputs!$F$26="June",VLOOKUP(Inputs!$E$26,Tables!$D$2:$F$15,3,FALSE)=$E105),1,IF(Inputs!H43="June",INDEX('CPI Inputs'!$P$20:$AB$32,MATCH(R$5,'CPI Inputs'!$P$4:$AB$4,0),MATCH(VLOOKUP($E105,Tables!$F$3:$G$15,2,0),'CPI Inputs'!$D$20:$D$32,0)),INDEX('CPI Inputs'!$P$35:$AB$47,MATCH(R$5,'CPI Inputs'!$P$4:$AB$4,0),MATCH(VLOOKUP($E105,Tables!$F$3:$G$15,2,0),'CPI Inputs'!$D$35:$D$47,0))))</f>
        <v>1</v>
      </c>
      <c r="S105" s="15">
        <f>IF(AND(Inputs!$F$26="June",VLOOKUP(Inputs!$E$26,Tables!$D$2:$F$15,3,FALSE)=$E105),1,IF(Inputs!I43="June",INDEX('CPI Inputs'!$P$20:$AB$32,MATCH(S$5,'CPI Inputs'!$P$4:$AB$4,0),MATCH(VLOOKUP($E105,Tables!$F$3:$G$15,2,0),'CPI Inputs'!$D$20:$D$32,0)),INDEX('CPI Inputs'!$P$35:$AB$47,MATCH(S$5,'CPI Inputs'!$P$4:$AB$4,0),MATCH(VLOOKUP($E105,Tables!$F$3:$G$15,2,0),'CPI Inputs'!$D$35:$D$47,0))))</f>
        <v>1</v>
      </c>
      <c r="T105" s="15">
        <f>IF(AND(Inputs!$F$26="June",VLOOKUP(Inputs!$E$26,Tables!$D$2:$F$15,3,FALSE)=$E105),1,IF(Inputs!J43="June",INDEX('CPI Inputs'!$P$20:$AB$32,MATCH(T$5,'CPI Inputs'!$P$4:$AB$4,0),MATCH(VLOOKUP($E105,Tables!$F$3:$G$15,2,0),'CPI Inputs'!$D$20:$D$32,0)),INDEX('CPI Inputs'!$P$35:$AB$47,MATCH(T$5,'CPI Inputs'!$P$4:$AB$4,0),MATCH(VLOOKUP($E105,Tables!$F$3:$G$15,2,0),'CPI Inputs'!$D$35:$D$47,0))))</f>
        <v>1</v>
      </c>
    </row>
    <row r="106" spans="2:20" x14ac:dyDescent="0.2">
      <c r="B106" s="13"/>
      <c r="C106" s="13"/>
      <c r="D106" t="s">
        <v>60</v>
      </c>
      <c r="E106" s="14" t="str">
        <f t="shared" si="4"/>
        <v>2023-24[$]</v>
      </c>
      <c r="F106" t="s">
        <v>52</v>
      </c>
      <c r="P106" s="15">
        <f>IF(AND(Inputs!$F$26="June",VLOOKUP(Inputs!$E$26,Tables!$D$2:$F$15,3,FALSE)=$E106),1,IF(Inputs!F44="June",INDEX('CPI Inputs'!$P$20:$AB$32,MATCH(P$5,'CPI Inputs'!$P$4:$AB$4,0),MATCH(VLOOKUP($E106,Tables!$F$3:$G$15,2,0),'CPI Inputs'!$D$20:$D$32,0)),INDEX('CPI Inputs'!$P$35:$AB$47,MATCH(P$5,'CPI Inputs'!$P$4:$AB$4,0),MATCH(VLOOKUP($E106,Tables!$F$3:$G$15,2,0),'CPI Inputs'!$D$35:$D$47,0))))</f>
        <v>1</v>
      </c>
      <c r="Q106" s="15">
        <f>IF(AND(Inputs!$F$26="June",VLOOKUP(Inputs!$E$26,Tables!$D$2:$F$15,3,FALSE)=$E106),1,IF(Inputs!G44="June",INDEX('CPI Inputs'!$P$20:$AB$32,MATCH(Q$5,'CPI Inputs'!$P$4:$AB$4,0),MATCH(VLOOKUP($E106,Tables!$F$3:$G$15,2,0),'CPI Inputs'!$D$20:$D$32,0)),INDEX('CPI Inputs'!$P$35:$AB$47,MATCH(Q$5,'CPI Inputs'!$P$4:$AB$4,0),MATCH(VLOOKUP($E106,Tables!$F$3:$G$15,2,0),'CPI Inputs'!$D$35:$D$47,0))))</f>
        <v>1</v>
      </c>
      <c r="R106" s="15">
        <f>IF(AND(Inputs!$F$26="June",VLOOKUP(Inputs!$E$26,Tables!$D$2:$F$15,3,FALSE)=$E106),1,IF(Inputs!H44="June",INDEX('CPI Inputs'!$P$20:$AB$32,MATCH(R$5,'CPI Inputs'!$P$4:$AB$4,0),MATCH(VLOOKUP($E106,Tables!$F$3:$G$15,2,0),'CPI Inputs'!$D$20:$D$32,0)),INDEX('CPI Inputs'!$P$35:$AB$47,MATCH(R$5,'CPI Inputs'!$P$4:$AB$4,0),MATCH(VLOOKUP($E106,Tables!$F$3:$G$15,2,0),'CPI Inputs'!$D$35:$D$47,0))))</f>
        <v>1</v>
      </c>
      <c r="S106" s="15">
        <f>IF(AND(Inputs!$F$26="June",VLOOKUP(Inputs!$E$26,Tables!$D$2:$F$15,3,FALSE)=$E106),1,IF(Inputs!I44="June",INDEX('CPI Inputs'!$P$20:$AB$32,MATCH(S$5,'CPI Inputs'!$P$4:$AB$4,0),MATCH(VLOOKUP($E106,Tables!$F$3:$G$15,2,0),'CPI Inputs'!$D$20:$D$32,0)),INDEX('CPI Inputs'!$P$35:$AB$47,MATCH(S$5,'CPI Inputs'!$P$4:$AB$4,0),MATCH(VLOOKUP($E106,Tables!$F$3:$G$15,2,0),'CPI Inputs'!$D$35:$D$47,0))))</f>
        <v>1</v>
      </c>
      <c r="T106" s="15">
        <f>IF(AND(Inputs!$F$26="June",VLOOKUP(Inputs!$E$26,Tables!$D$2:$F$15,3,FALSE)=$E106),1,IF(Inputs!J44="June",INDEX('CPI Inputs'!$P$20:$AB$32,MATCH(T$5,'CPI Inputs'!$P$4:$AB$4,0),MATCH(VLOOKUP($E106,Tables!$F$3:$G$15,2,0),'CPI Inputs'!$D$20:$D$32,0)),INDEX('CPI Inputs'!$P$35:$AB$47,MATCH(T$5,'CPI Inputs'!$P$4:$AB$4,0),MATCH(VLOOKUP($E106,Tables!$F$3:$G$15,2,0),'CPI Inputs'!$D$35:$D$47,0))))</f>
        <v>1</v>
      </c>
    </row>
    <row r="107" spans="2:20" x14ac:dyDescent="0.2">
      <c r="B107" s="13"/>
      <c r="C107" s="13"/>
      <c r="D107" t="s">
        <v>60</v>
      </c>
      <c r="E107" s="14" t="str">
        <f t="shared" si="4"/>
        <v>2023-24[$]</v>
      </c>
      <c r="F107" t="s">
        <v>53</v>
      </c>
      <c r="P107" s="15">
        <f>IF(AND(Inputs!$F$26="June",VLOOKUP(Inputs!$E$26,Tables!$D$2:$F$15,3,FALSE)=$E107),1,IF(Inputs!F45="June",INDEX('CPI Inputs'!$P$20:$AB$32,MATCH(P$5,'CPI Inputs'!$P$4:$AB$4,0),MATCH(VLOOKUP($E107,Tables!$F$3:$G$15,2,0),'CPI Inputs'!$D$20:$D$32,0)),INDEX('CPI Inputs'!$P$35:$AB$47,MATCH(P$5,'CPI Inputs'!$P$4:$AB$4,0),MATCH(VLOOKUP($E107,Tables!$F$3:$G$15,2,0),'CPI Inputs'!$D$35:$D$47,0))))</f>
        <v>1</v>
      </c>
      <c r="Q107" s="15">
        <f>IF(AND(Inputs!$F$26="June",VLOOKUP(Inputs!$E$26,Tables!$D$2:$F$15,3,FALSE)=$E107),1,IF(Inputs!G45="June",INDEX('CPI Inputs'!$P$20:$AB$32,MATCH(Q$5,'CPI Inputs'!$P$4:$AB$4,0),MATCH(VLOOKUP($E107,Tables!$F$3:$G$15,2,0),'CPI Inputs'!$D$20:$D$32,0)),INDEX('CPI Inputs'!$P$35:$AB$47,MATCH(Q$5,'CPI Inputs'!$P$4:$AB$4,0),MATCH(VLOOKUP($E107,Tables!$F$3:$G$15,2,0),'CPI Inputs'!$D$35:$D$47,0))))</f>
        <v>1</v>
      </c>
      <c r="R107" s="15">
        <f>IF(AND(Inputs!$F$26="June",VLOOKUP(Inputs!$E$26,Tables!$D$2:$F$15,3,FALSE)=$E107),1,IF(Inputs!H45="June",INDEX('CPI Inputs'!$P$20:$AB$32,MATCH(R$5,'CPI Inputs'!$P$4:$AB$4,0),MATCH(VLOOKUP($E107,Tables!$F$3:$G$15,2,0),'CPI Inputs'!$D$20:$D$32,0)),INDEX('CPI Inputs'!$P$35:$AB$47,MATCH(R$5,'CPI Inputs'!$P$4:$AB$4,0),MATCH(VLOOKUP($E107,Tables!$F$3:$G$15,2,0),'CPI Inputs'!$D$35:$D$47,0))))</f>
        <v>1</v>
      </c>
      <c r="S107" s="15">
        <f>IF(AND(Inputs!$F$26="June",VLOOKUP(Inputs!$E$26,Tables!$D$2:$F$15,3,FALSE)=$E107),1,IF(Inputs!I45="June",INDEX('CPI Inputs'!$P$20:$AB$32,MATCH(S$5,'CPI Inputs'!$P$4:$AB$4,0),MATCH(VLOOKUP($E107,Tables!$F$3:$G$15,2,0),'CPI Inputs'!$D$20:$D$32,0)),INDEX('CPI Inputs'!$P$35:$AB$47,MATCH(S$5,'CPI Inputs'!$P$4:$AB$4,0),MATCH(VLOOKUP($E107,Tables!$F$3:$G$15,2,0),'CPI Inputs'!$D$35:$D$47,0))))</f>
        <v>1</v>
      </c>
      <c r="T107" s="15">
        <f>IF(AND(Inputs!$F$26="June",VLOOKUP(Inputs!$E$26,Tables!$D$2:$F$15,3,FALSE)=$E107),1,IF(Inputs!J45="June",INDEX('CPI Inputs'!$P$20:$AB$32,MATCH(T$5,'CPI Inputs'!$P$4:$AB$4,0),MATCH(VLOOKUP($E107,Tables!$F$3:$G$15,2,0),'CPI Inputs'!$D$20:$D$32,0)),INDEX('CPI Inputs'!$P$35:$AB$47,MATCH(T$5,'CPI Inputs'!$P$4:$AB$4,0),MATCH(VLOOKUP($E107,Tables!$F$3:$G$15,2,0),'CPI Inputs'!$D$35:$D$47,0))))</f>
        <v>1</v>
      </c>
    </row>
    <row r="108" spans="2:20" x14ac:dyDescent="0.2">
      <c r="B108" s="13"/>
      <c r="C108" s="13"/>
      <c r="D108" t="s">
        <v>60</v>
      </c>
      <c r="E108" s="14" t="str">
        <f t="shared" si="4"/>
        <v>2023-24[$]</v>
      </c>
      <c r="F108" t="s">
        <v>54</v>
      </c>
      <c r="P108" s="49">
        <f>IF(AND(Inputs!$F$26="June",VLOOKUP(Inputs!$E$26,Tables!$D$2:$F$15,3,FALSE)=$E108),1,IF(Inputs!F46="June",INDEX('CPI Inputs'!$P$20:$AB$32,MATCH(P$5,'CPI Inputs'!$P$4:$AB$4,0),MATCH(VLOOKUP($E108,Tables!$F$3:$G$15,2,0),'CPI Inputs'!$D$20:$D$32,0)),INDEX('CPI Inputs'!$P$35:$AB$47,MATCH(P$5,'CPI Inputs'!$P$4:$AB$4,0),MATCH(VLOOKUP($E108,Tables!$F$3:$G$15,2,0),'CPI Inputs'!$D$35:$D$47,0))))</f>
        <v>1</v>
      </c>
      <c r="Q108" s="49">
        <f>IF(AND(Inputs!$F$26="June",VLOOKUP(Inputs!$E$26,Tables!$D$2:$F$15,3,FALSE)=$E108),1,IF(Inputs!G46="June",INDEX('CPI Inputs'!$P$20:$AB$32,MATCH(Q$5,'CPI Inputs'!$P$4:$AB$4,0),MATCH(VLOOKUP($E108,Tables!$F$3:$G$15,2,0),'CPI Inputs'!$D$20:$D$32,0)),INDEX('CPI Inputs'!$P$35:$AB$47,MATCH(Q$5,'CPI Inputs'!$P$4:$AB$4,0),MATCH(VLOOKUP($E108,Tables!$F$3:$G$15,2,0),'CPI Inputs'!$D$35:$D$47,0))))</f>
        <v>1</v>
      </c>
      <c r="R108" s="49">
        <f>IF(AND(Inputs!$F$26="June",VLOOKUP(Inputs!$E$26,Tables!$D$2:$F$15,3,FALSE)=$E108),1,IF(Inputs!H46="June",INDEX('CPI Inputs'!$P$20:$AB$32,MATCH(R$5,'CPI Inputs'!$P$4:$AB$4,0),MATCH(VLOOKUP($E108,Tables!$F$3:$G$15,2,0),'CPI Inputs'!$D$20:$D$32,0)),INDEX('CPI Inputs'!$P$35:$AB$47,MATCH(R$5,'CPI Inputs'!$P$4:$AB$4,0),MATCH(VLOOKUP($E108,Tables!$F$3:$G$15,2,0),'CPI Inputs'!$D$35:$D$47,0))))</f>
        <v>1</v>
      </c>
      <c r="S108" s="49">
        <f>IF(AND(Inputs!$F$26="June",VLOOKUP(Inputs!$E$26,Tables!$D$2:$F$15,3,FALSE)=$E108),1,IF(Inputs!I46="June",INDEX('CPI Inputs'!$P$20:$AB$32,MATCH(S$5,'CPI Inputs'!$P$4:$AB$4,0),MATCH(VLOOKUP($E108,Tables!$F$3:$G$15,2,0),'CPI Inputs'!$D$20:$D$32,0)),INDEX('CPI Inputs'!$P$35:$AB$47,MATCH(S$5,'CPI Inputs'!$P$4:$AB$4,0),MATCH(VLOOKUP($E108,Tables!$F$3:$G$15,2,0),'CPI Inputs'!$D$35:$D$47,0))))</f>
        <v>1</v>
      </c>
      <c r="T108" s="49">
        <f>IF(AND(Inputs!$F$26="June",VLOOKUP(Inputs!$E$26,Tables!$D$2:$F$15,3,FALSE)=$E108),1,IF(Inputs!J46="June",INDEX('CPI Inputs'!$P$20:$AB$32,MATCH(T$5,'CPI Inputs'!$P$4:$AB$4,0),MATCH(VLOOKUP($E108,Tables!$F$3:$G$15,2,0),'CPI Inputs'!$D$20:$D$32,0)),INDEX('CPI Inputs'!$P$35:$AB$47,MATCH(T$5,'CPI Inputs'!$P$4:$AB$4,0),MATCH(VLOOKUP($E108,Tables!$F$3:$G$15,2,0),'CPI Inputs'!$D$35:$D$47,0))))</f>
        <v>1</v>
      </c>
    </row>
    <row r="109" spans="2:20" x14ac:dyDescent="0.2">
      <c r="B109" s="13"/>
      <c r="C109" s="13"/>
      <c r="E109" s="34"/>
      <c r="P109" s="48"/>
      <c r="Q109" s="48"/>
      <c r="R109" s="48"/>
      <c r="S109" s="48"/>
      <c r="T109" s="48"/>
    </row>
    <row r="110" spans="2:20" x14ac:dyDescent="0.2">
      <c r="B110" s="13"/>
      <c r="C110" s="13">
        <f>MAX($A$7:C109)+0.01</f>
        <v>1.1500000000000001</v>
      </c>
      <c r="D110" s="31" t="s">
        <v>109</v>
      </c>
    </row>
    <row r="111" spans="2:20" x14ac:dyDescent="0.2">
      <c r="B111" s="13"/>
      <c r="C111" s="13"/>
      <c r="D111" s="31"/>
    </row>
    <row r="112" spans="2:20" x14ac:dyDescent="0.2">
      <c r="B112" s="13"/>
      <c r="C112" s="13"/>
      <c r="D112" t="s">
        <v>50</v>
      </c>
      <c r="E112" s="14" t="str">
        <f t="shared" ref="E112:E132" si="5">$E$39</f>
        <v>2023-24[$]</v>
      </c>
      <c r="F112" t="s">
        <v>52</v>
      </c>
      <c r="P112" s="15">
        <f>IF($F112="Labour",INDEX('CPI Inputs'!$P$55:$AB$55,1,MATCH('PTRM Input'!P$5,'CPI Inputs'!$P$4:$AB$4,0)),1)</f>
        <v>1</v>
      </c>
      <c r="Q112" s="15">
        <f>IF($F112="Labour",INDEX('CPI Inputs'!$P$55:$AB$55,1,MATCH('PTRM Input'!Q$5,'CPI Inputs'!$P$4:$AB$4,0)),1)</f>
        <v>1</v>
      </c>
      <c r="R112" s="15">
        <f>IF($F112="Labour",INDEX('CPI Inputs'!$P$55:$AB$55,1,MATCH('PTRM Input'!R$5,'CPI Inputs'!$P$4:$AB$4,0)),1)</f>
        <v>1</v>
      </c>
      <c r="S112" s="15">
        <f>IF($F112="Labour",INDEX('CPI Inputs'!$P$55:$AB$55,1,MATCH('PTRM Input'!S$5,'CPI Inputs'!$P$4:$AB$4,0)),1)</f>
        <v>1.003116701324458</v>
      </c>
      <c r="T112" s="15">
        <f>IF($F112="Labour",INDEX('CPI Inputs'!$P$55:$AB$55,1,MATCH('PTRM Input'!T$5,'CPI Inputs'!$P$4:$AB$4,0)),1)</f>
        <v>1.0081278469626564</v>
      </c>
    </row>
    <row r="113" spans="2:20" x14ac:dyDescent="0.2">
      <c r="B113" s="13"/>
      <c r="C113" s="13"/>
      <c r="D113" t="s">
        <v>50</v>
      </c>
      <c r="E113" s="14" t="str">
        <f t="shared" si="5"/>
        <v>2023-24[$]</v>
      </c>
      <c r="F113" t="s">
        <v>53</v>
      </c>
      <c r="P113" s="15">
        <f>IF($F113="Labour",INDEX('CPI Inputs'!$P$55:$AB$55,1,MATCH('PTRM Input'!P$5,'CPI Inputs'!$P$4:$AB$4,0)),1)</f>
        <v>1</v>
      </c>
      <c r="Q113" s="15">
        <f>IF($F113="Labour",INDEX('CPI Inputs'!$P$55:$AB$55,1,MATCH('PTRM Input'!Q$5,'CPI Inputs'!$P$4:$AB$4,0)),1)</f>
        <v>1</v>
      </c>
      <c r="R113" s="15">
        <f>IF($F113="Labour",INDEX('CPI Inputs'!$P$55:$AB$55,1,MATCH('PTRM Input'!R$5,'CPI Inputs'!$P$4:$AB$4,0)),1)</f>
        <v>1</v>
      </c>
      <c r="S113" s="15">
        <f>IF($F113="Labour",INDEX('CPI Inputs'!$P$55:$AB$55,1,MATCH('PTRM Input'!S$5,'CPI Inputs'!$P$4:$AB$4,0)),1)</f>
        <v>1</v>
      </c>
      <c r="T113" s="15">
        <f>IF($F113="Labour",INDEX('CPI Inputs'!$P$55:$AB$55,1,MATCH('PTRM Input'!T$5,'CPI Inputs'!$P$4:$AB$4,0)),1)</f>
        <v>1</v>
      </c>
    </row>
    <row r="114" spans="2:20" x14ac:dyDescent="0.2">
      <c r="B114" s="13"/>
      <c r="C114" s="13"/>
      <c r="D114" t="s">
        <v>50</v>
      </c>
      <c r="E114" s="14" t="str">
        <f t="shared" si="5"/>
        <v>2023-24[$]</v>
      </c>
      <c r="F114" t="s">
        <v>54</v>
      </c>
      <c r="P114" s="15">
        <f>IF($F114="Labour",INDEX('CPI Inputs'!$P$55:$AB$55,1,MATCH('PTRM Input'!P$5,'CPI Inputs'!$P$4:$AB$4,0)),1)</f>
        <v>1</v>
      </c>
      <c r="Q114" s="15">
        <f>IF($F114="Labour",INDEX('CPI Inputs'!$P$55:$AB$55,1,MATCH('PTRM Input'!Q$5,'CPI Inputs'!$P$4:$AB$4,0)),1)</f>
        <v>1</v>
      </c>
      <c r="R114" s="15">
        <f>IF($F114="Labour",INDEX('CPI Inputs'!$P$55:$AB$55,1,MATCH('PTRM Input'!R$5,'CPI Inputs'!$P$4:$AB$4,0)),1)</f>
        <v>1</v>
      </c>
      <c r="S114" s="15">
        <f>IF($F114="Labour",INDEX('CPI Inputs'!$P$55:$AB$55,1,MATCH('PTRM Input'!S$5,'CPI Inputs'!$P$4:$AB$4,0)),1)</f>
        <v>1</v>
      </c>
      <c r="T114" s="15">
        <f>IF($F114="Labour",INDEX('CPI Inputs'!$P$55:$AB$55,1,MATCH('PTRM Input'!T$5,'CPI Inputs'!$P$4:$AB$4,0)),1)</f>
        <v>1</v>
      </c>
    </row>
    <row r="115" spans="2:20" x14ac:dyDescent="0.2">
      <c r="B115" s="13"/>
      <c r="C115" s="13"/>
      <c r="D115" t="s">
        <v>55</v>
      </c>
      <c r="E115" s="14" t="str">
        <f t="shared" si="5"/>
        <v>2023-24[$]</v>
      </c>
      <c r="F115" t="s">
        <v>52</v>
      </c>
      <c r="P115" s="15">
        <f>IF($F115="Labour",INDEX('CPI Inputs'!$P$55:$AB$55,1,MATCH('PTRM Input'!P$5,'CPI Inputs'!$P$4:$AB$4,0)),1)</f>
        <v>1</v>
      </c>
      <c r="Q115" s="15">
        <f>IF($F115="Labour",INDEX('CPI Inputs'!$P$55:$AB$55,1,MATCH('PTRM Input'!Q$5,'CPI Inputs'!$P$4:$AB$4,0)),1)</f>
        <v>1</v>
      </c>
      <c r="R115" s="15">
        <f>IF($F115="Labour",INDEX('CPI Inputs'!$P$55:$AB$55,1,MATCH('PTRM Input'!R$5,'CPI Inputs'!$P$4:$AB$4,0)),1)</f>
        <v>1</v>
      </c>
      <c r="S115" s="15">
        <f>IF($F115="Labour",INDEX('CPI Inputs'!$P$55:$AB$55,1,MATCH('PTRM Input'!S$5,'CPI Inputs'!$P$4:$AB$4,0)),1)</f>
        <v>1.003116701324458</v>
      </c>
      <c r="T115" s="15">
        <f>IF($F115="Labour",INDEX('CPI Inputs'!$P$55:$AB$55,1,MATCH('PTRM Input'!T$5,'CPI Inputs'!$P$4:$AB$4,0)),1)</f>
        <v>1.0081278469626564</v>
      </c>
    </row>
    <row r="116" spans="2:20" x14ac:dyDescent="0.2">
      <c r="B116" s="13"/>
      <c r="C116" s="13"/>
      <c r="D116" t="s">
        <v>55</v>
      </c>
      <c r="E116" s="14" t="str">
        <f t="shared" si="5"/>
        <v>2023-24[$]</v>
      </c>
      <c r="F116" t="s">
        <v>53</v>
      </c>
      <c r="P116" s="15">
        <f>IF($F116="Labour",INDEX('CPI Inputs'!$P$55:$AB$55,1,MATCH('PTRM Input'!P$5,'CPI Inputs'!$P$4:$AB$4,0)),1)</f>
        <v>1</v>
      </c>
      <c r="Q116" s="15">
        <f>IF($F116="Labour",INDEX('CPI Inputs'!$P$55:$AB$55,1,MATCH('PTRM Input'!Q$5,'CPI Inputs'!$P$4:$AB$4,0)),1)</f>
        <v>1</v>
      </c>
      <c r="R116" s="15">
        <f>IF($F116="Labour",INDEX('CPI Inputs'!$P$55:$AB$55,1,MATCH('PTRM Input'!R$5,'CPI Inputs'!$P$4:$AB$4,0)),1)</f>
        <v>1</v>
      </c>
      <c r="S116" s="15">
        <f>IF($F116="Labour",INDEX('CPI Inputs'!$P$55:$AB$55,1,MATCH('PTRM Input'!S$5,'CPI Inputs'!$P$4:$AB$4,0)),1)</f>
        <v>1</v>
      </c>
      <c r="T116" s="15">
        <f>IF($F116="Labour",INDEX('CPI Inputs'!$P$55:$AB$55,1,MATCH('PTRM Input'!T$5,'CPI Inputs'!$P$4:$AB$4,0)),1)</f>
        <v>1</v>
      </c>
    </row>
    <row r="117" spans="2:20" x14ac:dyDescent="0.2">
      <c r="B117" s="13"/>
      <c r="C117" s="13"/>
      <c r="D117" t="s">
        <v>55</v>
      </c>
      <c r="E117" s="14" t="str">
        <f t="shared" si="5"/>
        <v>2023-24[$]</v>
      </c>
      <c r="F117" t="s">
        <v>54</v>
      </c>
      <c r="P117" s="15">
        <f>IF($F117="Labour",INDEX('CPI Inputs'!$P$55:$AB$55,1,MATCH('PTRM Input'!P$5,'CPI Inputs'!$P$4:$AB$4,0)),1)</f>
        <v>1</v>
      </c>
      <c r="Q117" s="15">
        <f>IF($F117="Labour",INDEX('CPI Inputs'!$P$55:$AB$55,1,MATCH('PTRM Input'!Q$5,'CPI Inputs'!$P$4:$AB$4,0)),1)</f>
        <v>1</v>
      </c>
      <c r="R117" s="15">
        <f>IF($F117="Labour",INDEX('CPI Inputs'!$P$55:$AB$55,1,MATCH('PTRM Input'!R$5,'CPI Inputs'!$P$4:$AB$4,0)),1)</f>
        <v>1</v>
      </c>
      <c r="S117" s="15">
        <f>IF($F117="Labour",INDEX('CPI Inputs'!$P$55:$AB$55,1,MATCH('PTRM Input'!S$5,'CPI Inputs'!$P$4:$AB$4,0)),1)</f>
        <v>1</v>
      </c>
      <c r="T117" s="15">
        <f>IF($F117="Labour",INDEX('CPI Inputs'!$P$55:$AB$55,1,MATCH('PTRM Input'!T$5,'CPI Inputs'!$P$4:$AB$4,0)),1)</f>
        <v>1</v>
      </c>
    </row>
    <row r="118" spans="2:20" x14ac:dyDescent="0.2">
      <c r="B118" s="13"/>
      <c r="C118" s="13"/>
      <c r="D118" t="s">
        <v>56</v>
      </c>
      <c r="E118" s="14" t="str">
        <f t="shared" si="5"/>
        <v>2023-24[$]</v>
      </c>
      <c r="F118" t="s">
        <v>52</v>
      </c>
      <c r="P118" s="15">
        <f>IF($F118="Labour",INDEX('CPI Inputs'!$P$55:$AB$55,1,MATCH('PTRM Input'!P$5,'CPI Inputs'!$P$4:$AB$4,0)),1)</f>
        <v>1</v>
      </c>
      <c r="Q118" s="15">
        <f>IF($F118="Labour",INDEX('CPI Inputs'!$P$55:$AB$55,1,MATCH('PTRM Input'!Q$5,'CPI Inputs'!$P$4:$AB$4,0)),1)</f>
        <v>1</v>
      </c>
      <c r="R118" s="15">
        <f>IF($F118="Labour",INDEX('CPI Inputs'!$P$55:$AB$55,1,MATCH('PTRM Input'!R$5,'CPI Inputs'!$P$4:$AB$4,0)),1)</f>
        <v>1</v>
      </c>
      <c r="S118" s="15">
        <f>IF($F118="Labour",INDEX('CPI Inputs'!$P$55:$AB$55,1,MATCH('PTRM Input'!S$5,'CPI Inputs'!$P$4:$AB$4,0)),1)</f>
        <v>1.003116701324458</v>
      </c>
      <c r="T118" s="15">
        <f>IF($F118="Labour",INDEX('CPI Inputs'!$P$55:$AB$55,1,MATCH('PTRM Input'!T$5,'CPI Inputs'!$P$4:$AB$4,0)),1)</f>
        <v>1.0081278469626564</v>
      </c>
    </row>
    <row r="119" spans="2:20" x14ac:dyDescent="0.2">
      <c r="B119" s="13"/>
      <c r="C119" s="13"/>
      <c r="D119" t="s">
        <v>56</v>
      </c>
      <c r="E119" s="14" t="str">
        <f t="shared" si="5"/>
        <v>2023-24[$]</v>
      </c>
      <c r="F119" t="s">
        <v>53</v>
      </c>
      <c r="P119" s="15">
        <f>IF($F119="Labour",INDEX('CPI Inputs'!$P$55:$AB$55,1,MATCH('PTRM Input'!P$5,'CPI Inputs'!$P$4:$AB$4,0)),1)</f>
        <v>1</v>
      </c>
      <c r="Q119" s="15">
        <f>IF($F119="Labour",INDEX('CPI Inputs'!$P$55:$AB$55,1,MATCH('PTRM Input'!Q$5,'CPI Inputs'!$P$4:$AB$4,0)),1)</f>
        <v>1</v>
      </c>
      <c r="R119" s="15">
        <f>IF($F119="Labour",INDEX('CPI Inputs'!$P$55:$AB$55,1,MATCH('PTRM Input'!R$5,'CPI Inputs'!$P$4:$AB$4,0)),1)</f>
        <v>1</v>
      </c>
      <c r="S119" s="15">
        <f>IF($F119="Labour",INDEX('CPI Inputs'!$P$55:$AB$55,1,MATCH('PTRM Input'!S$5,'CPI Inputs'!$P$4:$AB$4,0)),1)</f>
        <v>1</v>
      </c>
      <c r="T119" s="15">
        <f>IF($F119="Labour",INDEX('CPI Inputs'!$P$55:$AB$55,1,MATCH('PTRM Input'!T$5,'CPI Inputs'!$P$4:$AB$4,0)),1)</f>
        <v>1</v>
      </c>
    </row>
    <row r="120" spans="2:20" x14ac:dyDescent="0.2">
      <c r="B120" s="13"/>
      <c r="C120" s="13"/>
      <c r="D120" t="s">
        <v>56</v>
      </c>
      <c r="E120" s="14" t="str">
        <f t="shared" si="5"/>
        <v>2023-24[$]</v>
      </c>
      <c r="F120" t="s">
        <v>54</v>
      </c>
      <c r="P120" s="15">
        <f>IF($F120="Labour",INDEX('CPI Inputs'!$P$55:$AB$55,1,MATCH('PTRM Input'!P$5,'CPI Inputs'!$P$4:$AB$4,0)),1)</f>
        <v>1</v>
      </c>
      <c r="Q120" s="15">
        <f>IF($F120="Labour",INDEX('CPI Inputs'!$P$55:$AB$55,1,MATCH('PTRM Input'!Q$5,'CPI Inputs'!$P$4:$AB$4,0)),1)</f>
        <v>1</v>
      </c>
      <c r="R120" s="15">
        <f>IF($F120="Labour",INDEX('CPI Inputs'!$P$55:$AB$55,1,MATCH('PTRM Input'!R$5,'CPI Inputs'!$P$4:$AB$4,0)),1)</f>
        <v>1</v>
      </c>
      <c r="S120" s="15">
        <f>IF($F120="Labour",INDEX('CPI Inputs'!$P$55:$AB$55,1,MATCH('PTRM Input'!S$5,'CPI Inputs'!$P$4:$AB$4,0)),1)</f>
        <v>1</v>
      </c>
      <c r="T120" s="15">
        <f>IF($F120="Labour",INDEX('CPI Inputs'!$P$55:$AB$55,1,MATCH('PTRM Input'!T$5,'CPI Inputs'!$P$4:$AB$4,0)),1)</f>
        <v>1</v>
      </c>
    </row>
    <row r="121" spans="2:20" x14ac:dyDescent="0.2">
      <c r="B121" s="13"/>
      <c r="C121" s="13"/>
      <c r="D121" t="s">
        <v>57</v>
      </c>
      <c r="E121" s="14" t="str">
        <f t="shared" si="5"/>
        <v>2023-24[$]</v>
      </c>
      <c r="F121" t="s">
        <v>52</v>
      </c>
      <c r="P121" s="15">
        <f>IF($F121="Labour",INDEX('CPI Inputs'!$P$55:$AB$55,1,MATCH('PTRM Input'!P$5,'CPI Inputs'!$P$4:$AB$4,0)),1)</f>
        <v>1</v>
      </c>
      <c r="Q121" s="15">
        <f>IF($F121="Labour",INDEX('CPI Inputs'!$P$55:$AB$55,1,MATCH('PTRM Input'!Q$5,'CPI Inputs'!$P$4:$AB$4,0)),1)</f>
        <v>1</v>
      </c>
      <c r="R121" s="15">
        <f>IF($F121="Labour",INDEX('CPI Inputs'!$P$55:$AB$55,1,MATCH('PTRM Input'!R$5,'CPI Inputs'!$P$4:$AB$4,0)),1)</f>
        <v>1</v>
      </c>
      <c r="S121" s="15">
        <f>IF($F121="Labour",INDEX('CPI Inputs'!$P$55:$AB$55,1,MATCH('PTRM Input'!S$5,'CPI Inputs'!$P$4:$AB$4,0)),1)</f>
        <v>1.003116701324458</v>
      </c>
      <c r="T121" s="15">
        <f>IF($F121="Labour",INDEX('CPI Inputs'!$P$55:$AB$55,1,MATCH('PTRM Input'!T$5,'CPI Inputs'!$P$4:$AB$4,0)),1)</f>
        <v>1.0081278469626564</v>
      </c>
    </row>
    <row r="122" spans="2:20" x14ac:dyDescent="0.2">
      <c r="B122" s="13"/>
      <c r="C122" s="13"/>
      <c r="D122" t="s">
        <v>57</v>
      </c>
      <c r="E122" s="14" t="str">
        <f t="shared" si="5"/>
        <v>2023-24[$]</v>
      </c>
      <c r="F122" t="s">
        <v>53</v>
      </c>
      <c r="P122" s="15">
        <f>IF($F122="Labour",INDEX('CPI Inputs'!$P$55:$AB$55,1,MATCH('PTRM Input'!P$5,'CPI Inputs'!$P$4:$AB$4,0)),1)</f>
        <v>1</v>
      </c>
      <c r="Q122" s="15">
        <f>IF($F122="Labour",INDEX('CPI Inputs'!$P$55:$AB$55,1,MATCH('PTRM Input'!Q$5,'CPI Inputs'!$P$4:$AB$4,0)),1)</f>
        <v>1</v>
      </c>
      <c r="R122" s="15">
        <f>IF($F122="Labour",INDEX('CPI Inputs'!$P$55:$AB$55,1,MATCH('PTRM Input'!R$5,'CPI Inputs'!$P$4:$AB$4,0)),1)</f>
        <v>1</v>
      </c>
      <c r="S122" s="15">
        <f>IF($F122="Labour",INDEX('CPI Inputs'!$P$55:$AB$55,1,MATCH('PTRM Input'!S$5,'CPI Inputs'!$P$4:$AB$4,0)),1)</f>
        <v>1</v>
      </c>
      <c r="T122" s="15">
        <f>IF($F122="Labour",INDEX('CPI Inputs'!$P$55:$AB$55,1,MATCH('PTRM Input'!T$5,'CPI Inputs'!$P$4:$AB$4,0)),1)</f>
        <v>1</v>
      </c>
    </row>
    <row r="123" spans="2:20" x14ac:dyDescent="0.2">
      <c r="B123" s="13"/>
      <c r="C123" s="13"/>
      <c r="D123" t="s">
        <v>57</v>
      </c>
      <c r="E123" s="14" t="str">
        <f t="shared" si="5"/>
        <v>2023-24[$]</v>
      </c>
      <c r="F123" t="s">
        <v>54</v>
      </c>
      <c r="P123" s="15">
        <f>IF($F123="Labour",INDEX('CPI Inputs'!$P$55:$AB$55,1,MATCH('PTRM Input'!P$5,'CPI Inputs'!$P$4:$AB$4,0)),1)</f>
        <v>1</v>
      </c>
      <c r="Q123" s="15">
        <f>IF($F123="Labour",INDEX('CPI Inputs'!$P$55:$AB$55,1,MATCH('PTRM Input'!Q$5,'CPI Inputs'!$P$4:$AB$4,0)),1)</f>
        <v>1</v>
      </c>
      <c r="R123" s="15">
        <f>IF($F123="Labour",INDEX('CPI Inputs'!$P$55:$AB$55,1,MATCH('PTRM Input'!R$5,'CPI Inputs'!$P$4:$AB$4,0)),1)</f>
        <v>1</v>
      </c>
      <c r="S123" s="15">
        <f>IF($F123="Labour",INDEX('CPI Inputs'!$P$55:$AB$55,1,MATCH('PTRM Input'!S$5,'CPI Inputs'!$P$4:$AB$4,0)),1)</f>
        <v>1</v>
      </c>
      <c r="T123" s="15">
        <f>IF($F123="Labour",INDEX('CPI Inputs'!$P$55:$AB$55,1,MATCH('PTRM Input'!T$5,'CPI Inputs'!$P$4:$AB$4,0)),1)</f>
        <v>1</v>
      </c>
    </row>
    <row r="124" spans="2:20" x14ac:dyDescent="0.2">
      <c r="B124" s="13"/>
      <c r="C124" s="13"/>
      <c r="D124" t="s">
        <v>58</v>
      </c>
      <c r="E124" s="14" t="str">
        <f t="shared" si="5"/>
        <v>2023-24[$]</v>
      </c>
      <c r="F124" t="s">
        <v>52</v>
      </c>
      <c r="P124" s="15">
        <f>IF($F124="Labour",INDEX('CPI Inputs'!$P$55:$AB$55,1,MATCH('PTRM Input'!P$5,'CPI Inputs'!$P$4:$AB$4,0)),1)</f>
        <v>1</v>
      </c>
      <c r="Q124" s="15">
        <f>IF($F124="Labour",INDEX('CPI Inputs'!$P$55:$AB$55,1,MATCH('PTRM Input'!Q$5,'CPI Inputs'!$P$4:$AB$4,0)),1)</f>
        <v>1</v>
      </c>
      <c r="R124" s="15">
        <f>IF($F124="Labour",INDEX('CPI Inputs'!$P$55:$AB$55,1,MATCH('PTRM Input'!R$5,'CPI Inputs'!$P$4:$AB$4,0)),1)</f>
        <v>1</v>
      </c>
      <c r="S124" s="15">
        <f>IF($F124="Labour",INDEX('CPI Inputs'!$P$55:$AB$55,1,MATCH('PTRM Input'!S$5,'CPI Inputs'!$P$4:$AB$4,0)),1)</f>
        <v>1.003116701324458</v>
      </c>
      <c r="T124" s="15">
        <f>IF($F124="Labour",INDEX('CPI Inputs'!$P$55:$AB$55,1,MATCH('PTRM Input'!T$5,'CPI Inputs'!$P$4:$AB$4,0)),1)</f>
        <v>1.0081278469626564</v>
      </c>
    </row>
    <row r="125" spans="2:20" x14ac:dyDescent="0.2">
      <c r="B125" s="13"/>
      <c r="C125" s="13"/>
      <c r="D125" t="s">
        <v>58</v>
      </c>
      <c r="E125" s="14" t="str">
        <f t="shared" si="5"/>
        <v>2023-24[$]</v>
      </c>
      <c r="F125" t="s">
        <v>53</v>
      </c>
      <c r="P125" s="15">
        <f>IF($F125="Labour",INDEX('CPI Inputs'!$P$55:$AB$55,1,MATCH('PTRM Input'!P$5,'CPI Inputs'!$P$4:$AB$4,0)),1)</f>
        <v>1</v>
      </c>
      <c r="Q125" s="15">
        <f>IF($F125="Labour",INDEX('CPI Inputs'!$P$55:$AB$55,1,MATCH('PTRM Input'!Q$5,'CPI Inputs'!$P$4:$AB$4,0)),1)</f>
        <v>1</v>
      </c>
      <c r="R125" s="15">
        <f>IF($F125="Labour",INDEX('CPI Inputs'!$P$55:$AB$55,1,MATCH('PTRM Input'!R$5,'CPI Inputs'!$P$4:$AB$4,0)),1)</f>
        <v>1</v>
      </c>
      <c r="S125" s="15">
        <f>IF($F125="Labour",INDEX('CPI Inputs'!$P$55:$AB$55,1,MATCH('PTRM Input'!S$5,'CPI Inputs'!$P$4:$AB$4,0)),1)</f>
        <v>1</v>
      </c>
      <c r="T125" s="15">
        <f>IF($F125="Labour",INDEX('CPI Inputs'!$P$55:$AB$55,1,MATCH('PTRM Input'!T$5,'CPI Inputs'!$P$4:$AB$4,0)),1)</f>
        <v>1</v>
      </c>
    </row>
    <row r="126" spans="2:20" x14ac:dyDescent="0.2">
      <c r="B126" s="13"/>
      <c r="C126" s="13"/>
      <c r="D126" t="s">
        <v>58</v>
      </c>
      <c r="E126" s="14" t="str">
        <f t="shared" si="5"/>
        <v>2023-24[$]</v>
      </c>
      <c r="F126" t="s">
        <v>54</v>
      </c>
      <c r="P126" s="15">
        <f>IF($F126="Labour",INDEX('CPI Inputs'!$P$55:$AB$55,1,MATCH('PTRM Input'!P$5,'CPI Inputs'!$P$4:$AB$4,0)),1)</f>
        <v>1</v>
      </c>
      <c r="Q126" s="15">
        <f>IF($F126="Labour",INDEX('CPI Inputs'!$P$55:$AB$55,1,MATCH('PTRM Input'!Q$5,'CPI Inputs'!$P$4:$AB$4,0)),1)</f>
        <v>1</v>
      </c>
      <c r="R126" s="15">
        <f>IF($F126="Labour",INDEX('CPI Inputs'!$P$55:$AB$55,1,MATCH('PTRM Input'!R$5,'CPI Inputs'!$P$4:$AB$4,0)),1)</f>
        <v>1</v>
      </c>
      <c r="S126" s="15">
        <f>IF($F126="Labour",INDEX('CPI Inputs'!$P$55:$AB$55,1,MATCH('PTRM Input'!S$5,'CPI Inputs'!$P$4:$AB$4,0)),1)</f>
        <v>1</v>
      </c>
      <c r="T126" s="15">
        <f>IF($F126="Labour",INDEX('CPI Inputs'!$P$55:$AB$55,1,MATCH('PTRM Input'!T$5,'CPI Inputs'!$P$4:$AB$4,0)),1)</f>
        <v>1</v>
      </c>
    </row>
    <row r="127" spans="2:20" x14ac:dyDescent="0.2">
      <c r="B127" s="13"/>
      <c r="C127" s="13"/>
      <c r="D127" t="s">
        <v>59</v>
      </c>
      <c r="E127" s="14" t="str">
        <f t="shared" si="5"/>
        <v>2023-24[$]</v>
      </c>
      <c r="F127" t="s">
        <v>52</v>
      </c>
      <c r="P127" s="15">
        <f>IF($F127="Labour",INDEX('CPI Inputs'!$P$55:$AB$55,1,MATCH('PTRM Input'!P$5,'CPI Inputs'!$P$4:$AB$4,0)),1)</f>
        <v>1</v>
      </c>
      <c r="Q127" s="15">
        <f>IF($F127="Labour",INDEX('CPI Inputs'!$P$55:$AB$55,1,MATCH('PTRM Input'!Q$5,'CPI Inputs'!$P$4:$AB$4,0)),1)</f>
        <v>1</v>
      </c>
      <c r="R127" s="15">
        <f>IF($F127="Labour",INDEX('CPI Inputs'!$P$55:$AB$55,1,MATCH('PTRM Input'!R$5,'CPI Inputs'!$P$4:$AB$4,0)),1)</f>
        <v>1</v>
      </c>
      <c r="S127" s="15">
        <f>IF($F127="Labour",INDEX('CPI Inputs'!$P$55:$AB$55,1,MATCH('PTRM Input'!S$5,'CPI Inputs'!$P$4:$AB$4,0)),1)</f>
        <v>1.003116701324458</v>
      </c>
      <c r="T127" s="15">
        <f>IF($F127="Labour",INDEX('CPI Inputs'!$P$55:$AB$55,1,MATCH('PTRM Input'!T$5,'CPI Inputs'!$P$4:$AB$4,0)),1)</f>
        <v>1.0081278469626564</v>
      </c>
    </row>
    <row r="128" spans="2:20" x14ac:dyDescent="0.2">
      <c r="B128" s="13"/>
      <c r="C128" s="13"/>
      <c r="D128" t="s">
        <v>59</v>
      </c>
      <c r="E128" s="14" t="str">
        <f t="shared" si="5"/>
        <v>2023-24[$]</v>
      </c>
      <c r="F128" t="s">
        <v>53</v>
      </c>
      <c r="P128" s="15">
        <f>IF($F128="Labour",INDEX('CPI Inputs'!$P$55:$AB$55,1,MATCH('PTRM Input'!P$5,'CPI Inputs'!$P$4:$AB$4,0)),1)</f>
        <v>1</v>
      </c>
      <c r="Q128" s="15">
        <f>IF($F128="Labour",INDEX('CPI Inputs'!$P$55:$AB$55,1,MATCH('PTRM Input'!Q$5,'CPI Inputs'!$P$4:$AB$4,0)),1)</f>
        <v>1</v>
      </c>
      <c r="R128" s="15">
        <f>IF($F128="Labour",INDEX('CPI Inputs'!$P$55:$AB$55,1,MATCH('PTRM Input'!R$5,'CPI Inputs'!$P$4:$AB$4,0)),1)</f>
        <v>1</v>
      </c>
      <c r="S128" s="15">
        <f>IF($F128="Labour",INDEX('CPI Inputs'!$P$55:$AB$55,1,MATCH('PTRM Input'!S$5,'CPI Inputs'!$P$4:$AB$4,0)),1)</f>
        <v>1</v>
      </c>
      <c r="T128" s="15">
        <f>IF($F128="Labour",INDEX('CPI Inputs'!$P$55:$AB$55,1,MATCH('PTRM Input'!T$5,'CPI Inputs'!$P$4:$AB$4,0)),1)</f>
        <v>1</v>
      </c>
    </row>
    <row r="129" spans="2:29" x14ac:dyDescent="0.2">
      <c r="B129" s="13"/>
      <c r="C129" s="13"/>
      <c r="D129" t="s">
        <v>59</v>
      </c>
      <c r="E129" s="14" t="str">
        <f t="shared" si="5"/>
        <v>2023-24[$]</v>
      </c>
      <c r="F129" t="s">
        <v>54</v>
      </c>
      <c r="P129" s="15">
        <f>IF($F129="Labour",INDEX('CPI Inputs'!$P$55:$AB$55,1,MATCH('PTRM Input'!P$5,'CPI Inputs'!$P$4:$AB$4,0)),1)</f>
        <v>1</v>
      </c>
      <c r="Q129" s="15">
        <f>IF($F129="Labour",INDEX('CPI Inputs'!$P$55:$AB$55,1,MATCH('PTRM Input'!Q$5,'CPI Inputs'!$P$4:$AB$4,0)),1)</f>
        <v>1</v>
      </c>
      <c r="R129" s="15">
        <f>IF($F129="Labour",INDEX('CPI Inputs'!$P$55:$AB$55,1,MATCH('PTRM Input'!R$5,'CPI Inputs'!$P$4:$AB$4,0)),1)</f>
        <v>1</v>
      </c>
      <c r="S129" s="15">
        <f>IF($F129="Labour",INDEX('CPI Inputs'!$P$55:$AB$55,1,MATCH('PTRM Input'!S$5,'CPI Inputs'!$P$4:$AB$4,0)),1)</f>
        <v>1</v>
      </c>
      <c r="T129" s="15">
        <f>IF($F129="Labour",INDEX('CPI Inputs'!$P$55:$AB$55,1,MATCH('PTRM Input'!T$5,'CPI Inputs'!$P$4:$AB$4,0)),1)</f>
        <v>1</v>
      </c>
    </row>
    <row r="130" spans="2:29" x14ac:dyDescent="0.2">
      <c r="B130" s="13"/>
      <c r="C130" s="13"/>
      <c r="D130" t="s">
        <v>60</v>
      </c>
      <c r="E130" s="14" t="str">
        <f t="shared" si="5"/>
        <v>2023-24[$]</v>
      </c>
      <c r="F130" t="s">
        <v>52</v>
      </c>
      <c r="P130" s="15">
        <f>IF($F130="Labour",INDEX('CPI Inputs'!$P$55:$AB$55,1,MATCH('PTRM Input'!P$5,'CPI Inputs'!$P$4:$AB$4,0)),1)</f>
        <v>1</v>
      </c>
      <c r="Q130" s="15">
        <f>IF($F130="Labour",INDEX('CPI Inputs'!$P$55:$AB$55,1,MATCH('PTRM Input'!Q$5,'CPI Inputs'!$P$4:$AB$4,0)),1)</f>
        <v>1</v>
      </c>
      <c r="R130" s="15">
        <f>IF($F130="Labour",INDEX('CPI Inputs'!$P$55:$AB$55,1,MATCH('PTRM Input'!R$5,'CPI Inputs'!$P$4:$AB$4,0)),1)</f>
        <v>1</v>
      </c>
      <c r="S130" s="15">
        <f>IF($F130="Labour",INDEX('CPI Inputs'!$P$55:$AB$55,1,MATCH('PTRM Input'!S$5,'CPI Inputs'!$P$4:$AB$4,0)),1)</f>
        <v>1.003116701324458</v>
      </c>
      <c r="T130" s="15">
        <f>IF($F130="Labour",INDEX('CPI Inputs'!$P$55:$AB$55,1,MATCH('PTRM Input'!T$5,'CPI Inputs'!$P$4:$AB$4,0)),1)</f>
        <v>1.0081278469626564</v>
      </c>
    </row>
    <row r="131" spans="2:29" x14ac:dyDescent="0.2">
      <c r="B131" s="13"/>
      <c r="C131" s="13"/>
      <c r="D131" t="s">
        <v>60</v>
      </c>
      <c r="E131" s="14" t="str">
        <f t="shared" si="5"/>
        <v>2023-24[$]</v>
      </c>
      <c r="F131" t="s">
        <v>53</v>
      </c>
      <c r="P131" s="15">
        <f>IF($F131="Labour",INDEX('CPI Inputs'!$P$55:$AB$55,1,MATCH('PTRM Input'!P$5,'CPI Inputs'!$P$4:$AB$4,0)),1)</f>
        <v>1</v>
      </c>
      <c r="Q131" s="15">
        <f>IF($F131="Labour",INDEX('CPI Inputs'!$P$55:$AB$55,1,MATCH('PTRM Input'!Q$5,'CPI Inputs'!$P$4:$AB$4,0)),1)</f>
        <v>1</v>
      </c>
      <c r="R131" s="15">
        <f>IF($F131="Labour",INDEX('CPI Inputs'!$P$55:$AB$55,1,MATCH('PTRM Input'!R$5,'CPI Inputs'!$P$4:$AB$4,0)),1)</f>
        <v>1</v>
      </c>
      <c r="S131" s="15">
        <f>IF($F131="Labour",INDEX('CPI Inputs'!$P$55:$AB$55,1,MATCH('PTRM Input'!S$5,'CPI Inputs'!$P$4:$AB$4,0)),1)</f>
        <v>1</v>
      </c>
      <c r="T131" s="15">
        <f>IF($F131="Labour",INDEX('CPI Inputs'!$P$55:$AB$55,1,MATCH('PTRM Input'!T$5,'CPI Inputs'!$P$4:$AB$4,0)),1)</f>
        <v>1</v>
      </c>
    </row>
    <row r="132" spans="2:29" x14ac:dyDescent="0.2">
      <c r="B132" s="13"/>
      <c r="C132" s="13"/>
      <c r="D132" t="s">
        <v>60</v>
      </c>
      <c r="E132" s="14" t="str">
        <f t="shared" si="5"/>
        <v>2023-24[$]</v>
      </c>
      <c r="F132" t="s">
        <v>54</v>
      </c>
      <c r="P132" s="49">
        <f>IF($F132="Labour",INDEX('CPI Inputs'!$P$55:$AB$55,1,MATCH('PTRM Input'!P$5,'CPI Inputs'!$P$4:$AB$4,0)),1)</f>
        <v>1</v>
      </c>
      <c r="Q132" s="49">
        <f>IF($F132="Labour",INDEX('CPI Inputs'!$P$55:$AB$55,1,MATCH('PTRM Input'!Q$5,'CPI Inputs'!$P$4:$AB$4,0)),1)</f>
        <v>1</v>
      </c>
      <c r="R132" s="49">
        <f>IF($F132="Labour",INDEX('CPI Inputs'!$P$55:$AB$55,1,MATCH('PTRM Input'!R$5,'CPI Inputs'!$P$4:$AB$4,0)),1)</f>
        <v>1</v>
      </c>
      <c r="S132" s="49">
        <f>IF($F132="Labour",INDEX('CPI Inputs'!$P$55:$AB$55,1,MATCH('PTRM Input'!S$5,'CPI Inputs'!$P$4:$AB$4,0)),1)</f>
        <v>1</v>
      </c>
      <c r="T132" s="49">
        <f>IF($F132="Labour",INDEX('CPI Inputs'!$P$55:$AB$55,1,MATCH('PTRM Input'!T$5,'CPI Inputs'!$P$4:$AB$4,0)),1)</f>
        <v>1</v>
      </c>
    </row>
    <row r="133" spans="2:29" x14ac:dyDescent="0.2">
      <c r="B133" s="13"/>
      <c r="C133" s="13"/>
      <c r="P133" s="48"/>
      <c r="Q133" s="48"/>
      <c r="R133" s="48"/>
      <c r="S133" s="48"/>
      <c r="T133" s="48"/>
    </row>
    <row r="134" spans="2:29" x14ac:dyDescent="0.2">
      <c r="B134" s="13"/>
      <c r="C134" s="13"/>
    </row>
    <row r="135" spans="2:29" x14ac:dyDescent="0.2">
      <c r="B135" s="13">
        <f>MAX($A$7:B67)+0.1</f>
        <v>1.2000000000000002</v>
      </c>
      <c r="C135" s="13" t="s">
        <v>64</v>
      </c>
    </row>
    <row r="136" spans="2:29" x14ac:dyDescent="0.2">
      <c r="B136" s="13"/>
      <c r="C136" s="13"/>
    </row>
    <row r="137" spans="2:29" x14ac:dyDescent="0.2">
      <c r="B137" s="13"/>
      <c r="C137" s="13"/>
      <c r="D137" t="s">
        <v>50</v>
      </c>
      <c r="E137" s="14" t="str">
        <f t="shared" ref="E137:E158" si="6">$E$39</f>
        <v>2023-24[$]</v>
      </c>
      <c r="F137" t="s">
        <v>52</v>
      </c>
      <c r="P137" s="15">
        <f>((P14*P64)+(P39*P88))*P112</f>
        <v>0.70421992292740765</v>
      </c>
      <c r="Q137" s="15">
        <f t="shared" ref="Q137:T137" si="7">((Q14*Q64)+(Q39*Q88))*Q112</f>
        <v>0.67859818031688379</v>
      </c>
      <c r="R137" s="15">
        <f t="shared" si="7"/>
        <v>0.24396713093798539</v>
      </c>
      <c r="S137" s="15">
        <f t="shared" si="7"/>
        <v>0.76240620753614452</v>
      </c>
      <c r="T137" s="15">
        <f t="shared" si="7"/>
        <v>0.47978588051297405</v>
      </c>
      <c r="V137" s="17"/>
      <c r="W137" s="17"/>
      <c r="X137" s="17"/>
      <c r="Y137" s="17"/>
      <c r="Z137" s="17"/>
      <c r="AB137" s="17"/>
      <c r="AC137" s="17"/>
    </row>
    <row r="138" spans="2:29" x14ac:dyDescent="0.2">
      <c r="B138" s="13"/>
      <c r="C138" s="13"/>
      <c r="D138" t="s">
        <v>50</v>
      </c>
      <c r="E138" s="14" t="str">
        <f t="shared" si="6"/>
        <v>2023-24[$]</v>
      </c>
      <c r="F138" t="s">
        <v>53</v>
      </c>
      <c r="P138" s="15">
        <f t="shared" ref="P138:T138" si="8">((P15*P65)+(P40*P89))*P113</f>
        <v>0.83602556560188934</v>
      </c>
      <c r="Q138" s="15">
        <f t="shared" si="8"/>
        <v>0.67068761850649605</v>
      </c>
      <c r="R138" s="15">
        <f t="shared" si="8"/>
        <v>7.5312385074265756E-2</v>
      </c>
      <c r="S138" s="15">
        <f t="shared" si="8"/>
        <v>0.63465839999999996</v>
      </c>
      <c r="T138" s="15">
        <f t="shared" si="8"/>
        <v>0.42310560000000003</v>
      </c>
      <c r="V138" s="17"/>
      <c r="W138" s="17"/>
      <c r="X138" s="17"/>
      <c r="Y138" s="17"/>
      <c r="Z138" s="17"/>
      <c r="AB138" s="17"/>
      <c r="AC138" s="17"/>
    </row>
    <row r="139" spans="2:29" x14ac:dyDescent="0.2">
      <c r="B139" s="13"/>
      <c r="C139" s="13"/>
      <c r="D139" t="s">
        <v>50</v>
      </c>
      <c r="E139" s="14" t="str">
        <f t="shared" si="6"/>
        <v>2023-24[$]</v>
      </c>
      <c r="F139" t="s">
        <v>54</v>
      </c>
      <c r="P139" s="15">
        <f t="shared" ref="P139:T139" si="9">((P16*P66)+(P41*P90))*P114</f>
        <v>0</v>
      </c>
      <c r="Q139" s="15">
        <f t="shared" si="9"/>
        <v>0</v>
      </c>
      <c r="R139" s="15">
        <f t="shared" si="9"/>
        <v>0</v>
      </c>
      <c r="S139" s="15">
        <f t="shared" si="9"/>
        <v>0</v>
      </c>
      <c r="T139" s="15">
        <f t="shared" si="9"/>
        <v>0</v>
      </c>
      <c r="V139" s="17"/>
      <c r="W139" s="17"/>
      <c r="X139" s="17"/>
      <c r="Y139" s="17"/>
      <c r="Z139" s="17"/>
      <c r="AB139" s="17"/>
      <c r="AC139" s="17"/>
    </row>
    <row r="140" spans="2:29" x14ac:dyDescent="0.2">
      <c r="B140" s="13"/>
      <c r="C140" s="13"/>
      <c r="D140" t="s">
        <v>55</v>
      </c>
      <c r="E140" s="14" t="str">
        <f t="shared" si="6"/>
        <v>2023-24[$]</v>
      </c>
      <c r="F140" t="s">
        <v>52</v>
      </c>
      <c r="P140" s="15">
        <f t="shared" ref="P140:T140" si="10">((P17*P67)+(P42*P91))*P115</f>
        <v>0.31109252649679453</v>
      </c>
      <c r="Q140" s="15">
        <f t="shared" si="10"/>
        <v>0.75252467648795462</v>
      </c>
      <c r="R140" s="15">
        <f t="shared" si="10"/>
        <v>0.39197282689197738</v>
      </c>
      <c r="S140" s="15">
        <f t="shared" si="10"/>
        <v>1.3118291876851067</v>
      </c>
      <c r="T140" s="15">
        <f t="shared" si="10"/>
        <v>0.75474743131152477</v>
      </c>
      <c r="V140" s="17"/>
      <c r="W140" s="17"/>
      <c r="X140" s="17"/>
      <c r="Y140" s="17"/>
      <c r="Z140" s="17"/>
      <c r="AB140" s="17"/>
      <c r="AC140" s="17"/>
    </row>
    <row r="141" spans="2:29" x14ac:dyDescent="0.2">
      <c r="B141" s="13"/>
      <c r="C141" s="13"/>
      <c r="D141" t="s">
        <v>55</v>
      </c>
      <c r="E141" s="14" t="str">
        <f t="shared" si="6"/>
        <v>2023-24[$]</v>
      </c>
      <c r="F141" t="s">
        <v>53</v>
      </c>
      <c r="P141" s="15">
        <f t="shared" ref="P141:T141" si="11">((P18*P68)+(P43*P92))*P116</f>
        <v>1.4845373868613359</v>
      </c>
      <c r="Q141" s="15">
        <f t="shared" si="11"/>
        <v>1.4925921758927669</v>
      </c>
      <c r="R141" s="15">
        <f t="shared" si="11"/>
        <v>0.38973806834166447</v>
      </c>
      <c r="S141" s="15">
        <f t="shared" si="11"/>
        <v>4.5932809579999994</v>
      </c>
      <c r="T141" s="15">
        <f t="shared" si="11"/>
        <v>2.8929614719999996</v>
      </c>
      <c r="V141" s="17"/>
      <c r="W141" s="17"/>
      <c r="X141" s="17"/>
      <c r="Y141" s="17"/>
      <c r="Z141" s="17"/>
      <c r="AB141" s="17"/>
      <c r="AC141" s="17"/>
    </row>
    <row r="142" spans="2:29" x14ac:dyDescent="0.2">
      <c r="B142" s="13"/>
      <c r="C142" s="13"/>
      <c r="D142" t="s">
        <v>55</v>
      </c>
      <c r="E142" s="14" t="str">
        <f t="shared" si="6"/>
        <v>2023-24[$]</v>
      </c>
      <c r="F142" t="s">
        <v>54</v>
      </c>
      <c r="P142" s="15">
        <f t="shared" ref="P142:T142" si="12">((P19*P69)+(P44*P93))*P117</f>
        <v>0</v>
      </c>
      <c r="Q142" s="15">
        <f t="shared" si="12"/>
        <v>0</v>
      </c>
      <c r="R142" s="15">
        <f t="shared" si="12"/>
        <v>0</v>
      </c>
      <c r="S142" s="15">
        <f t="shared" si="12"/>
        <v>0</v>
      </c>
      <c r="T142" s="15">
        <f t="shared" si="12"/>
        <v>0</v>
      </c>
      <c r="V142" s="17"/>
      <c r="W142" s="17"/>
      <c r="X142" s="17"/>
      <c r="Y142" s="17"/>
      <c r="Z142" s="17"/>
      <c r="AB142" s="17"/>
      <c r="AC142" s="17"/>
    </row>
    <row r="143" spans="2:29" x14ac:dyDescent="0.2">
      <c r="B143" s="13"/>
      <c r="C143" s="13"/>
      <c r="D143" t="s">
        <v>56</v>
      </c>
      <c r="E143" s="14" t="str">
        <f t="shared" si="6"/>
        <v>2023-24[$]</v>
      </c>
      <c r="F143" t="s">
        <v>52</v>
      </c>
      <c r="P143" s="15">
        <f t="shared" ref="P143:T143" si="13">((P20*P70)+(P45*P94))*P118</f>
        <v>0.19456223459505428</v>
      </c>
      <c r="Q143" s="15">
        <f t="shared" si="13"/>
        <v>0.41147083889945973</v>
      </c>
      <c r="R143" s="15">
        <f t="shared" si="13"/>
        <v>0.13096922326168889</v>
      </c>
      <c r="S143" s="15">
        <f t="shared" si="13"/>
        <v>0.64408609638785319</v>
      </c>
      <c r="T143" s="15">
        <f t="shared" si="13"/>
        <v>0.40019131820618337</v>
      </c>
      <c r="V143" s="17"/>
      <c r="W143" s="17"/>
      <c r="X143" s="17"/>
      <c r="Y143" s="17"/>
      <c r="Z143" s="17"/>
      <c r="AB143" s="17"/>
      <c r="AC143" s="17"/>
    </row>
    <row r="144" spans="2:29" x14ac:dyDescent="0.2">
      <c r="B144" s="13"/>
      <c r="C144" s="13"/>
      <c r="D144" t="s">
        <v>56</v>
      </c>
      <c r="E144" s="14" t="str">
        <f t="shared" si="6"/>
        <v>2023-24[$]</v>
      </c>
      <c r="F144" t="s">
        <v>53</v>
      </c>
      <c r="P144" s="15">
        <f t="shared" ref="P144:T144" si="14">((P21*P71)+(P46*P95))*P119</f>
        <v>3.0234208652496197</v>
      </c>
      <c r="Q144" s="15">
        <f t="shared" si="14"/>
        <v>4.5507641937355805</v>
      </c>
      <c r="R144" s="15">
        <f t="shared" si="14"/>
        <v>0.59658393238854801</v>
      </c>
      <c r="S144" s="15">
        <f t="shared" si="14"/>
        <v>2.2250850525052144</v>
      </c>
      <c r="T144" s="15">
        <f t="shared" si="14"/>
        <v>0.33350105749478631</v>
      </c>
      <c r="V144" s="17"/>
      <c r="W144" s="17"/>
      <c r="X144" s="17"/>
      <c r="Y144" s="17"/>
      <c r="Z144" s="17"/>
      <c r="AB144" s="17"/>
      <c r="AC144" s="17"/>
    </row>
    <row r="145" spans="2:31" x14ac:dyDescent="0.2">
      <c r="B145" s="13"/>
      <c r="C145" s="13"/>
      <c r="D145" t="s">
        <v>56</v>
      </c>
      <c r="E145" s="14" t="str">
        <f t="shared" si="6"/>
        <v>2023-24[$]</v>
      </c>
      <c r="F145" t="s">
        <v>54</v>
      </c>
      <c r="P145" s="15">
        <f t="shared" ref="P145:T145" si="15">((P22*P72)+(P47*P96))*P120</f>
        <v>0</v>
      </c>
      <c r="Q145" s="15">
        <f t="shared" si="15"/>
        <v>0</v>
      </c>
      <c r="R145" s="15">
        <f t="shared" si="15"/>
        <v>0</v>
      </c>
      <c r="S145" s="15">
        <f t="shared" si="15"/>
        <v>0</v>
      </c>
      <c r="T145" s="15">
        <f t="shared" si="15"/>
        <v>0</v>
      </c>
      <c r="V145" s="17"/>
      <c r="W145" s="17"/>
      <c r="X145" s="17"/>
      <c r="Y145" s="17"/>
      <c r="Z145" s="17"/>
      <c r="AB145" s="17"/>
      <c r="AC145" s="17"/>
    </row>
    <row r="146" spans="2:31" x14ac:dyDescent="0.2">
      <c r="B146" s="13"/>
      <c r="C146" s="13"/>
      <c r="D146" t="s">
        <v>57</v>
      </c>
      <c r="E146" s="14" t="str">
        <f t="shared" si="6"/>
        <v>2023-24[$]</v>
      </c>
      <c r="F146" t="s">
        <v>52</v>
      </c>
      <c r="P146" s="15">
        <f t="shared" ref="P146:T146" si="16">((P23*P73)+(P48*P97))*P121</f>
        <v>0.6879467286341302</v>
      </c>
      <c r="Q146" s="15">
        <f t="shared" si="16"/>
        <v>1.1538979644731153</v>
      </c>
      <c r="R146" s="15">
        <f t="shared" si="16"/>
        <v>0.35435449686384524</v>
      </c>
      <c r="S146" s="15">
        <f t="shared" si="16"/>
        <v>1.5659557454950923</v>
      </c>
      <c r="T146" s="15">
        <f t="shared" si="16"/>
        <v>0.86962848349991317</v>
      </c>
      <c r="V146" s="17"/>
      <c r="W146" s="17"/>
      <c r="X146" s="17"/>
      <c r="Y146" s="17"/>
      <c r="Z146" s="17"/>
      <c r="AB146" s="17"/>
      <c r="AC146" s="17"/>
    </row>
    <row r="147" spans="2:31" x14ac:dyDescent="0.2">
      <c r="B147" s="13"/>
      <c r="C147" s="13"/>
      <c r="D147" t="s">
        <v>57</v>
      </c>
      <c r="E147" s="14" t="str">
        <f t="shared" si="6"/>
        <v>2023-24[$]</v>
      </c>
      <c r="F147" t="s">
        <v>53</v>
      </c>
      <c r="P147" s="15">
        <f t="shared" ref="P147:T147" si="17">((P24*P74)+(P49*P98))*P122</f>
        <v>0.37869757946415783</v>
      </c>
      <c r="Q147" s="15">
        <f t="shared" si="17"/>
        <v>1.5691905226988749</v>
      </c>
      <c r="R147" s="15">
        <f t="shared" si="17"/>
        <v>0.64087158180595738</v>
      </c>
      <c r="S147" s="15">
        <f t="shared" si="17"/>
        <v>2.1361441000000001</v>
      </c>
      <c r="T147" s="15">
        <f t="shared" si="17"/>
        <v>9.4598400000000013E-2</v>
      </c>
      <c r="V147" s="17"/>
      <c r="W147" s="17"/>
      <c r="X147" s="17"/>
      <c r="Y147" s="17"/>
      <c r="Z147" s="17"/>
      <c r="AB147" s="17"/>
      <c r="AC147" s="17"/>
    </row>
    <row r="148" spans="2:31" x14ac:dyDescent="0.2">
      <c r="B148" s="13"/>
      <c r="C148" s="13"/>
      <c r="D148" t="s">
        <v>57</v>
      </c>
      <c r="E148" s="14" t="str">
        <f t="shared" si="6"/>
        <v>2023-24[$]</v>
      </c>
      <c r="F148" t="s">
        <v>54</v>
      </c>
      <c r="P148" s="15">
        <f t="shared" ref="P148:T148" si="18">((P25*P75)+(P50*P99))*P123</f>
        <v>0</v>
      </c>
      <c r="Q148" s="15">
        <f t="shared" si="18"/>
        <v>0</v>
      </c>
      <c r="R148" s="15">
        <f t="shared" si="18"/>
        <v>0</v>
      </c>
      <c r="S148" s="15">
        <f t="shared" si="18"/>
        <v>0</v>
      </c>
      <c r="T148" s="15">
        <f t="shared" si="18"/>
        <v>0</v>
      </c>
      <c r="V148" s="17"/>
      <c r="W148" s="17"/>
      <c r="X148" s="17"/>
      <c r="Y148" s="17"/>
      <c r="Z148" s="17"/>
      <c r="AB148" s="17"/>
      <c r="AC148" s="17"/>
    </row>
    <row r="149" spans="2:31" x14ac:dyDescent="0.2">
      <c r="B149" s="13"/>
      <c r="C149" s="13"/>
      <c r="D149" t="s">
        <v>58</v>
      </c>
      <c r="E149" s="14" t="str">
        <f t="shared" si="6"/>
        <v>2023-24[$]</v>
      </c>
      <c r="F149" t="s">
        <v>52</v>
      </c>
      <c r="P149" s="15">
        <f t="shared" ref="P149:T149" si="19">((P26*P76)+(P51*P100))*P124</f>
        <v>0.851424135651208</v>
      </c>
      <c r="Q149" s="15">
        <f t="shared" si="19"/>
        <v>0.75249758774549258</v>
      </c>
      <c r="R149" s="15">
        <f t="shared" si="19"/>
        <v>0.21008708179264646</v>
      </c>
      <c r="S149" s="15">
        <f t="shared" si="19"/>
        <v>1.2816296958996267</v>
      </c>
      <c r="T149" s="15">
        <f t="shared" si="19"/>
        <v>0.94503184676433782</v>
      </c>
      <c r="V149" s="17"/>
      <c r="W149" s="17"/>
      <c r="X149" s="17"/>
      <c r="Y149" s="17"/>
      <c r="Z149" s="17"/>
      <c r="AB149" s="17"/>
      <c r="AC149" s="17"/>
    </row>
    <row r="150" spans="2:31" x14ac:dyDescent="0.2">
      <c r="B150" s="13"/>
      <c r="C150" s="13"/>
      <c r="D150" t="s">
        <v>58</v>
      </c>
      <c r="E150" s="14" t="str">
        <f t="shared" si="6"/>
        <v>2023-24[$]</v>
      </c>
      <c r="F150" t="s">
        <v>53</v>
      </c>
      <c r="P150" s="15">
        <f t="shared" ref="P150:T150" si="20">((P27*P77)+(P52*P101))*P125</f>
        <v>2.6623781288594537</v>
      </c>
      <c r="Q150" s="15">
        <f t="shared" si="20"/>
        <v>2.5256187935996386</v>
      </c>
      <c r="R150" s="15">
        <f t="shared" si="20"/>
        <v>0.31475406889296159</v>
      </c>
      <c r="S150" s="15">
        <f t="shared" si="20"/>
        <v>1.4999283980000002</v>
      </c>
      <c r="T150" s="15">
        <f t="shared" si="20"/>
        <v>0.16783093199999999</v>
      </c>
      <c r="V150" s="17"/>
      <c r="W150" s="17"/>
      <c r="X150" s="17"/>
      <c r="Y150" s="17"/>
      <c r="Z150" s="17"/>
      <c r="AB150" s="17"/>
      <c r="AC150" s="17"/>
    </row>
    <row r="151" spans="2:31" x14ac:dyDescent="0.2">
      <c r="B151" s="13"/>
      <c r="C151" s="13"/>
      <c r="D151" t="s">
        <v>58</v>
      </c>
      <c r="E151" s="14" t="str">
        <f t="shared" si="6"/>
        <v>2023-24[$]</v>
      </c>
      <c r="F151" t="s">
        <v>54</v>
      </c>
      <c r="P151" s="15">
        <f t="shared" ref="P151:T151" si="21">((P28*P78)+(P53*P102))*P126</f>
        <v>0</v>
      </c>
      <c r="Q151" s="15">
        <f t="shared" si="21"/>
        <v>0</v>
      </c>
      <c r="R151" s="15">
        <f t="shared" si="21"/>
        <v>0</v>
      </c>
      <c r="S151" s="15">
        <f t="shared" si="21"/>
        <v>41.273166967442116</v>
      </c>
      <c r="T151" s="15">
        <f t="shared" si="21"/>
        <v>37.850752668848571</v>
      </c>
      <c r="V151" s="17"/>
      <c r="W151" s="17"/>
      <c r="X151" s="17"/>
      <c r="Y151" s="17"/>
      <c r="Z151" s="17"/>
      <c r="AB151" s="17"/>
      <c r="AC151" s="17"/>
    </row>
    <row r="152" spans="2:31" x14ac:dyDescent="0.2">
      <c r="B152" s="13"/>
      <c r="C152" s="13"/>
      <c r="D152" t="s">
        <v>59</v>
      </c>
      <c r="E152" s="14" t="str">
        <f t="shared" si="6"/>
        <v>2023-24[$]</v>
      </c>
      <c r="F152" t="s">
        <v>52</v>
      </c>
      <c r="P152" s="15">
        <f t="shared" ref="P152:T152" si="22">((P29*P79)+(P54*P103))*P127</f>
        <v>1.8920984138383716</v>
      </c>
      <c r="Q152" s="15">
        <f t="shared" si="22"/>
        <v>2.5959281788154107</v>
      </c>
      <c r="R152" s="15">
        <f t="shared" si="22"/>
        <v>0.55831878619194697</v>
      </c>
      <c r="S152" s="15">
        <f t="shared" si="22"/>
        <v>3.6266557875953294</v>
      </c>
      <c r="T152" s="15">
        <f t="shared" si="22"/>
        <v>2.7036639345928082</v>
      </c>
      <c r="V152" s="17"/>
      <c r="W152" s="17"/>
      <c r="X152" s="17"/>
      <c r="Y152" s="17"/>
      <c r="Z152" s="17"/>
      <c r="AB152" s="17"/>
      <c r="AC152" s="17"/>
    </row>
    <row r="153" spans="2:31" x14ac:dyDescent="0.2">
      <c r="B153" s="13"/>
      <c r="C153" s="13"/>
      <c r="D153" t="s">
        <v>59</v>
      </c>
      <c r="E153" s="14" t="str">
        <f t="shared" si="6"/>
        <v>2023-24[$]</v>
      </c>
      <c r="F153" t="s">
        <v>53</v>
      </c>
      <c r="P153" s="15">
        <f t="shared" ref="P153:T153" si="23">((P30*P80)+(P55*P104))*P128</f>
        <v>0.96742757412987257</v>
      </c>
      <c r="Q153" s="15">
        <f t="shared" si="23"/>
        <v>2.0122306000360237</v>
      </c>
      <c r="R153" s="15">
        <f t="shared" si="23"/>
        <v>0.81883400816763252</v>
      </c>
      <c r="S153" s="15">
        <f t="shared" si="23"/>
        <v>2.6220911893333332</v>
      </c>
      <c r="T153" s="15">
        <f t="shared" si="23"/>
        <v>1.2954952443333334</v>
      </c>
      <c r="V153" s="17"/>
      <c r="W153" s="17"/>
      <c r="X153" s="17"/>
      <c r="Y153" s="17"/>
      <c r="Z153" s="17"/>
      <c r="AB153" s="17"/>
      <c r="AC153" s="17"/>
    </row>
    <row r="154" spans="2:31" x14ac:dyDescent="0.2">
      <c r="B154" s="13"/>
      <c r="C154" s="13"/>
      <c r="D154" t="s">
        <v>59</v>
      </c>
      <c r="E154" s="14" t="str">
        <f t="shared" si="6"/>
        <v>2023-24[$]</v>
      </c>
      <c r="F154" t="s">
        <v>54</v>
      </c>
      <c r="P154" s="15">
        <f t="shared" ref="P154:T154" si="24">((P31*P81)+(P56*P105))*P129</f>
        <v>0</v>
      </c>
      <c r="Q154" s="15">
        <f t="shared" si="24"/>
        <v>0</v>
      </c>
      <c r="R154" s="15">
        <f t="shared" si="24"/>
        <v>0</v>
      </c>
      <c r="S154" s="15">
        <f t="shared" si="24"/>
        <v>0</v>
      </c>
      <c r="T154" s="15">
        <f t="shared" si="24"/>
        <v>0</v>
      </c>
      <c r="V154" s="17"/>
      <c r="W154" s="17"/>
      <c r="X154" s="17"/>
      <c r="Y154" s="17"/>
      <c r="Z154" s="17"/>
      <c r="AB154" s="17"/>
      <c r="AC154" s="17"/>
    </row>
    <row r="155" spans="2:31" x14ac:dyDescent="0.2">
      <c r="B155" s="13"/>
      <c r="C155" s="13"/>
      <c r="D155" t="s">
        <v>60</v>
      </c>
      <c r="E155" s="14" t="str">
        <f t="shared" si="6"/>
        <v>2023-24[$]</v>
      </c>
      <c r="F155" t="s">
        <v>52</v>
      </c>
      <c r="P155" s="15">
        <f t="shared" ref="P155:T155" si="25">((P32*P82)+(P57*P106))*P130</f>
        <v>0</v>
      </c>
      <c r="Q155" s="15">
        <f t="shared" si="25"/>
        <v>0</v>
      </c>
      <c r="R155" s="15">
        <f t="shared" si="25"/>
        <v>0</v>
      </c>
      <c r="S155" s="15">
        <f t="shared" si="25"/>
        <v>0</v>
      </c>
      <c r="T155" s="15">
        <f t="shared" si="25"/>
        <v>0</v>
      </c>
      <c r="V155" s="17"/>
      <c r="W155" s="17"/>
      <c r="X155" s="17"/>
      <c r="Y155" s="17"/>
      <c r="Z155" s="17"/>
      <c r="AB155" s="17"/>
      <c r="AC155" s="17"/>
    </row>
    <row r="156" spans="2:31" x14ac:dyDescent="0.2">
      <c r="B156" s="13"/>
      <c r="C156" s="13"/>
      <c r="D156" t="s">
        <v>60</v>
      </c>
      <c r="E156" s="14" t="str">
        <f t="shared" si="6"/>
        <v>2023-24[$]</v>
      </c>
      <c r="F156" t="s">
        <v>53</v>
      </c>
      <c r="P156" s="15">
        <f t="shared" ref="P156:T156" si="26">((P33*P83)+(P58*P107))*P131</f>
        <v>0</v>
      </c>
      <c r="Q156" s="15">
        <f t="shared" si="26"/>
        <v>0</v>
      </c>
      <c r="R156" s="15">
        <f t="shared" si="26"/>
        <v>0.10018832107887823</v>
      </c>
      <c r="S156" s="15">
        <f t="shared" si="26"/>
        <v>0.58841794999999997</v>
      </c>
      <c r="T156" s="15">
        <f t="shared" si="26"/>
        <v>0.04</v>
      </c>
      <c r="V156" s="17"/>
      <c r="W156" s="17"/>
      <c r="X156" s="17"/>
      <c r="Y156" s="17"/>
      <c r="Z156" s="17"/>
      <c r="AB156" s="17"/>
      <c r="AC156" s="17"/>
    </row>
    <row r="157" spans="2:31" x14ac:dyDescent="0.2">
      <c r="B157" s="13"/>
      <c r="C157" s="13"/>
      <c r="D157" t="s">
        <v>60</v>
      </c>
      <c r="E157" s="14" t="str">
        <f t="shared" si="6"/>
        <v>2023-24[$]</v>
      </c>
      <c r="F157" t="s">
        <v>54</v>
      </c>
      <c r="P157" s="49">
        <f t="shared" ref="P157:T157" si="27">((P34*P84)+(P59*P108))*P132</f>
        <v>0</v>
      </c>
      <c r="Q157" s="49">
        <f t="shared" si="27"/>
        <v>0</v>
      </c>
      <c r="R157" s="49">
        <f t="shared" si="27"/>
        <v>0</v>
      </c>
      <c r="S157" s="49">
        <f t="shared" si="27"/>
        <v>0</v>
      </c>
      <c r="T157" s="49">
        <f t="shared" si="27"/>
        <v>0</v>
      </c>
      <c r="V157" s="17"/>
      <c r="W157" s="17"/>
      <c r="X157" s="17"/>
      <c r="Y157" s="17"/>
      <c r="Z157" s="17"/>
      <c r="AB157" s="17"/>
      <c r="AC157" s="17"/>
    </row>
    <row r="158" spans="2:31" x14ac:dyDescent="0.2">
      <c r="B158" s="13"/>
      <c r="C158" s="13"/>
      <c r="D158" s="33" t="s">
        <v>11</v>
      </c>
      <c r="E158" s="34" t="str">
        <f t="shared" si="6"/>
        <v>2023-24[$]</v>
      </c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48">
        <f>SUM(P137:P157)</f>
        <v>13.993831062309296</v>
      </c>
      <c r="Q158" s="48">
        <f t="shared" ref="Q158:T158" si="28">SUM(Q137:Q157)</f>
        <v>19.166001331207699</v>
      </c>
      <c r="R158" s="48">
        <f t="shared" si="28"/>
        <v>4.825951911689998</v>
      </c>
      <c r="S158" s="48">
        <f t="shared" si="28"/>
        <v>64.765335735879816</v>
      </c>
      <c r="T158" s="48">
        <f t="shared" si="28"/>
        <v>49.251294269564433</v>
      </c>
      <c r="X158" s="17"/>
      <c r="Y158" s="17"/>
      <c r="Z158" s="17"/>
      <c r="AB158" s="17"/>
      <c r="AC158" s="17"/>
      <c r="AD158" s="17"/>
      <c r="AE158" s="46"/>
    </row>
    <row r="159" spans="2:31" x14ac:dyDescent="0.2">
      <c r="B159" s="13"/>
      <c r="C159" s="13"/>
    </row>
    <row r="160" spans="2:31" x14ac:dyDescent="0.2">
      <c r="B160" s="13"/>
      <c r="C160" s="13"/>
    </row>
    <row r="161" spans="2:27" x14ac:dyDescent="0.2">
      <c r="B161" s="13">
        <f>MAX($A$7:B160)+0.1</f>
        <v>1.3000000000000003</v>
      </c>
      <c r="C161" s="13" t="s">
        <v>67</v>
      </c>
    </row>
    <row r="162" spans="2:27" x14ac:dyDescent="0.2">
      <c r="B162" s="13"/>
      <c r="C162" s="13"/>
    </row>
    <row r="163" spans="2:27" x14ac:dyDescent="0.2">
      <c r="B163" s="13"/>
      <c r="C163" s="13">
        <f>MAX($A$7:B162)+0.1</f>
        <v>1.4000000000000004</v>
      </c>
      <c r="D163" s="13" t="s">
        <v>102</v>
      </c>
    </row>
    <row r="164" spans="2:27" x14ac:dyDescent="0.2">
      <c r="B164" s="13"/>
      <c r="C164" s="13"/>
    </row>
    <row r="165" spans="2:27" x14ac:dyDescent="0.2">
      <c r="B165" s="13"/>
      <c r="C165" s="13"/>
      <c r="D165" t="s">
        <v>104</v>
      </c>
      <c r="P165" s="15">
        <f>INDEX('CPI Inputs'!$P$20:$AB$32,MATCH(VLOOKUP('PTRM Input'!$E$158,Tables!$F$2:$G$15,2,FALSE),'CPI Inputs'!$P$4:$AB$4,0),MATCH(VLOOKUP('PTRM Input'!$E$167,Tables!$F$2:$H$15,2,FALSE),'CPI Inputs'!$D$20:$D$32,0))</f>
        <v>0.82720495515943882</v>
      </c>
    </row>
    <row r="166" spans="2:27" x14ac:dyDescent="0.2">
      <c r="B166" s="13"/>
      <c r="C166" s="13"/>
    </row>
    <row r="167" spans="2:27" x14ac:dyDescent="0.2">
      <c r="B167" s="13"/>
      <c r="C167" s="13"/>
      <c r="D167" t="s">
        <v>5</v>
      </c>
      <c r="E167" s="14" t="s">
        <v>69</v>
      </c>
      <c r="P167" s="15">
        <f>(P$158*$P$165)*Inputs!$E$15</f>
        <v>0.12658991491086649</v>
      </c>
      <c r="Q167" s="15">
        <f>(Q$158*$P$165)*Inputs!$E$15</f>
        <v>0.17337800255670341</v>
      </c>
      <c r="R167" s="15">
        <f>(R$158*$P$165)*Inputs!$E$15</f>
        <v>4.3656153854122304E-2</v>
      </c>
      <c r="S167" s="15"/>
      <c r="T167" s="15"/>
      <c r="U167" s="38"/>
    </row>
    <row r="168" spans="2:27" x14ac:dyDescent="0.2">
      <c r="B168" s="13"/>
      <c r="C168" s="13"/>
      <c r="D168" t="s">
        <v>6</v>
      </c>
      <c r="E168" s="14" t="s">
        <v>69</v>
      </c>
      <c r="P168" s="15">
        <f>(P$158*$P$165)*Inputs!$E$16</f>
        <v>3.2048079724269997E-3</v>
      </c>
      <c r="Q168" s="15">
        <f>(Q$158*$P$165)*Inputs!$E$16</f>
        <v>4.3893165204228705E-3</v>
      </c>
      <c r="R168" s="15">
        <f>(R$158*$P$165)*Inputs!$E$16</f>
        <v>1.1052190849144886E-3</v>
      </c>
      <c r="S168" s="15"/>
      <c r="T168" s="15"/>
    </row>
    <row r="169" spans="2:27" x14ac:dyDescent="0.2">
      <c r="B169" s="13"/>
      <c r="C169" s="13"/>
      <c r="D169" t="s">
        <v>7</v>
      </c>
      <c r="E169" s="14" t="s">
        <v>69</v>
      </c>
      <c r="P169" s="15">
        <f>(P$158*$P$165)*Inputs!$E$17</f>
        <v>1.899061679312581</v>
      </c>
      <c r="Q169" s="15">
        <f>(Q$158*$P$165)*Inputs!$E$17</f>
        <v>2.600961703173803</v>
      </c>
      <c r="R169" s="15">
        <f>(R$158*$P$165)*Inputs!$E$17</f>
        <v>0.65491574829569044</v>
      </c>
      <c r="S169" s="15"/>
      <c r="T169" s="15"/>
    </row>
    <row r="170" spans="2:27" x14ac:dyDescent="0.2">
      <c r="B170" s="13"/>
      <c r="C170" s="13"/>
      <c r="D170" t="s">
        <v>8</v>
      </c>
      <c r="E170" s="14" t="s">
        <v>69</v>
      </c>
      <c r="P170" s="15">
        <f>(P$158*$P$165)*Inputs!$E$18</f>
        <v>0.3475087093587455</v>
      </c>
      <c r="Q170" s="15">
        <f>(Q$158*$P$165)*Inputs!$E$18</f>
        <v>0.47594917764262895</v>
      </c>
      <c r="R170" s="15">
        <f>(R$158*$P$165)*Inputs!$E$18</f>
        <v>0.11984283022936602</v>
      </c>
      <c r="S170" s="15"/>
      <c r="T170" s="15"/>
    </row>
    <row r="171" spans="2:27" x14ac:dyDescent="0.2">
      <c r="B171" s="13"/>
      <c r="C171" s="13"/>
      <c r="D171" t="s">
        <v>9</v>
      </c>
      <c r="E171" s="14" t="s">
        <v>69</v>
      </c>
      <c r="P171" s="15">
        <f>(P$158*$P$165)*Inputs!$E$19</f>
        <v>7.8338608685547237</v>
      </c>
      <c r="Q171" s="15">
        <f>(Q$158*$P$165)*Inputs!$E$19</f>
        <v>10.729284008552169</v>
      </c>
      <c r="R171" s="15">
        <f>(R$158*$P$165)*Inputs!$E$19</f>
        <v>2.7016072772480881</v>
      </c>
      <c r="S171" s="15"/>
      <c r="T171" s="15"/>
    </row>
    <row r="172" spans="2:27" x14ac:dyDescent="0.2">
      <c r="B172" s="13"/>
      <c r="C172" s="13"/>
      <c r="D172" t="s">
        <v>115</v>
      </c>
      <c r="E172" s="14" t="s">
        <v>69</v>
      </c>
      <c r="P172" s="15">
        <f>(P$158*$P$165)*Inputs!$E$20</f>
        <v>0.21982156615432621</v>
      </c>
      <c r="Q172" s="15">
        <f>(Q$158*$P$165)*Inputs!$E$20</f>
        <v>0.30106840727050493</v>
      </c>
      <c r="R172" s="15">
        <f>(R$158*$P$165)*Inputs!$E$20</f>
        <v>7.5808283142021607E-2</v>
      </c>
      <c r="S172" s="15"/>
      <c r="T172" s="15"/>
    </row>
    <row r="173" spans="2:27" x14ac:dyDescent="0.2">
      <c r="B173" s="13"/>
      <c r="C173" s="13"/>
      <c r="D173" t="s">
        <v>10</v>
      </c>
      <c r="E173" s="14" t="s">
        <v>69</v>
      </c>
      <c r="P173" s="49">
        <f>(P$158*$P$165)*Inputs!$E$21</f>
        <v>1.1457188501426523</v>
      </c>
      <c r="Q173" s="49">
        <f>(Q$158*$P$165)*Inputs!$E$21</f>
        <v>1.5691806560511763</v>
      </c>
      <c r="R173" s="49">
        <f>(R$158*$P$165)*Inputs!$E$21</f>
        <v>0.39511582285692964</v>
      </c>
      <c r="S173" s="49"/>
      <c r="T173" s="49"/>
    </row>
    <row r="174" spans="2:27" x14ac:dyDescent="0.2">
      <c r="B174" s="13"/>
      <c r="C174" s="13"/>
      <c r="D174" t="s">
        <v>11</v>
      </c>
      <c r="E174" s="14" t="s">
        <v>69</v>
      </c>
      <c r="P174" s="48">
        <f>SUM(P167:P173)</f>
        <v>11.575766396406323</v>
      </c>
      <c r="Q174" s="48">
        <f>SUM(Q167:Q173)</f>
        <v>15.854211271767408</v>
      </c>
      <c r="R174" s="48">
        <f>SUM(R167:R173)</f>
        <v>3.992051334711133</v>
      </c>
      <c r="S174" s="48"/>
      <c r="T174" s="48"/>
    </row>
    <row r="175" spans="2:27" x14ac:dyDescent="0.2">
      <c r="B175" s="13"/>
      <c r="C175" s="13"/>
      <c r="E175" s="14"/>
      <c r="P175" s="17"/>
      <c r="Q175" s="17"/>
      <c r="R175" s="17"/>
      <c r="Z175" s="21"/>
      <c r="AA175" s="21"/>
    </row>
    <row r="176" spans="2:27" x14ac:dyDescent="0.2">
      <c r="B176" s="13"/>
      <c r="C176" s="13">
        <f>MAX($A$7:B175)+0.1</f>
        <v>1.4000000000000004</v>
      </c>
      <c r="D176" s="13" t="s">
        <v>101</v>
      </c>
    </row>
    <row r="177" spans="2:20" x14ac:dyDescent="0.2">
      <c r="B177" s="13"/>
      <c r="C177" s="13"/>
    </row>
    <row r="178" spans="2:20" x14ac:dyDescent="0.2">
      <c r="B178" s="13"/>
      <c r="C178" s="13"/>
      <c r="D178" t="s">
        <v>5</v>
      </c>
      <c r="E178" s="14" t="s">
        <v>62</v>
      </c>
      <c r="P178" s="15"/>
      <c r="Q178" s="15"/>
      <c r="R178" s="15"/>
      <c r="S178" s="15">
        <f>S$158*Inputs!$E$15</f>
        <v>0.7082587933464155</v>
      </c>
      <c r="T178" s="15">
        <f>T$158*Inputs!$E$15</f>
        <v>0.53860080942629995</v>
      </c>
    </row>
    <row r="179" spans="2:20" x14ac:dyDescent="0.2">
      <c r="B179" s="13"/>
      <c r="C179" s="13"/>
      <c r="D179" t="s">
        <v>6</v>
      </c>
      <c r="E179" s="14" t="s">
        <v>62</v>
      </c>
      <c r="P179" s="15"/>
      <c r="Q179" s="15"/>
      <c r="R179" s="15"/>
      <c r="S179" s="15">
        <f>S$158*Inputs!$E$16</f>
        <v>1.793060236320039E-2</v>
      </c>
      <c r="T179" s="15">
        <f>T$158*Inputs!$E$16</f>
        <v>1.3635463529779743E-2</v>
      </c>
    </row>
    <row r="180" spans="2:20" x14ac:dyDescent="0.2">
      <c r="B180" s="13"/>
      <c r="C180" s="13"/>
      <c r="D180" t="s">
        <v>7</v>
      </c>
      <c r="E180" s="14" t="s">
        <v>62</v>
      </c>
      <c r="P180" s="15"/>
      <c r="Q180" s="15"/>
      <c r="R180" s="15"/>
      <c r="S180" s="15">
        <f>S$158*Inputs!$E$17</f>
        <v>10.625073367237794</v>
      </c>
      <c r="T180" s="15">
        <f>T$158*Inputs!$E$17</f>
        <v>8.0799182016072599</v>
      </c>
    </row>
    <row r="181" spans="2:20" x14ac:dyDescent="0.2">
      <c r="B181" s="13"/>
      <c r="C181" s="13"/>
      <c r="D181" t="s">
        <v>8</v>
      </c>
      <c r="E181" s="14" t="s">
        <v>62</v>
      </c>
      <c r="P181" s="15"/>
      <c r="Q181" s="15"/>
      <c r="R181" s="15"/>
      <c r="S181" s="15">
        <f>S$158*Inputs!$E$18</f>
        <v>1.9442788893656788</v>
      </c>
      <c r="T181" s="15">
        <f>T$158*Inputs!$E$18</f>
        <v>1.4785417327683388</v>
      </c>
    </row>
    <row r="182" spans="2:20" x14ac:dyDescent="0.2">
      <c r="B182" s="13"/>
      <c r="C182" s="13"/>
      <c r="D182" t="s">
        <v>9</v>
      </c>
      <c r="E182" s="14" t="s">
        <v>62</v>
      </c>
      <c r="P182" s="15"/>
      <c r="Q182" s="15"/>
      <c r="R182" s="15"/>
      <c r="S182" s="15">
        <f>S$158*Inputs!$E$19</f>
        <v>43.829722532896625</v>
      </c>
      <c r="T182" s="15">
        <f>T$158*Inputs!$E$19</f>
        <v>33.33064729293379</v>
      </c>
    </row>
    <row r="183" spans="2:20" x14ac:dyDescent="0.2">
      <c r="B183" s="13"/>
      <c r="C183" s="13"/>
      <c r="D183" t="s">
        <v>115</v>
      </c>
      <c r="E183" s="14" t="s">
        <v>62</v>
      </c>
      <c r="P183" s="15"/>
      <c r="Q183" s="15"/>
      <c r="R183" s="15"/>
      <c r="S183" s="15">
        <f>S$158*Inputs!$E$20</f>
        <v>1.2298812058259614</v>
      </c>
      <c r="T183" s="15">
        <f>T$158*Inputs!$E$20</f>
        <v>0.93527255740270587</v>
      </c>
    </row>
    <row r="184" spans="2:20" x14ac:dyDescent="0.2">
      <c r="B184" s="13"/>
      <c r="C184" s="13"/>
      <c r="D184" t="s">
        <v>10</v>
      </c>
      <c r="E184" s="14" t="s">
        <v>62</v>
      </c>
      <c r="P184" s="49"/>
      <c r="Q184" s="49"/>
      <c r="R184" s="49"/>
      <c r="S184" s="49">
        <f>S$158*Inputs!$E$21</f>
        <v>6.41019034484414</v>
      </c>
      <c r="T184" s="49">
        <f>T$158*Inputs!$E$21</f>
        <v>4.8746782118962582</v>
      </c>
    </row>
    <row r="185" spans="2:20" x14ac:dyDescent="0.2">
      <c r="B185" s="13"/>
      <c r="C185" s="13"/>
      <c r="D185" t="s">
        <v>11</v>
      </c>
      <c r="E185" s="14" t="s">
        <v>62</v>
      </c>
      <c r="P185" s="48"/>
      <c r="Q185" s="48"/>
      <c r="R185" s="48"/>
      <c r="S185" s="48">
        <f>SUM(S178:S184)</f>
        <v>64.765335735879816</v>
      </c>
      <c r="T185" s="48">
        <f>SUM(T178:T184)</f>
        <v>49.251294269564433</v>
      </c>
    </row>
    <row r="186" spans="2:20" x14ac:dyDescent="0.2">
      <c r="B186" s="13"/>
      <c r="C186" s="13"/>
      <c r="E186" s="14"/>
      <c r="P186" s="17"/>
      <c r="Q186" s="17"/>
      <c r="R186" s="17"/>
      <c r="S186" s="17"/>
      <c r="T186" s="17"/>
    </row>
    <row r="187" spans="2:20" x14ac:dyDescent="0.2">
      <c r="B187" s="13"/>
      <c r="C187" s="13">
        <f>MAX($A$7:B186)+0.1</f>
        <v>1.4000000000000004</v>
      </c>
      <c r="D187" s="13" t="s">
        <v>103</v>
      </c>
      <c r="P187" s="17"/>
      <c r="Q187" s="17"/>
      <c r="R187" s="17"/>
      <c r="S187" s="17"/>
      <c r="T187" s="17"/>
    </row>
    <row r="188" spans="2:20" x14ac:dyDescent="0.2">
      <c r="B188" s="13"/>
      <c r="C188" s="13"/>
      <c r="E188" s="14"/>
      <c r="P188" s="17"/>
      <c r="Q188" s="17"/>
      <c r="R188" s="17"/>
      <c r="S188" s="17"/>
      <c r="T188" s="17"/>
    </row>
    <row r="189" spans="2:20" x14ac:dyDescent="0.2">
      <c r="B189" s="13"/>
      <c r="C189" s="13"/>
      <c r="D189" t="s">
        <v>5</v>
      </c>
      <c r="E189" s="14" t="s">
        <v>62</v>
      </c>
      <c r="P189" s="17"/>
      <c r="Q189" s="17"/>
      <c r="R189" s="17"/>
      <c r="S189" s="17"/>
      <c r="T189" s="15">
        <f>SUM($P$158:$T$158)*Inputs!$E$15</f>
        <v>1.6622633901635449</v>
      </c>
    </row>
    <row r="190" spans="2:20" x14ac:dyDescent="0.2">
      <c r="B190" s="13"/>
      <c r="C190" s="13"/>
      <c r="D190" t="s">
        <v>6</v>
      </c>
      <c r="E190" s="14" t="s">
        <v>62</v>
      </c>
      <c r="P190" s="17"/>
      <c r="Q190" s="17"/>
      <c r="R190" s="17"/>
      <c r="S190" s="17"/>
      <c r="T190" s="15">
        <f>SUM($P$158:$T$158)*Inputs!$E$16</f>
        <v>4.2082617472494803E-2</v>
      </c>
    </row>
    <row r="191" spans="2:20" x14ac:dyDescent="0.2">
      <c r="B191" s="13"/>
      <c r="C191" s="13"/>
      <c r="D191" t="s">
        <v>7</v>
      </c>
      <c r="E191" s="14" t="s">
        <v>62</v>
      </c>
      <c r="P191" s="17"/>
      <c r="Q191" s="17"/>
      <c r="R191" s="17"/>
      <c r="S191" s="17"/>
      <c r="T191" s="15">
        <f>SUM($P$158:$T$158)*Inputs!$E$17</f>
        <v>24.936747191958421</v>
      </c>
    </row>
    <row r="192" spans="2:20" x14ac:dyDescent="0.2">
      <c r="B192" s="13"/>
      <c r="C192" s="13"/>
      <c r="D192" t="s">
        <v>8</v>
      </c>
      <c r="E192" s="14" t="s">
        <v>62</v>
      </c>
      <c r="P192" s="17"/>
      <c r="Q192" s="17"/>
      <c r="R192" s="17"/>
      <c r="S192" s="17"/>
      <c r="T192" s="15">
        <f>SUM($P$158:$T$158)*Inputs!$E$18</f>
        <v>4.5631676562604326</v>
      </c>
    </row>
    <row r="193" spans="1:261" x14ac:dyDescent="0.2">
      <c r="B193" s="13"/>
      <c r="C193" s="13"/>
      <c r="D193" t="s">
        <v>9</v>
      </c>
      <c r="E193" s="14" t="s">
        <v>62</v>
      </c>
      <c r="P193" s="17"/>
      <c r="Q193" s="17"/>
      <c r="R193" s="17"/>
      <c r="T193" s="15">
        <f>SUM($P$158:$T$158)*Inputs!$E$19</f>
        <v>102.86712124423352</v>
      </c>
    </row>
    <row r="194" spans="1:261" x14ac:dyDescent="0.2">
      <c r="B194" s="13"/>
      <c r="C194" s="13"/>
      <c r="D194" t="s">
        <v>115</v>
      </c>
      <c r="E194" s="14" t="s">
        <v>62</v>
      </c>
      <c r="P194" s="17"/>
      <c r="Q194" s="17"/>
      <c r="R194" s="17"/>
      <c r="T194" s="15">
        <f>SUM($P$158:$T$158)*Inputs!$E$20</f>
        <v>2.8864964641459299</v>
      </c>
    </row>
    <row r="195" spans="1:261" ht="13.5" thickBot="1" x14ac:dyDescent="0.25">
      <c r="B195" s="13"/>
      <c r="C195" s="13"/>
      <c r="D195" t="s">
        <v>10</v>
      </c>
      <c r="E195" s="14" t="s">
        <v>62</v>
      </c>
      <c r="P195" s="17"/>
      <c r="Q195" s="17"/>
      <c r="R195" s="17"/>
      <c r="T195" s="49">
        <f>SUM($P$158:$T$158)*Inputs!$E$21</f>
        <v>15.044535746416891</v>
      </c>
    </row>
    <row r="196" spans="1:261" ht="16.5" thickTop="1" thickBot="1" x14ac:dyDescent="0.3">
      <c r="B196" s="13"/>
      <c r="C196" s="13"/>
      <c r="D196" t="s">
        <v>11</v>
      </c>
      <c r="E196" s="14" t="s">
        <v>62</v>
      </c>
      <c r="P196" s="17"/>
      <c r="Q196" s="17"/>
      <c r="R196" s="17"/>
      <c r="T196" s="48">
        <f>SUM(T189:T195)</f>
        <v>152.00241431065123</v>
      </c>
      <c r="U196" s="50" t="b">
        <f>T196=SUM(P158:T158)</f>
        <v>1</v>
      </c>
    </row>
    <row r="197" spans="1:261" ht="13.5" thickTop="1" x14ac:dyDescent="0.2">
      <c r="E197" s="14"/>
      <c r="P197" s="17"/>
      <c r="Q197" s="17"/>
      <c r="R197" s="17"/>
      <c r="S197" s="17"/>
      <c r="T197" s="17"/>
    </row>
    <row r="199" spans="1:261" x14ac:dyDescent="0.2">
      <c r="A199" s="11" t="s">
        <v>21</v>
      </c>
      <c r="B199" s="11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  <c r="EY199" s="12"/>
      <c r="EZ199" s="12"/>
      <c r="FA199" s="12"/>
      <c r="FB199" s="12"/>
      <c r="FC199" s="12"/>
      <c r="FD199" s="12"/>
      <c r="FE199" s="12"/>
      <c r="FF199" s="12"/>
      <c r="FG199" s="12"/>
      <c r="FH199" s="12"/>
      <c r="FI199" s="12"/>
      <c r="FJ199" s="12"/>
      <c r="FK199" s="12"/>
      <c r="FL199" s="12"/>
      <c r="FM199" s="12"/>
      <c r="FN199" s="12"/>
      <c r="FO199" s="12"/>
      <c r="FP199" s="12"/>
      <c r="FQ199" s="12"/>
      <c r="FR199" s="12"/>
      <c r="FS199" s="12"/>
      <c r="FT199" s="12"/>
      <c r="FU199" s="12"/>
      <c r="FV199" s="12"/>
      <c r="FW199" s="12"/>
      <c r="FX199" s="12"/>
      <c r="FY199" s="12"/>
      <c r="FZ199" s="12"/>
      <c r="GA199" s="12"/>
      <c r="GB199" s="12"/>
      <c r="GC199" s="12"/>
      <c r="GD199" s="12"/>
      <c r="GE199" s="12"/>
      <c r="GF199" s="12"/>
      <c r="GG199" s="12"/>
      <c r="GH199" s="12"/>
      <c r="GI199" s="12"/>
      <c r="GJ199" s="12"/>
      <c r="GK199" s="12"/>
      <c r="GL199" s="12"/>
      <c r="GM199" s="12"/>
      <c r="GN199" s="12"/>
      <c r="GO199" s="12"/>
      <c r="GP199" s="12"/>
      <c r="GQ199" s="12"/>
      <c r="GR199" s="12"/>
      <c r="GS199" s="12"/>
      <c r="GT199" s="12"/>
      <c r="GU199" s="12"/>
      <c r="GV199" s="12"/>
      <c r="GW199" s="12"/>
      <c r="GX199" s="12"/>
      <c r="GY199" s="12"/>
      <c r="GZ199" s="12"/>
      <c r="HA199" s="12"/>
      <c r="HB199" s="12"/>
      <c r="HC199" s="12"/>
      <c r="HD199" s="12"/>
      <c r="HE199" s="12"/>
      <c r="HF199" s="12"/>
      <c r="HG199" s="12"/>
      <c r="HH199" s="12"/>
      <c r="HI199" s="12"/>
      <c r="HJ199" s="12"/>
      <c r="HK199" s="12"/>
      <c r="HL199" s="12"/>
      <c r="HM199" s="12"/>
      <c r="HN199" s="12"/>
      <c r="HO199" s="12"/>
      <c r="HP199" s="12"/>
      <c r="HQ199" s="12"/>
      <c r="HR199" s="12"/>
      <c r="HS199" s="12"/>
      <c r="HT199" s="12"/>
      <c r="HU199" s="12"/>
      <c r="HV199" s="12"/>
      <c r="HW199" s="12"/>
      <c r="HX199" s="12"/>
      <c r="HY199" s="12"/>
      <c r="HZ199" s="12"/>
      <c r="IA199" s="12"/>
      <c r="IB199" s="12"/>
      <c r="IC199" s="12"/>
      <c r="ID199" s="12"/>
      <c r="IE199" s="12"/>
      <c r="IF199" s="12"/>
      <c r="IG199" s="12"/>
      <c r="IH199" s="12"/>
      <c r="II199" s="12"/>
      <c r="IJ199" s="12"/>
      <c r="IK199" s="12"/>
      <c r="IL199" s="12"/>
      <c r="IM199" s="12"/>
      <c r="IN199" s="12"/>
      <c r="IO199" s="12"/>
      <c r="IP199" s="12"/>
      <c r="IQ199" s="12"/>
      <c r="IR199" s="12"/>
      <c r="IS199" s="12"/>
      <c r="IT199" s="12"/>
      <c r="IU199" s="12"/>
      <c r="IV199" s="12"/>
      <c r="IW199" s="12"/>
      <c r="IX199" s="12"/>
      <c r="IY199" s="12"/>
      <c r="IZ199" s="12"/>
      <c r="JA199" s="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8CD91-16EE-4DC8-A07B-784564B3BC53}">
  <sheetPr codeName="Sheet7">
    <tabColor rgb="FFDA3289"/>
  </sheetPr>
  <dimension ref="B2:P29"/>
  <sheetViews>
    <sheetView workbookViewId="0">
      <selection activeCell="I35" sqref="I35"/>
    </sheetView>
  </sheetViews>
  <sheetFormatPr defaultRowHeight="12.75" x14ac:dyDescent="0.2"/>
  <cols>
    <col min="2" max="2" width="9.42578125" bestFit="1" customWidth="1"/>
    <col min="6" max="6" width="10.28515625" bestFit="1" customWidth="1"/>
  </cols>
  <sheetData>
    <row r="2" spans="2:8" x14ac:dyDescent="0.2">
      <c r="B2" s="13" t="s">
        <v>14</v>
      </c>
      <c r="D2" s="36" t="s">
        <v>13</v>
      </c>
      <c r="F2" s="36" t="s">
        <v>71</v>
      </c>
      <c r="G2" s="36" t="s">
        <v>72</v>
      </c>
      <c r="H2" s="36" t="s">
        <v>13</v>
      </c>
    </row>
    <row r="3" spans="2:8" x14ac:dyDescent="0.2">
      <c r="B3" t="s">
        <v>45</v>
      </c>
      <c r="D3" s="37" t="s">
        <v>73</v>
      </c>
      <c r="F3" s="14" t="s">
        <v>69</v>
      </c>
      <c r="G3" t="s">
        <v>26</v>
      </c>
      <c r="H3" t="s">
        <v>73</v>
      </c>
    </row>
    <row r="4" spans="2:8" x14ac:dyDescent="0.2">
      <c r="B4" t="s">
        <v>19</v>
      </c>
      <c r="D4" s="37" t="s">
        <v>74</v>
      </c>
      <c r="F4" s="14" t="s">
        <v>75</v>
      </c>
      <c r="G4" t="s">
        <v>27</v>
      </c>
      <c r="H4" t="s">
        <v>74</v>
      </c>
    </row>
    <row r="5" spans="2:8" x14ac:dyDescent="0.2">
      <c r="D5" s="37" t="s">
        <v>76</v>
      </c>
      <c r="F5" s="14" t="s">
        <v>77</v>
      </c>
      <c r="G5" t="s">
        <v>28</v>
      </c>
      <c r="H5" t="s">
        <v>76</v>
      </c>
    </row>
    <row r="6" spans="2:8" x14ac:dyDescent="0.2">
      <c r="D6" s="37" t="s">
        <v>78</v>
      </c>
      <c r="F6" s="14" t="s">
        <v>79</v>
      </c>
      <c r="G6" t="s">
        <v>29</v>
      </c>
      <c r="H6" t="s">
        <v>78</v>
      </c>
    </row>
    <row r="7" spans="2:8" x14ac:dyDescent="0.2">
      <c r="D7" s="37" t="s">
        <v>80</v>
      </c>
      <c r="F7" s="14" t="s">
        <v>81</v>
      </c>
      <c r="G7" t="s">
        <v>30</v>
      </c>
      <c r="H7" t="s">
        <v>80</v>
      </c>
    </row>
    <row r="8" spans="2:8" x14ac:dyDescent="0.2">
      <c r="D8" s="37" t="s">
        <v>18</v>
      </c>
      <c r="F8" s="14" t="s">
        <v>62</v>
      </c>
      <c r="G8" t="s">
        <v>31</v>
      </c>
      <c r="H8" t="s">
        <v>18</v>
      </c>
    </row>
    <row r="9" spans="2:8" x14ac:dyDescent="0.2">
      <c r="D9" s="37" t="s">
        <v>16</v>
      </c>
      <c r="F9" s="14" t="s">
        <v>82</v>
      </c>
      <c r="G9" t="s">
        <v>32</v>
      </c>
      <c r="H9" t="s">
        <v>16</v>
      </c>
    </row>
    <row r="10" spans="2:8" x14ac:dyDescent="0.2">
      <c r="D10" s="37" t="s">
        <v>83</v>
      </c>
      <c r="F10" s="14" t="s">
        <v>84</v>
      </c>
      <c r="G10" t="s">
        <v>33</v>
      </c>
      <c r="H10" t="s">
        <v>83</v>
      </c>
    </row>
    <row r="11" spans="2:8" x14ac:dyDescent="0.2">
      <c r="D11" s="37" t="s">
        <v>85</v>
      </c>
      <c r="F11" s="14" t="s">
        <v>86</v>
      </c>
      <c r="G11" t="s">
        <v>34</v>
      </c>
      <c r="H11" t="s">
        <v>85</v>
      </c>
    </row>
    <row r="12" spans="2:8" x14ac:dyDescent="0.2">
      <c r="D12" s="37" t="s">
        <v>87</v>
      </c>
      <c r="F12" s="14" t="s">
        <v>88</v>
      </c>
      <c r="G12" t="s">
        <v>35</v>
      </c>
      <c r="H12" t="s">
        <v>87</v>
      </c>
    </row>
    <row r="13" spans="2:8" x14ac:dyDescent="0.2">
      <c r="D13" s="37" t="s">
        <v>89</v>
      </c>
      <c r="F13" s="14" t="s">
        <v>90</v>
      </c>
      <c r="G13" t="s">
        <v>36</v>
      </c>
      <c r="H13" t="s">
        <v>89</v>
      </c>
    </row>
    <row r="14" spans="2:8" x14ac:dyDescent="0.2">
      <c r="D14" s="37" t="s">
        <v>91</v>
      </c>
      <c r="F14" s="14" t="s">
        <v>92</v>
      </c>
      <c r="G14" t="s">
        <v>37</v>
      </c>
      <c r="H14" t="s">
        <v>91</v>
      </c>
    </row>
    <row r="15" spans="2:8" x14ac:dyDescent="0.2">
      <c r="D15" s="37" t="s">
        <v>93</v>
      </c>
      <c r="F15" s="14" t="s">
        <v>94</v>
      </c>
      <c r="G15" t="s">
        <v>38</v>
      </c>
      <c r="H15" t="s">
        <v>93</v>
      </c>
    </row>
    <row r="29" spans="16:16" x14ac:dyDescent="0.2">
      <c r="P29" s="20"/>
    </row>
  </sheetData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Financial Document" ma:contentTypeID="0x01010040455D106F859F468E6D452FBFEBB268009249B99A6221AE4DA8CE1A8498AEE6090500168329708111F24EAC7992C2A9BB7719" ma:contentTypeVersion="3" ma:contentTypeDescription="" ma:contentTypeScope="" ma:versionID="0a37caec1f239108b64558ce3d35cb7b">
  <xsd:schema xmlns:xsd="http://www.w3.org/2001/XMLSchema" xmlns:xs="http://www.w3.org/2001/XMLSchema" xmlns:p="http://schemas.microsoft.com/office/2006/metadata/properties" xmlns:ns1="http://schemas.microsoft.com/sharepoint/v3" xmlns:ns2="200fb119-eb52-4b14-8105-5afb3c90cb4b" xmlns:ns5="50e58a1b-3bb7-4de6-9136-814717d5b74e" targetNamespace="http://schemas.microsoft.com/office/2006/metadata/properties" ma:root="true" ma:fieldsID="c159a6bccfde4a73c6f90423f1281eb2" ns1:_="" ns2:_="" ns5:_="">
    <xsd:import namespace="http://schemas.microsoft.com/sharepoint/v3"/>
    <xsd:import namespace="200fb119-eb52-4b14-8105-5afb3c90cb4b"/>
    <xsd:import namespace="50e58a1b-3bb7-4de6-9136-814717d5b74e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Project_x0020_ID" minOccurs="0"/>
                <xsd:element ref="ns2:Project_x0020_Name" minOccurs="0"/>
                <xsd:element ref="ns1:_dlc_Exempt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fb119-eb52-4b14-8105-5afb3c90cb4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8" nillable="true" ma:displayName="Record Number" ma:internalName="Record_x0020_Number" ma:readOnly="false">
      <xsd:simpleType>
        <xsd:restriction base="dms:Text">
          <xsd:maxLength value="255"/>
        </xsd:restriction>
      </xsd:simpleType>
    </xsd:element>
    <xsd:element name="Project_x0020_ID" ma:index="9" nillable="true" ma:displayName="Project ID" ma:internalName="Project_x0020_ID">
      <xsd:simpleType>
        <xsd:restriction base="dms:Text">
          <xsd:maxLength value="255"/>
        </xsd:restriction>
      </xsd:simpleType>
    </xsd:element>
    <xsd:element name="Project_x0020_Name" ma:index="10" nillable="true" ma:displayName="Project Name" ma:internalName="Project_x0020_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e58a1b-3bb7-4de6-9136-814717d5b74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Name xmlns="200fb119-eb52-4b14-8105-5afb3c90cb4b" xsi:nil="true"/>
    <Project_x0020_ID xmlns="200fb119-eb52-4b14-8105-5afb3c90cb4b" xsi:nil="true"/>
    <Record_x0020_Number xmlns="200fb119-eb52-4b14-8105-5afb3c90cb4b">R0002813212</Record_x0020_Number>
  </documentManagement>
</p:properties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5.xml><?xml version="1.0" encoding="utf-8"?>
<?mso-contentType ?>
<p:Policy xmlns:p="office.server.policy" id="" local="true">
  <p:Name>TasNetworks Document</p:Name>
  <p:Description/>
  <p:Statement/>
  <p:PolicyItems>
    <p:PolicyItem featureId="Microsoft.Office.RecordsManagement.PolicyFeatures.PolicyAudit" staticId="0x01010040455D106F859F468E6D452FBFEBB268|8138272" UniqueId="d778febe-f478-4164-8b66-0d09d8b8933a">
      <p:Name>Auditing</p:Name>
      <p:Description>Audits user actions on documents and list items to the Audit Log.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DA4B256F-24BF-48CE-BCB2-240436D0C58B}"/>
</file>

<file path=customXml/itemProps2.xml><?xml version="1.0" encoding="utf-8"?>
<ds:datastoreItem xmlns:ds="http://schemas.openxmlformats.org/officeDocument/2006/customXml" ds:itemID="{9736EFB3-50B6-4C33-929C-56BCDD58439B}"/>
</file>

<file path=customXml/itemProps3.xml><?xml version="1.0" encoding="utf-8"?>
<ds:datastoreItem xmlns:ds="http://schemas.openxmlformats.org/officeDocument/2006/customXml" ds:itemID="{C281BF9B-1919-4EA6-90A7-A70D9AE97D77}"/>
</file>

<file path=customXml/itemProps4.xml><?xml version="1.0" encoding="utf-8"?>
<ds:datastoreItem xmlns:ds="http://schemas.openxmlformats.org/officeDocument/2006/customXml" ds:itemID="{74418955-38B5-4872-BADD-549A985EF43B}"/>
</file>

<file path=customXml/itemProps5.xml><?xml version="1.0" encoding="utf-8"?>
<ds:datastoreItem xmlns:ds="http://schemas.openxmlformats.org/officeDocument/2006/customXml" ds:itemID="{F90CACA5-FB42-42C6-9816-E7D90200F0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Inputs</vt:lpstr>
      <vt:lpstr>CPI Inputs</vt:lpstr>
      <vt:lpstr>CPA1</vt:lpstr>
      <vt:lpstr>RFM Input</vt:lpstr>
      <vt:lpstr>PTRM Input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2024-10-02T02:40:28Z</dcterms:created>
  <dcterms:modified xsi:type="dcterms:W3CDTF">2024-10-02T02:42:08Z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0x01010040455D106F859F468E6D452FBFEBB268009249B99A6221AE4DA8CE1A8498AEE6090500168329708111F24EAC7992C2A9BB7719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ListId">
    <vt:lpwstr>{31dd088e-8786-4edd-b73b-832dc65e1786}</vt:lpwstr>
  </property>
  <property fmtid="{D5CDD505-2E9C-101B-9397-08002B2CF9AE}" pid="5" name="RecordPoint_ActiveItemUniqueId">
    <vt:lpwstr>{3e83cbfe-c010-4369-a41d-54aa6e6a3957}</vt:lpwstr>
  </property>
  <property fmtid="{D5CDD505-2E9C-101B-9397-08002B2CF9AE}" pid="6" name="RecordPoint_ActiveItemWebId">
    <vt:lpwstr>{50e58a1b-3bb7-4de6-9136-814717d5b74e}</vt:lpwstr>
  </property>
  <property fmtid="{D5CDD505-2E9C-101B-9397-08002B2CF9AE}" pid="7" name="RecordPoint_ActiveItemSiteId">
    <vt:lpwstr>{bed8f96d-0f75-4c3d-baed-50b4a86a653e}</vt:lpwstr>
  </property>
  <property fmtid="{D5CDD505-2E9C-101B-9397-08002B2CF9AE}" pid="8" name="RecordPoint_RecordNumberSubmitted">
    <vt:lpwstr>R0002813212</vt:lpwstr>
  </property>
  <property fmtid="{D5CDD505-2E9C-101B-9397-08002B2CF9AE}" pid="9" name="RecordPoint_SubmissionCompleted">
    <vt:lpwstr>2024-10-10T15:17:55.7089597+11:00</vt:lpwstr>
  </property>
</Properties>
</file>